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325596cec01f414/Documentos/Alura - {Reprograma}/Google Sheets ^M Excel/"/>
    </mc:Choice>
  </mc:AlternateContent>
  <xr:revisionPtr revIDLastSave="0" documentId="8_{101BD445-C4FB-4025-ACFE-DA9BD32D29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putados" sheetId="1" r:id="rId1"/>
    <sheet name="Tratamento" sheetId="2" r:id="rId2"/>
    <sheet name="Dashboard" sheetId="3" r:id="rId3"/>
  </sheets>
  <calcPr calcId="191029"/>
  <pivotCaches>
    <pivotCache cacheId="7" r:id="rId4"/>
    <pivotCache cacheId="11" r:id="rId5"/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1" i="2" l="1"/>
  <c r="G621" i="2" s="1"/>
  <c r="E621" i="2"/>
  <c r="D621" i="2" s="1"/>
  <c r="C621" i="2"/>
  <c r="B621" i="2"/>
  <c r="A621" i="2"/>
  <c r="H621" i="2" s="1"/>
  <c r="F620" i="2"/>
  <c r="G620" i="2" s="1"/>
  <c r="E620" i="2"/>
  <c r="D620" i="2" s="1"/>
  <c r="C620" i="2"/>
  <c r="B620" i="2"/>
  <c r="A620" i="2"/>
  <c r="H620" i="2" s="1"/>
  <c r="F619" i="2"/>
  <c r="G619" i="2" s="1"/>
  <c r="E619" i="2"/>
  <c r="D619" i="2" s="1"/>
  <c r="C619" i="2"/>
  <c r="B619" i="2"/>
  <c r="A619" i="2"/>
  <c r="H619" i="2" s="1"/>
  <c r="F618" i="2"/>
  <c r="G618" i="2" s="1"/>
  <c r="E618" i="2"/>
  <c r="D618" i="2" s="1"/>
  <c r="C618" i="2"/>
  <c r="B618" i="2"/>
  <c r="A618" i="2"/>
  <c r="H618" i="2" s="1"/>
  <c r="F617" i="2"/>
  <c r="G617" i="2" s="1"/>
  <c r="E617" i="2"/>
  <c r="D617" i="2" s="1"/>
  <c r="C617" i="2"/>
  <c r="B617" i="2"/>
  <c r="A617" i="2"/>
  <c r="H617" i="2" s="1"/>
  <c r="F616" i="2"/>
  <c r="G616" i="2" s="1"/>
  <c r="E616" i="2"/>
  <c r="D616" i="2"/>
  <c r="C616" i="2"/>
  <c r="B616" i="2"/>
  <c r="A616" i="2"/>
  <c r="H616" i="2" s="1"/>
  <c r="F615" i="2"/>
  <c r="G615" i="2" s="1"/>
  <c r="E615" i="2"/>
  <c r="D615" i="2"/>
  <c r="C615" i="2"/>
  <c r="B615" i="2"/>
  <c r="A615" i="2"/>
  <c r="H615" i="2" s="1"/>
  <c r="F614" i="2"/>
  <c r="G614" i="2" s="1"/>
  <c r="E614" i="2"/>
  <c r="D614" i="2" s="1"/>
  <c r="C614" i="2"/>
  <c r="B614" i="2"/>
  <c r="A614" i="2"/>
  <c r="H614" i="2" s="1"/>
  <c r="F613" i="2"/>
  <c r="G613" i="2" s="1"/>
  <c r="E613" i="2"/>
  <c r="D613" i="2" s="1"/>
  <c r="C613" i="2"/>
  <c r="B613" i="2"/>
  <c r="A613" i="2"/>
  <c r="H613" i="2" s="1"/>
  <c r="F612" i="2"/>
  <c r="G612" i="2" s="1"/>
  <c r="E612" i="2"/>
  <c r="D612" i="2" s="1"/>
  <c r="C612" i="2"/>
  <c r="B612" i="2"/>
  <c r="A612" i="2"/>
  <c r="H612" i="2" s="1"/>
  <c r="F611" i="2"/>
  <c r="G611" i="2" s="1"/>
  <c r="E611" i="2"/>
  <c r="D611" i="2" s="1"/>
  <c r="C611" i="2"/>
  <c r="B611" i="2"/>
  <c r="A611" i="2"/>
  <c r="H611" i="2" s="1"/>
  <c r="F610" i="2"/>
  <c r="G610" i="2" s="1"/>
  <c r="E610" i="2"/>
  <c r="D610" i="2" s="1"/>
  <c r="C610" i="2"/>
  <c r="B610" i="2"/>
  <c r="A610" i="2"/>
  <c r="H610" i="2" s="1"/>
  <c r="F609" i="2"/>
  <c r="G609" i="2" s="1"/>
  <c r="E609" i="2"/>
  <c r="D609" i="2" s="1"/>
  <c r="C609" i="2"/>
  <c r="B609" i="2"/>
  <c r="A609" i="2"/>
  <c r="H609" i="2" s="1"/>
  <c r="F608" i="2"/>
  <c r="G608" i="2" s="1"/>
  <c r="E608" i="2"/>
  <c r="D608" i="2" s="1"/>
  <c r="C608" i="2"/>
  <c r="B608" i="2"/>
  <c r="A608" i="2"/>
  <c r="H608" i="2" s="1"/>
  <c r="F607" i="2"/>
  <c r="G607" i="2" s="1"/>
  <c r="E607" i="2"/>
  <c r="D607" i="2" s="1"/>
  <c r="C607" i="2"/>
  <c r="B607" i="2"/>
  <c r="A607" i="2"/>
  <c r="H607" i="2" s="1"/>
  <c r="F606" i="2"/>
  <c r="G606" i="2" s="1"/>
  <c r="E606" i="2"/>
  <c r="D606" i="2" s="1"/>
  <c r="C606" i="2"/>
  <c r="B606" i="2"/>
  <c r="A606" i="2"/>
  <c r="H606" i="2" s="1"/>
  <c r="F605" i="2"/>
  <c r="G605" i="2" s="1"/>
  <c r="E605" i="2"/>
  <c r="D605" i="2" s="1"/>
  <c r="C605" i="2"/>
  <c r="B605" i="2"/>
  <c r="A605" i="2"/>
  <c r="H605" i="2" s="1"/>
  <c r="F604" i="2"/>
  <c r="G604" i="2" s="1"/>
  <c r="E604" i="2"/>
  <c r="D604" i="2" s="1"/>
  <c r="C604" i="2"/>
  <c r="B604" i="2"/>
  <c r="A604" i="2"/>
  <c r="H604" i="2" s="1"/>
  <c r="F603" i="2"/>
  <c r="G603" i="2" s="1"/>
  <c r="E603" i="2"/>
  <c r="D603" i="2" s="1"/>
  <c r="C603" i="2"/>
  <c r="B603" i="2"/>
  <c r="A603" i="2"/>
  <c r="H603" i="2" s="1"/>
  <c r="F602" i="2"/>
  <c r="G602" i="2" s="1"/>
  <c r="E602" i="2"/>
  <c r="D602" i="2" s="1"/>
  <c r="C602" i="2"/>
  <c r="B602" i="2"/>
  <c r="A602" i="2"/>
  <c r="H602" i="2" s="1"/>
  <c r="F601" i="2"/>
  <c r="G601" i="2" s="1"/>
  <c r="E601" i="2"/>
  <c r="D601" i="2" s="1"/>
  <c r="C601" i="2"/>
  <c r="B601" i="2"/>
  <c r="A601" i="2"/>
  <c r="H601" i="2" s="1"/>
  <c r="F600" i="2"/>
  <c r="G600" i="2" s="1"/>
  <c r="E600" i="2"/>
  <c r="D600" i="2" s="1"/>
  <c r="C600" i="2"/>
  <c r="B600" i="2"/>
  <c r="A600" i="2"/>
  <c r="H600" i="2" s="1"/>
  <c r="F599" i="2"/>
  <c r="G599" i="2" s="1"/>
  <c r="E599" i="2"/>
  <c r="D599" i="2" s="1"/>
  <c r="C599" i="2"/>
  <c r="B599" i="2"/>
  <c r="A599" i="2"/>
  <c r="H599" i="2" s="1"/>
  <c r="F598" i="2"/>
  <c r="G598" i="2" s="1"/>
  <c r="E598" i="2"/>
  <c r="D598" i="2" s="1"/>
  <c r="C598" i="2"/>
  <c r="B598" i="2"/>
  <c r="A598" i="2"/>
  <c r="H598" i="2" s="1"/>
  <c r="F597" i="2"/>
  <c r="G597" i="2" s="1"/>
  <c r="E597" i="2"/>
  <c r="D597" i="2" s="1"/>
  <c r="C597" i="2"/>
  <c r="B597" i="2"/>
  <c r="A597" i="2"/>
  <c r="H597" i="2" s="1"/>
  <c r="F596" i="2"/>
  <c r="G596" i="2" s="1"/>
  <c r="E596" i="2"/>
  <c r="D596" i="2" s="1"/>
  <c r="C596" i="2"/>
  <c r="B596" i="2"/>
  <c r="A596" i="2"/>
  <c r="H596" i="2" s="1"/>
  <c r="F595" i="2"/>
  <c r="G595" i="2" s="1"/>
  <c r="E595" i="2"/>
  <c r="D595" i="2" s="1"/>
  <c r="C595" i="2"/>
  <c r="B595" i="2"/>
  <c r="A595" i="2"/>
  <c r="H595" i="2" s="1"/>
  <c r="F594" i="2"/>
  <c r="G594" i="2" s="1"/>
  <c r="E594" i="2"/>
  <c r="D594" i="2" s="1"/>
  <c r="C594" i="2"/>
  <c r="B594" i="2"/>
  <c r="A594" i="2"/>
  <c r="H594" i="2" s="1"/>
  <c r="F593" i="2"/>
  <c r="G593" i="2" s="1"/>
  <c r="E593" i="2"/>
  <c r="D593" i="2" s="1"/>
  <c r="C593" i="2"/>
  <c r="B593" i="2"/>
  <c r="A593" i="2"/>
  <c r="H593" i="2" s="1"/>
  <c r="F592" i="2"/>
  <c r="G592" i="2" s="1"/>
  <c r="E592" i="2"/>
  <c r="D592" i="2" s="1"/>
  <c r="C592" i="2"/>
  <c r="B592" i="2"/>
  <c r="A592" i="2"/>
  <c r="H592" i="2" s="1"/>
  <c r="F591" i="2"/>
  <c r="G591" i="2" s="1"/>
  <c r="E591" i="2"/>
  <c r="D591" i="2" s="1"/>
  <c r="C591" i="2"/>
  <c r="B591" i="2"/>
  <c r="A591" i="2"/>
  <c r="H591" i="2" s="1"/>
  <c r="F590" i="2"/>
  <c r="G590" i="2" s="1"/>
  <c r="E590" i="2"/>
  <c r="D590" i="2" s="1"/>
  <c r="C590" i="2"/>
  <c r="B590" i="2"/>
  <c r="A590" i="2"/>
  <c r="H590" i="2" s="1"/>
  <c r="F589" i="2"/>
  <c r="G589" i="2" s="1"/>
  <c r="E589" i="2"/>
  <c r="D589" i="2" s="1"/>
  <c r="C589" i="2"/>
  <c r="B589" i="2"/>
  <c r="A589" i="2"/>
  <c r="H589" i="2" s="1"/>
  <c r="F588" i="2"/>
  <c r="G588" i="2" s="1"/>
  <c r="E588" i="2"/>
  <c r="D588" i="2" s="1"/>
  <c r="C588" i="2"/>
  <c r="B588" i="2"/>
  <c r="A588" i="2"/>
  <c r="H588" i="2" s="1"/>
  <c r="F587" i="2"/>
  <c r="G587" i="2" s="1"/>
  <c r="E587" i="2"/>
  <c r="D587" i="2" s="1"/>
  <c r="C587" i="2"/>
  <c r="B587" i="2"/>
  <c r="A587" i="2"/>
  <c r="H587" i="2" s="1"/>
  <c r="F586" i="2"/>
  <c r="G586" i="2" s="1"/>
  <c r="E586" i="2"/>
  <c r="D586" i="2" s="1"/>
  <c r="C586" i="2"/>
  <c r="B586" i="2"/>
  <c r="A586" i="2"/>
  <c r="H586" i="2" s="1"/>
  <c r="F585" i="2"/>
  <c r="G585" i="2" s="1"/>
  <c r="E585" i="2"/>
  <c r="D585" i="2" s="1"/>
  <c r="C585" i="2"/>
  <c r="B585" i="2"/>
  <c r="A585" i="2"/>
  <c r="H585" i="2" s="1"/>
  <c r="F584" i="2"/>
  <c r="G584" i="2" s="1"/>
  <c r="E584" i="2"/>
  <c r="D584" i="2" s="1"/>
  <c r="C584" i="2"/>
  <c r="B584" i="2"/>
  <c r="A584" i="2"/>
  <c r="H584" i="2" s="1"/>
  <c r="F583" i="2"/>
  <c r="G583" i="2" s="1"/>
  <c r="E583" i="2"/>
  <c r="D583" i="2" s="1"/>
  <c r="C583" i="2"/>
  <c r="B583" i="2"/>
  <c r="A583" i="2"/>
  <c r="H583" i="2" s="1"/>
  <c r="F582" i="2"/>
  <c r="G582" i="2" s="1"/>
  <c r="E582" i="2"/>
  <c r="D582" i="2" s="1"/>
  <c r="C582" i="2"/>
  <c r="B582" i="2"/>
  <c r="A582" i="2"/>
  <c r="H582" i="2" s="1"/>
  <c r="F581" i="2"/>
  <c r="G581" i="2" s="1"/>
  <c r="E581" i="2"/>
  <c r="D581" i="2" s="1"/>
  <c r="C581" i="2"/>
  <c r="B581" i="2"/>
  <c r="A581" i="2"/>
  <c r="H581" i="2" s="1"/>
  <c r="F580" i="2"/>
  <c r="G580" i="2" s="1"/>
  <c r="E580" i="2"/>
  <c r="D580" i="2" s="1"/>
  <c r="C580" i="2"/>
  <c r="B580" i="2"/>
  <c r="A580" i="2"/>
  <c r="H580" i="2" s="1"/>
  <c r="F579" i="2"/>
  <c r="G579" i="2" s="1"/>
  <c r="E579" i="2"/>
  <c r="D579" i="2" s="1"/>
  <c r="C579" i="2"/>
  <c r="B579" i="2"/>
  <c r="A579" i="2"/>
  <c r="H579" i="2" s="1"/>
  <c r="F578" i="2"/>
  <c r="G578" i="2" s="1"/>
  <c r="E578" i="2"/>
  <c r="D578" i="2" s="1"/>
  <c r="C578" i="2"/>
  <c r="B578" i="2"/>
  <c r="A578" i="2"/>
  <c r="H578" i="2" s="1"/>
  <c r="F577" i="2"/>
  <c r="G577" i="2" s="1"/>
  <c r="E577" i="2"/>
  <c r="D577" i="2" s="1"/>
  <c r="C577" i="2"/>
  <c r="B577" i="2"/>
  <c r="A577" i="2"/>
  <c r="H577" i="2" s="1"/>
  <c r="F576" i="2"/>
  <c r="G576" i="2" s="1"/>
  <c r="E576" i="2"/>
  <c r="D576" i="2" s="1"/>
  <c r="C576" i="2"/>
  <c r="B576" i="2"/>
  <c r="A576" i="2"/>
  <c r="H576" i="2" s="1"/>
  <c r="F575" i="2"/>
  <c r="G575" i="2" s="1"/>
  <c r="E575" i="2"/>
  <c r="D575" i="2" s="1"/>
  <c r="C575" i="2"/>
  <c r="B575" i="2"/>
  <c r="A575" i="2"/>
  <c r="H575" i="2" s="1"/>
  <c r="F574" i="2"/>
  <c r="G574" i="2" s="1"/>
  <c r="E574" i="2"/>
  <c r="D574" i="2" s="1"/>
  <c r="C574" i="2"/>
  <c r="B574" i="2"/>
  <c r="A574" i="2"/>
  <c r="H574" i="2" s="1"/>
  <c r="F573" i="2"/>
  <c r="G573" i="2" s="1"/>
  <c r="E573" i="2"/>
  <c r="D573" i="2" s="1"/>
  <c r="C573" i="2"/>
  <c r="B573" i="2"/>
  <c r="A573" i="2"/>
  <c r="H573" i="2" s="1"/>
  <c r="F572" i="2"/>
  <c r="G572" i="2" s="1"/>
  <c r="E572" i="2"/>
  <c r="D572" i="2" s="1"/>
  <c r="C572" i="2"/>
  <c r="B572" i="2"/>
  <c r="A572" i="2"/>
  <c r="H572" i="2" s="1"/>
  <c r="F571" i="2"/>
  <c r="G571" i="2" s="1"/>
  <c r="E571" i="2"/>
  <c r="D571" i="2" s="1"/>
  <c r="C571" i="2"/>
  <c r="B571" i="2"/>
  <c r="A571" i="2"/>
  <c r="H571" i="2" s="1"/>
  <c r="F570" i="2"/>
  <c r="G570" i="2" s="1"/>
  <c r="E570" i="2"/>
  <c r="D570" i="2" s="1"/>
  <c r="C570" i="2"/>
  <c r="B570" i="2"/>
  <c r="A570" i="2"/>
  <c r="H570" i="2" s="1"/>
  <c r="F569" i="2"/>
  <c r="G569" i="2" s="1"/>
  <c r="E569" i="2"/>
  <c r="D569" i="2" s="1"/>
  <c r="C569" i="2"/>
  <c r="B569" i="2"/>
  <c r="A569" i="2"/>
  <c r="H569" i="2" s="1"/>
  <c r="F568" i="2"/>
  <c r="G568" i="2" s="1"/>
  <c r="E568" i="2"/>
  <c r="D568" i="2" s="1"/>
  <c r="C568" i="2"/>
  <c r="B568" i="2"/>
  <c r="A568" i="2"/>
  <c r="H568" i="2" s="1"/>
  <c r="F567" i="2"/>
  <c r="G567" i="2" s="1"/>
  <c r="E567" i="2"/>
  <c r="D567" i="2"/>
  <c r="C567" i="2"/>
  <c r="B567" i="2"/>
  <c r="A567" i="2"/>
  <c r="H567" i="2" s="1"/>
  <c r="G566" i="2"/>
  <c r="F566" i="2"/>
  <c r="E566" i="2"/>
  <c r="D566" i="2" s="1"/>
  <c r="C566" i="2"/>
  <c r="B566" i="2"/>
  <c r="A566" i="2"/>
  <c r="H566" i="2" s="1"/>
  <c r="F565" i="2"/>
  <c r="G565" i="2" s="1"/>
  <c r="E565" i="2"/>
  <c r="D565" i="2" s="1"/>
  <c r="C565" i="2"/>
  <c r="B565" i="2"/>
  <c r="A565" i="2"/>
  <c r="H565" i="2" s="1"/>
  <c r="F564" i="2"/>
  <c r="G564" i="2" s="1"/>
  <c r="E564" i="2"/>
  <c r="D564" i="2" s="1"/>
  <c r="C564" i="2"/>
  <c r="B564" i="2"/>
  <c r="A564" i="2"/>
  <c r="H564" i="2" s="1"/>
  <c r="F563" i="2"/>
  <c r="G563" i="2" s="1"/>
  <c r="E563" i="2"/>
  <c r="D563" i="2" s="1"/>
  <c r="C563" i="2"/>
  <c r="B563" i="2"/>
  <c r="A563" i="2"/>
  <c r="H563" i="2" s="1"/>
  <c r="F562" i="2"/>
  <c r="G562" i="2" s="1"/>
  <c r="E562" i="2"/>
  <c r="D562" i="2" s="1"/>
  <c r="C562" i="2"/>
  <c r="B562" i="2"/>
  <c r="A562" i="2"/>
  <c r="H562" i="2" s="1"/>
  <c r="F561" i="2"/>
  <c r="G561" i="2" s="1"/>
  <c r="E561" i="2"/>
  <c r="D561" i="2" s="1"/>
  <c r="C561" i="2"/>
  <c r="B561" i="2"/>
  <c r="A561" i="2"/>
  <c r="H561" i="2" s="1"/>
  <c r="F560" i="2"/>
  <c r="G560" i="2" s="1"/>
  <c r="E560" i="2"/>
  <c r="D560" i="2" s="1"/>
  <c r="C560" i="2"/>
  <c r="B560" i="2"/>
  <c r="A560" i="2"/>
  <c r="H560" i="2" s="1"/>
  <c r="F559" i="2"/>
  <c r="G559" i="2" s="1"/>
  <c r="E559" i="2"/>
  <c r="D559" i="2" s="1"/>
  <c r="C559" i="2"/>
  <c r="B559" i="2"/>
  <c r="A559" i="2"/>
  <c r="H559" i="2" s="1"/>
  <c r="F558" i="2"/>
  <c r="G558" i="2" s="1"/>
  <c r="E558" i="2"/>
  <c r="D558" i="2" s="1"/>
  <c r="C558" i="2"/>
  <c r="B558" i="2"/>
  <c r="A558" i="2"/>
  <c r="H558" i="2" s="1"/>
  <c r="F557" i="2"/>
  <c r="G557" i="2" s="1"/>
  <c r="E557" i="2"/>
  <c r="D557" i="2" s="1"/>
  <c r="C557" i="2"/>
  <c r="B557" i="2"/>
  <c r="A557" i="2"/>
  <c r="H557" i="2" s="1"/>
  <c r="F556" i="2"/>
  <c r="G556" i="2" s="1"/>
  <c r="E556" i="2"/>
  <c r="D556" i="2" s="1"/>
  <c r="C556" i="2"/>
  <c r="B556" i="2"/>
  <c r="A556" i="2"/>
  <c r="H556" i="2" s="1"/>
  <c r="F555" i="2"/>
  <c r="G555" i="2" s="1"/>
  <c r="E555" i="2"/>
  <c r="D555" i="2"/>
  <c r="C555" i="2"/>
  <c r="B555" i="2"/>
  <c r="A555" i="2"/>
  <c r="H555" i="2" s="1"/>
  <c r="F554" i="2"/>
  <c r="G554" i="2" s="1"/>
  <c r="E554" i="2"/>
  <c r="D554" i="2" s="1"/>
  <c r="C554" i="2"/>
  <c r="B554" i="2"/>
  <c r="A554" i="2"/>
  <c r="H554" i="2" s="1"/>
  <c r="F553" i="2"/>
  <c r="G553" i="2" s="1"/>
  <c r="E553" i="2"/>
  <c r="D553" i="2" s="1"/>
  <c r="C553" i="2"/>
  <c r="B553" i="2"/>
  <c r="A553" i="2"/>
  <c r="H553" i="2" s="1"/>
  <c r="F552" i="2"/>
  <c r="G552" i="2" s="1"/>
  <c r="E552" i="2"/>
  <c r="D552" i="2" s="1"/>
  <c r="C552" i="2"/>
  <c r="B552" i="2"/>
  <c r="A552" i="2"/>
  <c r="H552" i="2" s="1"/>
  <c r="F551" i="2"/>
  <c r="G551" i="2" s="1"/>
  <c r="E551" i="2"/>
  <c r="D551" i="2" s="1"/>
  <c r="C551" i="2"/>
  <c r="B551" i="2"/>
  <c r="A551" i="2"/>
  <c r="H551" i="2" s="1"/>
  <c r="F550" i="2"/>
  <c r="G550" i="2" s="1"/>
  <c r="E550" i="2"/>
  <c r="D550" i="2"/>
  <c r="C550" i="2"/>
  <c r="B550" i="2"/>
  <c r="A550" i="2"/>
  <c r="H550" i="2" s="1"/>
  <c r="F549" i="2"/>
  <c r="G549" i="2" s="1"/>
  <c r="E549" i="2"/>
  <c r="D549" i="2" s="1"/>
  <c r="C549" i="2"/>
  <c r="B549" i="2"/>
  <c r="A549" i="2"/>
  <c r="H549" i="2" s="1"/>
  <c r="F548" i="2"/>
  <c r="G548" i="2" s="1"/>
  <c r="E548" i="2"/>
  <c r="D548" i="2" s="1"/>
  <c r="C548" i="2"/>
  <c r="B548" i="2"/>
  <c r="A548" i="2"/>
  <c r="H548" i="2" s="1"/>
  <c r="F547" i="2"/>
  <c r="G547" i="2" s="1"/>
  <c r="E547" i="2"/>
  <c r="D547" i="2" s="1"/>
  <c r="C547" i="2"/>
  <c r="B547" i="2"/>
  <c r="A547" i="2"/>
  <c r="H547" i="2" s="1"/>
  <c r="F546" i="2"/>
  <c r="G546" i="2" s="1"/>
  <c r="E546" i="2"/>
  <c r="D546" i="2" s="1"/>
  <c r="C546" i="2"/>
  <c r="B546" i="2"/>
  <c r="A546" i="2"/>
  <c r="H546" i="2" s="1"/>
  <c r="F545" i="2"/>
  <c r="G545" i="2" s="1"/>
  <c r="E545" i="2"/>
  <c r="D545" i="2" s="1"/>
  <c r="C545" i="2"/>
  <c r="B545" i="2"/>
  <c r="A545" i="2"/>
  <c r="H545" i="2" s="1"/>
  <c r="F544" i="2"/>
  <c r="G544" i="2" s="1"/>
  <c r="E544" i="2"/>
  <c r="D544" i="2" s="1"/>
  <c r="C544" i="2"/>
  <c r="B544" i="2"/>
  <c r="A544" i="2"/>
  <c r="H544" i="2" s="1"/>
  <c r="F543" i="2"/>
  <c r="G543" i="2" s="1"/>
  <c r="E543" i="2"/>
  <c r="D543" i="2" s="1"/>
  <c r="C543" i="2"/>
  <c r="B543" i="2"/>
  <c r="A543" i="2"/>
  <c r="H543" i="2" s="1"/>
  <c r="F542" i="2"/>
  <c r="G542" i="2" s="1"/>
  <c r="E542" i="2"/>
  <c r="D542" i="2" s="1"/>
  <c r="C542" i="2"/>
  <c r="B542" i="2"/>
  <c r="A542" i="2"/>
  <c r="H542" i="2" s="1"/>
  <c r="F541" i="2"/>
  <c r="G541" i="2" s="1"/>
  <c r="E541" i="2"/>
  <c r="D541" i="2" s="1"/>
  <c r="C541" i="2"/>
  <c r="B541" i="2"/>
  <c r="A541" i="2"/>
  <c r="H541" i="2" s="1"/>
  <c r="F540" i="2"/>
  <c r="G540" i="2" s="1"/>
  <c r="E540" i="2"/>
  <c r="D540" i="2" s="1"/>
  <c r="C540" i="2"/>
  <c r="B540" i="2"/>
  <c r="A540" i="2"/>
  <c r="H540" i="2" s="1"/>
  <c r="F539" i="2"/>
  <c r="G539" i="2" s="1"/>
  <c r="E539" i="2"/>
  <c r="D539" i="2" s="1"/>
  <c r="C539" i="2"/>
  <c r="B539" i="2"/>
  <c r="A539" i="2"/>
  <c r="H539" i="2" s="1"/>
  <c r="F538" i="2"/>
  <c r="G538" i="2" s="1"/>
  <c r="E538" i="2"/>
  <c r="D538" i="2" s="1"/>
  <c r="C538" i="2"/>
  <c r="B538" i="2"/>
  <c r="A538" i="2"/>
  <c r="H538" i="2" s="1"/>
  <c r="F537" i="2"/>
  <c r="G537" i="2" s="1"/>
  <c r="E537" i="2"/>
  <c r="D537" i="2"/>
  <c r="C537" i="2"/>
  <c r="B537" i="2"/>
  <c r="A537" i="2"/>
  <c r="H537" i="2" s="1"/>
  <c r="F536" i="2"/>
  <c r="G536" i="2" s="1"/>
  <c r="E536" i="2"/>
  <c r="D536" i="2" s="1"/>
  <c r="C536" i="2"/>
  <c r="B536" i="2"/>
  <c r="A536" i="2"/>
  <c r="H536" i="2" s="1"/>
  <c r="F535" i="2"/>
  <c r="G535" i="2" s="1"/>
  <c r="E535" i="2"/>
  <c r="D535" i="2" s="1"/>
  <c r="C535" i="2"/>
  <c r="B535" i="2"/>
  <c r="A535" i="2"/>
  <c r="H535" i="2" s="1"/>
  <c r="F534" i="2"/>
  <c r="G534" i="2" s="1"/>
  <c r="E534" i="2"/>
  <c r="D534" i="2" s="1"/>
  <c r="C534" i="2"/>
  <c r="B534" i="2"/>
  <c r="A534" i="2"/>
  <c r="H534" i="2" s="1"/>
  <c r="F533" i="2"/>
  <c r="G533" i="2" s="1"/>
  <c r="E533" i="2"/>
  <c r="D533" i="2" s="1"/>
  <c r="C533" i="2"/>
  <c r="B533" i="2"/>
  <c r="A533" i="2"/>
  <c r="H533" i="2" s="1"/>
  <c r="F532" i="2"/>
  <c r="G532" i="2" s="1"/>
  <c r="E532" i="2"/>
  <c r="D532" i="2" s="1"/>
  <c r="C532" i="2"/>
  <c r="B532" i="2"/>
  <c r="A532" i="2"/>
  <c r="H532" i="2" s="1"/>
  <c r="F531" i="2"/>
  <c r="G531" i="2" s="1"/>
  <c r="E531" i="2"/>
  <c r="D531" i="2" s="1"/>
  <c r="C531" i="2"/>
  <c r="B531" i="2"/>
  <c r="A531" i="2"/>
  <c r="H531" i="2" s="1"/>
  <c r="F530" i="2"/>
  <c r="G530" i="2" s="1"/>
  <c r="E530" i="2"/>
  <c r="D530" i="2" s="1"/>
  <c r="C530" i="2"/>
  <c r="B530" i="2"/>
  <c r="A530" i="2"/>
  <c r="H530" i="2" s="1"/>
  <c r="F529" i="2"/>
  <c r="G529" i="2" s="1"/>
  <c r="E529" i="2"/>
  <c r="D529" i="2"/>
  <c r="C529" i="2"/>
  <c r="B529" i="2"/>
  <c r="A529" i="2"/>
  <c r="H529" i="2" s="1"/>
  <c r="F528" i="2"/>
  <c r="G528" i="2" s="1"/>
  <c r="E528" i="2"/>
  <c r="D528" i="2" s="1"/>
  <c r="C528" i="2"/>
  <c r="B528" i="2"/>
  <c r="A528" i="2"/>
  <c r="H528" i="2" s="1"/>
  <c r="F527" i="2"/>
  <c r="G527" i="2" s="1"/>
  <c r="E527" i="2"/>
  <c r="D527" i="2" s="1"/>
  <c r="C527" i="2"/>
  <c r="B527" i="2"/>
  <c r="A527" i="2"/>
  <c r="H527" i="2" s="1"/>
  <c r="F526" i="2"/>
  <c r="G526" i="2" s="1"/>
  <c r="E526" i="2"/>
  <c r="D526" i="2" s="1"/>
  <c r="C526" i="2"/>
  <c r="B526" i="2"/>
  <c r="A526" i="2"/>
  <c r="H526" i="2" s="1"/>
  <c r="F525" i="2"/>
  <c r="G525" i="2" s="1"/>
  <c r="E525" i="2"/>
  <c r="D525" i="2" s="1"/>
  <c r="C525" i="2"/>
  <c r="B525" i="2"/>
  <c r="A525" i="2"/>
  <c r="H525" i="2" s="1"/>
  <c r="F524" i="2"/>
  <c r="G524" i="2" s="1"/>
  <c r="E524" i="2"/>
  <c r="D524" i="2" s="1"/>
  <c r="C524" i="2"/>
  <c r="B524" i="2"/>
  <c r="A524" i="2"/>
  <c r="H524" i="2" s="1"/>
  <c r="F523" i="2"/>
  <c r="G523" i="2" s="1"/>
  <c r="E523" i="2"/>
  <c r="D523" i="2" s="1"/>
  <c r="C523" i="2"/>
  <c r="B523" i="2"/>
  <c r="A523" i="2"/>
  <c r="H523" i="2" s="1"/>
  <c r="F522" i="2"/>
  <c r="G522" i="2" s="1"/>
  <c r="E522" i="2"/>
  <c r="D522" i="2" s="1"/>
  <c r="C522" i="2"/>
  <c r="B522" i="2"/>
  <c r="A522" i="2"/>
  <c r="H522" i="2" s="1"/>
  <c r="F521" i="2"/>
  <c r="G521" i="2" s="1"/>
  <c r="E521" i="2"/>
  <c r="D521" i="2" s="1"/>
  <c r="C521" i="2"/>
  <c r="B521" i="2"/>
  <c r="A521" i="2"/>
  <c r="H521" i="2" s="1"/>
  <c r="F520" i="2"/>
  <c r="G520" i="2" s="1"/>
  <c r="E520" i="2"/>
  <c r="D520" i="2" s="1"/>
  <c r="C520" i="2"/>
  <c r="B520" i="2"/>
  <c r="A520" i="2"/>
  <c r="H520" i="2" s="1"/>
  <c r="F519" i="2"/>
  <c r="G519" i="2" s="1"/>
  <c r="E519" i="2"/>
  <c r="D519" i="2" s="1"/>
  <c r="C519" i="2"/>
  <c r="B519" i="2"/>
  <c r="A519" i="2"/>
  <c r="H519" i="2" s="1"/>
  <c r="F518" i="2"/>
  <c r="G518" i="2" s="1"/>
  <c r="E518" i="2"/>
  <c r="D518" i="2" s="1"/>
  <c r="C518" i="2"/>
  <c r="B518" i="2"/>
  <c r="A518" i="2"/>
  <c r="H518" i="2" s="1"/>
  <c r="F517" i="2"/>
  <c r="G517" i="2" s="1"/>
  <c r="E517" i="2"/>
  <c r="D517" i="2" s="1"/>
  <c r="C517" i="2"/>
  <c r="B517" i="2"/>
  <c r="A517" i="2"/>
  <c r="H517" i="2" s="1"/>
  <c r="F516" i="2"/>
  <c r="G516" i="2" s="1"/>
  <c r="E516" i="2"/>
  <c r="D516" i="2" s="1"/>
  <c r="C516" i="2"/>
  <c r="B516" i="2"/>
  <c r="A516" i="2"/>
  <c r="H516" i="2" s="1"/>
  <c r="F515" i="2"/>
  <c r="G515" i="2" s="1"/>
  <c r="E515" i="2"/>
  <c r="D515" i="2" s="1"/>
  <c r="C515" i="2"/>
  <c r="B515" i="2"/>
  <c r="A515" i="2"/>
  <c r="H515" i="2" s="1"/>
  <c r="F514" i="2"/>
  <c r="G514" i="2" s="1"/>
  <c r="E514" i="2"/>
  <c r="D514" i="2" s="1"/>
  <c r="C514" i="2"/>
  <c r="B514" i="2"/>
  <c r="A514" i="2"/>
  <c r="H514" i="2" s="1"/>
  <c r="F513" i="2"/>
  <c r="G513" i="2" s="1"/>
  <c r="E513" i="2"/>
  <c r="D513" i="2" s="1"/>
  <c r="C513" i="2"/>
  <c r="B513" i="2"/>
  <c r="A513" i="2"/>
  <c r="H513" i="2" s="1"/>
  <c r="F512" i="2"/>
  <c r="G512" i="2" s="1"/>
  <c r="E512" i="2"/>
  <c r="D512" i="2" s="1"/>
  <c r="C512" i="2"/>
  <c r="B512" i="2"/>
  <c r="A512" i="2"/>
  <c r="H512" i="2" s="1"/>
  <c r="F511" i="2"/>
  <c r="G511" i="2" s="1"/>
  <c r="E511" i="2"/>
  <c r="D511" i="2" s="1"/>
  <c r="C511" i="2"/>
  <c r="B511" i="2"/>
  <c r="A511" i="2"/>
  <c r="H511" i="2" s="1"/>
  <c r="F510" i="2"/>
  <c r="G510" i="2" s="1"/>
  <c r="E510" i="2"/>
  <c r="D510" i="2" s="1"/>
  <c r="C510" i="2"/>
  <c r="B510" i="2"/>
  <c r="A510" i="2"/>
  <c r="H510" i="2" s="1"/>
  <c r="F509" i="2"/>
  <c r="G509" i="2" s="1"/>
  <c r="E509" i="2"/>
  <c r="D509" i="2" s="1"/>
  <c r="C509" i="2"/>
  <c r="B509" i="2"/>
  <c r="A509" i="2"/>
  <c r="H509" i="2" s="1"/>
  <c r="F508" i="2"/>
  <c r="G508" i="2" s="1"/>
  <c r="E508" i="2"/>
  <c r="D508" i="2" s="1"/>
  <c r="C508" i="2"/>
  <c r="B508" i="2"/>
  <c r="A508" i="2"/>
  <c r="H508" i="2" s="1"/>
  <c r="F507" i="2"/>
  <c r="G507" i="2" s="1"/>
  <c r="E507" i="2"/>
  <c r="D507" i="2" s="1"/>
  <c r="C507" i="2"/>
  <c r="B507" i="2"/>
  <c r="A507" i="2"/>
  <c r="H507" i="2" s="1"/>
  <c r="F506" i="2"/>
  <c r="G506" i="2" s="1"/>
  <c r="E506" i="2"/>
  <c r="D506" i="2" s="1"/>
  <c r="C506" i="2"/>
  <c r="B506" i="2"/>
  <c r="A506" i="2"/>
  <c r="H506" i="2" s="1"/>
  <c r="F505" i="2"/>
  <c r="G505" i="2" s="1"/>
  <c r="E505" i="2"/>
  <c r="D505" i="2" s="1"/>
  <c r="C505" i="2"/>
  <c r="B505" i="2"/>
  <c r="A505" i="2"/>
  <c r="H505" i="2" s="1"/>
  <c r="F504" i="2"/>
  <c r="G504" i="2" s="1"/>
  <c r="E504" i="2"/>
  <c r="D504" i="2" s="1"/>
  <c r="C504" i="2"/>
  <c r="B504" i="2"/>
  <c r="A504" i="2"/>
  <c r="H504" i="2" s="1"/>
  <c r="F503" i="2"/>
  <c r="G503" i="2" s="1"/>
  <c r="E503" i="2"/>
  <c r="D503" i="2" s="1"/>
  <c r="C503" i="2"/>
  <c r="B503" i="2"/>
  <c r="A503" i="2"/>
  <c r="H503" i="2" s="1"/>
  <c r="F502" i="2"/>
  <c r="G502" i="2" s="1"/>
  <c r="E502" i="2"/>
  <c r="D502" i="2" s="1"/>
  <c r="C502" i="2"/>
  <c r="B502" i="2"/>
  <c r="A502" i="2"/>
  <c r="H502" i="2" s="1"/>
  <c r="F501" i="2"/>
  <c r="G501" i="2" s="1"/>
  <c r="E501" i="2"/>
  <c r="D501" i="2" s="1"/>
  <c r="C501" i="2"/>
  <c r="B501" i="2"/>
  <c r="A501" i="2"/>
  <c r="H501" i="2" s="1"/>
  <c r="F500" i="2"/>
  <c r="G500" i="2" s="1"/>
  <c r="E500" i="2"/>
  <c r="D500" i="2" s="1"/>
  <c r="C500" i="2"/>
  <c r="B500" i="2"/>
  <c r="A500" i="2"/>
  <c r="H500" i="2" s="1"/>
  <c r="F499" i="2"/>
  <c r="G499" i="2" s="1"/>
  <c r="E499" i="2"/>
  <c r="D499" i="2" s="1"/>
  <c r="C499" i="2"/>
  <c r="B499" i="2"/>
  <c r="A499" i="2"/>
  <c r="H499" i="2" s="1"/>
  <c r="F498" i="2"/>
  <c r="G498" i="2" s="1"/>
  <c r="E498" i="2"/>
  <c r="D498" i="2" s="1"/>
  <c r="C498" i="2"/>
  <c r="B498" i="2"/>
  <c r="A498" i="2"/>
  <c r="H498" i="2" s="1"/>
  <c r="F497" i="2"/>
  <c r="G497" i="2" s="1"/>
  <c r="E497" i="2"/>
  <c r="D497" i="2" s="1"/>
  <c r="C497" i="2"/>
  <c r="B497" i="2"/>
  <c r="A497" i="2"/>
  <c r="H497" i="2" s="1"/>
  <c r="F496" i="2"/>
  <c r="G496" i="2" s="1"/>
  <c r="E496" i="2"/>
  <c r="D496" i="2" s="1"/>
  <c r="C496" i="2"/>
  <c r="B496" i="2"/>
  <c r="A496" i="2"/>
  <c r="H496" i="2" s="1"/>
  <c r="F495" i="2"/>
  <c r="G495" i="2" s="1"/>
  <c r="E495" i="2"/>
  <c r="D495" i="2" s="1"/>
  <c r="C495" i="2"/>
  <c r="B495" i="2"/>
  <c r="A495" i="2"/>
  <c r="H495" i="2" s="1"/>
  <c r="F494" i="2"/>
  <c r="G494" i="2" s="1"/>
  <c r="E494" i="2"/>
  <c r="D494" i="2" s="1"/>
  <c r="C494" i="2"/>
  <c r="B494" i="2"/>
  <c r="A494" i="2"/>
  <c r="H494" i="2" s="1"/>
  <c r="F493" i="2"/>
  <c r="G493" i="2" s="1"/>
  <c r="E493" i="2"/>
  <c r="D493" i="2"/>
  <c r="C493" i="2"/>
  <c r="B493" i="2"/>
  <c r="A493" i="2"/>
  <c r="H493" i="2" s="1"/>
  <c r="F492" i="2"/>
  <c r="G492" i="2" s="1"/>
  <c r="E492" i="2"/>
  <c r="D492" i="2" s="1"/>
  <c r="C492" i="2"/>
  <c r="B492" i="2"/>
  <c r="A492" i="2"/>
  <c r="H492" i="2" s="1"/>
  <c r="F491" i="2"/>
  <c r="G491" i="2" s="1"/>
  <c r="E491" i="2"/>
  <c r="D491" i="2" s="1"/>
  <c r="C491" i="2"/>
  <c r="B491" i="2"/>
  <c r="A491" i="2"/>
  <c r="H491" i="2" s="1"/>
  <c r="F490" i="2"/>
  <c r="G490" i="2" s="1"/>
  <c r="E490" i="2"/>
  <c r="D490" i="2" s="1"/>
  <c r="C490" i="2"/>
  <c r="B490" i="2"/>
  <c r="A490" i="2"/>
  <c r="H490" i="2" s="1"/>
  <c r="F489" i="2"/>
  <c r="G489" i="2" s="1"/>
  <c r="E489" i="2"/>
  <c r="D489" i="2" s="1"/>
  <c r="C489" i="2"/>
  <c r="B489" i="2"/>
  <c r="A489" i="2"/>
  <c r="H489" i="2" s="1"/>
  <c r="F488" i="2"/>
  <c r="G488" i="2" s="1"/>
  <c r="E488" i="2"/>
  <c r="D488" i="2" s="1"/>
  <c r="C488" i="2"/>
  <c r="B488" i="2"/>
  <c r="A488" i="2"/>
  <c r="H488" i="2" s="1"/>
  <c r="F487" i="2"/>
  <c r="G487" i="2" s="1"/>
  <c r="E487" i="2"/>
  <c r="D487" i="2" s="1"/>
  <c r="C487" i="2"/>
  <c r="B487" i="2"/>
  <c r="A487" i="2"/>
  <c r="H487" i="2" s="1"/>
  <c r="F486" i="2"/>
  <c r="G486" i="2" s="1"/>
  <c r="E486" i="2"/>
  <c r="D486" i="2" s="1"/>
  <c r="C486" i="2"/>
  <c r="B486" i="2"/>
  <c r="A486" i="2"/>
  <c r="H486" i="2" s="1"/>
  <c r="F485" i="2"/>
  <c r="G485" i="2" s="1"/>
  <c r="E485" i="2"/>
  <c r="D485" i="2" s="1"/>
  <c r="C485" i="2"/>
  <c r="B485" i="2"/>
  <c r="A485" i="2"/>
  <c r="H485" i="2" s="1"/>
  <c r="F484" i="2"/>
  <c r="G484" i="2" s="1"/>
  <c r="E484" i="2"/>
  <c r="D484" i="2" s="1"/>
  <c r="C484" i="2"/>
  <c r="B484" i="2"/>
  <c r="A484" i="2"/>
  <c r="H484" i="2" s="1"/>
  <c r="F483" i="2"/>
  <c r="G483" i="2" s="1"/>
  <c r="E483" i="2"/>
  <c r="D483" i="2" s="1"/>
  <c r="C483" i="2"/>
  <c r="B483" i="2"/>
  <c r="A483" i="2"/>
  <c r="H483" i="2" s="1"/>
  <c r="F482" i="2"/>
  <c r="G482" i="2" s="1"/>
  <c r="E482" i="2"/>
  <c r="D482" i="2" s="1"/>
  <c r="C482" i="2"/>
  <c r="B482" i="2"/>
  <c r="A482" i="2"/>
  <c r="H482" i="2" s="1"/>
  <c r="F481" i="2"/>
  <c r="G481" i="2" s="1"/>
  <c r="E481" i="2"/>
  <c r="D481" i="2" s="1"/>
  <c r="C481" i="2"/>
  <c r="B481" i="2"/>
  <c r="A481" i="2"/>
  <c r="H481" i="2" s="1"/>
  <c r="F480" i="2"/>
  <c r="G480" i="2" s="1"/>
  <c r="E480" i="2"/>
  <c r="D480" i="2" s="1"/>
  <c r="C480" i="2"/>
  <c r="B480" i="2"/>
  <c r="A480" i="2"/>
  <c r="H480" i="2" s="1"/>
  <c r="F479" i="2"/>
  <c r="G479" i="2" s="1"/>
  <c r="E479" i="2"/>
  <c r="D479" i="2" s="1"/>
  <c r="C479" i="2"/>
  <c r="B479" i="2"/>
  <c r="A479" i="2"/>
  <c r="H479" i="2" s="1"/>
  <c r="F478" i="2"/>
  <c r="G478" i="2" s="1"/>
  <c r="E478" i="2"/>
  <c r="D478" i="2" s="1"/>
  <c r="C478" i="2"/>
  <c r="B478" i="2"/>
  <c r="A478" i="2"/>
  <c r="H478" i="2" s="1"/>
  <c r="F477" i="2"/>
  <c r="G477" i="2" s="1"/>
  <c r="E477" i="2"/>
  <c r="D477" i="2" s="1"/>
  <c r="C477" i="2"/>
  <c r="B477" i="2"/>
  <c r="A477" i="2"/>
  <c r="H477" i="2" s="1"/>
  <c r="F476" i="2"/>
  <c r="G476" i="2" s="1"/>
  <c r="E476" i="2"/>
  <c r="D476" i="2"/>
  <c r="C476" i="2"/>
  <c r="B476" i="2"/>
  <c r="A476" i="2"/>
  <c r="H476" i="2" s="1"/>
  <c r="F475" i="2"/>
  <c r="G475" i="2" s="1"/>
  <c r="E475" i="2"/>
  <c r="D475" i="2"/>
  <c r="C475" i="2"/>
  <c r="B475" i="2"/>
  <c r="A475" i="2"/>
  <c r="H475" i="2" s="1"/>
  <c r="F474" i="2"/>
  <c r="G474" i="2" s="1"/>
  <c r="E474" i="2"/>
  <c r="D474" i="2"/>
  <c r="C474" i="2"/>
  <c r="B474" i="2"/>
  <c r="A474" i="2"/>
  <c r="H474" i="2" s="1"/>
  <c r="F473" i="2"/>
  <c r="G473" i="2" s="1"/>
  <c r="E473" i="2"/>
  <c r="D473" i="2" s="1"/>
  <c r="C473" i="2"/>
  <c r="B473" i="2"/>
  <c r="A473" i="2"/>
  <c r="H473" i="2" s="1"/>
  <c r="F472" i="2"/>
  <c r="G472" i="2" s="1"/>
  <c r="E472" i="2"/>
  <c r="D472" i="2" s="1"/>
  <c r="C472" i="2"/>
  <c r="B472" i="2"/>
  <c r="A472" i="2"/>
  <c r="H472" i="2" s="1"/>
  <c r="F471" i="2"/>
  <c r="G471" i="2" s="1"/>
  <c r="E471" i="2"/>
  <c r="D471" i="2" s="1"/>
  <c r="C471" i="2"/>
  <c r="B471" i="2"/>
  <c r="A471" i="2"/>
  <c r="H471" i="2" s="1"/>
  <c r="F470" i="2"/>
  <c r="G470" i="2" s="1"/>
  <c r="E470" i="2"/>
  <c r="D470" i="2"/>
  <c r="C470" i="2"/>
  <c r="B470" i="2"/>
  <c r="A470" i="2"/>
  <c r="H470" i="2" s="1"/>
  <c r="F469" i="2"/>
  <c r="G469" i="2" s="1"/>
  <c r="E469" i="2"/>
  <c r="D469" i="2" s="1"/>
  <c r="C469" i="2"/>
  <c r="B469" i="2"/>
  <c r="A469" i="2"/>
  <c r="H469" i="2" s="1"/>
  <c r="F468" i="2"/>
  <c r="G468" i="2" s="1"/>
  <c r="E468" i="2"/>
  <c r="D468" i="2" s="1"/>
  <c r="C468" i="2"/>
  <c r="B468" i="2"/>
  <c r="A468" i="2"/>
  <c r="H468" i="2" s="1"/>
  <c r="F467" i="2"/>
  <c r="G467" i="2" s="1"/>
  <c r="E467" i="2"/>
  <c r="D467" i="2" s="1"/>
  <c r="C467" i="2"/>
  <c r="B467" i="2"/>
  <c r="A467" i="2"/>
  <c r="H467" i="2" s="1"/>
  <c r="F466" i="2"/>
  <c r="G466" i="2" s="1"/>
  <c r="E466" i="2"/>
  <c r="D466" i="2" s="1"/>
  <c r="C466" i="2"/>
  <c r="B466" i="2"/>
  <c r="A466" i="2"/>
  <c r="H466" i="2" s="1"/>
  <c r="F465" i="2"/>
  <c r="G465" i="2" s="1"/>
  <c r="E465" i="2"/>
  <c r="D465" i="2" s="1"/>
  <c r="C465" i="2"/>
  <c r="B465" i="2"/>
  <c r="A465" i="2"/>
  <c r="H465" i="2" s="1"/>
  <c r="F464" i="2"/>
  <c r="G464" i="2" s="1"/>
  <c r="E464" i="2"/>
  <c r="D464" i="2" s="1"/>
  <c r="C464" i="2"/>
  <c r="B464" i="2"/>
  <c r="A464" i="2"/>
  <c r="H464" i="2" s="1"/>
  <c r="F463" i="2"/>
  <c r="G463" i="2" s="1"/>
  <c r="E463" i="2"/>
  <c r="D463" i="2" s="1"/>
  <c r="C463" i="2"/>
  <c r="B463" i="2"/>
  <c r="A463" i="2"/>
  <c r="H463" i="2" s="1"/>
  <c r="F462" i="2"/>
  <c r="G462" i="2" s="1"/>
  <c r="E462" i="2"/>
  <c r="D462" i="2" s="1"/>
  <c r="C462" i="2"/>
  <c r="B462" i="2"/>
  <c r="A462" i="2"/>
  <c r="H462" i="2" s="1"/>
  <c r="F461" i="2"/>
  <c r="G461" i="2" s="1"/>
  <c r="E461" i="2"/>
  <c r="D461" i="2" s="1"/>
  <c r="C461" i="2"/>
  <c r="B461" i="2"/>
  <c r="A461" i="2"/>
  <c r="H461" i="2" s="1"/>
  <c r="F460" i="2"/>
  <c r="G460" i="2" s="1"/>
  <c r="E460" i="2"/>
  <c r="D460" i="2" s="1"/>
  <c r="C460" i="2"/>
  <c r="B460" i="2"/>
  <c r="A460" i="2"/>
  <c r="H460" i="2" s="1"/>
  <c r="F459" i="2"/>
  <c r="G459" i="2" s="1"/>
  <c r="E459" i="2"/>
  <c r="D459" i="2" s="1"/>
  <c r="C459" i="2"/>
  <c r="B459" i="2"/>
  <c r="A459" i="2"/>
  <c r="H459" i="2" s="1"/>
  <c r="F458" i="2"/>
  <c r="G458" i="2" s="1"/>
  <c r="E458" i="2"/>
  <c r="D458" i="2" s="1"/>
  <c r="C458" i="2"/>
  <c r="B458" i="2"/>
  <c r="A458" i="2"/>
  <c r="H458" i="2" s="1"/>
  <c r="F457" i="2"/>
  <c r="G457" i="2" s="1"/>
  <c r="E457" i="2"/>
  <c r="D457" i="2" s="1"/>
  <c r="C457" i="2"/>
  <c r="B457" i="2"/>
  <c r="A457" i="2"/>
  <c r="H457" i="2" s="1"/>
  <c r="F456" i="2"/>
  <c r="G456" i="2" s="1"/>
  <c r="E456" i="2"/>
  <c r="D456" i="2" s="1"/>
  <c r="C456" i="2"/>
  <c r="B456" i="2"/>
  <c r="A456" i="2"/>
  <c r="H456" i="2" s="1"/>
  <c r="F455" i="2"/>
  <c r="G455" i="2" s="1"/>
  <c r="E455" i="2"/>
  <c r="D455" i="2" s="1"/>
  <c r="C455" i="2"/>
  <c r="B455" i="2"/>
  <c r="A455" i="2"/>
  <c r="H455" i="2" s="1"/>
  <c r="F454" i="2"/>
  <c r="G454" i="2" s="1"/>
  <c r="E454" i="2"/>
  <c r="D454" i="2" s="1"/>
  <c r="C454" i="2"/>
  <c r="B454" i="2"/>
  <c r="A454" i="2"/>
  <c r="H454" i="2" s="1"/>
  <c r="F453" i="2"/>
  <c r="G453" i="2" s="1"/>
  <c r="E453" i="2"/>
  <c r="D453" i="2"/>
  <c r="C453" i="2"/>
  <c r="B453" i="2"/>
  <c r="A453" i="2"/>
  <c r="H453" i="2" s="1"/>
  <c r="F452" i="2"/>
  <c r="G452" i="2" s="1"/>
  <c r="E452" i="2"/>
  <c r="D452" i="2" s="1"/>
  <c r="C452" i="2"/>
  <c r="B452" i="2"/>
  <c r="A452" i="2"/>
  <c r="H452" i="2" s="1"/>
  <c r="F451" i="2"/>
  <c r="G451" i="2" s="1"/>
  <c r="E451" i="2"/>
  <c r="D451" i="2" s="1"/>
  <c r="C451" i="2"/>
  <c r="B451" i="2"/>
  <c r="A451" i="2"/>
  <c r="H451" i="2" s="1"/>
  <c r="F450" i="2"/>
  <c r="G450" i="2" s="1"/>
  <c r="E450" i="2"/>
  <c r="D450" i="2" s="1"/>
  <c r="C450" i="2"/>
  <c r="B450" i="2"/>
  <c r="A450" i="2"/>
  <c r="H450" i="2" s="1"/>
  <c r="F449" i="2"/>
  <c r="G449" i="2" s="1"/>
  <c r="E449" i="2"/>
  <c r="D449" i="2" s="1"/>
  <c r="C449" i="2"/>
  <c r="B449" i="2"/>
  <c r="A449" i="2"/>
  <c r="H449" i="2" s="1"/>
  <c r="F448" i="2"/>
  <c r="G448" i="2" s="1"/>
  <c r="E448" i="2"/>
  <c r="D448" i="2" s="1"/>
  <c r="C448" i="2"/>
  <c r="B448" i="2"/>
  <c r="A448" i="2"/>
  <c r="H448" i="2" s="1"/>
  <c r="F447" i="2"/>
  <c r="G447" i="2" s="1"/>
  <c r="E447" i="2"/>
  <c r="D447" i="2" s="1"/>
  <c r="C447" i="2"/>
  <c r="B447" i="2"/>
  <c r="A447" i="2"/>
  <c r="H447" i="2" s="1"/>
  <c r="F446" i="2"/>
  <c r="G446" i="2" s="1"/>
  <c r="E446" i="2"/>
  <c r="D446" i="2" s="1"/>
  <c r="C446" i="2"/>
  <c r="B446" i="2"/>
  <c r="A446" i="2"/>
  <c r="H446" i="2" s="1"/>
  <c r="F445" i="2"/>
  <c r="G445" i="2" s="1"/>
  <c r="E445" i="2"/>
  <c r="D445" i="2" s="1"/>
  <c r="C445" i="2"/>
  <c r="B445" i="2"/>
  <c r="A445" i="2"/>
  <c r="H445" i="2" s="1"/>
  <c r="F444" i="2"/>
  <c r="G444" i="2" s="1"/>
  <c r="E444" i="2"/>
  <c r="D444" i="2" s="1"/>
  <c r="C444" i="2"/>
  <c r="B444" i="2"/>
  <c r="A444" i="2"/>
  <c r="H444" i="2" s="1"/>
  <c r="F443" i="2"/>
  <c r="G443" i="2" s="1"/>
  <c r="E443" i="2"/>
  <c r="D443" i="2" s="1"/>
  <c r="C443" i="2"/>
  <c r="B443" i="2"/>
  <c r="A443" i="2"/>
  <c r="H443" i="2" s="1"/>
  <c r="F442" i="2"/>
  <c r="G442" i="2" s="1"/>
  <c r="E442" i="2"/>
  <c r="D442" i="2" s="1"/>
  <c r="C442" i="2"/>
  <c r="B442" i="2"/>
  <c r="A442" i="2"/>
  <c r="H442" i="2" s="1"/>
  <c r="F441" i="2"/>
  <c r="G441" i="2" s="1"/>
  <c r="E441" i="2"/>
  <c r="D441" i="2" s="1"/>
  <c r="C441" i="2"/>
  <c r="B441" i="2"/>
  <c r="A441" i="2"/>
  <c r="H441" i="2" s="1"/>
  <c r="F440" i="2"/>
  <c r="G440" i="2" s="1"/>
  <c r="E440" i="2"/>
  <c r="D440" i="2" s="1"/>
  <c r="C440" i="2"/>
  <c r="B440" i="2"/>
  <c r="A440" i="2"/>
  <c r="H440" i="2" s="1"/>
  <c r="F439" i="2"/>
  <c r="G439" i="2" s="1"/>
  <c r="E439" i="2"/>
  <c r="D439" i="2" s="1"/>
  <c r="C439" i="2"/>
  <c r="B439" i="2"/>
  <c r="A439" i="2"/>
  <c r="H439" i="2" s="1"/>
  <c r="F438" i="2"/>
  <c r="G438" i="2" s="1"/>
  <c r="E438" i="2"/>
  <c r="D438" i="2" s="1"/>
  <c r="C438" i="2"/>
  <c r="B438" i="2"/>
  <c r="A438" i="2"/>
  <c r="H438" i="2" s="1"/>
  <c r="F437" i="2"/>
  <c r="G437" i="2" s="1"/>
  <c r="E437" i="2"/>
  <c r="D437" i="2" s="1"/>
  <c r="C437" i="2"/>
  <c r="B437" i="2"/>
  <c r="A437" i="2"/>
  <c r="H437" i="2" s="1"/>
  <c r="F436" i="2"/>
  <c r="G436" i="2" s="1"/>
  <c r="E436" i="2"/>
  <c r="D436" i="2" s="1"/>
  <c r="C436" i="2"/>
  <c r="B436" i="2"/>
  <c r="A436" i="2"/>
  <c r="H436" i="2" s="1"/>
  <c r="F435" i="2"/>
  <c r="G435" i="2" s="1"/>
  <c r="E435" i="2"/>
  <c r="D435" i="2" s="1"/>
  <c r="C435" i="2"/>
  <c r="B435" i="2"/>
  <c r="A435" i="2"/>
  <c r="H435" i="2" s="1"/>
  <c r="F434" i="2"/>
  <c r="G434" i="2" s="1"/>
  <c r="E434" i="2"/>
  <c r="D434" i="2" s="1"/>
  <c r="C434" i="2"/>
  <c r="B434" i="2"/>
  <c r="A434" i="2"/>
  <c r="H434" i="2" s="1"/>
  <c r="F433" i="2"/>
  <c r="G433" i="2" s="1"/>
  <c r="E433" i="2"/>
  <c r="D433" i="2" s="1"/>
  <c r="C433" i="2"/>
  <c r="B433" i="2"/>
  <c r="A433" i="2"/>
  <c r="H433" i="2" s="1"/>
  <c r="F432" i="2"/>
  <c r="G432" i="2" s="1"/>
  <c r="E432" i="2"/>
  <c r="D432" i="2" s="1"/>
  <c r="C432" i="2"/>
  <c r="B432" i="2"/>
  <c r="A432" i="2"/>
  <c r="H432" i="2" s="1"/>
  <c r="F431" i="2"/>
  <c r="G431" i="2" s="1"/>
  <c r="E431" i="2"/>
  <c r="D431" i="2" s="1"/>
  <c r="C431" i="2"/>
  <c r="B431" i="2"/>
  <c r="A431" i="2"/>
  <c r="H431" i="2" s="1"/>
  <c r="F430" i="2"/>
  <c r="G430" i="2" s="1"/>
  <c r="E430" i="2"/>
  <c r="D430" i="2" s="1"/>
  <c r="C430" i="2"/>
  <c r="B430" i="2"/>
  <c r="A430" i="2"/>
  <c r="H430" i="2" s="1"/>
  <c r="F429" i="2"/>
  <c r="G429" i="2" s="1"/>
  <c r="E429" i="2"/>
  <c r="D429" i="2" s="1"/>
  <c r="C429" i="2"/>
  <c r="B429" i="2"/>
  <c r="A429" i="2"/>
  <c r="H429" i="2" s="1"/>
  <c r="F428" i="2"/>
  <c r="G428" i="2" s="1"/>
  <c r="E428" i="2"/>
  <c r="D428" i="2" s="1"/>
  <c r="C428" i="2"/>
  <c r="B428" i="2"/>
  <c r="A428" i="2"/>
  <c r="H428" i="2" s="1"/>
  <c r="F427" i="2"/>
  <c r="G427" i="2" s="1"/>
  <c r="E427" i="2"/>
  <c r="D427" i="2" s="1"/>
  <c r="C427" i="2"/>
  <c r="B427" i="2"/>
  <c r="A427" i="2"/>
  <c r="H427" i="2" s="1"/>
  <c r="F426" i="2"/>
  <c r="G426" i="2" s="1"/>
  <c r="E426" i="2"/>
  <c r="D426" i="2" s="1"/>
  <c r="C426" i="2"/>
  <c r="B426" i="2"/>
  <c r="A426" i="2"/>
  <c r="H426" i="2" s="1"/>
  <c r="F425" i="2"/>
  <c r="G425" i="2" s="1"/>
  <c r="E425" i="2"/>
  <c r="D425" i="2" s="1"/>
  <c r="C425" i="2"/>
  <c r="B425" i="2"/>
  <c r="A425" i="2"/>
  <c r="H425" i="2" s="1"/>
  <c r="F424" i="2"/>
  <c r="G424" i="2" s="1"/>
  <c r="E424" i="2"/>
  <c r="D424" i="2" s="1"/>
  <c r="C424" i="2"/>
  <c r="B424" i="2"/>
  <c r="A424" i="2"/>
  <c r="H424" i="2" s="1"/>
  <c r="F423" i="2"/>
  <c r="G423" i="2" s="1"/>
  <c r="E423" i="2"/>
  <c r="D423" i="2"/>
  <c r="C423" i="2"/>
  <c r="B423" i="2"/>
  <c r="A423" i="2"/>
  <c r="H423" i="2" s="1"/>
  <c r="F422" i="2"/>
  <c r="G422" i="2" s="1"/>
  <c r="E422" i="2"/>
  <c r="D422" i="2" s="1"/>
  <c r="C422" i="2"/>
  <c r="B422" i="2"/>
  <c r="A422" i="2"/>
  <c r="H422" i="2" s="1"/>
  <c r="F421" i="2"/>
  <c r="G421" i="2" s="1"/>
  <c r="E421" i="2"/>
  <c r="D421" i="2" s="1"/>
  <c r="C421" i="2"/>
  <c r="B421" i="2"/>
  <c r="A421" i="2"/>
  <c r="H421" i="2" s="1"/>
  <c r="F420" i="2"/>
  <c r="G420" i="2" s="1"/>
  <c r="E420" i="2"/>
  <c r="D420" i="2" s="1"/>
  <c r="C420" i="2"/>
  <c r="B420" i="2"/>
  <c r="A420" i="2"/>
  <c r="H420" i="2" s="1"/>
  <c r="F419" i="2"/>
  <c r="G419" i="2" s="1"/>
  <c r="E419" i="2"/>
  <c r="D419" i="2" s="1"/>
  <c r="C419" i="2"/>
  <c r="B419" i="2"/>
  <c r="A419" i="2"/>
  <c r="H419" i="2" s="1"/>
  <c r="F418" i="2"/>
  <c r="G418" i="2" s="1"/>
  <c r="E418" i="2"/>
  <c r="D418" i="2" s="1"/>
  <c r="C418" i="2"/>
  <c r="B418" i="2"/>
  <c r="A418" i="2"/>
  <c r="H418" i="2" s="1"/>
  <c r="F417" i="2"/>
  <c r="G417" i="2" s="1"/>
  <c r="E417" i="2"/>
  <c r="D417" i="2" s="1"/>
  <c r="C417" i="2"/>
  <c r="B417" i="2"/>
  <c r="A417" i="2"/>
  <c r="H417" i="2" s="1"/>
  <c r="H416" i="2"/>
  <c r="F416" i="2"/>
  <c r="G416" i="2" s="1"/>
  <c r="E416" i="2"/>
  <c r="D416" i="2" s="1"/>
  <c r="C416" i="2"/>
  <c r="B416" i="2"/>
  <c r="A416" i="2"/>
  <c r="F415" i="2"/>
  <c r="G415" i="2" s="1"/>
  <c r="E415" i="2"/>
  <c r="D415" i="2" s="1"/>
  <c r="C415" i="2"/>
  <c r="B415" i="2"/>
  <c r="A415" i="2"/>
  <c r="H415" i="2" s="1"/>
  <c r="F414" i="2"/>
  <c r="G414" i="2" s="1"/>
  <c r="E414" i="2"/>
  <c r="D414" i="2"/>
  <c r="C414" i="2"/>
  <c r="B414" i="2"/>
  <c r="A414" i="2"/>
  <c r="H414" i="2" s="1"/>
  <c r="F413" i="2"/>
  <c r="G413" i="2" s="1"/>
  <c r="E413" i="2"/>
  <c r="D413" i="2" s="1"/>
  <c r="C413" i="2"/>
  <c r="B413" i="2"/>
  <c r="A413" i="2"/>
  <c r="H413" i="2" s="1"/>
  <c r="F412" i="2"/>
  <c r="G412" i="2" s="1"/>
  <c r="E412" i="2"/>
  <c r="D412" i="2" s="1"/>
  <c r="C412" i="2"/>
  <c r="B412" i="2"/>
  <c r="A412" i="2"/>
  <c r="H412" i="2" s="1"/>
  <c r="F411" i="2"/>
  <c r="G411" i="2" s="1"/>
  <c r="E411" i="2"/>
  <c r="D411" i="2" s="1"/>
  <c r="C411" i="2"/>
  <c r="B411" i="2"/>
  <c r="A411" i="2"/>
  <c r="H411" i="2" s="1"/>
  <c r="F410" i="2"/>
  <c r="G410" i="2" s="1"/>
  <c r="E410" i="2"/>
  <c r="D410" i="2" s="1"/>
  <c r="C410" i="2"/>
  <c r="B410" i="2"/>
  <c r="A410" i="2"/>
  <c r="H410" i="2" s="1"/>
  <c r="F409" i="2"/>
  <c r="G409" i="2" s="1"/>
  <c r="E409" i="2"/>
  <c r="D409" i="2" s="1"/>
  <c r="C409" i="2"/>
  <c r="B409" i="2"/>
  <c r="A409" i="2"/>
  <c r="H409" i="2" s="1"/>
  <c r="F408" i="2"/>
  <c r="G408" i="2" s="1"/>
  <c r="E408" i="2"/>
  <c r="D408" i="2" s="1"/>
  <c r="C408" i="2"/>
  <c r="B408" i="2"/>
  <c r="A408" i="2"/>
  <c r="H408" i="2" s="1"/>
  <c r="F407" i="2"/>
  <c r="G407" i="2" s="1"/>
  <c r="E407" i="2"/>
  <c r="D407" i="2" s="1"/>
  <c r="C407" i="2"/>
  <c r="B407" i="2"/>
  <c r="A407" i="2"/>
  <c r="H407" i="2" s="1"/>
  <c r="F406" i="2"/>
  <c r="G406" i="2" s="1"/>
  <c r="E406" i="2"/>
  <c r="D406" i="2" s="1"/>
  <c r="C406" i="2"/>
  <c r="B406" i="2"/>
  <c r="A406" i="2"/>
  <c r="H406" i="2" s="1"/>
  <c r="F405" i="2"/>
  <c r="G405" i="2" s="1"/>
  <c r="E405" i="2"/>
  <c r="D405" i="2"/>
  <c r="C405" i="2"/>
  <c r="B405" i="2"/>
  <c r="A405" i="2"/>
  <c r="H405" i="2" s="1"/>
  <c r="F404" i="2"/>
  <c r="G404" i="2" s="1"/>
  <c r="E404" i="2"/>
  <c r="D404" i="2" s="1"/>
  <c r="C404" i="2"/>
  <c r="B404" i="2"/>
  <c r="A404" i="2"/>
  <c r="H404" i="2" s="1"/>
  <c r="F403" i="2"/>
  <c r="G403" i="2" s="1"/>
  <c r="E403" i="2"/>
  <c r="D403" i="2" s="1"/>
  <c r="C403" i="2"/>
  <c r="B403" i="2"/>
  <c r="A403" i="2"/>
  <c r="H403" i="2" s="1"/>
  <c r="F402" i="2"/>
  <c r="G402" i="2" s="1"/>
  <c r="E402" i="2"/>
  <c r="D402" i="2" s="1"/>
  <c r="C402" i="2"/>
  <c r="B402" i="2"/>
  <c r="A402" i="2"/>
  <c r="H402" i="2" s="1"/>
  <c r="F401" i="2"/>
  <c r="G401" i="2" s="1"/>
  <c r="E401" i="2"/>
  <c r="D401" i="2" s="1"/>
  <c r="C401" i="2"/>
  <c r="B401" i="2"/>
  <c r="A401" i="2"/>
  <c r="H401" i="2" s="1"/>
  <c r="F400" i="2"/>
  <c r="G400" i="2" s="1"/>
  <c r="E400" i="2"/>
  <c r="D400" i="2" s="1"/>
  <c r="C400" i="2"/>
  <c r="B400" i="2"/>
  <c r="A400" i="2"/>
  <c r="H400" i="2" s="1"/>
  <c r="F399" i="2"/>
  <c r="G399" i="2" s="1"/>
  <c r="E399" i="2"/>
  <c r="D399" i="2" s="1"/>
  <c r="C399" i="2"/>
  <c r="B399" i="2"/>
  <c r="A399" i="2"/>
  <c r="H399" i="2" s="1"/>
  <c r="F398" i="2"/>
  <c r="G398" i="2" s="1"/>
  <c r="E398" i="2"/>
  <c r="D398" i="2" s="1"/>
  <c r="C398" i="2"/>
  <c r="B398" i="2"/>
  <c r="A398" i="2"/>
  <c r="H398" i="2" s="1"/>
  <c r="F397" i="2"/>
  <c r="G397" i="2" s="1"/>
  <c r="E397" i="2"/>
  <c r="D397" i="2" s="1"/>
  <c r="C397" i="2"/>
  <c r="B397" i="2"/>
  <c r="A397" i="2"/>
  <c r="H397" i="2" s="1"/>
  <c r="F396" i="2"/>
  <c r="G396" i="2" s="1"/>
  <c r="E396" i="2"/>
  <c r="D396" i="2" s="1"/>
  <c r="C396" i="2"/>
  <c r="B396" i="2"/>
  <c r="A396" i="2"/>
  <c r="H396" i="2" s="1"/>
  <c r="F395" i="2"/>
  <c r="G395" i="2" s="1"/>
  <c r="E395" i="2"/>
  <c r="D395" i="2" s="1"/>
  <c r="C395" i="2"/>
  <c r="B395" i="2"/>
  <c r="A395" i="2"/>
  <c r="H395" i="2" s="1"/>
  <c r="F394" i="2"/>
  <c r="G394" i="2" s="1"/>
  <c r="E394" i="2"/>
  <c r="D394" i="2" s="1"/>
  <c r="C394" i="2"/>
  <c r="B394" i="2"/>
  <c r="A394" i="2"/>
  <c r="H394" i="2" s="1"/>
  <c r="F393" i="2"/>
  <c r="G393" i="2" s="1"/>
  <c r="E393" i="2"/>
  <c r="D393" i="2" s="1"/>
  <c r="C393" i="2"/>
  <c r="B393" i="2"/>
  <c r="A393" i="2"/>
  <c r="H393" i="2" s="1"/>
  <c r="F392" i="2"/>
  <c r="G392" i="2" s="1"/>
  <c r="E392" i="2"/>
  <c r="D392" i="2" s="1"/>
  <c r="C392" i="2"/>
  <c r="B392" i="2"/>
  <c r="A392" i="2"/>
  <c r="H392" i="2" s="1"/>
  <c r="F391" i="2"/>
  <c r="G391" i="2" s="1"/>
  <c r="E391" i="2"/>
  <c r="D391" i="2" s="1"/>
  <c r="C391" i="2"/>
  <c r="B391" i="2"/>
  <c r="A391" i="2"/>
  <c r="H391" i="2" s="1"/>
  <c r="F390" i="2"/>
  <c r="G390" i="2" s="1"/>
  <c r="E390" i="2"/>
  <c r="D390" i="2" s="1"/>
  <c r="C390" i="2"/>
  <c r="B390" i="2"/>
  <c r="A390" i="2"/>
  <c r="H390" i="2" s="1"/>
  <c r="F389" i="2"/>
  <c r="G389" i="2" s="1"/>
  <c r="E389" i="2"/>
  <c r="D389" i="2" s="1"/>
  <c r="C389" i="2"/>
  <c r="B389" i="2"/>
  <c r="A389" i="2"/>
  <c r="H389" i="2" s="1"/>
  <c r="F388" i="2"/>
  <c r="G388" i="2" s="1"/>
  <c r="E388" i="2"/>
  <c r="D388" i="2" s="1"/>
  <c r="C388" i="2"/>
  <c r="B388" i="2"/>
  <c r="A388" i="2"/>
  <c r="H388" i="2" s="1"/>
  <c r="F387" i="2"/>
  <c r="G387" i="2" s="1"/>
  <c r="E387" i="2"/>
  <c r="D387" i="2" s="1"/>
  <c r="C387" i="2"/>
  <c r="B387" i="2"/>
  <c r="A387" i="2"/>
  <c r="H387" i="2" s="1"/>
  <c r="G386" i="2"/>
  <c r="F386" i="2"/>
  <c r="E386" i="2"/>
  <c r="D386" i="2" s="1"/>
  <c r="C386" i="2"/>
  <c r="B386" i="2"/>
  <c r="A386" i="2"/>
  <c r="H386" i="2" s="1"/>
  <c r="F385" i="2"/>
  <c r="G385" i="2" s="1"/>
  <c r="E385" i="2"/>
  <c r="D385" i="2" s="1"/>
  <c r="C385" i="2"/>
  <c r="B385" i="2"/>
  <c r="A385" i="2"/>
  <c r="H385" i="2" s="1"/>
  <c r="F384" i="2"/>
  <c r="G384" i="2" s="1"/>
  <c r="E384" i="2"/>
  <c r="D384" i="2" s="1"/>
  <c r="C384" i="2"/>
  <c r="B384" i="2"/>
  <c r="A384" i="2"/>
  <c r="H384" i="2" s="1"/>
  <c r="F383" i="2"/>
  <c r="G383" i="2" s="1"/>
  <c r="E383" i="2"/>
  <c r="D383" i="2" s="1"/>
  <c r="C383" i="2"/>
  <c r="B383" i="2"/>
  <c r="A383" i="2"/>
  <c r="H383" i="2" s="1"/>
  <c r="F382" i="2"/>
  <c r="G382" i="2" s="1"/>
  <c r="E382" i="2"/>
  <c r="D382" i="2" s="1"/>
  <c r="C382" i="2"/>
  <c r="B382" i="2"/>
  <c r="A382" i="2"/>
  <c r="H382" i="2" s="1"/>
  <c r="F381" i="2"/>
  <c r="G381" i="2" s="1"/>
  <c r="E381" i="2"/>
  <c r="D381" i="2" s="1"/>
  <c r="C381" i="2"/>
  <c r="B381" i="2"/>
  <c r="A381" i="2"/>
  <c r="H381" i="2" s="1"/>
  <c r="F380" i="2"/>
  <c r="G380" i="2" s="1"/>
  <c r="E380" i="2"/>
  <c r="D380" i="2" s="1"/>
  <c r="C380" i="2"/>
  <c r="B380" i="2"/>
  <c r="A380" i="2"/>
  <c r="H380" i="2" s="1"/>
  <c r="F379" i="2"/>
  <c r="G379" i="2" s="1"/>
  <c r="E379" i="2"/>
  <c r="D379" i="2" s="1"/>
  <c r="C379" i="2"/>
  <c r="B379" i="2"/>
  <c r="A379" i="2"/>
  <c r="H379" i="2" s="1"/>
  <c r="F378" i="2"/>
  <c r="G378" i="2" s="1"/>
  <c r="E378" i="2"/>
  <c r="D378" i="2" s="1"/>
  <c r="C378" i="2"/>
  <c r="B378" i="2"/>
  <c r="A378" i="2"/>
  <c r="H378" i="2" s="1"/>
  <c r="F377" i="2"/>
  <c r="G377" i="2" s="1"/>
  <c r="E377" i="2"/>
  <c r="D377" i="2"/>
  <c r="C377" i="2"/>
  <c r="B377" i="2"/>
  <c r="A377" i="2"/>
  <c r="H377" i="2" s="1"/>
  <c r="F376" i="2"/>
  <c r="G376" i="2" s="1"/>
  <c r="E376" i="2"/>
  <c r="D376" i="2" s="1"/>
  <c r="C376" i="2"/>
  <c r="B376" i="2"/>
  <c r="A376" i="2"/>
  <c r="H376" i="2" s="1"/>
  <c r="F375" i="2"/>
  <c r="G375" i="2" s="1"/>
  <c r="E375" i="2"/>
  <c r="D375" i="2" s="1"/>
  <c r="C375" i="2"/>
  <c r="B375" i="2"/>
  <c r="A375" i="2"/>
  <c r="H375" i="2" s="1"/>
  <c r="F374" i="2"/>
  <c r="G374" i="2" s="1"/>
  <c r="E374" i="2"/>
  <c r="D374" i="2" s="1"/>
  <c r="C374" i="2"/>
  <c r="B374" i="2"/>
  <c r="A374" i="2"/>
  <c r="H374" i="2" s="1"/>
  <c r="F373" i="2"/>
  <c r="G373" i="2" s="1"/>
  <c r="E373" i="2"/>
  <c r="D373" i="2" s="1"/>
  <c r="C373" i="2"/>
  <c r="B373" i="2"/>
  <c r="A373" i="2"/>
  <c r="H373" i="2" s="1"/>
  <c r="F372" i="2"/>
  <c r="G372" i="2" s="1"/>
  <c r="E372" i="2"/>
  <c r="D372" i="2" s="1"/>
  <c r="C372" i="2"/>
  <c r="B372" i="2"/>
  <c r="A372" i="2"/>
  <c r="H372" i="2" s="1"/>
  <c r="F371" i="2"/>
  <c r="G371" i="2" s="1"/>
  <c r="E371" i="2"/>
  <c r="D371" i="2" s="1"/>
  <c r="C371" i="2"/>
  <c r="B371" i="2"/>
  <c r="A371" i="2"/>
  <c r="H371" i="2" s="1"/>
  <c r="F370" i="2"/>
  <c r="G370" i="2" s="1"/>
  <c r="E370" i="2"/>
  <c r="D370" i="2" s="1"/>
  <c r="C370" i="2"/>
  <c r="B370" i="2"/>
  <c r="A370" i="2"/>
  <c r="H370" i="2" s="1"/>
  <c r="F369" i="2"/>
  <c r="G369" i="2" s="1"/>
  <c r="E369" i="2"/>
  <c r="D369" i="2" s="1"/>
  <c r="C369" i="2"/>
  <c r="B369" i="2"/>
  <c r="A369" i="2"/>
  <c r="H369" i="2" s="1"/>
  <c r="F368" i="2"/>
  <c r="G368" i="2" s="1"/>
  <c r="E368" i="2"/>
  <c r="D368" i="2" s="1"/>
  <c r="C368" i="2"/>
  <c r="B368" i="2"/>
  <c r="A368" i="2"/>
  <c r="H368" i="2" s="1"/>
  <c r="F367" i="2"/>
  <c r="G367" i="2" s="1"/>
  <c r="E367" i="2"/>
  <c r="D367" i="2"/>
  <c r="C367" i="2"/>
  <c r="B367" i="2"/>
  <c r="A367" i="2"/>
  <c r="H367" i="2" s="1"/>
  <c r="F366" i="2"/>
  <c r="G366" i="2" s="1"/>
  <c r="E366" i="2"/>
  <c r="D366" i="2" s="1"/>
  <c r="C366" i="2"/>
  <c r="B366" i="2"/>
  <c r="A366" i="2"/>
  <c r="H366" i="2" s="1"/>
  <c r="F365" i="2"/>
  <c r="G365" i="2" s="1"/>
  <c r="E365" i="2"/>
  <c r="D365" i="2" s="1"/>
  <c r="C365" i="2"/>
  <c r="B365" i="2"/>
  <c r="A365" i="2"/>
  <c r="H365" i="2" s="1"/>
  <c r="F364" i="2"/>
  <c r="G364" i="2" s="1"/>
  <c r="E364" i="2"/>
  <c r="D364" i="2"/>
  <c r="C364" i="2"/>
  <c r="B364" i="2"/>
  <c r="A364" i="2"/>
  <c r="H364" i="2" s="1"/>
  <c r="F363" i="2"/>
  <c r="G363" i="2" s="1"/>
  <c r="E363" i="2"/>
  <c r="D363" i="2" s="1"/>
  <c r="C363" i="2"/>
  <c r="B363" i="2"/>
  <c r="A363" i="2"/>
  <c r="H363" i="2" s="1"/>
  <c r="F362" i="2"/>
  <c r="G362" i="2" s="1"/>
  <c r="E362" i="2"/>
  <c r="D362" i="2"/>
  <c r="C362" i="2"/>
  <c r="B362" i="2"/>
  <c r="A362" i="2"/>
  <c r="H362" i="2" s="1"/>
  <c r="F361" i="2"/>
  <c r="G361" i="2" s="1"/>
  <c r="E361" i="2"/>
  <c r="D361" i="2" s="1"/>
  <c r="C361" i="2"/>
  <c r="B361" i="2"/>
  <c r="A361" i="2"/>
  <c r="H361" i="2" s="1"/>
  <c r="F360" i="2"/>
  <c r="G360" i="2" s="1"/>
  <c r="E360" i="2"/>
  <c r="D360" i="2" s="1"/>
  <c r="C360" i="2"/>
  <c r="B360" i="2"/>
  <c r="A360" i="2"/>
  <c r="H360" i="2" s="1"/>
  <c r="F359" i="2"/>
  <c r="G359" i="2" s="1"/>
  <c r="E359" i="2"/>
  <c r="D359" i="2" s="1"/>
  <c r="C359" i="2"/>
  <c r="B359" i="2"/>
  <c r="A359" i="2"/>
  <c r="H359" i="2" s="1"/>
  <c r="F358" i="2"/>
  <c r="G358" i="2" s="1"/>
  <c r="E358" i="2"/>
  <c r="D358" i="2" s="1"/>
  <c r="C358" i="2"/>
  <c r="B358" i="2"/>
  <c r="A358" i="2"/>
  <c r="H358" i="2" s="1"/>
  <c r="F357" i="2"/>
  <c r="G357" i="2" s="1"/>
  <c r="E357" i="2"/>
  <c r="D357" i="2" s="1"/>
  <c r="C357" i="2"/>
  <c r="B357" i="2"/>
  <c r="A357" i="2"/>
  <c r="H357" i="2" s="1"/>
  <c r="F356" i="2"/>
  <c r="G356" i="2" s="1"/>
  <c r="E356" i="2"/>
  <c r="D356" i="2"/>
  <c r="C356" i="2"/>
  <c r="B356" i="2"/>
  <c r="A356" i="2"/>
  <c r="H356" i="2" s="1"/>
  <c r="F355" i="2"/>
  <c r="G355" i="2" s="1"/>
  <c r="E355" i="2"/>
  <c r="D355" i="2" s="1"/>
  <c r="C355" i="2"/>
  <c r="B355" i="2"/>
  <c r="A355" i="2"/>
  <c r="H355" i="2" s="1"/>
  <c r="F354" i="2"/>
  <c r="G354" i="2" s="1"/>
  <c r="E354" i="2"/>
  <c r="D354" i="2" s="1"/>
  <c r="C354" i="2"/>
  <c r="B354" i="2"/>
  <c r="A354" i="2"/>
  <c r="H354" i="2" s="1"/>
  <c r="H353" i="2"/>
  <c r="F353" i="2"/>
  <c r="G353" i="2" s="1"/>
  <c r="E353" i="2"/>
  <c r="D353" i="2" s="1"/>
  <c r="C353" i="2"/>
  <c r="B353" i="2"/>
  <c r="A353" i="2"/>
  <c r="F352" i="2"/>
  <c r="G352" i="2" s="1"/>
  <c r="E352" i="2"/>
  <c r="D352" i="2" s="1"/>
  <c r="C352" i="2"/>
  <c r="B352" i="2"/>
  <c r="A352" i="2"/>
  <c r="H352" i="2" s="1"/>
  <c r="F351" i="2"/>
  <c r="G351" i="2" s="1"/>
  <c r="E351" i="2"/>
  <c r="D351" i="2" s="1"/>
  <c r="C351" i="2"/>
  <c r="B351" i="2"/>
  <c r="A351" i="2"/>
  <c r="H351" i="2" s="1"/>
  <c r="F350" i="2"/>
  <c r="G350" i="2" s="1"/>
  <c r="E350" i="2"/>
  <c r="D350" i="2" s="1"/>
  <c r="C350" i="2"/>
  <c r="B350" i="2"/>
  <c r="A350" i="2"/>
  <c r="H350" i="2" s="1"/>
  <c r="F349" i="2"/>
  <c r="G349" i="2" s="1"/>
  <c r="E349" i="2"/>
  <c r="D349" i="2" s="1"/>
  <c r="C349" i="2"/>
  <c r="B349" i="2"/>
  <c r="A349" i="2"/>
  <c r="H349" i="2" s="1"/>
  <c r="F348" i="2"/>
  <c r="G348" i="2" s="1"/>
  <c r="E348" i="2"/>
  <c r="D348" i="2" s="1"/>
  <c r="C348" i="2"/>
  <c r="B348" i="2"/>
  <c r="A348" i="2"/>
  <c r="H348" i="2" s="1"/>
  <c r="F347" i="2"/>
  <c r="G347" i="2" s="1"/>
  <c r="E347" i="2"/>
  <c r="D347" i="2" s="1"/>
  <c r="C347" i="2"/>
  <c r="B347" i="2"/>
  <c r="A347" i="2"/>
  <c r="H347" i="2" s="1"/>
  <c r="F346" i="2"/>
  <c r="G346" i="2" s="1"/>
  <c r="E346" i="2"/>
  <c r="D346" i="2"/>
  <c r="C346" i="2"/>
  <c r="B346" i="2"/>
  <c r="A346" i="2"/>
  <c r="H346" i="2" s="1"/>
  <c r="F345" i="2"/>
  <c r="G345" i="2" s="1"/>
  <c r="E345" i="2"/>
  <c r="D345" i="2" s="1"/>
  <c r="C345" i="2"/>
  <c r="B345" i="2"/>
  <c r="A345" i="2"/>
  <c r="H345" i="2" s="1"/>
  <c r="F344" i="2"/>
  <c r="G344" i="2" s="1"/>
  <c r="E344" i="2"/>
  <c r="D344" i="2"/>
  <c r="C344" i="2"/>
  <c r="B344" i="2"/>
  <c r="A344" i="2"/>
  <c r="H344" i="2" s="1"/>
  <c r="F343" i="2"/>
  <c r="G343" i="2" s="1"/>
  <c r="E343" i="2"/>
  <c r="D343" i="2" s="1"/>
  <c r="C343" i="2"/>
  <c r="B343" i="2"/>
  <c r="A343" i="2"/>
  <c r="H343" i="2" s="1"/>
  <c r="F342" i="2"/>
  <c r="G342" i="2" s="1"/>
  <c r="E342" i="2"/>
  <c r="D342" i="2"/>
  <c r="C342" i="2"/>
  <c r="B342" i="2"/>
  <c r="A342" i="2"/>
  <c r="H342" i="2" s="1"/>
  <c r="F341" i="2"/>
  <c r="G341" i="2" s="1"/>
  <c r="E341" i="2"/>
  <c r="D341" i="2" s="1"/>
  <c r="C341" i="2"/>
  <c r="B341" i="2"/>
  <c r="A341" i="2"/>
  <c r="H341" i="2" s="1"/>
  <c r="F340" i="2"/>
  <c r="G340" i="2" s="1"/>
  <c r="E340" i="2"/>
  <c r="D340" i="2" s="1"/>
  <c r="C340" i="2"/>
  <c r="B340" i="2"/>
  <c r="A340" i="2"/>
  <c r="H340" i="2" s="1"/>
  <c r="F339" i="2"/>
  <c r="G339" i="2" s="1"/>
  <c r="E339" i="2"/>
  <c r="D339" i="2" s="1"/>
  <c r="C339" i="2"/>
  <c r="B339" i="2"/>
  <c r="A339" i="2"/>
  <c r="H339" i="2" s="1"/>
  <c r="F338" i="2"/>
  <c r="G338" i="2" s="1"/>
  <c r="E338" i="2"/>
  <c r="D338" i="2" s="1"/>
  <c r="C338" i="2"/>
  <c r="B338" i="2"/>
  <c r="A338" i="2"/>
  <c r="H338" i="2" s="1"/>
  <c r="F337" i="2"/>
  <c r="G337" i="2" s="1"/>
  <c r="E337" i="2"/>
  <c r="D337" i="2" s="1"/>
  <c r="C337" i="2"/>
  <c r="B337" i="2"/>
  <c r="A337" i="2"/>
  <c r="H337" i="2" s="1"/>
  <c r="F336" i="2"/>
  <c r="G336" i="2" s="1"/>
  <c r="E336" i="2"/>
  <c r="D336" i="2" s="1"/>
  <c r="C336" i="2"/>
  <c r="B336" i="2"/>
  <c r="A336" i="2"/>
  <c r="H336" i="2" s="1"/>
  <c r="F335" i="2"/>
  <c r="G335" i="2" s="1"/>
  <c r="E335" i="2"/>
  <c r="D335" i="2" s="1"/>
  <c r="C335" i="2"/>
  <c r="B335" i="2"/>
  <c r="A335" i="2"/>
  <c r="H335" i="2" s="1"/>
  <c r="F334" i="2"/>
  <c r="G334" i="2" s="1"/>
  <c r="E334" i="2"/>
  <c r="D334" i="2" s="1"/>
  <c r="C334" i="2"/>
  <c r="B334" i="2"/>
  <c r="A334" i="2"/>
  <c r="H334" i="2" s="1"/>
  <c r="F333" i="2"/>
  <c r="G333" i="2" s="1"/>
  <c r="E333" i="2"/>
  <c r="D333" i="2"/>
  <c r="C333" i="2"/>
  <c r="B333" i="2"/>
  <c r="A333" i="2"/>
  <c r="H333" i="2" s="1"/>
  <c r="F332" i="2"/>
  <c r="G332" i="2" s="1"/>
  <c r="E332" i="2"/>
  <c r="D332" i="2" s="1"/>
  <c r="C332" i="2"/>
  <c r="B332" i="2"/>
  <c r="A332" i="2"/>
  <c r="H332" i="2" s="1"/>
  <c r="F331" i="2"/>
  <c r="G331" i="2" s="1"/>
  <c r="E331" i="2"/>
  <c r="D331" i="2" s="1"/>
  <c r="C331" i="2"/>
  <c r="B331" i="2"/>
  <c r="A331" i="2"/>
  <c r="H331" i="2" s="1"/>
  <c r="F330" i="2"/>
  <c r="G330" i="2" s="1"/>
  <c r="E330" i="2"/>
  <c r="D330" i="2" s="1"/>
  <c r="C330" i="2"/>
  <c r="B330" i="2"/>
  <c r="A330" i="2"/>
  <c r="H330" i="2" s="1"/>
  <c r="F329" i="2"/>
  <c r="G329" i="2" s="1"/>
  <c r="E329" i="2"/>
  <c r="D329" i="2" s="1"/>
  <c r="C329" i="2"/>
  <c r="B329" i="2"/>
  <c r="A329" i="2"/>
  <c r="H329" i="2" s="1"/>
  <c r="F328" i="2"/>
  <c r="G328" i="2" s="1"/>
  <c r="E328" i="2"/>
  <c r="D328" i="2" s="1"/>
  <c r="C328" i="2"/>
  <c r="B328" i="2"/>
  <c r="A328" i="2"/>
  <c r="H328" i="2" s="1"/>
  <c r="F327" i="2"/>
  <c r="G327" i="2" s="1"/>
  <c r="E327" i="2"/>
  <c r="D327" i="2" s="1"/>
  <c r="C327" i="2"/>
  <c r="B327" i="2"/>
  <c r="A327" i="2"/>
  <c r="H327" i="2" s="1"/>
  <c r="F326" i="2"/>
  <c r="G326" i="2" s="1"/>
  <c r="E326" i="2"/>
  <c r="D326" i="2" s="1"/>
  <c r="C326" i="2"/>
  <c r="B326" i="2"/>
  <c r="A326" i="2"/>
  <c r="H326" i="2" s="1"/>
  <c r="F325" i="2"/>
  <c r="G325" i="2" s="1"/>
  <c r="E325" i="2"/>
  <c r="D325" i="2" s="1"/>
  <c r="C325" i="2"/>
  <c r="B325" i="2"/>
  <c r="A325" i="2"/>
  <c r="H325" i="2" s="1"/>
  <c r="F324" i="2"/>
  <c r="G324" i="2" s="1"/>
  <c r="E324" i="2"/>
  <c r="D324" i="2" s="1"/>
  <c r="C324" i="2"/>
  <c r="B324" i="2"/>
  <c r="A324" i="2"/>
  <c r="H324" i="2" s="1"/>
  <c r="F323" i="2"/>
  <c r="G323" i="2" s="1"/>
  <c r="E323" i="2"/>
  <c r="D323" i="2" s="1"/>
  <c r="C323" i="2"/>
  <c r="B323" i="2"/>
  <c r="A323" i="2"/>
  <c r="H323" i="2" s="1"/>
  <c r="F322" i="2"/>
  <c r="G322" i="2" s="1"/>
  <c r="E322" i="2"/>
  <c r="D322" i="2" s="1"/>
  <c r="C322" i="2"/>
  <c r="B322" i="2"/>
  <c r="A322" i="2"/>
  <c r="H322" i="2" s="1"/>
  <c r="F321" i="2"/>
  <c r="G321" i="2" s="1"/>
  <c r="E321" i="2"/>
  <c r="D321" i="2" s="1"/>
  <c r="C321" i="2"/>
  <c r="B321" i="2"/>
  <c r="A321" i="2"/>
  <c r="H321" i="2" s="1"/>
  <c r="F320" i="2"/>
  <c r="G320" i="2" s="1"/>
  <c r="E320" i="2"/>
  <c r="D320" i="2" s="1"/>
  <c r="C320" i="2"/>
  <c r="B320" i="2"/>
  <c r="A320" i="2"/>
  <c r="H320" i="2" s="1"/>
  <c r="F319" i="2"/>
  <c r="G319" i="2" s="1"/>
  <c r="E319" i="2"/>
  <c r="D319" i="2"/>
  <c r="C319" i="2"/>
  <c r="B319" i="2"/>
  <c r="A319" i="2"/>
  <c r="H319" i="2" s="1"/>
  <c r="F318" i="2"/>
  <c r="G318" i="2" s="1"/>
  <c r="E318" i="2"/>
  <c r="D318" i="2" s="1"/>
  <c r="C318" i="2"/>
  <c r="B318" i="2"/>
  <c r="A318" i="2"/>
  <c r="H318" i="2" s="1"/>
  <c r="F317" i="2"/>
  <c r="G317" i="2" s="1"/>
  <c r="E317" i="2"/>
  <c r="D317" i="2" s="1"/>
  <c r="C317" i="2"/>
  <c r="B317" i="2"/>
  <c r="A317" i="2"/>
  <c r="H317" i="2" s="1"/>
  <c r="F316" i="2"/>
  <c r="G316" i="2" s="1"/>
  <c r="E316" i="2"/>
  <c r="D316" i="2" s="1"/>
  <c r="C316" i="2"/>
  <c r="B316" i="2"/>
  <c r="A316" i="2"/>
  <c r="H316" i="2" s="1"/>
  <c r="F315" i="2"/>
  <c r="G315" i="2" s="1"/>
  <c r="E315" i="2"/>
  <c r="D315" i="2" s="1"/>
  <c r="C315" i="2"/>
  <c r="B315" i="2"/>
  <c r="A315" i="2"/>
  <c r="H315" i="2" s="1"/>
  <c r="F314" i="2"/>
  <c r="G314" i="2" s="1"/>
  <c r="E314" i="2"/>
  <c r="D314" i="2" s="1"/>
  <c r="C314" i="2"/>
  <c r="B314" i="2"/>
  <c r="A314" i="2"/>
  <c r="H314" i="2" s="1"/>
  <c r="F313" i="2"/>
  <c r="G313" i="2" s="1"/>
  <c r="E313" i="2"/>
  <c r="D313" i="2" s="1"/>
  <c r="C313" i="2"/>
  <c r="B313" i="2"/>
  <c r="A313" i="2"/>
  <c r="H313" i="2" s="1"/>
  <c r="F312" i="2"/>
  <c r="G312" i="2" s="1"/>
  <c r="E312" i="2"/>
  <c r="D312" i="2" s="1"/>
  <c r="C312" i="2"/>
  <c r="B312" i="2"/>
  <c r="A312" i="2"/>
  <c r="H312" i="2" s="1"/>
  <c r="F311" i="2"/>
  <c r="G311" i="2" s="1"/>
  <c r="E311" i="2"/>
  <c r="D311" i="2" s="1"/>
  <c r="C311" i="2"/>
  <c r="B311" i="2"/>
  <c r="A311" i="2"/>
  <c r="H311" i="2" s="1"/>
  <c r="F310" i="2"/>
  <c r="G310" i="2" s="1"/>
  <c r="E310" i="2"/>
  <c r="D310" i="2"/>
  <c r="C310" i="2"/>
  <c r="B310" i="2"/>
  <c r="A310" i="2"/>
  <c r="H310" i="2" s="1"/>
  <c r="F309" i="2"/>
  <c r="G309" i="2" s="1"/>
  <c r="E309" i="2"/>
  <c r="D309" i="2" s="1"/>
  <c r="C309" i="2"/>
  <c r="B309" i="2"/>
  <c r="A309" i="2"/>
  <c r="H309" i="2" s="1"/>
  <c r="F308" i="2"/>
  <c r="G308" i="2" s="1"/>
  <c r="E308" i="2"/>
  <c r="D308" i="2"/>
  <c r="C308" i="2"/>
  <c r="B308" i="2"/>
  <c r="A308" i="2"/>
  <c r="H308" i="2" s="1"/>
  <c r="F307" i="2"/>
  <c r="G307" i="2" s="1"/>
  <c r="E307" i="2"/>
  <c r="D307" i="2" s="1"/>
  <c r="C307" i="2"/>
  <c r="B307" i="2"/>
  <c r="A307" i="2"/>
  <c r="H307" i="2" s="1"/>
  <c r="F306" i="2"/>
  <c r="G306" i="2" s="1"/>
  <c r="E306" i="2"/>
  <c r="D306" i="2" s="1"/>
  <c r="C306" i="2"/>
  <c r="B306" i="2"/>
  <c r="A306" i="2"/>
  <c r="H306" i="2" s="1"/>
  <c r="F305" i="2"/>
  <c r="G305" i="2" s="1"/>
  <c r="E305" i="2"/>
  <c r="D305" i="2" s="1"/>
  <c r="C305" i="2"/>
  <c r="B305" i="2"/>
  <c r="A305" i="2"/>
  <c r="H305" i="2" s="1"/>
  <c r="F304" i="2"/>
  <c r="G304" i="2" s="1"/>
  <c r="E304" i="2"/>
  <c r="D304" i="2" s="1"/>
  <c r="C304" i="2"/>
  <c r="B304" i="2"/>
  <c r="A304" i="2"/>
  <c r="H304" i="2" s="1"/>
  <c r="F303" i="2"/>
  <c r="G303" i="2" s="1"/>
  <c r="E303" i="2"/>
  <c r="D303" i="2" s="1"/>
  <c r="C303" i="2"/>
  <c r="B303" i="2"/>
  <c r="A303" i="2"/>
  <c r="H303" i="2" s="1"/>
  <c r="F302" i="2"/>
  <c r="G302" i="2" s="1"/>
  <c r="E302" i="2"/>
  <c r="D302" i="2"/>
  <c r="C302" i="2"/>
  <c r="B302" i="2"/>
  <c r="A302" i="2"/>
  <c r="H302" i="2" s="1"/>
  <c r="F301" i="2"/>
  <c r="G301" i="2" s="1"/>
  <c r="E301" i="2"/>
  <c r="D301" i="2" s="1"/>
  <c r="C301" i="2"/>
  <c r="B301" i="2"/>
  <c r="A301" i="2"/>
  <c r="H301" i="2" s="1"/>
  <c r="F300" i="2"/>
  <c r="G300" i="2" s="1"/>
  <c r="E300" i="2"/>
  <c r="D300" i="2" s="1"/>
  <c r="C300" i="2"/>
  <c r="B300" i="2"/>
  <c r="A300" i="2"/>
  <c r="H300" i="2" s="1"/>
  <c r="H299" i="2"/>
  <c r="F299" i="2"/>
  <c r="G299" i="2" s="1"/>
  <c r="E299" i="2"/>
  <c r="D299" i="2" s="1"/>
  <c r="C299" i="2"/>
  <c r="B299" i="2"/>
  <c r="A299" i="2"/>
  <c r="F298" i="2"/>
  <c r="G298" i="2" s="1"/>
  <c r="E298" i="2"/>
  <c r="D298" i="2" s="1"/>
  <c r="C298" i="2"/>
  <c r="B298" i="2"/>
  <c r="A298" i="2"/>
  <c r="H298" i="2" s="1"/>
  <c r="F297" i="2"/>
  <c r="G297" i="2" s="1"/>
  <c r="E297" i="2"/>
  <c r="D297" i="2" s="1"/>
  <c r="C297" i="2"/>
  <c r="B297" i="2"/>
  <c r="A297" i="2"/>
  <c r="H297" i="2" s="1"/>
  <c r="F296" i="2"/>
  <c r="G296" i="2" s="1"/>
  <c r="E296" i="2"/>
  <c r="D296" i="2" s="1"/>
  <c r="C296" i="2"/>
  <c r="B296" i="2"/>
  <c r="A296" i="2"/>
  <c r="H296" i="2" s="1"/>
  <c r="F295" i="2"/>
  <c r="G295" i="2" s="1"/>
  <c r="E295" i="2"/>
  <c r="D295" i="2" s="1"/>
  <c r="C295" i="2"/>
  <c r="B295" i="2"/>
  <c r="A295" i="2"/>
  <c r="H295" i="2" s="1"/>
  <c r="F294" i="2"/>
  <c r="G294" i="2" s="1"/>
  <c r="E294" i="2"/>
  <c r="D294" i="2" s="1"/>
  <c r="C294" i="2"/>
  <c r="B294" i="2"/>
  <c r="A294" i="2"/>
  <c r="H294" i="2" s="1"/>
  <c r="F293" i="2"/>
  <c r="G293" i="2" s="1"/>
  <c r="E293" i="2"/>
  <c r="D293" i="2" s="1"/>
  <c r="C293" i="2"/>
  <c r="B293" i="2"/>
  <c r="A293" i="2"/>
  <c r="H293" i="2" s="1"/>
  <c r="F292" i="2"/>
  <c r="G292" i="2" s="1"/>
  <c r="E292" i="2"/>
  <c r="D292" i="2" s="1"/>
  <c r="C292" i="2"/>
  <c r="B292" i="2"/>
  <c r="A292" i="2"/>
  <c r="H292" i="2" s="1"/>
  <c r="F291" i="2"/>
  <c r="G291" i="2" s="1"/>
  <c r="E291" i="2"/>
  <c r="D291" i="2" s="1"/>
  <c r="C291" i="2"/>
  <c r="B291" i="2"/>
  <c r="A291" i="2"/>
  <c r="H291" i="2" s="1"/>
  <c r="F290" i="2"/>
  <c r="G290" i="2" s="1"/>
  <c r="E290" i="2"/>
  <c r="D290" i="2"/>
  <c r="C290" i="2"/>
  <c r="B290" i="2"/>
  <c r="A290" i="2"/>
  <c r="H290" i="2" s="1"/>
  <c r="F289" i="2"/>
  <c r="G289" i="2" s="1"/>
  <c r="E289" i="2"/>
  <c r="D289" i="2" s="1"/>
  <c r="C289" i="2"/>
  <c r="B289" i="2"/>
  <c r="A289" i="2"/>
  <c r="H289" i="2" s="1"/>
  <c r="F288" i="2"/>
  <c r="G288" i="2" s="1"/>
  <c r="E288" i="2"/>
  <c r="D288" i="2"/>
  <c r="C288" i="2"/>
  <c r="B288" i="2"/>
  <c r="A288" i="2"/>
  <c r="H288" i="2" s="1"/>
  <c r="F287" i="2"/>
  <c r="G287" i="2" s="1"/>
  <c r="E287" i="2"/>
  <c r="D287" i="2" s="1"/>
  <c r="C287" i="2"/>
  <c r="B287" i="2"/>
  <c r="A287" i="2"/>
  <c r="H287" i="2" s="1"/>
  <c r="F286" i="2"/>
  <c r="G286" i="2" s="1"/>
  <c r="E286" i="2"/>
  <c r="D286" i="2"/>
  <c r="C286" i="2"/>
  <c r="B286" i="2"/>
  <c r="A286" i="2"/>
  <c r="H286" i="2" s="1"/>
  <c r="F285" i="2"/>
  <c r="G285" i="2" s="1"/>
  <c r="E285" i="2"/>
  <c r="D285" i="2" s="1"/>
  <c r="C285" i="2"/>
  <c r="B285" i="2"/>
  <c r="A285" i="2"/>
  <c r="H285" i="2" s="1"/>
  <c r="F284" i="2"/>
  <c r="G284" i="2" s="1"/>
  <c r="E284" i="2"/>
  <c r="D284" i="2" s="1"/>
  <c r="C284" i="2"/>
  <c r="B284" i="2"/>
  <c r="A284" i="2"/>
  <c r="H284" i="2" s="1"/>
  <c r="F283" i="2"/>
  <c r="G283" i="2" s="1"/>
  <c r="E283" i="2"/>
  <c r="D283" i="2" s="1"/>
  <c r="C283" i="2"/>
  <c r="B283" i="2"/>
  <c r="A283" i="2"/>
  <c r="H283" i="2" s="1"/>
  <c r="F282" i="2"/>
  <c r="G282" i="2" s="1"/>
  <c r="E282" i="2"/>
  <c r="D282" i="2" s="1"/>
  <c r="C282" i="2"/>
  <c r="B282" i="2"/>
  <c r="A282" i="2"/>
  <c r="H282" i="2" s="1"/>
  <c r="H281" i="2"/>
  <c r="F281" i="2"/>
  <c r="G281" i="2" s="1"/>
  <c r="E281" i="2"/>
  <c r="D281" i="2" s="1"/>
  <c r="C281" i="2"/>
  <c r="B281" i="2"/>
  <c r="A281" i="2"/>
  <c r="F280" i="2"/>
  <c r="G280" i="2" s="1"/>
  <c r="E280" i="2"/>
  <c r="D280" i="2" s="1"/>
  <c r="C280" i="2"/>
  <c r="B280" i="2"/>
  <c r="A280" i="2"/>
  <c r="H280" i="2" s="1"/>
  <c r="F279" i="2"/>
  <c r="G279" i="2" s="1"/>
  <c r="E279" i="2"/>
  <c r="D279" i="2" s="1"/>
  <c r="C279" i="2"/>
  <c r="B279" i="2"/>
  <c r="A279" i="2"/>
  <c r="H279" i="2" s="1"/>
  <c r="F278" i="2"/>
  <c r="G278" i="2" s="1"/>
  <c r="E278" i="2"/>
  <c r="D278" i="2" s="1"/>
  <c r="C278" i="2"/>
  <c r="B278" i="2"/>
  <c r="A278" i="2"/>
  <c r="H278" i="2" s="1"/>
  <c r="F277" i="2"/>
  <c r="G277" i="2" s="1"/>
  <c r="E277" i="2"/>
  <c r="D277" i="2"/>
  <c r="C277" i="2"/>
  <c r="B277" i="2"/>
  <c r="A277" i="2"/>
  <c r="H277" i="2" s="1"/>
  <c r="F276" i="2"/>
  <c r="G276" i="2" s="1"/>
  <c r="E276" i="2"/>
  <c r="D276" i="2" s="1"/>
  <c r="C276" i="2"/>
  <c r="B276" i="2"/>
  <c r="A276" i="2"/>
  <c r="H276" i="2" s="1"/>
  <c r="F275" i="2"/>
  <c r="G275" i="2" s="1"/>
  <c r="E275" i="2"/>
  <c r="D275" i="2" s="1"/>
  <c r="C275" i="2"/>
  <c r="B275" i="2"/>
  <c r="A275" i="2"/>
  <c r="H275" i="2" s="1"/>
  <c r="F274" i="2"/>
  <c r="G274" i="2" s="1"/>
  <c r="E274" i="2"/>
  <c r="D274" i="2" s="1"/>
  <c r="C274" i="2"/>
  <c r="B274" i="2"/>
  <c r="A274" i="2"/>
  <c r="H274" i="2" s="1"/>
  <c r="F273" i="2"/>
  <c r="G273" i="2" s="1"/>
  <c r="E273" i="2"/>
  <c r="D273" i="2" s="1"/>
  <c r="C273" i="2"/>
  <c r="B273" i="2"/>
  <c r="A273" i="2"/>
  <c r="H273" i="2" s="1"/>
  <c r="F272" i="2"/>
  <c r="G272" i="2" s="1"/>
  <c r="E272" i="2"/>
  <c r="D272" i="2" s="1"/>
  <c r="C272" i="2"/>
  <c r="B272" i="2"/>
  <c r="A272" i="2"/>
  <c r="H272" i="2" s="1"/>
  <c r="F271" i="2"/>
  <c r="G271" i="2" s="1"/>
  <c r="E271" i="2"/>
  <c r="D271" i="2" s="1"/>
  <c r="C271" i="2"/>
  <c r="B271" i="2"/>
  <c r="A271" i="2"/>
  <c r="H271" i="2" s="1"/>
  <c r="F270" i="2"/>
  <c r="G270" i="2" s="1"/>
  <c r="E270" i="2"/>
  <c r="D270" i="2" s="1"/>
  <c r="C270" i="2"/>
  <c r="B270" i="2"/>
  <c r="A270" i="2"/>
  <c r="H270" i="2" s="1"/>
  <c r="F269" i="2"/>
  <c r="G269" i="2" s="1"/>
  <c r="E269" i="2"/>
  <c r="D269" i="2" s="1"/>
  <c r="C269" i="2"/>
  <c r="B269" i="2"/>
  <c r="A269" i="2"/>
  <c r="H269" i="2" s="1"/>
  <c r="F268" i="2"/>
  <c r="G268" i="2" s="1"/>
  <c r="E268" i="2"/>
  <c r="D268" i="2" s="1"/>
  <c r="C268" i="2"/>
  <c r="B268" i="2"/>
  <c r="A268" i="2"/>
  <c r="H268" i="2" s="1"/>
  <c r="F267" i="2"/>
  <c r="G267" i="2" s="1"/>
  <c r="E267" i="2"/>
  <c r="D267" i="2" s="1"/>
  <c r="C267" i="2"/>
  <c r="B267" i="2"/>
  <c r="A267" i="2"/>
  <c r="H267" i="2" s="1"/>
  <c r="F266" i="2"/>
  <c r="G266" i="2" s="1"/>
  <c r="E266" i="2"/>
  <c r="D266" i="2" s="1"/>
  <c r="C266" i="2"/>
  <c r="B266" i="2"/>
  <c r="A266" i="2"/>
  <c r="H266" i="2" s="1"/>
  <c r="F265" i="2"/>
  <c r="G265" i="2" s="1"/>
  <c r="E265" i="2"/>
  <c r="D265" i="2" s="1"/>
  <c r="C265" i="2"/>
  <c r="B265" i="2"/>
  <c r="A265" i="2"/>
  <c r="H265" i="2" s="1"/>
  <c r="F264" i="2"/>
  <c r="G264" i="2" s="1"/>
  <c r="E264" i="2"/>
  <c r="D264" i="2" s="1"/>
  <c r="C264" i="2"/>
  <c r="B264" i="2"/>
  <c r="A264" i="2"/>
  <c r="H264" i="2" s="1"/>
  <c r="F263" i="2"/>
  <c r="G263" i="2" s="1"/>
  <c r="E263" i="2"/>
  <c r="D263" i="2" s="1"/>
  <c r="C263" i="2"/>
  <c r="B263" i="2"/>
  <c r="A263" i="2"/>
  <c r="H263" i="2" s="1"/>
  <c r="F262" i="2"/>
  <c r="G262" i="2" s="1"/>
  <c r="E262" i="2"/>
  <c r="D262" i="2" s="1"/>
  <c r="C262" i="2"/>
  <c r="B262" i="2"/>
  <c r="A262" i="2"/>
  <c r="H262" i="2" s="1"/>
  <c r="F261" i="2"/>
  <c r="G261" i="2" s="1"/>
  <c r="E261" i="2"/>
  <c r="D261" i="2" s="1"/>
  <c r="C261" i="2"/>
  <c r="B261" i="2"/>
  <c r="A261" i="2"/>
  <c r="H261" i="2" s="1"/>
  <c r="F260" i="2"/>
  <c r="G260" i="2" s="1"/>
  <c r="E260" i="2"/>
  <c r="D260" i="2" s="1"/>
  <c r="C260" i="2"/>
  <c r="B260" i="2"/>
  <c r="A260" i="2"/>
  <c r="H260" i="2" s="1"/>
  <c r="F259" i="2"/>
  <c r="G259" i="2" s="1"/>
  <c r="E259" i="2"/>
  <c r="D259" i="2" s="1"/>
  <c r="C259" i="2"/>
  <c r="B259" i="2"/>
  <c r="A259" i="2"/>
  <c r="H259" i="2" s="1"/>
  <c r="F258" i="2"/>
  <c r="G258" i="2" s="1"/>
  <c r="E258" i="2"/>
  <c r="D258" i="2" s="1"/>
  <c r="C258" i="2"/>
  <c r="B258" i="2"/>
  <c r="A258" i="2"/>
  <c r="H258" i="2" s="1"/>
  <c r="F257" i="2"/>
  <c r="G257" i="2" s="1"/>
  <c r="E257" i="2"/>
  <c r="D257" i="2" s="1"/>
  <c r="C257" i="2"/>
  <c r="B257" i="2"/>
  <c r="A257" i="2"/>
  <c r="H257" i="2" s="1"/>
  <c r="F256" i="2"/>
  <c r="G256" i="2" s="1"/>
  <c r="E256" i="2"/>
  <c r="D256" i="2" s="1"/>
  <c r="C256" i="2"/>
  <c r="B256" i="2"/>
  <c r="A256" i="2"/>
  <c r="H256" i="2" s="1"/>
  <c r="F255" i="2"/>
  <c r="G255" i="2" s="1"/>
  <c r="E255" i="2"/>
  <c r="D255" i="2" s="1"/>
  <c r="C255" i="2"/>
  <c r="B255" i="2"/>
  <c r="A255" i="2"/>
  <c r="H255" i="2" s="1"/>
  <c r="F254" i="2"/>
  <c r="G254" i="2" s="1"/>
  <c r="E254" i="2"/>
  <c r="D254" i="2" s="1"/>
  <c r="C254" i="2"/>
  <c r="B254" i="2"/>
  <c r="A254" i="2"/>
  <c r="H254" i="2" s="1"/>
  <c r="F253" i="2"/>
  <c r="G253" i="2" s="1"/>
  <c r="E253" i="2"/>
  <c r="D253" i="2"/>
  <c r="C253" i="2"/>
  <c r="B253" i="2"/>
  <c r="A253" i="2"/>
  <c r="H253" i="2" s="1"/>
  <c r="F252" i="2"/>
  <c r="G252" i="2" s="1"/>
  <c r="E252" i="2"/>
  <c r="D252" i="2" s="1"/>
  <c r="C252" i="2"/>
  <c r="B252" i="2"/>
  <c r="A252" i="2"/>
  <c r="H252" i="2" s="1"/>
  <c r="F251" i="2"/>
  <c r="G251" i="2" s="1"/>
  <c r="E251" i="2"/>
  <c r="D251" i="2" s="1"/>
  <c r="C251" i="2"/>
  <c r="B251" i="2"/>
  <c r="A251" i="2"/>
  <c r="H251" i="2" s="1"/>
  <c r="F250" i="2"/>
  <c r="G250" i="2" s="1"/>
  <c r="E250" i="2"/>
  <c r="D250" i="2"/>
  <c r="C250" i="2"/>
  <c r="B250" i="2"/>
  <c r="A250" i="2"/>
  <c r="H250" i="2" s="1"/>
  <c r="F249" i="2"/>
  <c r="G249" i="2" s="1"/>
  <c r="E249" i="2"/>
  <c r="D249" i="2" s="1"/>
  <c r="C249" i="2"/>
  <c r="B249" i="2"/>
  <c r="A249" i="2"/>
  <c r="H249" i="2" s="1"/>
  <c r="F248" i="2"/>
  <c r="G248" i="2" s="1"/>
  <c r="E248" i="2"/>
  <c r="D248" i="2" s="1"/>
  <c r="C248" i="2"/>
  <c r="B248" i="2"/>
  <c r="A248" i="2"/>
  <c r="H248" i="2" s="1"/>
  <c r="F247" i="2"/>
  <c r="G247" i="2" s="1"/>
  <c r="E247" i="2"/>
  <c r="D247" i="2" s="1"/>
  <c r="C247" i="2"/>
  <c r="B247" i="2"/>
  <c r="A247" i="2"/>
  <c r="H247" i="2" s="1"/>
  <c r="F246" i="2"/>
  <c r="G246" i="2" s="1"/>
  <c r="E246" i="2"/>
  <c r="D246" i="2" s="1"/>
  <c r="C246" i="2"/>
  <c r="B246" i="2"/>
  <c r="A246" i="2"/>
  <c r="H246" i="2" s="1"/>
  <c r="F245" i="2"/>
  <c r="G245" i="2" s="1"/>
  <c r="E245" i="2"/>
  <c r="D245" i="2" s="1"/>
  <c r="C245" i="2"/>
  <c r="B245" i="2"/>
  <c r="A245" i="2"/>
  <c r="H245" i="2" s="1"/>
  <c r="F244" i="2"/>
  <c r="G244" i="2" s="1"/>
  <c r="E244" i="2"/>
  <c r="D244" i="2" s="1"/>
  <c r="C244" i="2"/>
  <c r="B244" i="2"/>
  <c r="A244" i="2"/>
  <c r="H244" i="2" s="1"/>
  <c r="F243" i="2"/>
  <c r="G243" i="2" s="1"/>
  <c r="E243" i="2"/>
  <c r="D243" i="2" s="1"/>
  <c r="C243" i="2"/>
  <c r="B243" i="2"/>
  <c r="A243" i="2"/>
  <c r="H243" i="2" s="1"/>
  <c r="G242" i="2"/>
  <c r="F242" i="2"/>
  <c r="E242" i="2"/>
  <c r="D242" i="2" s="1"/>
  <c r="C242" i="2"/>
  <c r="B242" i="2"/>
  <c r="A242" i="2"/>
  <c r="H242" i="2" s="1"/>
  <c r="F241" i="2"/>
  <c r="G241" i="2" s="1"/>
  <c r="E241" i="2"/>
  <c r="D241" i="2" s="1"/>
  <c r="C241" i="2"/>
  <c r="B241" i="2"/>
  <c r="A241" i="2"/>
  <c r="H241" i="2" s="1"/>
  <c r="G240" i="2"/>
  <c r="F240" i="2"/>
  <c r="E240" i="2"/>
  <c r="D240" i="2" s="1"/>
  <c r="C240" i="2"/>
  <c r="B240" i="2"/>
  <c r="A240" i="2"/>
  <c r="H240" i="2" s="1"/>
  <c r="H239" i="2"/>
  <c r="F239" i="2"/>
  <c r="G239" i="2" s="1"/>
  <c r="E239" i="2"/>
  <c r="D239" i="2" s="1"/>
  <c r="C239" i="2"/>
  <c r="B239" i="2"/>
  <c r="A239" i="2"/>
  <c r="F238" i="2"/>
  <c r="G238" i="2" s="1"/>
  <c r="E238" i="2"/>
  <c r="D238" i="2" s="1"/>
  <c r="C238" i="2"/>
  <c r="B238" i="2"/>
  <c r="A238" i="2"/>
  <c r="H238" i="2" s="1"/>
  <c r="H237" i="2"/>
  <c r="F237" i="2"/>
  <c r="G237" i="2" s="1"/>
  <c r="E237" i="2"/>
  <c r="D237" i="2" s="1"/>
  <c r="C237" i="2"/>
  <c r="B237" i="2"/>
  <c r="A237" i="2"/>
  <c r="F236" i="2"/>
  <c r="G236" i="2" s="1"/>
  <c r="E236" i="2"/>
  <c r="D236" i="2"/>
  <c r="C236" i="2"/>
  <c r="B236" i="2"/>
  <c r="A236" i="2"/>
  <c r="H236" i="2" s="1"/>
  <c r="F235" i="2"/>
  <c r="G235" i="2" s="1"/>
  <c r="E235" i="2"/>
  <c r="D235" i="2" s="1"/>
  <c r="C235" i="2"/>
  <c r="B235" i="2"/>
  <c r="A235" i="2"/>
  <c r="H235" i="2" s="1"/>
  <c r="F234" i="2"/>
  <c r="G234" i="2" s="1"/>
  <c r="E234" i="2"/>
  <c r="D234" i="2" s="1"/>
  <c r="C234" i="2"/>
  <c r="B234" i="2"/>
  <c r="A234" i="2"/>
  <c r="H234" i="2" s="1"/>
  <c r="F233" i="2"/>
  <c r="G233" i="2" s="1"/>
  <c r="E233" i="2"/>
  <c r="D233" i="2" s="1"/>
  <c r="C233" i="2"/>
  <c r="B233" i="2"/>
  <c r="A233" i="2"/>
  <c r="H233" i="2" s="1"/>
  <c r="F232" i="2"/>
  <c r="G232" i="2" s="1"/>
  <c r="E232" i="2"/>
  <c r="D232" i="2" s="1"/>
  <c r="C232" i="2"/>
  <c r="B232" i="2"/>
  <c r="A232" i="2"/>
  <c r="H232" i="2" s="1"/>
  <c r="F231" i="2"/>
  <c r="G231" i="2" s="1"/>
  <c r="E231" i="2"/>
  <c r="D231" i="2" s="1"/>
  <c r="C231" i="2"/>
  <c r="B231" i="2"/>
  <c r="A231" i="2"/>
  <c r="H231" i="2" s="1"/>
  <c r="F230" i="2"/>
  <c r="G230" i="2" s="1"/>
  <c r="E230" i="2"/>
  <c r="D230" i="2"/>
  <c r="C230" i="2"/>
  <c r="B230" i="2"/>
  <c r="A230" i="2"/>
  <c r="H230" i="2" s="1"/>
  <c r="F229" i="2"/>
  <c r="G229" i="2" s="1"/>
  <c r="E229" i="2"/>
  <c r="D229" i="2" s="1"/>
  <c r="C229" i="2"/>
  <c r="B229" i="2"/>
  <c r="A229" i="2"/>
  <c r="H229" i="2" s="1"/>
  <c r="F228" i="2"/>
  <c r="G228" i="2" s="1"/>
  <c r="E228" i="2"/>
  <c r="D228" i="2" s="1"/>
  <c r="C228" i="2"/>
  <c r="B228" i="2"/>
  <c r="A228" i="2"/>
  <c r="H228" i="2" s="1"/>
  <c r="F227" i="2"/>
  <c r="G227" i="2" s="1"/>
  <c r="E227" i="2"/>
  <c r="D227" i="2" s="1"/>
  <c r="C227" i="2"/>
  <c r="B227" i="2"/>
  <c r="A227" i="2"/>
  <c r="H227" i="2" s="1"/>
  <c r="F226" i="2"/>
  <c r="G226" i="2" s="1"/>
  <c r="E226" i="2"/>
  <c r="D226" i="2" s="1"/>
  <c r="C226" i="2"/>
  <c r="B226" i="2"/>
  <c r="A226" i="2"/>
  <c r="H226" i="2" s="1"/>
  <c r="F225" i="2"/>
  <c r="G225" i="2" s="1"/>
  <c r="E225" i="2"/>
  <c r="D225" i="2" s="1"/>
  <c r="C225" i="2"/>
  <c r="B225" i="2"/>
  <c r="A225" i="2"/>
  <c r="H225" i="2" s="1"/>
  <c r="F224" i="2"/>
  <c r="G224" i="2" s="1"/>
  <c r="E224" i="2"/>
  <c r="D224" i="2" s="1"/>
  <c r="C224" i="2"/>
  <c r="B224" i="2"/>
  <c r="A224" i="2"/>
  <c r="H224" i="2" s="1"/>
  <c r="F223" i="2"/>
  <c r="G223" i="2" s="1"/>
  <c r="E223" i="2"/>
  <c r="D223" i="2" s="1"/>
  <c r="C223" i="2"/>
  <c r="B223" i="2"/>
  <c r="A223" i="2"/>
  <c r="H223" i="2" s="1"/>
  <c r="F222" i="2"/>
  <c r="G222" i="2" s="1"/>
  <c r="E222" i="2"/>
  <c r="D222" i="2"/>
  <c r="C222" i="2"/>
  <c r="B222" i="2"/>
  <c r="A222" i="2"/>
  <c r="H222" i="2" s="1"/>
  <c r="F221" i="2"/>
  <c r="G221" i="2" s="1"/>
  <c r="E221" i="2"/>
  <c r="D221" i="2" s="1"/>
  <c r="C221" i="2"/>
  <c r="B221" i="2"/>
  <c r="A221" i="2"/>
  <c r="H221" i="2" s="1"/>
  <c r="F220" i="2"/>
  <c r="G220" i="2" s="1"/>
  <c r="E220" i="2"/>
  <c r="D220" i="2" s="1"/>
  <c r="C220" i="2"/>
  <c r="B220" i="2"/>
  <c r="A220" i="2"/>
  <c r="H220" i="2" s="1"/>
  <c r="F219" i="2"/>
  <c r="G219" i="2" s="1"/>
  <c r="E219" i="2"/>
  <c r="D219" i="2" s="1"/>
  <c r="C219" i="2"/>
  <c r="B219" i="2"/>
  <c r="A219" i="2"/>
  <c r="H219" i="2" s="1"/>
  <c r="F218" i="2"/>
  <c r="G218" i="2" s="1"/>
  <c r="E218" i="2"/>
  <c r="D218" i="2" s="1"/>
  <c r="C218" i="2"/>
  <c r="B218" i="2"/>
  <c r="A218" i="2"/>
  <c r="H218" i="2" s="1"/>
  <c r="F217" i="2"/>
  <c r="G217" i="2" s="1"/>
  <c r="E217" i="2"/>
  <c r="D217" i="2" s="1"/>
  <c r="C217" i="2"/>
  <c r="B217" i="2"/>
  <c r="A217" i="2"/>
  <c r="H217" i="2" s="1"/>
  <c r="F216" i="2"/>
  <c r="G216" i="2" s="1"/>
  <c r="E216" i="2"/>
  <c r="D216" i="2" s="1"/>
  <c r="C216" i="2"/>
  <c r="B216" i="2"/>
  <c r="A216" i="2"/>
  <c r="H216" i="2" s="1"/>
  <c r="F215" i="2"/>
  <c r="G215" i="2" s="1"/>
  <c r="E215" i="2"/>
  <c r="D215" i="2" s="1"/>
  <c r="C215" i="2"/>
  <c r="B215" i="2"/>
  <c r="A215" i="2"/>
  <c r="H215" i="2" s="1"/>
  <c r="F214" i="2"/>
  <c r="G214" i="2" s="1"/>
  <c r="E214" i="2"/>
  <c r="D214" i="2" s="1"/>
  <c r="C214" i="2"/>
  <c r="B214" i="2"/>
  <c r="A214" i="2"/>
  <c r="H214" i="2" s="1"/>
  <c r="F213" i="2"/>
  <c r="G213" i="2" s="1"/>
  <c r="E213" i="2"/>
  <c r="D213" i="2" s="1"/>
  <c r="C213" i="2"/>
  <c r="B213" i="2"/>
  <c r="A213" i="2"/>
  <c r="H213" i="2" s="1"/>
  <c r="F212" i="2"/>
  <c r="G212" i="2" s="1"/>
  <c r="E212" i="2"/>
  <c r="D212" i="2" s="1"/>
  <c r="C212" i="2"/>
  <c r="B212" i="2"/>
  <c r="A212" i="2"/>
  <c r="H212" i="2" s="1"/>
  <c r="F211" i="2"/>
  <c r="G211" i="2" s="1"/>
  <c r="E211" i="2"/>
  <c r="D211" i="2" s="1"/>
  <c r="C211" i="2"/>
  <c r="B211" i="2"/>
  <c r="A211" i="2"/>
  <c r="H211" i="2" s="1"/>
  <c r="F210" i="2"/>
  <c r="G210" i="2" s="1"/>
  <c r="E210" i="2"/>
  <c r="D210" i="2"/>
  <c r="C210" i="2"/>
  <c r="B210" i="2"/>
  <c r="A210" i="2"/>
  <c r="H210" i="2" s="1"/>
  <c r="F209" i="2"/>
  <c r="G209" i="2" s="1"/>
  <c r="E209" i="2"/>
  <c r="D209" i="2" s="1"/>
  <c r="C209" i="2"/>
  <c r="B209" i="2"/>
  <c r="A209" i="2"/>
  <c r="H209" i="2" s="1"/>
  <c r="F208" i="2"/>
  <c r="G208" i="2" s="1"/>
  <c r="E208" i="2"/>
  <c r="D208" i="2" s="1"/>
  <c r="C208" i="2"/>
  <c r="B208" i="2"/>
  <c r="A208" i="2"/>
  <c r="H208" i="2" s="1"/>
  <c r="F207" i="2"/>
  <c r="G207" i="2" s="1"/>
  <c r="E207" i="2"/>
  <c r="D207" i="2"/>
  <c r="C207" i="2"/>
  <c r="B207" i="2"/>
  <c r="A207" i="2"/>
  <c r="H207" i="2" s="1"/>
  <c r="H206" i="2"/>
  <c r="F206" i="2"/>
  <c r="G206" i="2" s="1"/>
  <c r="E206" i="2"/>
  <c r="D206" i="2"/>
  <c r="C206" i="2"/>
  <c r="B206" i="2"/>
  <c r="A206" i="2"/>
  <c r="F205" i="2"/>
  <c r="G205" i="2" s="1"/>
  <c r="E205" i="2"/>
  <c r="D205" i="2" s="1"/>
  <c r="C205" i="2"/>
  <c r="B205" i="2"/>
  <c r="A205" i="2"/>
  <c r="H205" i="2" s="1"/>
  <c r="F204" i="2"/>
  <c r="G204" i="2" s="1"/>
  <c r="E204" i="2"/>
  <c r="D204" i="2" s="1"/>
  <c r="C204" i="2"/>
  <c r="B204" i="2"/>
  <c r="A204" i="2"/>
  <c r="H204" i="2" s="1"/>
  <c r="F203" i="2"/>
  <c r="G203" i="2" s="1"/>
  <c r="E203" i="2"/>
  <c r="D203" i="2" s="1"/>
  <c r="C203" i="2"/>
  <c r="B203" i="2"/>
  <c r="A203" i="2"/>
  <c r="H203" i="2" s="1"/>
  <c r="F202" i="2"/>
  <c r="G202" i="2" s="1"/>
  <c r="E202" i="2"/>
  <c r="D202" i="2" s="1"/>
  <c r="C202" i="2"/>
  <c r="B202" i="2"/>
  <c r="A202" i="2"/>
  <c r="H202" i="2" s="1"/>
  <c r="F201" i="2"/>
  <c r="G201" i="2" s="1"/>
  <c r="E201" i="2"/>
  <c r="D201" i="2" s="1"/>
  <c r="C201" i="2"/>
  <c r="B201" i="2"/>
  <c r="A201" i="2"/>
  <c r="H201" i="2" s="1"/>
  <c r="F200" i="2"/>
  <c r="G200" i="2" s="1"/>
  <c r="E200" i="2"/>
  <c r="D200" i="2"/>
  <c r="C200" i="2"/>
  <c r="B200" i="2"/>
  <c r="A200" i="2"/>
  <c r="H200" i="2" s="1"/>
  <c r="F199" i="2"/>
  <c r="G199" i="2" s="1"/>
  <c r="E199" i="2"/>
  <c r="D199" i="2" s="1"/>
  <c r="C199" i="2"/>
  <c r="B199" i="2"/>
  <c r="A199" i="2"/>
  <c r="H199" i="2" s="1"/>
  <c r="F198" i="2"/>
  <c r="G198" i="2" s="1"/>
  <c r="E198" i="2"/>
  <c r="D198" i="2" s="1"/>
  <c r="C198" i="2"/>
  <c r="B198" i="2"/>
  <c r="A198" i="2"/>
  <c r="H198" i="2" s="1"/>
  <c r="F197" i="2"/>
  <c r="G197" i="2" s="1"/>
  <c r="E197" i="2"/>
  <c r="D197" i="2"/>
  <c r="C197" i="2"/>
  <c r="B197" i="2"/>
  <c r="A197" i="2"/>
  <c r="H197" i="2" s="1"/>
  <c r="F196" i="2"/>
  <c r="G196" i="2" s="1"/>
  <c r="E196" i="2"/>
  <c r="D196" i="2" s="1"/>
  <c r="C196" i="2"/>
  <c r="B196" i="2"/>
  <c r="A196" i="2"/>
  <c r="H196" i="2" s="1"/>
  <c r="F195" i="2"/>
  <c r="G195" i="2" s="1"/>
  <c r="E195" i="2"/>
  <c r="D195" i="2" s="1"/>
  <c r="C195" i="2"/>
  <c r="B195" i="2"/>
  <c r="A195" i="2"/>
  <c r="H195" i="2" s="1"/>
  <c r="F194" i="2"/>
  <c r="G194" i="2" s="1"/>
  <c r="E194" i="2"/>
  <c r="D194" i="2" s="1"/>
  <c r="C194" i="2"/>
  <c r="B194" i="2"/>
  <c r="A194" i="2"/>
  <c r="H194" i="2" s="1"/>
  <c r="F193" i="2"/>
  <c r="G193" i="2" s="1"/>
  <c r="E193" i="2"/>
  <c r="D193" i="2" s="1"/>
  <c r="C193" i="2"/>
  <c r="B193" i="2"/>
  <c r="A193" i="2"/>
  <c r="H193" i="2" s="1"/>
  <c r="F192" i="2"/>
  <c r="G192" i="2" s="1"/>
  <c r="E192" i="2"/>
  <c r="D192" i="2" s="1"/>
  <c r="C192" i="2"/>
  <c r="B192" i="2"/>
  <c r="A192" i="2"/>
  <c r="H192" i="2" s="1"/>
  <c r="F191" i="2"/>
  <c r="G191" i="2" s="1"/>
  <c r="E191" i="2"/>
  <c r="D191" i="2" s="1"/>
  <c r="C191" i="2"/>
  <c r="B191" i="2"/>
  <c r="A191" i="2"/>
  <c r="H191" i="2" s="1"/>
  <c r="F190" i="2"/>
  <c r="G190" i="2" s="1"/>
  <c r="E190" i="2"/>
  <c r="D190" i="2" s="1"/>
  <c r="C190" i="2"/>
  <c r="B190" i="2"/>
  <c r="A190" i="2"/>
  <c r="H190" i="2" s="1"/>
  <c r="F189" i="2"/>
  <c r="G189" i="2" s="1"/>
  <c r="E189" i="2"/>
  <c r="D189" i="2" s="1"/>
  <c r="C189" i="2"/>
  <c r="B189" i="2"/>
  <c r="A189" i="2"/>
  <c r="H189" i="2" s="1"/>
  <c r="H188" i="2"/>
  <c r="F188" i="2"/>
  <c r="G188" i="2" s="1"/>
  <c r="E188" i="2"/>
  <c r="D188" i="2" s="1"/>
  <c r="C188" i="2"/>
  <c r="B188" i="2"/>
  <c r="A188" i="2"/>
  <c r="F187" i="2"/>
  <c r="G187" i="2" s="1"/>
  <c r="E187" i="2"/>
  <c r="D187" i="2" s="1"/>
  <c r="C187" i="2"/>
  <c r="B187" i="2"/>
  <c r="A187" i="2"/>
  <c r="H187" i="2" s="1"/>
  <c r="F186" i="2"/>
  <c r="G186" i="2" s="1"/>
  <c r="E186" i="2"/>
  <c r="D186" i="2" s="1"/>
  <c r="C186" i="2"/>
  <c r="B186" i="2"/>
  <c r="A186" i="2"/>
  <c r="H186" i="2" s="1"/>
  <c r="F185" i="2"/>
  <c r="G185" i="2" s="1"/>
  <c r="E185" i="2"/>
  <c r="D185" i="2" s="1"/>
  <c r="C185" i="2"/>
  <c r="B185" i="2"/>
  <c r="A185" i="2"/>
  <c r="H185" i="2" s="1"/>
  <c r="F184" i="2"/>
  <c r="G184" i="2" s="1"/>
  <c r="E184" i="2"/>
  <c r="D184" i="2" s="1"/>
  <c r="C184" i="2"/>
  <c r="B184" i="2"/>
  <c r="A184" i="2"/>
  <c r="H184" i="2" s="1"/>
  <c r="F183" i="2"/>
  <c r="G183" i="2" s="1"/>
  <c r="E183" i="2"/>
  <c r="D183" i="2" s="1"/>
  <c r="C183" i="2"/>
  <c r="B183" i="2"/>
  <c r="A183" i="2"/>
  <c r="H183" i="2" s="1"/>
  <c r="F182" i="2"/>
  <c r="G182" i="2" s="1"/>
  <c r="E182" i="2"/>
  <c r="D182" i="2" s="1"/>
  <c r="C182" i="2"/>
  <c r="B182" i="2"/>
  <c r="A182" i="2"/>
  <c r="H182" i="2" s="1"/>
  <c r="F181" i="2"/>
  <c r="G181" i="2" s="1"/>
  <c r="E181" i="2"/>
  <c r="D181" i="2" s="1"/>
  <c r="C181" i="2"/>
  <c r="B181" i="2"/>
  <c r="A181" i="2"/>
  <c r="H181" i="2" s="1"/>
  <c r="F180" i="2"/>
  <c r="G180" i="2" s="1"/>
  <c r="E180" i="2"/>
  <c r="D180" i="2" s="1"/>
  <c r="C180" i="2"/>
  <c r="B180" i="2"/>
  <c r="A180" i="2"/>
  <c r="H180" i="2" s="1"/>
  <c r="F179" i="2"/>
  <c r="G179" i="2" s="1"/>
  <c r="E179" i="2"/>
  <c r="D179" i="2" s="1"/>
  <c r="C179" i="2"/>
  <c r="B179" i="2"/>
  <c r="A179" i="2"/>
  <c r="H179" i="2" s="1"/>
  <c r="F178" i="2"/>
  <c r="G178" i="2" s="1"/>
  <c r="E178" i="2"/>
  <c r="D178" i="2" s="1"/>
  <c r="C178" i="2"/>
  <c r="B178" i="2"/>
  <c r="A178" i="2"/>
  <c r="H178" i="2" s="1"/>
  <c r="F177" i="2"/>
  <c r="G177" i="2" s="1"/>
  <c r="E177" i="2"/>
  <c r="D177" i="2"/>
  <c r="C177" i="2"/>
  <c r="B177" i="2"/>
  <c r="A177" i="2"/>
  <c r="H177" i="2" s="1"/>
  <c r="H176" i="2"/>
  <c r="F176" i="2"/>
  <c r="G176" i="2" s="1"/>
  <c r="E176" i="2"/>
  <c r="D176" i="2" s="1"/>
  <c r="C176" i="2"/>
  <c r="B176" i="2"/>
  <c r="A176" i="2"/>
  <c r="F175" i="2"/>
  <c r="G175" i="2" s="1"/>
  <c r="E175" i="2"/>
  <c r="D175" i="2"/>
  <c r="C175" i="2"/>
  <c r="B175" i="2"/>
  <c r="A175" i="2"/>
  <c r="H175" i="2" s="1"/>
  <c r="F174" i="2"/>
  <c r="G174" i="2" s="1"/>
  <c r="E174" i="2"/>
  <c r="D174" i="2" s="1"/>
  <c r="C174" i="2"/>
  <c r="B174" i="2"/>
  <c r="A174" i="2"/>
  <c r="H174" i="2" s="1"/>
  <c r="F173" i="2"/>
  <c r="G173" i="2" s="1"/>
  <c r="E173" i="2"/>
  <c r="D173" i="2" s="1"/>
  <c r="C173" i="2"/>
  <c r="B173" i="2"/>
  <c r="A173" i="2"/>
  <c r="H173" i="2" s="1"/>
  <c r="F172" i="2"/>
  <c r="G172" i="2" s="1"/>
  <c r="E172" i="2"/>
  <c r="D172" i="2" s="1"/>
  <c r="C172" i="2"/>
  <c r="B172" i="2"/>
  <c r="A172" i="2"/>
  <c r="H172" i="2" s="1"/>
  <c r="F171" i="2"/>
  <c r="G171" i="2" s="1"/>
  <c r="E171" i="2"/>
  <c r="D171" i="2" s="1"/>
  <c r="C171" i="2"/>
  <c r="B171" i="2"/>
  <c r="A171" i="2"/>
  <c r="H171" i="2" s="1"/>
  <c r="F170" i="2"/>
  <c r="G170" i="2" s="1"/>
  <c r="E170" i="2"/>
  <c r="D170" i="2" s="1"/>
  <c r="C170" i="2"/>
  <c r="B170" i="2"/>
  <c r="A170" i="2"/>
  <c r="H170" i="2" s="1"/>
  <c r="F169" i="2"/>
  <c r="G169" i="2" s="1"/>
  <c r="E169" i="2"/>
  <c r="D169" i="2" s="1"/>
  <c r="C169" i="2"/>
  <c r="B169" i="2"/>
  <c r="A169" i="2"/>
  <c r="H169" i="2" s="1"/>
  <c r="F168" i="2"/>
  <c r="G168" i="2" s="1"/>
  <c r="E168" i="2"/>
  <c r="D168" i="2" s="1"/>
  <c r="C168" i="2"/>
  <c r="B168" i="2"/>
  <c r="A168" i="2"/>
  <c r="H168" i="2" s="1"/>
  <c r="F167" i="2"/>
  <c r="G167" i="2" s="1"/>
  <c r="E167" i="2"/>
  <c r="D167" i="2" s="1"/>
  <c r="C167" i="2"/>
  <c r="B167" i="2"/>
  <c r="A167" i="2"/>
  <c r="H167" i="2" s="1"/>
  <c r="F166" i="2"/>
  <c r="G166" i="2" s="1"/>
  <c r="E166" i="2"/>
  <c r="D166" i="2" s="1"/>
  <c r="C166" i="2"/>
  <c r="B166" i="2"/>
  <c r="A166" i="2"/>
  <c r="H166" i="2" s="1"/>
  <c r="H165" i="2"/>
  <c r="F165" i="2"/>
  <c r="G165" i="2" s="1"/>
  <c r="E165" i="2"/>
  <c r="D165" i="2" s="1"/>
  <c r="C165" i="2"/>
  <c r="B165" i="2"/>
  <c r="A165" i="2"/>
  <c r="F164" i="2"/>
  <c r="G164" i="2" s="1"/>
  <c r="E164" i="2"/>
  <c r="D164" i="2" s="1"/>
  <c r="C164" i="2"/>
  <c r="B164" i="2"/>
  <c r="A164" i="2"/>
  <c r="H164" i="2" s="1"/>
  <c r="F163" i="2"/>
  <c r="G163" i="2" s="1"/>
  <c r="E163" i="2"/>
  <c r="D163" i="2" s="1"/>
  <c r="C163" i="2"/>
  <c r="B163" i="2"/>
  <c r="A163" i="2"/>
  <c r="H163" i="2" s="1"/>
  <c r="F162" i="2"/>
  <c r="G162" i="2" s="1"/>
  <c r="E162" i="2"/>
  <c r="D162" i="2" s="1"/>
  <c r="C162" i="2"/>
  <c r="B162" i="2"/>
  <c r="A162" i="2"/>
  <c r="H162" i="2" s="1"/>
  <c r="F161" i="2"/>
  <c r="G161" i="2" s="1"/>
  <c r="E161" i="2"/>
  <c r="D161" i="2" s="1"/>
  <c r="C161" i="2"/>
  <c r="B161" i="2"/>
  <c r="A161" i="2"/>
  <c r="H161" i="2" s="1"/>
  <c r="F160" i="2"/>
  <c r="G160" i="2" s="1"/>
  <c r="E160" i="2"/>
  <c r="D160" i="2" s="1"/>
  <c r="C160" i="2"/>
  <c r="B160" i="2"/>
  <c r="A160" i="2"/>
  <c r="H160" i="2" s="1"/>
  <c r="F159" i="2"/>
  <c r="G159" i="2" s="1"/>
  <c r="E159" i="2"/>
  <c r="D159" i="2"/>
  <c r="C159" i="2"/>
  <c r="B159" i="2"/>
  <c r="A159" i="2"/>
  <c r="H159" i="2" s="1"/>
  <c r="F158" i="2"/>
  <c r="G158" i="2" s="1"/>
  <c r="E158" i="2"/>
  <c r="D158" i="2" s="1"/>
  <c r="C158" i="2"/>
  <c r="B158" i="2"/>
  <c r="A158" i="2"/>
  <c r="H158" i="2" s="1"/>
  <c r="F157" i="2"/>
  <c r="G157" i="2" s="1"/>
  <c r="E157" i="2"/>
  <c r="D157" i="2" s="1"/>
  <c r="C157" i="2"/>
  <c r="B157" i="2"/>
  <c r="A157" i="2"/>
  <c r="H157" i="2" s="1"/>
  <c r="F156" i="2"/>
  <c r="G156" i="2" s="1"/>
  <c r="E156" i="2"/>
  <c r="D156" i="2" s="1"/>
  <c r="C156" i="2"/>
  <c r="B156" i="2"/>
  <c r="A156" i="2"/>
  <c r="H156" i="2" s="1"/>
  <c r="F155" i="2"/>
  <c r="G155" i="2" s="1"/>
  <c r="E155" i="2"/>
  <c r="D155" i="2" s="1"/>
  <c r="C155" i="2"/>
  <c r="B155" i="2"/>
  <c r="A155" i="2"/>
  <c r="H155" i="2" s="1"/>
  <c r="F154" i="2"/>
  <c r="G154" i="2" s="1"/>
  <c r="E154" i="2"/>
  <c r="D154" i="2" s="1"/>
  <c r="C154" i="2"/>
  <c r="B154" i="2"/>
  <c r="A154" i="2"/>
  <c r="H154" i="2" s="1"/>
  <c r="F153" i="2"/>
  <c r="G153" i="2" s="1"/>
  <c r="E153" i="2"/>
  <c r="D153" i="2" s="1"/>
  <c r="C153" i="2"/>
  <c r="B153" i="2"/>
  <c r="A153" i="2"/>
  <c r="H153" i="2" s="1"/>
  <c r="F152" i="2"/>
  <c r="G152" i="2" s="1"/>
  <c r="E152" i="2"/>
  <c r="D152" i="2" s="1"/>
  <c r="C152" i="2"/>
  <c r="B152" i="2"/>
  <c r="A152" i="2"/>
  <c r="H152" i="2" s="1"/>
  <c r="F151" i="2"/>
  <c r="G151" i="2" s="1"/>
  <c r="E151" i="2"/>
  <c r="D151" i="2" s="1"/>
  <c r="C151" i="2"/>
  <c r="B151" i="2"/>
  <c r="A151" i="2"/>
  <c r="H151" i="2" s="1"/>
  <c r="F150" i="2"/>
  <c r="G150" i="2" s="1"/>
  <c r="E150" i="2"/>
  <c r="D150" i="2"/>
  <c r="C150" i="2"/>
  <c r="B150" i="2"/>
  <c r="A150" i="2"/>
  <c r="H150" i="2" s="1"/>
  <c r="F149" i="2"/>
  <c r="G149" i="2" s="1"/>
  <c r="E149" i="2"/>
  <c r="D149" i="2" s="1"/>
  <c r="C149" i="2"/>
  <c r="B149" i="2"/>
  <c r="A149" i="2"/>
  <c r="H149" i="2" s="1"/>
  <c r="F148" i="2"/>
  <c r="G148" i="2" s="1"/>
  <c r="E148" i="2"/>
  <c r="D148" i="2" s="1"/>
  <c r="C148" i="2"/>
  <c r="B148" i="2"/>
  <c r="A148" i="2"/>
  <c r="H148" i="2" s="1"/>
  <c r="F147" i="2"/>
  <c r="G147" i="2" s="1"/>
  <c r="E147" i="2"/>
  <c r="D147" i="2" s="1"/>
  <c r="C147" i="2"/>
  <c r="B147" i="2"/>
  <c r="A147" i="2"/>
  <c r="H147" i="2" s="1"/>
  <c r="F146" i="2"/>
  <c r="G146" i="2" s="1"/>
  <c r="E146" i="2"/>
  <c r="D146" i="2"/>
  <c r="C146" i="2"/>
  <c r="B146" i="2"/>
  <c r="A146" i="2"/>
  <c r="H146" i="2" s="1"/>
  <c r="F145" i="2"/>
  <c r="G145" i="2" s="1"/>
  <c r="E145" i="2"/>
  <c r="D145" i="2" s="1"/>
  <c r="C145" i="2"/>
  <c r="B145" i="2"/>
  <c r="A145" i="2"/>
  <c r="H145" i="2" s="1"/>
  <c r="F144" i="2"/>
  <c r="G144" i="2" s="1"/>
  <c r="E144" i="2"/>
  <c r="D144" i="2" s="1"/>
  <c r="C144" i="2"/>
  <c r="B144" i="2"/>
  <c r="A144" i="2"/>
  <c r="H144" i="2" s="1"/>
  <c r="F143" i="2"/>
  <c r="G143" i="2" s="1"/>
  <c r="E143" i="2"/>
  <c r="D143" i="2" s="1"/>
  <c r="C143" i="2"/>
  <c r="B143" i="2"/>
  <c r="A143" i="2"/>
  <c r="H143" i="2" s="1"/>
  <c r="F142" i="2"/>
  <c r="G142" i="2" s="1"/>
  <c r="E142" i="2"/>
  <c r="D142" i="2" s="1"/>
  <c r="C142" i="2"/>
  <c r="B142" i="2"/>
  <c r="A142" i="2"/>
  <c r="H142" i="2" s="1"/>
  <c r="F141" i="2"/>
  <c r="G141" i="2" s="1"/>
  <c r="E141" i="2"/>
  <c r="D141" i="2"/>
  <c r="C141" i="2"/>
  <c r="B141" i="2"/>
  <c r="A141" i="2"/>
  <c r="H141" i="2" s="1"/>
  <c r="F140" i="2"/>
  <c r="G140" i="2" s="1"/>
  <c r="E140" i="2"/>
  <c r="D140" i="2" s="1"/>
  <c r="C140" i="2"/>
  <c r="B140" i="2"/>
  <c r="A140" i="2"/>
  <c r="H140" i="2" s="1"/>
  <c r="F139" i="2"/>
  <c r="G139" i="2" s="1"/>
  <c r="E139" i="2"/>
  <c r="D139" i="2" s="1"/>
  <c r="C139" i="2"/>
  <c r="B139" i="2"/>
  <c r="A139" i="2"/>
  <c r="H139" i="2" s="1"/>
  <c r="F138" i="2"/>
  <c r="G138" i="2" s="1"/>
  <c r="E138" i="2"/>
  <c r="D138" i="2"/>
  <c r="C138" i="2"/>
  <c r="B138" i="2"/>
  <c r="A138" i="2"/>
  <c r="H138" i="2" s="1"/>
  <c r="H137" i="2"/>
  <c r="F137" i="2"/>
  <c r="G137" i="2" s="1"/>
  <c r="E137" i="2"/>
  <c r="D137" i="2" s="1"/>
  <c r="C137" i="2"/>
  <c r="B137" i="2"/>
  <c r="A137" i="2"/>
  <c r="F136" i="2"/>
  <c r="G136" i="2" s="1"/>
  <c r="E136" i="2"/>
  <c r="D136" i="2" s="1"/>
  <c r="C136" i="2"/>
  <c r="B136" i="2"/>
  <c r="A136" i="2"/>
  <c r="H136" i="2" s="1"/>
  <c r="F135" i="2"/>
  <c r="G135" i="2" s="1"/>
  <c r="E135" i="2"/>
  <c r="D135" i="2" s="1"/>
  <c r="C135" i="2"/>
  <c r="B135" i="2"/>
  <c r="A135" i="2"/>
  <c r="H135" i="2" s="1"/>
  <c r="F134" i="2"/>
  <c r="G134" i="2" s="1"/>
  <c r="E134" i="2"/>
  <c r="D134" i="2"/>
  <c r="C134" i="2"/>
  <c r="B134" i="2"/>
  <c r="A134" i="2"/>
  <c r="H134" i="2" s="1"/>
  <c r="F133" i="2"/>
  <c r="G133" i="2" s="1"/>
  <c r="E133" i="2"/>
  <c r="D133" i="2" s="1"/>
  <c r="C133" i="2"/>
  <c r="B133" i="2"/>
  <c r="A133" i="2"/>
  <c r="H133" i="2" s="1"/>
  <c r="F132" i="2"/>
  <c r="G132" i="2" s="1"/>
  <c r="E132" i="2"/>
  <c r="D132" i="2" s="1"/>
  <c r="C132" i="2"/>
  <c r="B132" i="2"/>
  <c r="A132" i="2"/>
  <c r="H132" i="2" s="1"/>
  <c r="F131" i="2"/>
  <c r="G131" i="2" s="1"/>
  <c r="E131" i="2"/>
  <c r="D131" i="2" s="1"/>
  <c r="C131" i="2"/>
  <c r="B131" i="2"/>
  <c r="A131" i="2"/>
  <c r="H131" i="2" s="1"/>
  <c r="F130" i="2"/>
  <c r="G130" i="2" s="1"/>
  <c r="E130" i="2"/>
  <c r="D130" i="2" s="1"/>
  <c r="C130" i="2"/>
  <c r="B130" i="2"/>
  <c r="A130" i="2"/>
  <c r="H130" i="2" s="1"/>
  <c r="F129" i="2"/>
  <c r="G129" i="2" s="1"/>
  <c r="E129" i="2"/>
  <c r="D129" i="2" s="1"/>
  <c r="C129" i="2"/>
  <c r="B129" i="2"/>
  <c r="A129" i="2"/>
  <c r="H129" i="2" s="1"/>
  <c r="F128" i="2"/>
  <c r="G128" i="2" s="1"/>
  <c r="E128" i="2"/>
  <c r="D128" i="2" s="1"/>
  <c r="C128" i="2"/>
  <c r="B128" i="2"/>
  <c r="A128" i="2"/>
  <c r="H128" i="2" s="1"/>
  <c r="F127" i="2"/>
  <c r="G127" i="2" s="1"/>
  <c r="E127" i="2"/>
  <c r="D127" i="2" s="1"/>
  <c r="C127" i="2"/>
  <c r="B127" i="2"/>
  <c r="A127" i="2"/>
  <c r="H127" i="2" s="1"/>
  <c r="F126" i="2"/>
  <c r="G126" i="2" s="1"/>
  <c r="E126" i="2"/>
  <c r="D126" i="2" s="1"/>
  <c r="C126" i="2"/>
  <c r="B126" i="2"/>
  <c r="A126" i="2"/>
  <c r="H126" i="2" s="1"/>
  <c r="F125" i="2"/>
  <c r="G125" i="2" s="1"/>
  <c r="E125" i="2"/>
  <c r="D125" i="2" s="1"/>
  <c r="C125" i="2"/>
  <c r="B125" i="2"/>
  <c r="A125" i="2"/>
  <c r="H125" i="2" s="1"/>
  <c r="F124" i="2"/>
  <c r="G124" i="2" s="1"/>
  <c r="E124" i="2"/>
  <c r="D124" i="2" s="1"/>
  <c r="C124" i="2"/>
  <c r="B124" i="2"/>
  <c r="A124" i="2"/>
  <c r="H124" i="2" s="1"/>
  <c r="F123" i="2"/>
  <c r="G123" i="2" s="1"/>
  <c r="E123" i="2"/>
  <c r="D123" i="2" s="1"/>
  <c r="C123" i="2"/>
  <c r="B123" i="2"/>
  <c r="A123" i="2"/>
  <c r="H123" i="2" s="1"/>
  <c r="F122" i="2"/>
  <c r="G122" i="2" s="1"/>
  <c r="E122" i="2"/>
  <c r="D122" i="2" s="1"/>
  <c r="C122" i="2"/>
  <c r="B122" i="2"/>
  <c r="A122" i="2"/>
  <c r="H122" i="2" s="1"/>
  <c r="F121" i="2"/>
  <c r="G121" i="2" s="1"/>
  <c r="E121" i="2"/>
  <c r="D121" i="2" s="1"/>
  <c r="C121" i="2"/>
  <c r="B121" i="2"/>
  <c r="A121" i="2"/>
  <c r="H121" i="2" s="1"/>
  <c r="F120" i="2"/>
  <c r="G120" i="2" s="1"/>
  <c r="E120" i="2"/>
  <c r="D120" i="2" s="1"/>
  <c r="C120" i="2"/>
  <c r="B120" i="2"/>
  <c r="A120" i="2"/>
  <c r="H120" i="2" s="1"/>
  <c r="F119" i="2"/>
  <c r="G119" i="2" s="1"/>
  <c r="E119" i="2"/>
  <c r="D119" i="2" s="1"/>
  <c r="C119" i="2"/>
  <c r="B119" i="2"/>
  <c r="A119" i="2"/>
  <c r="H119" i="2" s="1"/>
  <c r="F118" i="2"/>
  <c r="G118" i="2" s="1"/>
  <c r="E118" i="2"/>
  <c r="D118" i="2"/>
  <c r="C118" i="2"/>
  <c r="B118" i="2"/>
  <c r="A118" i="2"/>
  <c r="H118" i="2" s="1"/>
  <c r="F117" i="2"/>
  <c r="G117" i="2" s="1"/>
  <c r="E117" i="2"/>
  <c r="D117" i="2" s="1"/>
  <c r="C117" i="2"/>
  <c r="B117" i="2"/>
  <c r="A117" i="2"/>
  <c r="H117" i="2" s="1"/>
  <c r="F116" i="2"/>
  <c r="G116" i="2" s="1"/>
  <c r="E116" i="2"/>
  <c r="D116" i="2"/>
  <c r="C116" i="2"/>
  <c r="B116" i="2"/>
  <c r="A116" i="2"/>
  <c r="H116" i="2" s="1"/>
  <c r="F115" i="2"/>
  <c r="G115" i="2" s="1"/>
  <c r="E115" i="2"/>
  <c r="D115" i="2" s="1"/>
  <c r="C115" i="2"/>
  <c r="B115" i="2"/>
  <c r="A115" i="2"/>
  <c r="H115" i="2" s="1"/>
  <c r="F114" i="2"/>
  <c r="G114" i="2" s="1"/>
  <c r="E114" i="2"/>
  <c r="D114" i="2" s="1"/>
  <c r="C114" i="2"/>
  <c r="B114" i="2"/>
  <c r="A114" i="2"/>
  <c r="H114" i="2" s="1"/>
  <c r="F113" i="2"/>
  <c r="G113" i="2" s="1"/>
  <c r="E113" i="2"/>
  <c r="D113" i="2" s="1"/>
  <c r="C113" i="2"/>
  <c r="B113" i="2"/>
  <c r="A113" i="2"/>
  <c r="H113" i="2" s="1"/>
  <c r="F112" i="2"/>
  <c r="G112" i="2" s="1"/>
  <c r="E112" i="2"/>
  <c r="D112" i="2" s="1"/>
  <c r="C112" i="2"/>
  <c r="B112" i="2"/>
  <c r="A112" i="2"/>
  <c r="H112" i="2" s="1"/>
  <c r="F111" i="2"/>
  <c r="G111" i="2" s="1"/>
  <c r="E111" i="2"/>
  <c r="D111" i="2"/>
  <c r="C111" i="2"/>
  <c r="B111" i="2"/>
  <c r="A111" i="2"/>
  <c r="H111" i="2" s="1"/>
  <c r="F110" i="2"/>
  <c r="G110" i="2" s="1"/>
  <c r="E110" i="2"/>
  <c r="D110" i="2"/>
  <c r="C110" i="2"/>
  <c r="B110" i="2"/>
  <c r="A110" i="2"/>
  <c r="H110" i="2" s="1"/>
  <c r="F109" i="2"/>
  <c r="G109" i="2" s="1"/>
  <c r="E109" i="2"/>
  <c r="D109" i="2" s="1"/>
  <c r="C109" i="2"/>
  <c r="B109" i="2"/>
  <c r="A109" i="2"/>
  <c r="H109" i="2" s="1"/>
  <c r="F108" i="2"/>
  <c r="G108" i="2" s="1"/>
  <c r="E108" i="2"/>
  <c r="D108" i="2" s="1"/>
  <c r="C108" i="2"/>
  <c r="B108" i="2"/>
  <c r="A108" i="2"/>
  <c r="H108" i="2" s="1"/>
  <c r="F107" i="2"/>
  <c r="G107" i="2" s="1"/>
  <c r="E107" i="2"/>
  <c r="D107" i="2" s="1"/>
  <c r="C107" i="2"/>
  <c r="B107" i="2"/>
  <c r="A107" i="2"/>
  <c r="H107" i="2" s="1"/>
  <c r="F106" i="2"/>
  <c r="G106" i="2" s="1"/>
  <c r="E106" i="2"/>
  <c r="D106" i="2" s="1"/>
  <c r="C106" i="2"/>
  <c r="B106" i="2"/>
  <c r="A106" i="2"/>
  <c r="H106" i="2" s="1"/>
  <c r="F105" i="2"/>
  <c r="G105" i="2" s="1"/>
  <c r="E105" i="2"/>
  <c r="D105" i="2" s="1"/>
  <c r="C105" i="2"/>
  <c r="B105" i="2"/>
  <c r="A105" i="2"/>
  <c r="H105" i="2" s="1"/>
  <c r="F104" i="2"/>
  <c r="G104" i="2" s="1"/>
  <c r="E104" i="2"/>
  <c r="D104" i="2" s="1"/>
  <c r="C104" i="2"/>
  <c r="B104" i="2"/>
  <c r="A104" i="2"/>
  <c r="H104" i="2" s="1"/>
  <c r="F103" i="2"/>
  <c r="G103" i="2" s="1"/>
  <c r="E103" i="2"/>
  <c r="D103" i="2" s="1"/>
  <c r="C103" i="2"/>
  <c r="B103" i="2"/>
  <c r="A103" i="2"/>
  <c r="H103" i="2" s="1"/>
  <c r="F102" i="2"/>
  <c r="G102" i="2" s="1"/>
  <c r="E102" i="2"/>
  <c r="D102" i="2" s="1"/>
  <c r="C102" i="2"/>
  <c r="B102" i="2"/>
  <c r="A102" i="2"/>
  <c r="H102" i="2" s="1"/>
  <c r="F101" i="2"/>
  <c r="G101" i="2" s="1"/>
  <c r="E101" i="2"/>
  <c r="D101" i="2" s="1"/>
  <c r="C101" i="2"/>
  <c r="B101" i="2"/>
  <c r="A101" i="2"/>
  <c r="H101" i="2" s="1"/>
  <c r="F100" i="2"/>
  <c r="G100" i="2" s="1"/>
  <c r="E100" i="2"/>
  <c r="D100" i="2" s="1"/>
  <c r="C100" i="2"/>
  <c r="B100" i="2"/>
  <c r="A100" i="2"/>
  <c r="H100" i="2" s="1"/>
  <c r="F99" i="2"/>
  <c r="G99" i="2" s="1"/>
  <c r="E99" i="2"/>
  <c r="D99" i="2" s="1"/>
  <c r="C99" i="2"/>
  <c r="B99" i="2"/>
  <c r="A99" i="2"/>
  <c r="H99" i="2" s="1"/>
  <c r="F98" i="2"/>
  <c r="G98" i="2" s="1"/>
  <c r="E98" i="2"/>
  <c r="D98" i="2" s="1"/>
  <c r="C98" i="2"/>
  <c r="B98" i="2"/>
  <c r="A98" i="2"/>
  <c r="H98" i="2" s="1"/>
  <c r="F97" i="2"/>
  <c r="G97" i="2" s="1"/>
  <c r="E97" i="2"/>
  <c r="D97" i="2" s="1"/>
  <c r="C97" i="2"/>
  <c r="B97" i="2"/>
  <c r="A97" i="2"/>
  <c r="H97" i="2" s="1"/>
  <c r="F96" i="2"/>
  <c r="G96" i="2" s="1"/>
  <c r="E96" i="2"/>
  <c r="D96" i="2" s="1"/>
  <c r="C96" i="2"/>
  <c r="B96" i="2"/>
  <c r="A96" i="2"/>
  <c r="H96" i="2" s="1"/>
  <c r="F95" i="2"/>
  <c r="G95" i="2" s="1"/>
  <c r="E95" i="2"/>
  <c r="D95" i="2" s="1"/>
  <c r="C95" i="2"/>
  <c r="B95" i="2"/>
  <c r="A95" i="2"/>
  <c r="H95" i="2" s="1"/>
  <c r="F94" i="2"/>
  <c r="G94" i="2" s="1"/>
  <c r="E94" i="2"/>
  <c r="D94" i="2" s="1"/>
  <c r="C94" i="2"/>
  <c r="B94" i="2"/>
  <c r="A94" i="2"/>
  <c r="H94" i="2" s="1"/>
  <c r="F93" i="2"/>
  <c r="G93" i="2" s="1"/>
  <c r="E93" i="2"/>
  <c r="D93" i="2" s="1"/>
  <c r="C93" i="2"/>
  <c r="B93" i="2"/>
  <c r="A93" i="2"/>
  <c r="H93" i="2" s="1"/>
  <c r="F92" i="2"/>
  <c r="G92" i="2" s="1"/>
  <c r="E92" i="2"/>
  <c r="D92" i="2" s="1"/>
  <c r="C92" i="2"/>
  <c r="B92" i="2"/>
  <c r="A92" i="2"/>
  <c r="H92" i="2" s="1"/>
  <c r="G91" i="2"/>
  <c r="F91" i="2"/>
  <c r="E91" i="2"/>
  <c r="D91" i="2" s="1"/>
  <c r="C91" i="2"/>
  <c r="B91" i="2"/>
  <c r="A91" i="2"/>
  <c r="H91" i="2" s="1"/>
  <c r="F90" i="2"/>
  <c r="G90" i="2" s="1"/>
  <c r="E90" i="2"/>
  <c r="D90" i="2"/>
  <c r="C90" i="2"/>
  <c r="B90" i="2"/>
  <c r="A90" i="2"/>
  <c r="H90" i="2" s="1"/>
  <c r="G89" i="2"/>
  <c r="F89" i="2"/>
  <c r="E89" i="2"/>
  <c r="D89" i="2"/>
  <c r="C89" i="2"/>
  <c r="B89" i="2"/>
  <c r="A89" i="2"/>
  <c r="H89" i="2" s="1"/>
  <c r="F88" i="2"/>
  <c r="G88" i="2" s="1"/>
  <c r="E88" i="2"/>
  <c r="D88" i="2" s="1"/>
  <c r="C88" i="2"/>
  <c r="B88" i="2"/>
  <c r="A88" i="2"/>
  <c r="H88" i="2" s="1"/>
  <c r="F87" i="2"/>
  <c r="G87" i="2" s="1"/>
  <c r="E87" i="2"/>
  <c r="D87" i="2" s="1"/>
  <c r="C87" i="2"/>
  <c r="B87" i="2"/>
  <c r="A87" i="2"/>
  <c r="H87" i="2" s="1"/>
  <c r="F86" i="2"/>
  <c r="G86" i="2" s="1"/>
  <c r="E86" i="2"/>
  <c r="D86" i="2" s="1"/>
  <c r="C86" i="2"/>
  <c r="B86" i="2"/>
  <c r="A86" i="2"/>
  <c r="H86" i="2" s="1"/>
  <c r="F85" i="2"/>
  <c r="G85" i="2" s="1"/>
  <c r="E85" i="2"/>
  <c r="D85" i="2" s="1"/>
  <c r="C85" i="2"/>
  <c r="B85" i="2"/>
  <c r="A85" i="2"/>
  <c r="H85" i="2" s="1"/>
  <c r="F84" i="2"/>
  <c r="G84" i="2" s="1"/>
  <c r="E84" i="2"/>
  <c r="D84" i="2" s="1"/>
  <c r="C84" i="2"/>
  <c r="B84" i="2"/>
  <c r="A84" i="2"/>
  <c r="H84" i="2" s="1"/>
  <c r="H83" i="2"/>
  <c r="F83" i="2"/>
  <c r="G83" i="2" s="1"/>
  <c r="E83" i="2"/>
  <c r="D83" i="2" s="1"/>
  <c r="C83" i="2"/>
  <c r="B83" i="2"/>
  <c r="A83" i="2"/>
  <c r="F82" i="2"/>
  <c r="G82" i="2" s="1"/>
  <c r="E82" i="2"/>
  <c r="D82" i="2" s="1"/>
  <c r="C82" i="2"/>
  <c r="B82" i="2"/>
  <c r="A82" i="2"/>
  <c r="H82" i="2" s="1"/>
  <c r="F81" i="2"/>
  <c r="G81" i="2" s="1"/>
  <c r="E81" i="2"/>
  <c r="D81" i="2" s="1"/>
  <c r="C81" i="2"/>
  <c r="B81" i="2"/>
  <c r="A81" i="2"/>
  <c r="H81" i="2" s="1"/>
  <c r="F80" i="2"/>
  <c r="G80" i="2" s="1"/>
  <c r="E80" i="2"/>
  <c r="D80" i="2" s="1"/>
  <c r="C80" i="2"/>
  <c r="B80" i="2"/>
  <c r="A80" i="2"/>
  <c r="H80" i="2" s="1"/>
  <c r="F79" i="2"/>
  <c r="G79" i="2" s="1"/>
  <c r="E79" i="2"/>
  <c r="D79" i="2" s="1"/>
  <c r="C79" i="2"/>
  <c r="B79" i="2"/>
  <c r="A79" i="2"/>
  <c r="H79" i="2" s="1"/>
  <c r="F78" i="2"/>
  <c r="G78" i="2" s="1"/>
  <c r="E78" i="2"/>
  <c r="D78" i="2" s="1"/>
  <c r="C78" i="2"/>
  <c r="B78" i="2"/>
  <c r="A78" i="2"/>
  <c r="H78" i="2" s="1"/>
  <c r="F77" i="2"/>
  <c r="G77" i="2" s="1"/>
  <c r="E77" i="2"/>
  <c r="D77" i="2" s="1"/>
  <c r="C77" i="2"/>
  <c r="B77" i="2"/>
  <c r="A77" i="2"/>
  <c r="H77" i="2" s="1"/>
  <c r="F76" i="2"/>
  <c r="G76" i="2" s="1"/>
  <c r="E76" i="2"/>
  <c r="D76" i="2" s="1"/>
  <c r="C76" i="2"/>
  <c r="B76" i="2"/>
  <c r="A76" i="2"/>
  <c r="H76" i="2" s="1"/>
  <c r="F75" i="2"/>
  <c r="G75" i="2" s="1"/>
  <c r="E75" i="2"/>
  <c r="D75" i="2" s="1"/>
  <c r="C75" i="2"/>
  <c r="B75" i="2"/>
  <c r="A75" i="2"/>
  <c r="H75" i="2" s="1"/>
  <c r="F74" i="2"/>
  <c r="G74" i="2" s="1"/>
  <c r="E74" i="2"/>
  <c r="D74" i="2" s="1"/>
  <c r="C74" i="2"/>
  <c r="B74" i="2"/>
  <c r="A74" i="2"/>
  <c r="H74" i="2" s="1"/>
  <c r="F73" i="2"/>
  <c r="G73" i="2" s="1"/>
  <c r="E73" i="2"/>
  <c r="D73" i="2" s="1"/>
  <c r="C73" i="2"/>
  <c r="B73" i="2"/>
  <c r="A73" i="2"/>
  <c r="H73" i="2" s="1"/>
  <c r="F72" i="2"/>
  <c r="G72" i="2" s="1"/>
  <c r="E72" i="2"/>
  <c r="D72" i="2" s="1"/>
  <c r="C72" i="2"/>
  <c r="B72" i="2"/>
  <c r="A72" i="2"/>
  <c r="H72" i="2" s="1"/>
  <c r="F71" i="2"/>
  <c r="G71" i="2" s="1"/>
  <c r="E71" i="2"/>
  <c r="D71" i="2" s="1"/>
  <c r="C71" i="2"/>
  <c r="B71" i="2"/>
  <c r="A71" i="2"/>
  <c r="H71" i="2" s="1"/>
  <c r="F70" i="2"/>
  <c r="G70" i="2" s="1"/>
  <c r="E70" i="2"/>
  <c r="D70" i="2" s="1"/>
  <c r="C70" i="2"/>
  <c r="B70" i="2"/>
  <c r="A70" i="2"/>
  <c r="H70" i="2" s="1"/>
  <c r="F69" i="2"/>
  <c r="G69" i="2" s="1"/>
  <c r="E69" i="2"/>
  <c r="D69" i="2"/>
  <c r="C69" i="2"/>
  <c r="B69" i="2"/>
  <c r="A69" i="2"/>
  <c r="H69" i="2" s="1"/>
  <c r="F68" i="2"/>
  <c r="G68" i="2" s="1"/>
  <c r="E68" i="2"/>
  <c r="D68" i="2" s="1"/>
  <c r="C68" i="2"/>
  <c r="B68" i="2"/>
  <c r="A68" i="2"/>
  <c r="H68" i="2" s="1"/>
  <c r="F67" i="2"/>
  <c r="G67" i="2" s="1"/>
  <c r="E67" i="2"/>
  <c r="D67" i="2"/>
  <c r="C67" i="2"/>
  <c r="B67" i="2"/>
  <c r="A67" i="2"/>
  <c r="H67" i="2" s="1"/>
  <c r="F66" i="2"/>
  <c r="G66" i="2" s="1"/>
  <c r="E66" i="2"/>
  <c r="D66" i="2" s="1"/>
  <c r="C66" i="2"/>
  <c r="B66" i="2"/>
  <c r="A66" i="2"/>
  <c r="H66" i="2" s="1"/>
  <c r="F65" i="2"/>
  <c r="G65" i="2" s="1"/>
  <c r="E65" i="2"/>
  <c r="D65" i="2" s="1"/>
  <c r="C65" i="2"/>
  <c r="B65" i="2"/>
  <c r="A65" i="2"/>
  <c r="H65" i="2" s="1"/>
  <c r="F64" i="2"/>
  <c r="G64" i="2" s="1"/>
  <c r="E64" i="2"/>
  <c r="D64" i="2" s="1"/>
  <c r="C64" i="2"/>
  <c r="B64" i="2"/>
  <c r="A64" i="2"/>
  <c r="H64" i="2" s="1"/>
  <c r="F63" i="2"/>
  <c r="G63" i="2" s="1"/>
  <c r="E63" i="2"/>
  <c r="D63" i="2" s="1"/>
  <c r="C63" i="2"/>
  <c r="B63" i="2"/>
  <c r="A63" i="2"/>
  <c r="H63" i="2" s="1"/>
  <c r="H62" i="2"/>
  <c r="F62" i="2"/>
  <c r="G62" i="2" s="1"/>
  <c r="E62" i="2"/>
  <c r="D62" i="2" s="1"/>
  <c r="C62" i="2"/>
  <c r="B62" i="2"/>
  <c r="A62" i="2"/>
  <c r="F61" i="2"/>
  <c r="G61" i="2" s="1"/>
  <c r="E61" i="2"/>
  <c r="D61" i="2" s="1"/>
  <c r="C61" i="2"/>
  <c r="B61" i="2"/>
  <c r="A61" i="2"/>
  <c r="H61" i="2" s="1"/>
  <c r="F60" i="2"/>
  <c r="G60" i="2" s="1"/>
  <c r="E60" i="2"/>
  <c r="D60" i="2" s="1"/>
  <c r="C60" i="2"/>
  <c r="B60" i="2"/>
  <c r="A60" i="2"/>
  <c r="H60" i="2" s="1"/>
  <c r="F59" i="2"/>
  <c r="G59" i="2" s="1"/>
  <c r="E59" i="2"/>
  <c r="D59" i="2"/>
  <c r="C59" i="2"/>
  <c r="B59" i="2"/>
  <c r="A59" i="2"/>
  <c r="H59" i="2" s="1"/>
  <c r="F58" i="2"/>
  <c r="G58" i="2" s="1"/>
  <c r="E58" i="2"/>
  <c r="D58" i="2" s="1"/>
  <c r="C58" i="2"/>
  <c r="B58" i="2"/>
  <c r="A58" i="2"/>
  <c r="H58" i="2" s="1"/>
  <c r="F57" i="2"/>
  <c r="G57" i="2" s="1"/>
  <c r="E57" i="2"/>
  <c r="D57" i="2" s="1"/>
  <c r="C57" i="2"/>
  <c r="B57" i="2"/>
  <c r="A57" i="2"/>
  <c r="H57" i="2" s="1"/>
  <c r="F56" i="2"/>
  <c r="G56" i="2" s="1"/>
  <c r="E56" i="2"/>
  <c r="D56" i="2" s="1"/>
  <c r="C56" i="2"/>
  <c r="B56" i="2"/>
  <c r="A56" i="2"/>
  <c r="H56" i="2" s="1"/>
  <c r="F55" i="2"/>
  <c r="G55" i="2" s="1"/>
  <c r="E55" i="2"/>
  <c r="D55" i="2" s="1"/>
  <c r="C55" i="2"/>
  <c r="B55" i="2"/>
  <c r="A55" i="2"/>
  <c r="H55" i="2" s="1"/>
  <c r="F54" i="2"/>
  <c r="G54" i="2" s="1"/>
  <c r="E54" i="2"/>
  <c r="D54" i="2" s="1"/>
  <c r="C54" i="2"/>
  <c r="B54" i="2"/>
  <c r="A54" i="2"/>
  <c r="H54" i="2" s="1"/>
  <c r="F53" i="2"/>
  <c r="G53" i="2" s="1"/>
  <c r="E53" i="2"/>
  <c r="D53" i="2" s="1"/>
  <c r="C53" i="2"/>
  <c r="B53" i="2"/>
  <c r="A53" i="2"/>
  <c r="H53" i="2" s="1"/>
  <c r="F52" i="2"/>
  <c r="G52" i="2" s="1"/>
  <c r="E52" i="2"/>
  <c r="D52" i="2" s="1"/>
  <c r="C52" i="2"/>
  <c r="B52" i="2"/>
  <c r="A52" i="2"/>
  <c r="H52" i="2" s="1"/>
  <c r="F51" i="2"/>
  <c r="G51" i="2" s="1"/>
  <c r="E51" i="2"/>
  <c r="D51" i="2" s="1"/>
  <c r="C51" i="2"/>
  <c r="B51" i="2"/>
  <c r="A51" i="2"/>
  <c r="H51" i="2" s="1"/>
  <c r="F50" i="2"/>
  <c r="G50" i="2" s="1"/>
  <c r="E50" i="2"/>
  <c r="D50" i="2" s="1"/>
  <c r="C50" i="2"/>
  <c r="B50" i="2"/>
  <c r="A50" i="2"/>
  <c r="H50" i="2" s="1"/>
  <c r="F49" i="2"/>
  <c r="G49" i="2" s="1"/>
  <c r="E49" i="2"/>
  <c r="D49" i="2" s="1"/>
  <c r="C49" i="2"/>
  <c r="B49" i="2"/>
  <c r="A49" i="2"/>
  <c r="H49" i="2" s="1"/>
  <c r="F48" i="2"/>
  <c r="G48" i="2" s="1"/>
  <c r="E48" i="2"/>
  <c r="D48" i="2" s="1"/>
  <c r="C48" i="2"/>
  <c r="B48" i="2"/>
  <c r="A48" i="2"/>
  <c r="H48" i="2" s="1"/>
  <c r="F47" i="2"/>
  <c r="G47" i="2" s="1"/>
  <c r="E47" i="2"/>
  <c r="D47" i="2" s="1"/>
  <c r="C47" i="2"/>
  <c r="B47" i="2"/>
  <c r="A47" i="2"/>
  <c r="H47" i="2" s="1"/>
  <c r="F46" i="2"/>
  <c r="G46" i="2" s="1"/>
  <c r="E46" i="2"/>
  <c r="D46" i="2" s="1"/>
  <c r="C46" i="2"/>
  <c r="B46" i="2"/>
  <c r="A46" i="2"/>
  <c r="H46" i="2" s="1"/>
  <c r="F45" i="2"/>
  <c r="G45" i="2" s="1"/>
  <c r="E45" i="2"/>
  <c r="D45" i="2" s="1"/>
  <c r="C45" i="2"/>
  <c r="B45" i="2"/>
  <c r="A45" i="2"/>
  <c r="H45" i="2" s="1"/>
  <c r="G44" i="2"/>
  <c r="F44" i="2"/>
  <c r="E44" i="2"/>
  <c r="D44" i="2" s="1"/>
  <c r="C44" i="2"/>
  <c r="B44" i="2"/>
  <c r="A44" i="2"/>
  <c r="H44" i="2" s="1"/>
  <c r="F43" i="2"/>
  <c r="G43" i="2" s="1"/>
  <c r="E43" i="2"/>
  <c r="D43" i="2" s="1"/>
  <c r="C43" i="2"/>
  <c r="B43" i="2"/>
  <c r="A43" i="2"/>
  <c r="H43" i="2" s="1"/>
  <c r="F42" i="2"/>
  <c r="G42" i="2" s="1"/>
  <c r="E42" i="2"/>
  <c r="D42" i="2" s="1"/>
  <c r="C42" i="2"/>
  <c r="B42" i="2"/>
  <c r="A42" i="2"/>
  <c r="H42" i="2" s="1"/>
  <c r="F41" i="2"/>
  <c r="G41" i="2" s="1"/>
  <c r="E41" i="2"/>
  <c r="D41" i="2" s="1"/>
  <c r="C41" i="2"/>
  <c r="B41" i="2"/>
  <c r="A41" i="2"/>
  <c r="H41" i="2" s="1"/>
  <c r="F40" i="2"/>
  <c r="G40" i="2" s="1"/>
  <c r="E40" i="2"/>
  <c r="D40" i="2"/>
  <c r="C40" i="2"/>
  <c r="B40" i="2"/>
  <c r="A40" i="2"/>
  <c r="H40" i="2" s="1"/>
  <c r="F39" i="2"/>
  <c r="G39" i="2" s="1"/>
  <c r="E39" i="2"/>
  <c r="D39" i="2" s="1"/>
  <c r="C39" i="2"/>
  <c r="B39" i="2"/>
  <c r="A39" i="2"/>
  <c r="H39" i="2" s="1"/>
  <c r="F38" i="2"/>
  <c r="G38" i="2" s="1"/>
  <c r="E38" i="2"/>
  <c r="D38" i="2" s="1"/>
  <c r="C38" i="2"/>
  <c r="B38" i="2"/>
  <c r="A38" i="2"/>
  <c r="H38" i="2" s="1"/>
  <c r="F37" i="2"/>
  <c r="G37" i="2" s="1"/>
  <c r="E37" i="2"/>
  <c r="D37" i="2" s="1"/>
  <c r="C37" i="2"/>
  <c r="B37" i="2"/>
  <c r="A37" i="2"/>
  <c r="H37" i="2" s="1"/>
  <c r="F36" i="2"/>
  <c r="G36" i="2" s="1"/>
  <c r="E36" i="2"/>
  <c r="D36" i="2" s="1"/>
  <c r="C36" i="2"/>
  <c r="B36" i="2"/>
  <c r="A36" i="2"/>
  <c r="H36" i="2" s="1"/>
  <c r="F35" i="2"/>
  <c r="G35" i="2" s="1"/>
  <c r="E35" i="2"/>
  <c r="D35" i="2"/>
  <c r="C35" i="2"/>
  <c r="B35" i="2"/>
  <c r="A35" i="2"/>
  <c r="H35" i="2" s="1"/>
  <c r="F34" i="2"/>
  <c r="G34" i="2" s="1"/>
  <c r="E34" i="2"/>
  <c r="D34" i="2" s="1"/>
  <c r="C34" i="2"/>
  <c r="B34" i="2"/>
  <c r="A34" i="2"/>
  <c r="H34" i="2" s="1"/>
  <c r="F33" i="2"/>
  <c r="G33" i="2" s="1"/>
  <c r="E33" i="2"/>
  <c r="D33" i="2" s="1"/>
  <c r="C33" i="2"/>
  <c r="B33" i="2"/>
  <c r="A33" i="2"/>
  <c r="H33" i="2" s="1"/>
  <c r="F32" i="2"/>
  <c r="G32" i="2" s="1"/>
  <c r="E32" i="2"/>
  <c r="D32" i="2"/>
  <c r="C32" i="2"/>
  <c r="B32" i="2"/>
  <c r="A32" i="2"/>
  <c r="H32" i="2" s="1"/>
  <c r="F31" i="2"/>
  <c r="G31" i="2" s="1"/>
  <c r="E31" i="2"/>
  <c r="D31" i="2" s="1"/>
  <c r="C31" i="2"/>
  <c r="B31" i="2"/>
  <c r="A31" i="2"/>
  <c r="H31" i="2" s="1"/>
  <c r="F30" i="2"/>
  <c r="G30" i="2" s="1"/>
  <c r="E30" i="2"/>
  <c r="D30" i="2" s="1"/>
  <c r="C30" i="2"/>
  <c r="B30" i="2"/>
  <c r="A30" i="2"/>
  <c r="H30" i="2" s="1"/>
  <c r="F29" i="2"/>
  <c r="G29" i="2" s="1"/>
  <c r="E29" i="2"/>
  <c r="D29" i="2" s="1"/>
  <c r="C29" i="2"/>
  <c r="B29" i="2"/>
  <c r="A29" i="2"/>
  <c r="H29" i="2" s="1"/>
  <c r="F28" i="2"/>
  <c r="G28" i="2" s="1"/>
  <c r="E28" i="2"/>
  <c r="D28" i="2" s="1"/>
  <c r="C28" i="2"/>
  <c r="B28" i="2"/>
  <c r="A28" i="2"/>
  <c r="H28" i="2" s="1"/>
  <c r="F27" i="2"/>
  <c r="G27" i="2" s="1"/>
  <c r="E27" i="2"/>
  <c r="D27" i="2" s="1"/>
  <c r="C27" i="2"/>
  <c r="B27" i="2"/>
  <c r="A27" i="2"/>
  <c r="H27" i="2" s="1"/>
  <c r="F26" i="2"/>
  <c r="G26" i="2" s="1"/>
  <c r="E26" i="2"/>
  <c r="D26" i="2" s="1"/>
  <c r="C26" i="2"/>
  <c r="B26" i="2"/>
  <c r="A26" i="2"/>
  <c r="H26" i="2" s="1"/>
  <c r="F25" i="2"/>
  <c r="G25" i="2" s="1"/>
  <c r="E25" i="2"/>
  <c r="D25" i="2"/>
  <c r="C25" i="2"/>
  <c r="B25" i="2"/>
  <c r="A25" i="2"/>
  <c r="H25" i="2" s="1"/>
  <c r="F24" i="2"/>
  <c r="G24" i="2" s="1"/>
  <c r="E24" i="2"/>
  <c r="D24" i="2" s="1"/>
  <c r="C24" i="2"/>
  <c r="B24" i="2"/>
  <c r="A24" i="2"/>
  <c r="H24" i="2" s="1"/>
  <c r="F23" i="2"/>
  <c r="G23" i="2" s="1"/>
  <c r="E23" i="2"/>
  <c r="D23" i="2"/>
  <c r="C23" i="2"/>
  <c r="B23" i="2"/>
  <c r="A23" i="2"/>
  <c r="H23" i="2" s="1"/>
  <c r="F22" i="2"/>
  <c r="G22" i="2" s="1"/>
  <c r="E22" i="2"/>
  <c r="D22" i="2" s="1"/>
  <c r="C22" i="2"/>
  <c r="B22" i="2"/>
  <c r="A22" i="2"/>
  <c r="H22" i="2" s="1"/>
  <c r="F21" i="2"/>
  <c r="G21" i="2" s="1"/>
  <c r="E21" i="2"/>
  <c r="D21" i="2"/>
  <c r="C21" i="2"/>
  <c r="B21" i="2"/>
  <c r="A21" i="2"/>
  <c r="H21" i="2" s="1"/>
  <c r="F20" i="2"/>
  <c r="G20" i="2" s="1"/>
  <c r="E20" i="2"/>
  <c r="D20" i="2" s="1"/>
  <c r="C20" i="2"/>
  <c r="B20" i="2"/>
  <c r="A20" i="2"/>
  <c r="H20" i="2" s="1"/>
  <c r="F19" i="2"/>
  <c r="G19" i="2" s="1"/>
  <c r="E19" i="2"/>
  <c r="D19" i="2" s="1"/>
  <c r="C19" i="2"/>
  <c r="B19" i="2"/>
  <c r="A19" i="2"/>
  <c r="H19" i="2" s="1"/>
  <c r="F18" i="2"/>
  <c r="G18" i="2" s="1"/>
  <c r="E18" i="2"/>
  <c r="D18" i="2" s="1"/>
  <c r="C18" i="2"/>
  <c r="B18" i="2"/>
  <c r="A18" i="2"/>
  <c r="H18" i="2" s="1"/>
  <c r="F17" i="2"/>
  <c r="G17" i="2" s="1"/>
  <c r="E17" i="2"/>
  <c r="D17" i="2" s="1"/>
  <c r="C17" i="2"/>
  <c r="B17" i="2"/>
  <c r="A17" i="2"/>
  <c r="H17" i="2" s="1"/>
  <c r="F16" i="2"/>
  <c r="G16" i="2" s="1"/>
  <c r="E16" i="2"/>
  <c r="D16" i="2"/>
  <c r="C16" i="2"/>
  <c r="B16" i="2"/>
  <c r="A16" i="2"/>
  <c r="H16" i="2" s="1"/>
  <c r="F15" i="2"/>
  <c r="G15" i="2" s="1"/>
  <c r="E15" i="2"/>
  <c r="D15" i="2" s="1"/>
  <c r="C15" i="2"/>
  <c r="B15" i="2"/>
  <c r="A15" i="2"/>
  <c r="H15" i="2" s="1"/>
  <c r="F14" i="2"/>
  <c r="G14" i="2" s="1"/>
  <c r="E14" i="2"/>
  <c r="D14" i="2" s="1"/>
  <c r="C14" i="2"/>
  <c r="B14" i="2"/>
  <c r="A14" i="2"/>
  <c r="H14" i="2" s="1"/>
  <c r="F13" i="2"/>
  <c r="G13" i="2" s="1"/>
  <c r="E13" i="2"/>
  <c r="D13" i="2"/>
  <c r="C13" i="2"/>
  <c r="B13" i="2"/>
  <c r="A13" i="2"/>
  <c r="H13" i="2" s="1"/>
  <c r="F12" i="2"/>
  <c r="G12" i="2" s="1"/>
  <c r="E12" i="2"/>
  <c r="D12" i="2" s="1"/>
  <c r="C12" i="2"/>
  <c r="B12" i="2"/>
  <c r="A12" i="2"/>
  <c r="H12" i="2" s="1"/>
  <c r="F11" i="2"/>
  <c r="G11" i="2" s="1"/>
  <c r="E11" i="2"/>
  <c r="D11" i="2" s="1"/>
  <c r="C11" i="2"/>
  <c r="B11" i="2"/>
  <c r="A11" i="2"/>
  <c r="H11" i="2" s="1"/>
  <c r="F10" i="2"/>
  <c r="G10" i="2" s="1"/>
  <c r="E10" i="2"/>
  <c r="D10" i="2" s="1"/>
  <c r="C10" i="2"/>
  <c r="B10" i="2"/>
  <c r="A10" i="2"/>
  <c r="H10" i="2" s="1"/>
  <c r="F9" i="2"/>
  <c r="G9" i="2" s="1"/>
  <c r="E9" i="2"/>
  <c r="D9" i="2" s="1"/>
  <c r="C9" i="2"/>
  <c r="B9" i="2"/>
  <c r="A9" i="2"/>
  <c r="H9" i="2" s="1"/>
  <c r="F8" i="2"/>
  <c r="G8" i="2" s="1"/>
  <c r="E8" i="2"/>
  <c r="D8" i="2" s="1"/>
  <c r="C8" i="2"/>
  <c r="B8" i="2"/>
  <c r="A8" i="2"/>
  <c r="H8" i="2" s="1"/>
  <c r="F7" i="2"/>
  <c r="G7" i="2" s="1"/>
  <c r="E7" i="2"/>
  <c r="D7" i="2" s="1"/>
  <c r="C7" i="2"/>
  <c r="B7" i="2"/>
  <c r="A7" i="2"/>
  <c r="H7" i="2" s="1"/>
  <c r="F6" i="2"/>
  <c r="G6" i="2" s="1"/>
  <c r="E6" i="2"/>
  <c r="D6" i="2" s="1"/>
  <c r="C6" i="2"/>
  <c r="B6" i="2"/>
  <c r="A6" i="2"/>
  <c r="H6" i="2" s="1"/>
  <c r="W5" i="2"/>
  <c r="V5" i="2"/>
  <c r="F5" i="2"/>
  <c r="G5" i="2" s="1"/>
  <c r="E5" i="2"/>
  <c r="D5" i="2" s="1"/>
  <c r="C5" i="2"/>
  <c r="B5" i="2"/>
  <c r="A5" i="2"/>
  <c r="H5" i="2" s="1"/>
  <c r="W4" i="2"/>
  <c r="V4" i="2"/>
  <c r="F4" i="2"/>
  <c r="G4" i="2" s="1"/>
  <c r="E4" i="2"/>
  <c r="D4" i="2" s="1"/>
  <c r="C4" i="2"/>
  <c r="B4" i="2"/>
  <c r="A4" i="2"/>
  <c r="H4" i="2" s="1"/>
  <c r="W3" i="2"/>
  <c r="V3" i="2"/>
  <c r="F3" i="2"/>
  <c r="G3" i="2" s="1"/>
  <c r="E3" i="2"/>
  <c r="D3" i="2" s="1"/>
  <c r="C3" i="2"/>
  <c r="B3" i="2"/>
  <c r="A3" i="2"/>
  <c r="H3" i="2" s="1"/>
  <c r="F2" i="2"/>
  <c r="G2" i="2" s="1"/>
  <c r="E2" i="2"/>
  <c r="D2" i="2" s="1"/>
  <c r="C2" i="2"/>
  <c r="B2" i="2"/>
  <c r="A2" i="2"/>
  <c r="H2" i="2" s="1"/>
</calcChain>
</file>

<file path=xl/sharedStrings.xml><?xml version="1.0" encoding="utf-8"?>
<sst xmlns="http://schemas.openxmlformats.org/spreadsheetml/2006/main" count="48275" uniqueCount="27806">
  <si>
    <t>Código</t>
  </si>
  <si>
    <t>uri</t>
  </si>
  <si>
    <t>nome</t>
  </si>
  <si>
    <t>idLegislaturaInicial</t>
  </si>
  <si>
    <t>idLegislaturaFinal</t>
  </si>
  <si>
    <t>nomeCivil</t>
  </si>
  <si>
    <t>cpf</t>
  </si>
  <si>
    <t>siglaSexo</t>
  </si>
  <si>
    <t>urlRedeSocial</t>
  </si>
  <si>
    <t>urlWebsite</t>
  </si>
  <si>
    <t>dataNascimento</t>
  </si>
  <si>
    <t>dataFalecimento</t>
  </si>
  <si>
    <t>ufNascimento</t>
  </si>
  <si>
    <t>municipioNascimento</t>
  </si>
  <si>
    <t>https://dadosabertos.camara.leg.br/api/v2/deputados/220593</t>
  </si>
  <si>
    <t>Abilio Brunini</t>
  </si>
  <si>
    <t>ABILIO JACQUES BRUNINI MOUMER</t>
  </si>
  <si>
    <t>M</t>
  </si>
  <si>
    <t>MT</t>
  </si>
  <si>
    <t>Cuiabá</t>
  </si>
  <si>
    <t>https://dadosabertos.camara.leg.br/api/v2/deputados/204379</t>
  </si>
  <si>
    <t>Acácio Favacho</t>
  </si>
  <si>
    <t>ACÁCIO DA SILVA FAVACHO NETO</t>
  </si>
  <si>
    <t>https://twitter.com/acaciofavacho, https://www.facebook.com/deputadofederalacaciofavacho, https://youtube.com/channel/UCWNbptIjAriL2pt8H3W6CGw</t>
  </si>
  <si>
    <t>AP</t>
  </si>
  <si>
    <t>Macapá</t>
  </si>
  <si>
    <t>https://dadosabertos.camara.leg.br/api/v2/deputados/220714</t>
  </si>
  <si>
    <t>Adail Filho</t>
  </si>
  <si>
    <t>ADAIL JOSÉ FIGUEIREDO PINHEIRO</t>
  </si>
  <si>
    <t>https://www.instagram.com/adailfilho/, https://www.youtube.com/@AdailFilho, https://www.facebook.com/AdailFilhoAM, https://twitter.com/adailfilhoam?s=21&amp;t=O_eoTX0q1QfS6vmySI7biQ</t>
  </si>
  <si>
    <t>AM</t>
  </si>
  <si>
    <t>Manaus</t>
  </si>
  <si>
    <t>https://dadosabertos.camara.leg.br/api/v2/deputados/221328</t>
  </si>
  <si>
    <t>Adilson Barroso</t>
  </si>
  <si>
    <t>ADILSON BARROSO OLIVEIRA</t>
  </si>
  <si>
    <t>MG</t>
  </si>
  <si>
    <t>Minas Novas</t>
  </si>
  <si>
    <t>https://dadosabertos.camara.leg.br/api/v2/deputados/204560</t>
  </si>
  <si>
    <t>Adolfo Viana</t>
  </si>
  <si>
    <t>ADOLFO VIANA DE CASTRO NETO</t>
  </si>
  <si>
    <t>BA</t>
  </si>
  <si>
    <t>Salvador</t>
  </si>
  <si>
    <t>https://dadosabertos.camara.leg.br/api/v2/deputados/204528</t>
  </si>
  <si>
    <t>Adriana Ventura</t>
  </si>
  <si>
    <t>ADRIANA MIGUEL VENTURA</t>
  </si>
  <si>
    <t>F</t>
  </si>
  <si>
    <t>https://twitter.com/adriventurasp, https://www.facebook.com/adriventurasp, https://www.instagram.com/adriventurasp, https://youtube.com/adrianaventura</t>
  </si>
  <si>
    <t>SP</t>
  </si>
  <si>
    <t>São Paulo</t>
  </si>
  <si>
    <t>https://dadosabertos.camara.leg.br/api/v2/deputados/121948</t>
  </si>
  <si>
    <t>Adriano do Baldy</t>
  </si>
  <si>
    <t>ADRIANO ANTÔNIO AVELAR</t>
  </si>
  <si>
    <t>https://www.instagram.com/adrianodobaldyoficial, https://twitter.com/adrianodobaldy, https://www.facebook.com/AdrianoDoBaldyOficial</t>
  </si>
  <si>
    <t>GO</t>
  </si>
  <si>
    <t>Goiás</t>
  </si>
  <si>
    <t>https://dadosabertos.camara.leg.br/api/v2/deputados/74646</t>
  </si>
  <si>
    <t>Aécio Neves</t>
  </si>
  <si>
    <t>AÉCIO NEVES DA CUNHA</t>
  </si>
  <si>
    <t>Belo Horizonte</t>
  </si>
  <si>
    <t>https://dadosabertos.camara.leg.br/api/v2/deputados/160508</t>
  </si>
  <si>
    <t>Afonso Florence</t>
  </si>
  <si>
    <t>AFONSO BANDEIRA FLORENCE</t>
  </si>
  <si>
    <t>https://dadosabertos.camara.leg.br/api/v2/deputados/136811</t>
  </si>
  <si>
    <t>Afonso Hamm</t>
  </si>
  <si>
    <t>JOSÉ ALFONSO EBERT HAMM</t>
  </si>
  <si>
    <t>https://www.facebook.com/depafonsohamm, https://www.instagram.com/afonsohamm</t>
  </si>
  <si>
    <t>RS</t>
  </si>
  <si>
    <t>Hulha Negra</t>
  </si>
  <si>
    <t>https://dadosabertos.camara.leg.br/api/v2/deputados/178835</t>
  </si>
  <si>
    <t>Afonso Motta</t>
  </si>
  <si>
    <t>AFONSO ANTUNES DA MOTTA</t>
  </si>
  <si>
    <t>Porto Alegre</t>
  </si>
  <si>
    <t>https://dadosabertos.camara.leg.br/api/v2/deputados/160527</t>
  </si>
  <si>
    <t>Aguinaldo Ribeiro</t>
  </si>
  <si>
    <t>AGUINALDO VELLOSO BORGES RIBEIRO</t>
  </si>
  <si>
    <t>https://www.instagram.com/depaguinaldoribeiro, https://www.facebook.com/depaguinaldoribeiro, https://twitter.com/depaguinaldo11</t>
  </si>
  <si>
    <t>PB</t>
  </si>
  <si>
    <t>Campina Grande</t>
  </si>
  <si>
    <t>https://dadosabertos.camara.leg.br/api/v2/deputados/204495</t>
  </si>
  <si>
    <t>Airton Faleiro</t>
  </si>
  <si>
    <t>AIRTON LUIZ FALEIRO</t>
  </si>
  <si>
    <t>Tenente Portela</t>
  </si>
  <si>
    <t>https://dadosabertos.camara.leg.br/api/v2/deputados/204549</t>
  </si>
  <si>
    <t>AJ Albuquerque</t>
  </si>
  <si>
    <t>ANTONIO JOSE AGUIAR ALBUQUERQUE</t>
  </si>
  <si>
    <t>CE</t>
  </si>
  <si>
    <t>Fortaleza</t>
  </si>
  <si>
    <t>https://dadosabertos.camara.leg.br/api/v2/deputados/73579</t>
  </si>
  <si>
    <t>Alberto Fraga</t>
  </si>
  <si>
    <t>JOÃO ALBERTO FRAGA SILVA</t>
  </si>
  <si>
    <t>https://www.facebook.com/deputadoalbertofraga</t>
  </si>
  <si>
    <t>SE</t>
  </si>
  <si>
    <t>Estância</t>
  </si>
  <si>
    <t>https://dadosabertos.camara.leg.br/api/v2/deputados/74696</t>
  </si>
  <si>
    <t>Alberto Mourão</t>
  </si>
  <si>
    <t>ALBERTO PEREIRA MOURÃO</t>
  </si>
  <si>
    <t>https://www.facebook.com/mouraopg, https://twitter.com/albertomourao, https://www.instagram.com/albertopmourao</t>
  </si>
  <si>
    <t>https://dadosabertos.camara.leg.br/api/v2/deputados/220538</t>
  </si>
  <si>
    <t>Albuquerque</t>
  </si>
  <si>
    <t>JOSÉ FRANCISCO LOPES DE ALBUQUERQUE</t>
  </si>
  <si>
    <t>Moraújo</t>
  </si>
  <si>
    <t>https://dadosabertos.camara.leg.br/api/v2/deputados/160559</t>
  </si>
  <si>
    <t>Alceu Moreira</t>
  </si>
  <si>
    <t>ALCEU MOREIRA DA SILVA</t>
  </si>
  <si>
    <t>http://twitter.com/alceu_moreira</t>
  </si>
  <si>
    <t>Osório</t>
  </si>
  <si>
    <t>https://dadosabertos.camara.leg.br/api/v2/deputados/204501</t>
  </si>
  <si>
    <t>Alencar Santana</t>
  </si>
  <si>
    <t>ALENCAR SANTANA BRAGA</t>
  </si>
  <si>
    <t>https://twitter.com/AlencarBraga13, https://www.facebook.com/AlencarBraga13, https://www.instagram.com/AlencarBraga13, https://youtube.com/AlencarBraga13</t>
  </si>
  <si>
    <t>Guarulhos</t>
  </si>
  <si>
    <t>https://dadosabertos.camara.leg.br/api/v2/deputados/178972</t>
  </si>
  <si>
    <t>Alex Manente</t>
  </si>
  <si>
    <t>ALEX SPINELLI MANENTE</t>
  </si>
  <si>
    <t>https://twitter.com/AlexManente23, https://www.instagram.com/alexmanente/, https://www.facebook.com/alexmanente, https://youtube.com/c/AlexManenteOficial</t>
  </si>
  <si>
    <t>São Bernardo do Campo</t>
  </si>
  <si>
    <t>https://dadosabertos.camara.leg.br/api/v2/deputados/204571</t>
  </si>
  <si>
    <t>Alex Santana</t>
  </si>
  <si>
    <t>ALEX MARCO SANTANA SOUSA</t>
  </si>
  <si>
    <t>https://dadosabertos.camara.leg.br/api/v2/deputados/220542</t>
  </si>
  <si>
    <t>Alexandre Guimarães</t>
  </si>
  <si>
    <t>JOSÉ ALEXANDRE DOMINGUES GUIMARÃES</t>
  </si>
  <si>
    <t>TO</t>
  </si>
  <si>
    <t>Araguaína</t>
  </si>
  <si>
    <t>https://dadosabertos.camara.leg.br/api/v2/deputados/160545</t>
  </si>
  <si>
    <t>Alexandre Leite</t>
  </si>
  <si>
    <t>ALEXANDRE LEITE DA SILVA</t>
  </si>
  <si>
    <t>https://www.facebook.com/AlexandreLeote.SP, https://www.instagram.com/alexandreleite.sp, https://twitter.com/lexandreleite, https://youtube.com/depfedalexandreleite</t>
  </si>
  <si>
    <t>https://dadosabertos.camara.leg.br/api/v2/deputados/220554</t>
  </si>
  <si>
    <t>Alexandre Lindenmeyer</t>
  </si>
  <si>
    <t>ALEXANDRE DUARTE LINDENMEYER</t>
  </si>
  <si>
    <t>Rio Grande</t>
  </si>
  <si>
    <t>https://dadosabertos.camara.leg.br/api/v2/deputados/204503</t>
  </si>
  <si>
    <t>Alexandre Padilha</t>
  </si>
  <si>
    <t>ALEXANDRE ROCHA SANTOS PADILHA</t>
  </si>
  <si>
    <t>https://twitter.com/padilhando, https://www.facebook.com/padilhando, https://www.instagram.com/padilhando, https://youtube.com/AlexandrePadilhaTV</t>
  </si>
  <si>
    <t>https://dadosabertos.camara.leg.br/api/v2/deputados/221148</t>
  </si>
  <si>
    <t>Alfredinho</t>
  </si>
  <si>
    <t>ALFREDO ALVES CAVALCANTE</t>
  </si>
  <si>
    <t>https://www.instagram.com/Alfredinho.pt</t>
  </si>
  <si>
    <t>PI</t>
  </si>
  <si>
    <t>Oeiras</t>
  </si>
  <si>
    <t>https://dadosabertos.camara.leg.br/api/v2/deputados/220576</t>
  </si>
  <si>
    <t>Alfredo Gaspar</t>
  </si>
  <si>
    <t>ALFREDO GASPAR DE MENDONÇA NETO</t>
  </si>
  <si>
    <t>https://www.instagram.com/alfredogaspar, https://www.facebook.com/alfredogasparoficial, https://twitter.com/Alfredogaspar_, https://youtube.com/AlfredoGasparOficial</t>
  </si>
  <si>
    <t>AL</t>
  </si>
  <si>
    <t>Maceió</t>
  </si>
  <si>
    <t>https://dadosabertos.camara.leg.br/api/v2/deputados/74057</t>
  </si>
  <si>
    <t>Alice Portugal</t>
  </si>
  <si>
    <t>ALICE MAZZUCO PORTUGAL</t>
  </si>
  <si>
    <t>https://dadosabertos.camara.leg.br/api/v2/deputados/178927</t>
  </si>
  <si>
    <t>Aliel Machado</t>
  </si>
  <si>
    <t>ALIEL MACHADO BARK</t>
  </si>
  <si>
    <t>PR</t>
  </si>
  <si>
    <t>Ponta Grossa</t>
  </si>
  <si>
    <t>https://dadosabertos.camara.leg.br/api/v2/deputados/204353</t>
  </si>
  <si>
    <t>Aline Gurgel</t>
  </si>
  <si>
    <t>ALINE PARANHOS VARONIL GURGEL</t>
  </si>
  <si>
    <t>https://www.facebook.com/dep.alinegurgel, https://www.instagram.com/dep_alinegurgel, https://twitter.com/https:, https://youtube.com/channel/UC7v2Ng9B1UAxhEypPw5cEag</t>
  </si>
  <si>
    <t>https://dadosabertos.camara.leg.br/api/v2/deputados/226708</t>
  </si>
  <si>
    <t>Allan Garcês</t>
  </si>
  <si>
    <t>ALLAN QUADROS GARCÊS</t>
  </si>
  <si>
    <t>https://twitter.com/AllanGarcs1, https://www.facebook.com/allangarcesoficial, https://www.facebook.com/AllanGarcês, https://www.instagram.com/allan.garces, https://youtube.com/channel/UCarcImE3nnhmisi8RRbdm-w</t>
  </si>
  <si>
    <t>PA</t>
  </si>
  <si>
    <t>Belém</t>
  </si>
  <si>
    <t>https://dadosabertos.camara.leg.br/api/v2/deputados/178937</t>
  </si>
  <si>
    <t>Altineu Côrtes</t>
  </si>
  <si>
    <t>ALTINEU CÔRTES FREITAS COUTINHO</t>
  </si>
  <si>
    <t>https://www.instagram.com/altineucortesrj, https://www.facebook.com/altineucortesrj, https://twitter.com/altineu</t>
  </si>
  <si>
    <t>RJ</t>
  </si>
  <si>
    <t>Niterói</t>
  </si>
  <si>
    <t>https://dadosabertos.camara.leg.br/api/v2/deputados/178881</t>
  </si>
  <si>
    <t>Aluisio Mendes</t>
  </si>
  <si>
    <t>ALUISIO GUIMARAES MENDES FILHO</t>
  </si>
  <si>
    <t>https://twitter.com/aluisiomendesma, https://www.facebook.com/aluisiomendesma, https://www.instagram.com/aluisiomendesma, https://youtube.com/aluisiomendesma</t>
  </si>
  <si>
    <t>https://dadosabertos.camara.leg.br/api/v2/deputados/220596</t>
  </si>
  <si>
    <t>Amália Barros</t>
  </si>
  <si>
    <t>AMÁLIA SCUDELER DE BARROS SANTOS</t>
  </si>
  <si>
    <t>https://www.facebook.com/amaliasbarros, https://www.instagram.com/amaliabarros, https://twitter.com/amaliabarros, https://youtube.com/amaliabarros</t>
  </si>
  <si>
    <t>Moji-Mirim</t>
  </si>
  <si>
    <t>https://dadosabertos.camara.leg.br/api/v2/deputados/220707</t>
  </si>
  <si>
    <t>Amanda Gentil</t>
  </si>
  <si>
    <t>AMANDA KELLY GENTIL GUIMARÃES ROSA</t>
  </si>
  <si>
    <t>https://twitter.com/amandagentiI, https://www.instagram.com/amandagentill</t>
  </si>
  <si>
    <t>MA</t>
  </si>
  <si>
    <t>Caxias</t>
  </si>
  <si>
    <t>https://dadosabertos.camara.leg.br/api/v2/deputados/204356</t>
  </si>
  <si>
    <t>Amaro Neto</t>
  </si>
  <si>
    <t>AMARO ROCHA NASCIMENTO NETO</t>
  </si>
  <si>
    <t>https://twitter.com/amaronetotv, https://www.facebook.com/amaronetotv, https://www.instagram.com/amaronetotv</t>
  </si>
  <si>
    <t>https://www.amaroneto.com.br/</t>
  </si>
  <si>
    <t>ES</t>
  </si>
  <si>
    <t>Vitória</t>
  </si>
  <si>
    <t>https://dadosabertos.camara.leg.br/api/v2/deputados/220715</t>
  </si>
  <si>
    <t>Amom Mandel</t>
  </si>
  <si>
    <t>AMOM MANDEL LINS FILHO</t>
  </si>
  <si>
    <t>https://twitter.com/eusouamom, https://www.instagram.com/eusouamom, https://www.facebook.com/eusouamom, https://youtube.com/channel/UCwPEeCb9CuIqhqpUoGvGpvA</t>
  </si>
  <si>
    <t>PE</t>
  </si>
  <si>
    <t>Recife</t>
  </si>
  <si>
    <t>https://dadosabertos.camara.leg.br/api/v2/deputados/107970</t>
  </si>
  <si>
    <t>Ana Paula Leão</t>
  </si>
  <si>
    <t>ANA PAULA PROCOPIO JUNQUEIRA</t>
  </si>
  <si>
    <t>https://www.facebook.com/AnaPaulaJunqueiraLeao, https://www.instagram.com/anapaulajunqueiraleao, https://twitter.com/apjunqueira, https://youtube.com/channel/UC-DlAUSQo11ZjK_yhbXoTgQ</t>
  </si>
  <si>
    <t>Varginha</t>
  </si>
  <si>
    <t>https://dadosabertos.camara.leg.br/api/v2/deputados/220556</t>
  </si>
  <si>
    <t>Ana Paula Lima</t>
  </si>
  <si>
    <t>ANA PAULA DE SOUZA LIMA</t>
  </si>
  <si>
    <t>Curitiba</t>
  </si>
  <si>
    <t>https://dadosabertos.camara.leg.br/api/v2/deputados/220632</t>
  </si>
  <si>
    <t>Ana Pimentel</t>
  </si>
  <si>
    <t>ANA CRISTINA DE LIMA PIMENTEL</t>
  </si>
  <si>
    <t>Congonhas</t>
  </si>
  <si>
    <t>https://dadosabertos.camara.leg.br/api/v2/deputados/178831</t>
  </si>
  <si>
    <t>André Abdon</t>
  </si>
  <si>
    <t>ANDRE DOS SANTOS ABDON</t>
  </si>
  <si>
    <t>https://www.instagram.com/andreabdon_</t>
  </si>
  <si>
    <t>https://dadosabertos.camara.leg.br/api/v2/deputados/220657</t>
  </si>
  <si>
    <t>André Fernandes</t>
  </si>
  <si>
    <t>ANDRÉ FERNANDES DE MOURA</t>
  </si>
  <si>
    <t>https://www.instagram.com/andrefernandes, https://www.facebook.com/andrefernm, https://twitter.com/andrefernm, https://youtube.com/depandrefernandes</t>
  </si>
  <si>
    <t>Iguatu</t>
  </si>
  <si>
    <t>https://dadosabertos.camara.leg.br/api/v2/deputados/204423</t>
  </si>
  <si>
    <t>André Ferreira</t>
  </si>
  <si>
    <t>ANDRÉ FERREIRA RODRIGUES</t>
  </si>
  <si>
    <t>https://www.instagram.com/andreferreira.pe, https://www.facebook.com/andreferreira.pe, https://youtube.com/channel/UC54XdbWXP1ZaimNu9Ujuvgw</t>
  </si>
  <si>
    <t>https://dadosabertos.camara.leg.br/api/v2/deputados/133439</t>
  </si>
  <si>
    <t>André Figueiredo</t>
  </si>
  <si>
    <t>ANDRÉ PEIXOTO FIGUEIREDO LIMA</t>
  </si>
  <si>
    <t>https://www.facebook.com/DeputadoAndreFigueiredo, https://twitter.com/andrepdt12</t>
  </si>
  <si>
    <t>https://dadosabertos.camara.leg.br/api/v2/deputados/178882</t>
  </si>
  <si>
    <t>André Fufuca</t>
  </si>
  <si>
    <t>ANDRE LUIZ CARVALHO RIBEIRO</t>
  </si>
  <si>
    <t>Santa Inês</t>
  </si>
  <si>
    <t>https://dadosabertos.camara.leg.br/api/v2/deputados/204515</t>
  </si>
  <si>
    <t>André Janones</t>
  </si>
  <si>
    <t>ANDRE LUIS GASPAR JANONES</t>
  </si>
  <si>
    <t>https://www.instagram.com/andrejanones, https://www.facebook.com/andrejanones, https://youtube.com/AndreJanonesAdv, https://twitter.com/AndreJanonesAdv</t>
  </si>
  <si>
    <t>Ituiutaba</t>
  </si>
  <si>
    <t>https://dadosabertos.camara.leg.br/api/v2/deputados/220676</t>
  </si>
  <si>
    <t>Andreia Siqueira</t>
  </si>
  <si>
    <t>ANDREIA BRITO GONÇALVES SIQUEIRA</t>
  </si>
  <si>
    <t>https://www.instagram.com/andreiasiqueira, https://www.facebook.com/andreiabsiqueira, https://twitter.com/deputadaandreia</t>
  </si>
  <si>
    <t>Tucuruí</t>
  </si>
  <si>
    <t>https://dadosabertos.camara.leg.br/api/v2/deputados/123756</t>
  </si>
  <si>
    <t>Antônia Lúcia</t>
  </si>
  <si>
    <t>ANTÔNIA LUCILÉIA CRUZ RAMOS CÂMARA</t>
  </si>
  <si>
    <t>AC</t>
  </si>
  <si>
    <t>Senador Guiomard</t>
  </si>
  <si>
    <t>https://dadosabertos.camara.leg.br/api/v2/deputados/220544</t>
  </si>
  <si>
    <t>Antonio Andrade</t>
  </si>
  <si>
    <t>ANTONIO POINCARE ANDRADE FILHO</t>
  </si>
  <si>
    <t>https://www.facebook.com/toinhoandradetocantins, https://twitter.com/antonioandradet, https://www.instagram.com/toinhoandradeto</t>
  </si>
  <si>
    <t>Porto Nacional</t>
  </si>
  <si>
    <t>https://dadosabertos.camara.leg.br/api/v2/deputados/160553</t>
  </si>
  <si>
    <t>Antonio Brito</t>
  </si>
  <si>
    <t>ANTONIO LUIZ PARANHOS RIBEIRO LEITE DE BRITO</t>
  </si>
  <si>
    <t>https://www.instagram.com/antoniobritobahia/</t>
  </si>
  <si>
    <t>https://dadosabertos.camara.leg.br/api/v2/deputados/220638</t>
  </si>
  <si>
    <t>Antonio Carlos Rodrigues</t>
  </si>
  <si>
    <t>ANTONIO CARLOS RODRIGUES</t>
  </si>
  <si>
    <t>https://dadosabertos.camara.leg.br/api/v2/deputados/220675</t>
  </si>
  <si>
    <t>Antônio Doido</t>
  </si>
  <si>
    <t>ANTONIO LEOCÁDIO DOS SANTOS</t>
  </si>
  <si>
    <t>Dom Macedo Costa</t>
  </si>
  <si>
    <t>https://dadosabertos.camara.leg.br/api/v2/deputados/220549</t>
  </si>
  <si>
    <t>Any Ortiz</t>
  </si>
  <si>
    <t>ANY MACHADO ORTIZ</t>
  </si>
  <si>
    <t>Canoas</t>
  </si>
  <si>
    <t>https://dadosabertos.camara.leg.br/api/v2/deputados/73433</t>
  </si>
  <si>
    <t>Arlindo Chinaglia</t>
  </si>
  <si>
    <t>ARLINDO CHIGNALIA JUNIOR</t>
  </si>
  <si>
    <t>https://www.facebook.com/depchinaglia, https://twitter.com/achinaglia, https://www.instagram.com/depchinaglia</t>
  </si>
  <si>
    <t>Serra Azul</t>
  </si>
  <si>
    <t>https://dadosabertos.camara.leg.br/api/v2/deputados/141391</t>
  </si>
  <si>
    <t>Arnaldo Jardim</t>
  </si>
  <si>
    <t>ARNALDO CALIL PEREIRA JARDIM</t>
  </si>
  <si>
    <t>https://twitter.com/arnaldojardim, https://www.facebook.com/deputadoarnaldojardim, https://www.instagram.com/arnaldojardimoficial, https://youtube.com/channel/UCBmGmOqIcw_Dob8eq3VtjZQ</t>
  </si>
  <si>
    <t>Altinópolis</t>
  </si>
  <si>
    <t>https://dadosabertos.camara.leg.br/api/v2/deputados/160541</t>
  </si>
  <si>
    <t>Arthur Lira</t>
  </si>
  <si>
    <t>ARTHUR CÉSAR PEREIRA DE LIRA</t>
  </si>
  <si>
    <t>https://dadosabertos.camara.leg.br/api/v2/deputados/160600</t>
  </si>
  <si>
    <t>Arthur Oliveira Maia</t>
  </si>
  <si>
    <t>ARTHUR DE OLIVEIRA MAIA DA SILVA</t>
  </si>
  <si>
    <t>https://facebook.com/arthur.oliveiramaia, https://instagram.com/departhuroliveiramaia, https://twitter.com/DepArthurMaia</t>
  </si>
  <si>
    <t>https://dadosabertos.camara.leg.br/api/v2/deputados/74090</t>
  </si>
  <si>
    <t>Átila Lins</t>
  </si>
  <si>
    <t>ÁTILA SIDNEY LINS DE ALBUQUERQUE</t>
  </si>
  <si>
    <t>Fonte Boa</t>
  </si>
  <si>
    <t>https://dadosabertos.camara.leg.br/api/v2/deputados/123086</t>
  </si>
  <si>
    <t>Átila Lira</t>
  </si>
  <si>
    <t>ÁTILA DE MELO LIRA</t>
  </si>
  <si>
    <t>https://twitter.com/atilaliraof, https://www.facebook.com/atilalirapi, https://www.instagram.com/atilalirapi/#</t>
  </si>
  <si>
    <t>Teresina</t>
  </si>
  <si>
    <t>https://dadosabertos.camara.leg.br/api/v2/deputados/160665</t>
  </si>
  <si>
    <t>Augusto Coutinho</t>
  </si>
  <si>
    <t>AUGUSTO RODRIGUES COUTINHO DE MELO</t>
  </si>
  <si>
    <t>https://twitter.com/dep_acoutinho, https://www.facebook.com/augusto.coutinho, https://www.instagram.com/augustocoutinhope, https://youtube.com/featured</t>
  </si>
  <si>
    <t>www.augustocoutinho.com.br</t>
  </si>
  <si>
    <t>https://dadosabertos.camara.leg.br/api/v2/deputados/220577</t>
  </si>
  <si>
    <t>Augusto Puppio</t>
  </si>
  <si>
    <t>JOSÉ AUGUSTO PUPPIO REIS JÚNIOR</t>
  </si>
  <si>
    <t>https://www.facebook.com/augustopupio, https://www.instagram.com/augustopupio, https://twitter.com/AUGUSTOPUPIO, https://youtube.com/augustopupio7945</t>
  </si>
  <si>
    <t>https://dadosabertos.camara.leg.br/api/v2/deputados/160512</t>
  </si>
  <si>
    <t>Aureo Ribeiro</t>
  </si>
  <si>
    <t>AUREO LIDIO MOREIRA RIBEIRO</t>
  </si>
  <si>
    <t>https://www.facebook.com/AureoRibeiroRJ, https://www.instagram.com/aureo.ribeiro, https://twitter.com/AureoRibeiroRJ, https://youtube.com/AureoRibeiro77</t>
  </si>
  <si>
    <t>www.deputadoaureo.com.br</t>
  </si>
  <si>
    <t>Duque de Caxias</t>
  </si>
  <si>
    <t>https://dadosabertos.camara.leg.br/api/v2/deputados/69871</t>
  </si>
  <si>
    <t>Bacelar</t>
  </si>
  <si>
    <t>JOAO CARLOS BACELAR BATISTA</t>
  </si>
  <si>
    <t>https://www.facebook.com/DEPUTADOBACELAR, https://www.instagram.com/DEPUTADOBACELAR, https://twitter.com/DEPUTADOBACELAR</t>
  </si>
  <si>
    <t>Esplanada</t>
  </si>
  <si>
    <t>https://dadosabertos.camara.leg.br/api/v2/deputados/178975</t>
  </si>
  <si>
    <t>Baleia Rossi</t>
  </si>
  <si>
    <t>LUIZ FELIPE BALEIA TENUTO ROSSI</t>
  </si>
  <si>
    <t>https://www.instagram.com/baleia.rossi</t>
  </si>
  <si>
    <t>https://dadosabertos.camara.leg.br/api/v2/deputados/220605</t>
  </si>
  <si>
    <t>Bandeira de Mello</t>
  </si>
  <si>
    <t>EDUARDO CARVALHO BANDEIRA DE MELLO</t>
  </si>
  <si>
    <t>https://www.instagram.com/eduardobandeirademello, https://www.facebook.com/eduardobandeirademello, https://twitter.com/mello_bandeira, https://youtube.com/bandeirademello.oficial</t>
  </si>
  <si>
    <t>Rio de Janeiro</t>
  </si>
  <si>
    <t>https://dadosabertos.camara.leg.br/api/v2/deputados/220612</t>
  </si>
  <si>
    <t>Bebeto</t>
  </si>
  <si>
    <t>Carlos Roberto Rodrigues</t>
  </si>
  <si>
    <t>https://www.facebook.com/bebetodaveggi, https://www.instagram.com/bebetorj</t>
  </si>
  <si>
    <t>Muriaé</t>
  </si>
  <si>
    <t>https://dadosabertos.camara.leg.br/api/v2/deputados/73701</t>
  </si>
  <si>
    <t>Benedita da Silva</t>
  </si>
  <si>
    <t>BENEDITA SOUZA DA SILVA SAMPAIO</t>
  </si>
  <si>
    <t>https://dadosabertos.camara.leg.br/api/v2/deputados/109429</t>
  </si>
  <si>
    <t>Benes Leocádio</t>
  </si>
  <si>
    <t>LUIZ BENES LEOCADIO DE ARAUJO</t>
  </si>
  <si>
    <t>https://www.instagram.com/benesleocadiorn, https://twitter.com/benesleocadiorn, https://www.facebook.com/BenesLeocadioRN</t>
  </si>
  <si>
    <t>RN</t>
  </si>
  <si>
    <t>Santana do Matos</t>
  </si>
  <si>
    <t>https://dadosabertos.camara.leg.br/api/v2/deputados/204358</t>
  </si>
  <si>
    <t>Beto Pereira</t>
  </si>
  <si>
    <t>HUMBERTO REZENDE PEREIRA</t>
  </si>
  <si>
    <t>MS</t>
  </si>
  <si>
    <t>Campo Grande</t>
  </si>
  <si>
    <t>https://dadosabertos.camara.leg.br/api/v2/deputados/220698</t>
  </si>
  <si>
    <t>Beto Preto</t>
  </si>
  <si>
    <t>CARLOS ALBERTO GEBRIM PRETO</t>
  </si>
  <si>
    <t>Londrina</t>
  </si>
  <si>
    <t>https://dadosabertos.camara.leg.br/api/v2/deputados/220683</t>
  </si>
  <si>
    <t>Beto Richa</t>
  </si>
  <si>
    <t>CARLOS ALBERTO RICHA</t>
  </si>
  <si>
    <t>https://www.instagram.com/betoricha/, https://pt-br.facebook.com/BetoRichaOficial, https://twitter.com/BetoRicha, https://www.youtube.com/channel/UC11K_Oia5ib5Zknm87oG1FQ</t>
  </si>
  <si>
    <t>https://dadosabertos.camara.leg.br/api/v2/deputados/204374</t>
  </si>
  <si>
    <t>Bia Kicis</t>
  </si>
  <si>
    <t>BEATRIZ KICIS TORRENTS DE SORDI</t>
  </si>
  <si>
    <t>https://www.facebook.com/biakicis, https://www.instagram.com/biakicis, https://twitter.com/biakicis, https://youtube.com/biakicis</t>
  </si>
  <si>
    <t>Resende</t>
  </si>
  <si>
    <t>https://dadosabertos.camara.leg.br/api/v2/deputados/204388</t>
  </si>
  <si>
    <t>Bibo Nunes</t>
  </si>
  <si>
    <t>ALCIBIO MESQUITA BIBO NUNES</t>
  </si>
  <si>
    <t>Cruz Alta</t>
  </si>
  <si>
    <t>https://dadosabertos.camara.leg.br/api/v2/deputados/160538</t>
  </si>
  <si>
    <t>Bohn Gass</t>
  </si>
  <si>
    <t>ELVINO JOSÉ BOHN GASS</t>
  </si>
  <si>
    <t>https://twitter.com/bohngass, https://www.facebook.com/bohngass13, https://www.instagram.com/bohn_gass, https://youtube.com/elvinobohngass</t>
  </si>
  <si>
    <t>Santo Cristo</t>
  </si>
  <si>
    <t>https://dadosabertos.camara.leg.br/api/v2/deputados/74052</t>
  </si>
  <si>
    <t>Bosco Costa</t>
  </si>
  <si>
    <t>JOÃO BOSCO DA COSTA</t>
  </si>
  <si>
    <t>Itabaiana</t>
  </si>
  <si>
    <t>https://dadosabertos.camara.leg.br/api/v2/deputados/210989</t>
  </si>
  <si>
    <t>Bruno Farias</t>
  </si>
  <si>
    <t>BRUNO SOUZA FARIAS</t>
  </si>
  <si>
    <t>Teófilo Otoni</t>
  </si>
  <si>
    <t>https://dadosabertos.camara.leg.br/api/v2/deputados/220635</t>
  </si>
  <si>
    <t>Bruno Ganem</t>
  </si>
  <si>
    <t>BRUNO AREVALO GANEM</t>
  </si>
  <si>
    <t>https://www.instagram.com/brunoganemsp, https://www.facebook.com/BrunoGanemSP</t>
  </si>
  <si>
    <t>https://dadosabertos.camara.leg.br/api/v2/deputados/220574</t>
  </si>
  <si>
    <t>Cabo Gilberto Silva</t>
  </si>
  <si>
    <t>GILBERTO GOMES DA SILVA</t>
  </si>
  <si>
    <t>https://www.facebook.com/CaboGilbertoSilva, https://www.instagram.com/CaboGilbertoSilva, https://twitter.com/cabogilberto, https://youtube.com/cabogilberto</t>
  </si>
  <si>
    <t>Santa Rita</t>
  </si>
  <si>
    <t>https://dadosabertos.camara.leg.br/api/v2/deputados/143942</t>
  </si>
  <si>
    <t>Caio Vianna</t>
  </si>
  <si>
    <t>CAIO SANTOS VIANNA</t>
  </si>
  <si>
    <t>Campos dos Goytacazes</t>
  </si>
  <si>
    <t>https://dadosabertos.camara.leg.br/api/v2/deputados/220548</t>
  </si>
  <si>
    <t>Camila Jara</t>
  </si>
  <si>
    <t>CAMILA BAZACHI JARA MARZOCHI</t>
  </si>
  <si>
    <t>https://www.instagram.com/camilajarams, https://twitter.com/camilajarams, https://www.facebook.com/camilajarams</t>
  </si>
  <si>
    <t>https://dadosabertos.camara.leg.br/api/v2/deputados/204572</t>
  </si>
  <si>
    <t>Capitão Alberto Neto</t>
  </si>
  <si>
    <t>ALBERTO BARROS CAVALCANTE NETO</t>
  </si>
  <si>
    <t>https://twitter.com/capalbertoneto, https://www.facebook.com/capitaoalbertoneto, https://www.instagram.com/capitaoalbertoneto</t>
  </si>
  <si>
    <t>https://dadosabertos.camara.leg.br/api/v2/deputados/220690</t>
  </si>
  <si>
    <t>Capitão Alden</t>
  </si>
  <si>
    <t>ALDEN JOSE LAZARO DA SILVA</t>
  </si>
  <si>
    <t>https://dadosabertos.camara.leg.br/api/v2/deputados/178829</t>
  </si>
  <si>
    <t>Capitão Augusto</t>
  </si>
  <si>
    <t>JOSE AUGUSTO ROSA</t>
  </si>
  <si>
    <t>Ourinhos</t>
  </si>
  <si>
    <t>https://dadosabertos.camara.leg.br/api/v2/deputados/229069</t>
  </si>
  <si>
    <t>Capitão Samuel</t>
  </si>
  <si>
    <t>SAMUEL ALVES BARRETO</t>
  </si>
  <si>
    <t>Malhador</t>
  </si>
  <si>
    <t>https://dadosabertos.camara.leg.br/api/v2/deputados/229106</t>
  </si>
  <si>
    <t>Carla Ayres</t>
  </si>
  <si>
    <t>CARLA SIMARA LUCIANA DA SILVA AYRES</t>
  </si>
  <si>
    <t>Jales</t>
  </si>
  <si>
    <t>https://dadosabertos.camara.leg.br/api/v2/deputados/213762</t>
  </si>
  <si>
    <t>Carla Dickson</t>
  </si>
  <si>
    <t>HILKEA CARLA DE SOUZA MEDEIROS LIMA</t>
  </si>
  <si>
    <t>https://www.instagram.com/carladicksonoficial, https://www.facebook.com/carladicksonoficial</t>
  </si>
  <si>
    <t>https://dadosabertos.camara.leg.br/api/v2/deputados/204507</t>
  </si>
  <si>
    <t>Carla Zambelli</t>
  </si>
  <si>
    <t>CARLA ZAMBELLI SALGADO DE OLIVEIRA</t>
  </si>
  <si>
    <t>https://twitter.com/CarlaZambelli38, https://www.facebook.com/ZambelliOficial, https://www.instagram.com/carla.zambelli, https://youtube.com/carlazambelli</t>
  </si>
  <si>
    <t>Ribeirão Preto</t>
  </si>
  <si>
    <t>https://dadosabertos.camara.leg.br/api/v2/deputados/204361</t>
  </si>
  <si>
    <t>Carlos Chiodini</t>
  </si>
  <si>
    <t>CARLOS ALBERTO CHIODINI</t>
  </si>
  <si>
    <t>https://pt-br.facebook.com/CarlosChiodini/, https://www.instagram.com/carloschiodini, https://twitter.com/carloschiodini, https://youtube.com/channel/UClnRgQbRinB3rSABMSePm7w</t>
  </si>
  <si>
    <t>http://www.carloschiodini.com.br/</t>
  </si>
  <si>
    <t>SC</t>
  </si>
  <si>
    <t>Jaraguá do Sul</t>
  </si>
  <si>
    <t>https://dadosabertos.camara.leg.br/api/v2/deputados/178962</t>
  </si>
  <si>
    <t>Carlos Gomes</t>
  </si>
  <si>
    <t>ANTONIO CARLOS GOMES DA SILVA</t>
  </si>
  <si>
    <t>https://twitter.com/carlosgomesdep, https://www.facebook.com/deputadocarlosgomes, https://www.instagram.com/carlosgomesdep</t>
  </si>
  <si>
    <t>Saúde</t>
  </si>
  <si>
    <t>https://dadosabertos.camara.leg.br/api/v2/deputados/178993</t>
  </si>
  <si>
    <t>Carlos Henrique Gaguim</t>
  </si>
  <si>
    <t>CARLOS HENRIQUE AMORIM</t>
  </si>
  <si>
    <t>https://www.facebook.com/carlosgaguim</t>
  </si>
  <si>
    <t>Ceres</t>
  </si>
  <si>
    <t>https://dadosabertos.camara.leg.br/api/v2/deputados/204460</t>
  </si>
  <si>
    <t>Carlos Jordy</t>
  </si>
  <si>
    <t>Carlos Roberto Jordy Coelho de Mattos</t>
  </si>
  <si>
    <t>https://youtube.com/channel/UCkWU59eSRp41W6bCdyJlRdg, https://twitter.com/carlosjordy, https://www.instagram.com/carlosjordy, https://www.facebook.com/carlosjordyoficial</t>
  </si>
  <si>
    <t>https://dadosabertos.camara.leg.br/api/v2/deputados/74262</t>
  </si>
  <si>
    <t>Carlos Sampaio</t>
  </si>
  <si>
    <t>CARLOS HENRIQUE FOCESI SAMPAIO</t>
  </si>
  <si>
    <t>Campinas</t>
  </si>
  <si>
    <t>https://dadosabertos.camara.leg.br/api/v2/deputados/204426</t>
  </si>
  <si>
    <t>Carlos Veras</t>
  </si>
  <si>
    <t>JOSÉ CARLOS VERAS DOS SANTOS</t>
  </si>
  <si>
    <t>https://twitter.com/carlosveraspt, https://www.instagram.com/carlosverass, https://www.facebook.com/deputadocarlosveras, https://youtube.com/channel/UC93PwCF8EVN4RYG-h2OpJLw</t>
  </si>
  <si>
    <t>Tabira</t>
  </si>
  <si>
    <t>https://dadosabertos.camara.leg.br/api/v2/deputados/141398</t>
  </si>
  <si>
    <t>Carlos Zarattini</t>
  </si>
  <si>
    <t>CARLOS ALBERTO ROLIM ZARATTINI</t>
  </si>
  <si>
    <t>https://twitter.com/CarlosZarattini, https://www.facebook.com/dep.zarattini, https://www.instagram.com/depzarattini, https://youtube.com/channel/UCAToRcTD6QsRAXjCBU8LTzw</t>
  </si>
  <si>
    <t>https://dadosabertos.camara.leg.br/api/v2/deputados/164360</t>
  </si>
  <si>
    <t>Carmen Zanotto</t>
  </si>
  <si>
    <t>CARMEN EMÍLIA BONFÁ ZANOTTO</t>
  </si>
  <si>
    <t>https://www.instagram.com/carmenzanotto_lages, https://www.facebook.com/CarmenZanottoSC, https://www.youtube.com/c/CarmenZanottoCarmenZanotto2323, https://twitter.com/carmen_zanotto</t>
  </si>
  <si>
    <t>Lages</t>
  </si>
  <si>
    <t>https://dadosabertos.camara.leg.br/api/v2/deputados/220704</t>
  </si>
  <si>
    <t>Carol Dartora</t>
  </si>
  <si>
    <t>ANA CAROLINA MOURA MELO DARTORA</t>
  </si>
  <si>
    <t>https://dadosabertos.camara.leg.br/api/v2/deputados/204369</t>
  </si>
  <si>
    <t>Caroline de Toni</t>
  </si>
  <si>
    <t>CAROLINE RODRIGUES DE TONI</t>
  </si>
  <si>
    <t>https://twitter.com/CarolDeToni, https://www.instagram.com/carolinedetoni, https://www.facebook.com/carolinerdetoni, https://youtube.com/videos</t>
  </si>
  <si>
    <t>Chapecó</t>
  </si>
  <si>
    <t>https://dadosabertos.camara.leg.br/api/v2/deputados/220699</t>
  </si>
  <si>
    <t>Castro Neto</t>
  </si>
  <si>
    <t>JOSÉ DIAS DE CASTRO NETO</t>
  </si>
  <si>
    <t>https://dadosabertos.camara.leg.br/api/v2/deputados/206018</t>
  </si>
  <si>
    <t>Célia Xakriabá</t>
  </si>
  <si>
    <t>CÉLIA NUNES CORREA</t>
  </si>
  <si>
    <t>https://dadosabertos.camara.leg.br/api/v2/deputados/178876</t>
  </si>
  <si>
    <t>Célio Silveira</t>
  </si>
  <si>
    <t>CELIO ANTONIO DA SILVEIRA</t>
  </si>
  <si>
    <t>https://www.instagram.com/celiosilveiradeputado, https://www.facebook.com/deputadoceliosilveira2</t>
  </si>
  <si>
    <t>Luziânia</t>
  </si>
  <si>
    <t>https://dadosabertos.camara.leg.br/api/v2/deputados/204488</t>
  </si>
  <si>
    <t>Célio Studart</t>
  </si>
  <si>
    <t>CELIO STUDART BARBOSA</t>
  </si>
  <si>
    <t>https://twitter.com/CelioStudart, https://www.facebook.com/celio.studart, https://www.instagram.com/celiostudart, https://youtube.com/channel/UCHEI0XtQiyNwR5x7bVTewGQ</t>
  </si>
  <si>
    <t>https://dadosabertos.camara.leg.br/api/v2/deputados/73441</t>
  </si>
  <si>
    <t>Celso Russomanno</t>
  </si>
  <si>
    <t>CELSO UBIRAJARA RUSSOMANNO</t>
  </si>
  <si>
    <t>https://www.facebook.com/celsorussomanno, https://www.instagram.com/celsorussomanno, https://twitter.com/celsorussomanno, https://youtube.com/celsorussomanno</t>
  </si>
  <si>
    <t>https://dadosabertos.camara.leg.br/api/v2/deputados/204496</t>
  </si>
  <si>
    <t>Celso Sabino</t>
  </si>
  <si>
    <t>CELSO SABINO DE OLIVEIRA</t>
  </si>
  <si>
    <t>https://www.instagram.com/celsosabinooficial, https://twitter.com/depcelsosabino, https://www.facebook.com/celsosabinooficial</t>
  </si>
  <si>
    <t>https://dadosabertos.camara.leg.br/api/v2/deputados/204504</t>
  </si>
  <si>
    <t>Cezinha de Madureira</t>
  </si>
  <si>
    <t>ANTONIO CEZAR CORREIA FREIRE</t>
  </si>
  <si>
    <t>https://www.facebook.com/cezinhademadureira, https://www.instagram.com/cezinhademadureira</t>
  </si>
  <si>
    <t>Ipiaú</t>
  </si>
  <si>
    <t>https://dadosabertos.camara.leg.br/api/v2/deputados/205476</t>
  </si>
  <si>
    <t>Charles Fernandes</t>
  </si>
  <si>
    <t>CHARLES FERNANDES SILVEIRA SANTANA</t>
  </si>
  <si>
    <t>Guanambi</t>
  </si>
  <si>
    <t>https://dadosabertos.camara.leg.br/api/v2/deputados/74171</t>
  </si>
  <si>
    <t>Chico Alencar</t>
  </si>
  <si>
    <t>FRANCISCO RODRIGUES DE ALENCAR FILHO</t>
  </si>
  <si>
    <t>https://www.instagram.com/chico.alencar, https://www.facebook.com/chicoalencar, https://twitter.com/depchicoalencar</t>
  </si>
  <si>
    <t>https://dadosabertos.camara.leg.br/api/v2/deputados/204476</t>
  </si>
  <si>
    <t>Chiquinho Brazão</t>
  </si>
  <si>
    <t>JOÃO FRANCISCO INÁCIO BRAZÃO</t>
  </si>
  <si>
    <t>https://www.facebook.com/depchiquinhobrazao, https://www.instagram.com/depchiquinhobrazao/, https://www.youtube.com/channel/UCZFu_NUGJKjC7mXITckcqJA, https://twitter.com/brazaochiquinho</t>
  </si>
  <si>
    <t>https://dadosabertos.camara.leg.br/api/v2/deputados/204462</t>
  </si>
  <si>
    <t>Chris Tonietto</t>
  </si>
  <si>
    <t>CHRISTINE NOGUEIRA DOS REIS TONIETTO</t>
  </si>
  <si>
    <t>https://www.facebook.com/ChrisTonietto, https://twitter.com/ToniettoChris, https://youtube.com/channel/UCqqG6AaU2hm2vLhMir4Jdlw, https://www.instagram.com/christonietto</t>
  </si>
  <si>
    <t>https://dadosabertos.camara.leg.br/api/v2/deputados/220665</t>
  </si>
  <si>
    <t>Clarissa Tércio</t>
  </si>
  <si>
    <t>ERICA CLARISSA BORBA CORDEIRO DE MOURA</t>
  </si>
  <si>
    <t>https://youtube.com/CLARISSATERCIOOficial, https://twitter.com/clarissatercio, https://www.facebook.com/clarissatercio, https://www.instagram.com/clarissatercio</t>
  </si>
  <si>
    <t>https://dadosabertos.camara.leg.br/api/v2/deputados/74537</t>
  </si>
  <si>
    <t>Claudio Cajado</t>
  </si>
  <si>
    <t>CLÁUDIO CAJADO SAMPAIO</t>
  </si>
  <si>
    <t>https://dadosabertos.camara.leg.br/api/v2/deputados/141408</t>
  </si>
  <si>
    <t>Cleber Verde</t>
  </si>
  <si>
    <t>CLEBER VERDE CORDEIRO MENDES</t>
  </si>
  <si>
    <t>Santa Luzia</t>
  </si>
  <si>
    <t>https://dadosabertos.camara.leg.br/api/v2/deputados/88256</t>
  </si>
  <si>
    <t>Clodoaldo Magalhães</t>
  </si>
  <si>
    <t>CLODOALDO MAGALHÃES OLIVEIRA LYRA</t>
  </si>
  <si>
    <t>https://www.facebook.com/deputadoclodoaldomagalhaes, https://www.instagram.com/deputadoclodoaldomagalhaes, https://twitter.com/depclodoaldom</t>
  </si>
  <si>
    <t>Palmares</t>
  </si>
  <si>
    <t>https://dadosabertos.camara.leg.br/api/v2/deputados/98148</t>
  </si>
  <si>
    <t>Cobalchini</t>
  </si>
  <si>
    <t>VALDIR VITAL COBALCHINI</t>
  </si>
  <si>
    <t>São Lourenço D'Oeste</t>
  </si>
  <si>
    <t>https://dadosabertos.camara.leg.br/api/v2/deputados/204376</t>
  </si>
  <si>
    <t>Coronel Armando</t>
  </si>
  <si>
    <t>LUIZ ARMANDO SCHROEDER REIS</t>
  </si>
  <si>
    <t>https://twitter.com/cel_armando, https://www.facebook.com/coronel.armando, https://www.instagram.com/dep.coronel.armando, https://youtube.com/DeputadoCoronelArmando</t>
  </si>
  <si>
    <t>https://dadosabertos.camara.leg.br/api/v2/deputados/220594</t>
  </si>
  <si>
    <t>Coronel Assis</t>
  </si>
  <si>
    <t>JONILDO JOSÉ DE ASSIS</t>
  </si>
  <si>
    <t>https://www.facebook.com/coronelassismt, https://www.instagram.com/coronelassis, https://youtube.com/coronelassis308, https://twitter.com/coronelassismt</t>
  </si>
  <si>
    <t>https://dadosabertos.camara.leg.br/api/v2/deputados/204378</t>
  </si>
  <si>
    <t>Coronel Chrisóstomo</t>
  </si>
  <si>
    <t>JOÃO CHRISÓSTOMO DE MOURA</t>
  </si>
  <si>
    <t>Tefé</t>
  </si>
  <si>
    <t>https://dadosabertos.camara.leg.br/api/v2/deputados/220595</t>
  </si>
  <si>
    <t>Coronel Fernanda</t>
  </si>
  <si>
    <t>RUBIA FERNANDA DINIZ ROBSON SANTOS DE SIQUEIRA</t>
  </si>
  <si>
    <t>https://twitter.com/coronelfernand9, https://www.facebook.com/coronelfernandamt, https://www.instagram.com/coronelfernandamt</t>
  </si>
  <si>
    <t>https://dadosabertos.camara.leg.br/api/v2/deputados/220666</t>
  </si>
  <si>
    <t>Coronel Meira</t>
  </si>
  <si>
    <t>LUIZ DE FRANÇA E SILVA MEIRA</t>
  </si>
  <si>
    <t>https://www.instagram.com/coronelmeiraoficial, https://twitter.com/coronel_meira</t>
  </si>
  <si>
    <t>Camaragibe</t>
  </si>
  <si>
    <t>https://dadosabertos.camara.leg.br/api/v2/deputados/204514</t>
  </si>
  <si>
    <t>Coronel Tadeu</t>
  </si>
  <si>
    <t>MARCIO TADEU ANHAIA DE LEMOS</t>
  </si>
  <si>
    <t>https://twitter.com/coroneltadeu, https://www.facebook.com/coroneltadeu, https://www.instagram.com/coroneltadeu, https://youtube.com/coroneltadeuoficial</t>
  </si>
  <si>
    <t>SAO PAULO</t>
  </si>
  <si>
    <t>https://dadosabertos.camara.leg.br/api/v2/deputados/222142</t>
  </si>
  <si>
    <t>Coronel Telhada</t>
  </si>
  <si>
    <t>PAULO ADRIANO LOPES LUCINDA TELHADA</t>
  </si>
  <si>
    <t>https://dadosabertos.camara.leg.br/api/v2/deputados/220590</t>
  </si>
  <si>
    <t>Coronel Ulysses</t>
  </si>
  <si>
    <t>ULYSSES FREITAS PEREIRA DE ARAÚJO</t>
  </si>
  <si>
    <t>https://www.instagram.com/coronelulysses, https://youtube.com/coronelulysses, https://twitter.com/coronelulysses, https://www.facebook.com/coronelulysses</t>
  </si>
  <si>
    <t>Cruzeiro do Sul</t>
  </si>
  <si>
    <t>https://dadosabertos.camara.leg.br/api/v2/deputados/178963</t>
  </si>
  <si>
    <t>Covatti Filho</t>
  </si>
  <si>
    <t>LUIS ANTONIO FRANCISCATTO COVATTI</t>
  </si>
  <si>
    <t>https://www.facebook.com/covatti.filho, https://www.instagram.com/covattifilho, https://twitter.com/covattifilho</t>
  </si>
  <si>
    <t>Frederico Westphalen</t>
  </si>
  <si>
    <t>https://dadosabertos.camara.leg.br/api/v2/deputados/220608</t>
  </si>
  <si>
    <t>Cristiane Lopes</t>
  </si>
  <si>
    <t>CRISTIANE LOPES DA LUZ</t>
  </si>
  <si>
    <t>RO</t>
  </si>
  <si>
    <t>Porto Velho</t>
  </si>
  <si>
    <t>https://dadosabertos.camara.leg.br/api/v2/deputados/204355</t>
  </si>
  <si>
    <t>Da Vitoria</t>
  </si>
  <si>
    <t>JOSIAS MARIO DA VITORIA</t>
  </si>
  <si>
    <t>https://www.instagram.com/deputadodavitoria, https://www.facebook.com/deputadodavitoria, https://twitter.com/depdavitoria, https://youtube.com/channel/UC4YSDb1Hfh-DtR1Wj0WQNWg?view_as=subscriber</t>
  </si>
  <si>
    <t>Colatina</t>
  </si>
  <si>
    <t>https://dadosabertos.camara.leg.br/api/v2/deputados/141411</t>
  </si>
  <si>
    <t>Dagoberto Nogueira</t>
  </si>
  <si>
    <t>DAGOBERTO NOGUEIRA FILHO</t>
  </si>
  <si>
    <t>https://twitter.com/depdagoberto, https://www.instagram.com/dagobertonogueirams, https://www.facebook.com/dagobertonogueirams</t>
  </si>
  <si>
    <t>São José do Rio Preto</t>
  </si>
  <si>
    <t>https://dadosabertos.camara.leg.br/api/v2/deputados/220555</t>
  </si>
  <si>
    <t>Daiana Santos</t>
  </si>
  <si>
    <t>DAIANA SILVA DOS SANTOS</t>
  </si>
  <si>
    <t>https://www.instagram.com/daianasantospoa, https://www.facebook.com/daianasantospoa, https://twitter.com/daianasantospoa</t>
  </si>
  <si>
    <t>Júlio de Castilhos</t>
  </si>
  <si>
    <t>https://dadosabertos.camara.leg.br/api/v2/deputados/220692</t>
  </si>
  <si>
    <t>Dal Barreto</t>
  </si>
  <si>
    <t>ADALBERTO ROSA BARRETO</t>
  </si>
  <si>
    <t>https://www.facebook.com/dalbarretodep, https://www.instagram.com/dalbarretodeputado, https://twitter.com/deputadodal, https://youtube.com/channel/UCFUsJuJCkySxlbxeZjrpKgQ</t>
  </si>
  <si>
    <t>Amargosa</t>
  </si>
  <si>
    <t>https://dadosabertos.camara.leg.br/api/v2/deputados/74467</t>
  </si>
  <si>
    <t>Damião Feliciano</t>
  </si>
  <si>
    <t>DAMIÃO FELICIANO DA SILVA</t>
  </si>
  <si>
    <t>https://dadosabertos.camara.leg.br/api/v2/deputados/220629</t>
  </si>
  <si>
    <t>Dandara</t>
  </si>
  <si>
    <t>DANDARA TONANTZIN SILVA CASTRO</t>
  </si>
  <si>
    <t>https://www.instagram.com/todandara, https://twitter.com/todandara</t>
  </si>
  <si>
    <t>Gurinhatã</t>
  </si>
  <si>
    <t>https://dadosabertos.camara.leg.br/api/v2/deputados/220603</t>
  </si>
  <si>
    <t>Dani Cunha</t>
  </si>
  <si>
    <t>DANIELLE DYTZ DA CUNHA</t>
  </si>
  <si>
    <t>https://dadosabertos.camara.leg.br/api/v2/deputados/220571</t>
  </si>
  <si>
    <t>Daniel Agrobom</t>
  </si>
  <si>
    <t>DANIEL VIEIRA RAMOS</t>
  </si>
  <si>
    <t>https://www.instagram.com/daniel.agrobom</t>
  </si>
  <si>
    <t>Uberlândia</t>
  </si>
  <si>
    <t>https://dadosabertos.camara.leg.br/api/v2/deputados/74060</t>
  </si>
  <si>
    <t>Daniel Almeida</t>
  </si>
  <si>
    <t>DANIEL GOMES DE ALMEIDA</t>
  </si>
  <si>
    <t>Mairi</t>
  </si>
  <si>
    <t>https://dadosabertos.camara.leg.br/api/v2/deputados/220582</t>
  </si>
  <si>
    <t>Daniel Barbosa</t>
  </si>
  <si>
    <t>DANIEL BARBOSA DE ALMEIDA SILVA</t>
  </si>
  <si>
    <t>https://www.instagram.com/daniel.barbosa.al, https://twitter.com/DanielBarbosaAL</t>
  </si>
  <si>
    <t>https://dadosabertos.camara.leg.br/api/v2/deputados/204367</t>
  </si>
  <si>
    <t>Daniel Freitas</t>
  </si>
  <si>
    <t>DANIEL COSTA DE FREITAS</t>
  </si>
  <si>
    <t>https://www.instagram.com/danielcfreitas, https://www.facebook.com/depdanielfreitas, https://twitter.com/DFDanielFreitas</t>
  </si>
  <si>
    <t>Criciúma</t>
  </si>
  <si>
    <t>https://dadosabertos.camara.leg.br/api/v2/deputados/228941</t>
  </si>
  <si>
    <t>Daniel José</t>
  </si>
  <si>
    <t>DANIEL JOSÉ DA SILVA OLIVEIRA</t>
  </si>
  <si>
    <t>Bragança Paulista</t>
  </si>
  <si>
    <t>https://dadosabertos.camara.leg.br/api/v2/deputados/204409</t>
  </si>
  <si>
    <t>Daniel Trzeciak</t>
  </si>
  <si>
    <t>DANIEL TRZECIAK DUARTE</t>
  </si>
  <si>
    <t>https://twitter.com/TrzeciakDaniel, https://www.instagram.com/danieltrzeciak45, https://www.facebook.com/DanielTrzeciak45, https://youtube.com/DanielTrzeciak</t>
  </si>
  <si>
    <t>Dom Feliciano</t>
  </si>
  <si>
    <t>https://dadosabertos.camara.leg.br/api/v2/deputados/204459</t>
  </si>
  <si>
    <t>Daniela do Waguinho</t>
  </si>
  <si>
    <t>DANIELA MOTE DE SOUZA CARNEIRO</t>
  </si>
  <si>
    <t>https://www.facebook.com/share, https://www.instagram.com/danielacarneirooficial, https://twitter.com/https:</t>
  </si>
  <si>
    <t>https://dadosabertos.camara.leg.br/api/v2/deputados/220557</t>
  </si>
  <si>
    <t>Daniela Reinehr</t>
  </si>
  <si>
    <t>DANIELA CRISTINA REINEHR</t>
  </si>
  <si>
    <t>https://www.facebook.com/danielareinehr.sc, https://twitter.com/DanielaReinehr, https://www.instagram.com/danielareinehr</t>
  </si>
  <si>
    <t>Maravilha</t>
  </si>
  <si>
    <t>https://dadosabertos.camara.leg.br/api/v2/deputados/62881</t>
  </si>
  <si>
    <t>Danilo Forte</t>
  </si>
  <si>
    <t>FRANCISCO DANILO BASTOS FORTE</t>
  </si>
  <si>
    <t>https://www.instagram.com/depdaniloforte, https://www.facebook.com/depdaniloforte, https://twitter.com/depdaniloforte</t>
  </si>
  <si>
    <t>https://dadosabertos.camara.leg.br/api/v2/deputados/160552</t>
  </si>
  <si>
    <t>Danrlei de Deus Hinterholz</t>
  </si>
  <si>
    <t>DANRLEI DE DEUS HINTERHOLZ</t>
  </si>
  <si>
    <t>Crissiumal</t>
  </si>
  <si>
    <t>https://dadosabertos.camara.leg.br/api/v2/deputados/116379</t>
  </si>
  <si>
    <t>Darci de Matos</t>
  </si>
  <si>
    <t>DARCI DE MATOS</t>
  </si>
  <si>
    <t>Cafelândia</t>
  </si>
  <si>
    <t>https://dadosabertos.camara.leg.br/api/v2/deputados/204511</t>
  </si>
  <si>
    <t>David Soares</t>
  </si>
  <si>
    <t>DAVID BEZERRA RIBEIRO SOARES</t>
  </si>
  <si>
    <t>https://dadosabertos.camara.leg.br/api/v2/deputados/220659</t>
  </si>
  <si>
    <t>Dayany Bittencourt</t>
  </si>
  <si>
    <t>DAYANY BITTENCOURT SANTIL</t>
  </si>
  <si>
    <t>https://www.instagram.com/dayanybittencourt, https://www.facebook.com/dayanydocapitao/, https://twitter.com/dep_dayany, https://youtube.com/dayanydocapitao9613</t>
  </si>
  <si>
    <t>https://dadosabertos.camara.leg.br/api/v2/deputados/220539</t>
  </si>
  <si>
    <t>Defensor Stélio Dener</t>
  </si>
  <si>
    <t>STÉLIO DENER DE SOUZA CRUZ</t>
  </si>
  <si>
    <t>RR</t>
  </si>
  <si>
    <t>Boa Vista</t>
  </si>
  <si>
    <t>https://dadosabertos.camara.leg.br/api/v2/deputados/220565</t>
  </si>
  <si>
    <t>Delegada Adriana Accorsi</t>
  </si>
  <si>
    <t>ADRIANA SAUTHIER ACCORSI</t>
  </si>
  <si>
    <t>https://www.facebook.com/delegadaadrianaaccorsi, https://www.youtube.com/channel/UCka3DO1hTh69qpZm27yjlmg, https://www.instagram.com/adriana_accorsi/, https://twitter.com/Adriana_Accorsi</t>
  </si>
  <si>
    <t>Itapuranga</t>
  </si>
  <si>
    <t>https://dadosabertos.camara.leg.br/api/v2/deputados/220625</t>
  </si>
  <si>
    <t>Delegada Ione</t>
  </si>
  <si>
    <t>IONE MARIA MOREIRA DIAS BARBOSA</t>
  </si>
  <si>
    <t>Barbacena</t>
  </si>
  <si>
    <t>https://dadosabertos.camara.leg.br/api/v2/deputados/220561</t>
  </si>
  <si>
    <t>Delegada Katarina</t>
  </si>
  <si>
    <t>KATARINA FEITOZA LIMA SANTANA</t>
  </si>
  <si>
    <t>https://www.facebook.com/delegadakatarina, https://www.instagram.com/delegadakatarina/, https://www.youtube.com/@delegadakatarina</t>
  </si>
  <si>
    <t>Aracaju</t>
  </si>
  <si>
    <t>https://dadosabertos.camara.leg.br/api/v2/deputados/220642</t>
  </si>
  <si>
    <t>Delegado Bruno Lima</t>
  </si>
  <si>
    <t>BRUNO MARCELLO DE OLIVEIRA LIMA</t>
  </si>
  <si>
    <t>https://twitter.com/https:, https://www.facebook.com/profile.php, https://www.instagram.com/del.brunolima</t>
  </si>
  <si>
    <t>https://dadosabertos.camara.leg.br/api/v2/deputados/220673</t>
  </si>
  <si>
    <t>Delegado Caveira</t>
  </si>
  <si>
    <t>LENILDO MENDES DOS SANTOS SERTÃO</t>
  </si>
  <si>
    <t>https://www.facebook.com/delegadocaveira, https://www.instagram.com/delegadocaveira, https://twitter.com/delegadocaveira, https://youtube.com/delegadocaveira</t>
  </si>
  <si>
    <t>Rio Verde</t>
  </si>
  <si>
    <t>https://dadosabertos.camara.leg.br/api/v2/deputados/220649</t>
  </si>
  <si>
    <t>Delegado da Cunha</t>
  </si>
  <si>
    <t>CARLOS ALBERTO DA CUNHA</t>
  </si>
  <si>
    <t>https://www.youtube.com/@DelegadodaCunha, https://m.facebook.com/delegadodacunha?mibextid=ZbWKwL, https://twitter.com/DacunhaDelegado, https://instagram.com/delegadodacunha?igshid=ZDdkNTZiNTM=</t>
  </si>
  <si>
    <t>Santos</t>
  </si>
  <si>
    <t>https://dadosabertos.camara.leg.br/api/v2/deputados/178908</t>
  </si>
  <si>
    <t>Delegado Éder Mauro</t>
  </si>
  <si>
    <t>EDER MAURO CARDOSO BARRA</t>
  </si>
  <si>
    <t>https://dadosabertos.camara.leg.br/api/v2/deputados/220583</t>
  </si>
  <si>
    <t>Delegado Fabio Costa</t>
  </si>
  <si>
    <t>FABIO MICHEY COSTA DA SILVA</t>
  </si>
  <si>
    <t>https://www.facebook.com/DelegadoFabioCosta, https://www.instagram.com/delegadofabiocosta, https://twitter.com/delegadofabioc1, https://youtube.com/channel/UC8rTmVCfhCWa0ufzxg_cMzw</t>
  </si>
  <si>
    <t>https://dadosabertos.camara.leg.br/api/v2/deputados/204512</t>
  </si>
  <si>
    <t>Delegado Marcelo Freitas</t>
  </si>
  <si>
    <t>MARCELO EDUARDO FREITAS</t>
  </si>
  <si>
    <t>https://www.instagram.com/delegadomarcelofreitas, https://www.facebook.com/delegadomarcelofreitas, https://twitter.com/DelegadoFreitas, https://youtube.com/channel/UC-YDFg5FTo1FKRkav_mD6oQ</t>
  </si>
  <si>
    <t>Montes Claros</t>
  </si>
  <si>
    <t>https://dadosabertos.camara.leg.br/api/v2/deputados/220701</t>
  </si>
  <si>
    <t>Delegado Matheus Laiola</t>
  </si>
  <si>
    <t>MATHEUS ARAUJO LAIOLA</t>
  </si>
  <si>
    <t>https://www.facebook.com/delegadomatheuslaiola, https://www.instagram.com/delegado.matheuslaiola, https://twitter.com/MatheusLaiola</t>
  </si>
  <si>
    <t>Cândido Mota</t>
  </si>
  <si>
    <t>https://dadosabertos.camara.leg.br/api/v2/deputados/220652</t>
  </si>
  <si>
    <t>Delegado Palumbo</t>
  </si>
  <si>
    <t>MARIO PALUMBO JUNIOR</t>
  </si>
  <si>
    <t>https://www.facebook.com/delegadopalumbo, https://www.instagram.com/delegadopalumbo/</t>
  </si>
  <si>
    <t>https://dadosabertos.camara.leg.br/api/v2/deputados/220654</t>
  </si>
  <si>
    <t>Delegado Paulo Bilynskyj</t>
  </si>
  <si>
    <t>PAULO FRANCISCO MUNIZ BILYNSKYJ</t>
  </si>
  <si>
    <t>https://dadosabertos.camara.leg.br/api/v2/deputados/220619</t>
  </si>
  <si>
    <t>Delegado Ramagem</t>
  </si>
  <si>
    <t>ALEXANDRE RAMAGEM RODRIGUES</t>
  </si>
  <si>
    <t>https://dadosabertos.camara.leg.br/api/v2/deputados/228272</t>
  </si>
  <si>
    <t>Délio Pinheiro</t>
  </si>
  <si>
    <t>DELIO PINHEIRO NETO</t>
  </si>
  <si>
    <t>Porteirinha</t>
  </si>
  <si>
    <t>https://dadosabertos.camara.leg.br/api/v2/deputados/220705</t>
  </si>
  <si>
    <t>Deltan Dallagnol</t>
  </si>
  <si>
    <t>DELTAN MARTINAZZO DALLAGNOL</t>
  </si>
  <si>
    <t>Pato Branco</t>
  </si>
  <si>
    <t>https://dadosabertos.camara.leg.br/api/v2/deputados/220553</t>
  </si>
  <si>
    <t>Denise Pessôa</t>
  </si>
  <si>
    <t>DENISE DA SILVA PESSÔA</t>
  </si>
  <si>
    <t>Caxias do Sul</t>
  </si>
  <si>
    <t>https://dadosabertos.camara.leg.br/api/v2/deputados/220689</t>
  </si>
  <si>
    <t>Detinha</t>
  </si>
  <si>
    <t>MARIA DEUSDETE LIMA CUNHA RODRIGUES</t>
  </si>
  <si>
    <t>https://www.instagram.com/detinhapl, https://youtube.com/detinha, https://www.facebook.com/detinha</t>
  </si>
  <si>
    <t>Cariús</t>
  </si>
  <si>
    <t>https://dadosabertos.camara.leg.br/api/v2/deputados/160588</t>
  </si>
  <si>
    <t>Diego Andrade</t>
  </si>
  <si>
    <t>DIEGO LEONARDO DE ANDRADE CARVALHO</t>
  </si>
  <si>
    <t>https://twitter.com/@diegoandrademg, https://www.facebook.com/diegoandrademg, https://www.instagram.com/diegoandrademg</t>
  </si>
  <si>
    <t>https://dadosabertos.camara.leg.br/api/v2/deputados/220691</t>
  </si>
  <si>
    <t>Diego Coronel</t>
  </si>
  <si>
    <t>DIEGO HENRIQUE SILVA CERQUEIRA MARTINS</t>
  </si>
  <si>
    <t>https://dadosabertos.camara.leg.br/api/v2/deputados/178929</t>
  </si>
  <si>
    <t>Diego Garcia</t>
  </si>
  <si>
    <t>DIEGO ALEXSANDER GONCALO PAULA GARCIA</t>
  </si>
  <si>
    <t>https://twitter.com/diegogarciapr, https://www.facebook.com/diegogarciapr, https://www.instagram.com/diegogarciaparana, https://youtube.com/diegogarciapr</t>
  </si>
  <si>
    <t>Bandeirantes</t>
  </si>
  <si>
    <t>https://dadosabertos.camara.leg.br/api/v2/deputados/73768</t>
  </si>
  <si>
    <t>Dilceu Sperafico</t>
  </si>
  <si>
    <t>DILCEU JOÃO SPERAFICO</t>
  </si>
  <si>
    <t>Santa Rosa</t>
  </si>
  <si>
    <t>https://dadosabertos.camara.leg.br/api/v2/deputados/220671</t>
  </si>
  <si>
    <t>Dilvanda Faro</t>
  </si>
  <si>
    <t>DILVANDA FURTADO FARO</t>
  </si>
  <si>
    <t>Bujaru</t>
  </si>
  <si>
    <t>https://dadosabertos.camara.leg.br/api/v2/deputados/160599</t>
  </si>
  <si>
    <t>Dimas Fabiano</t>
  </si>
  <si>
    <t>DIMAS FABIANO TOLEDO JÚNIOR</t>
  </si>
  <si>
    <t>Macaé</t>
  </si>
  <si>
    <t>https://dadosabertos.camara.leg.br/api/v2/deputados/220602</t>
  </si>
  <si>
    <t>Dimas Gadelha</t>
  </si>
  <si>
    <t>DIMAS DE PAIVA GADELHA JUNIOR</t>
  </si>
  <si>
    <t>https://www.facebook.com/dimasgadelha13, https://www.instagram.com/dimasgadelha13, https://twitter.com/drdimasgadelha, https://youtube.com/channel/UCgGSnpuEXdYKaeE7ZyPgjqw</t>
  </si>
  <si>
    <t>Sousa</t>
  </si>
  <si>
    <t>https://dadosabertos.camara.leg.br/api/v2/deputados/143632</t>
  </si>
  <si>
    <t>Domingos Neto</t>
  </si>
  <si>
    <t>DOMINGOS GOMES DE AGUIAR NETO</t>
  </si>
  <si>
    <t>https://twitter.com/domingos_neto, https://www.facebook.com/DomingosNetoCeara, https://www.instagram.com/domingosneto, https://youtube.com/channel/UCenz2PqXTJKnPGRVNTs0AAg</t>
  </si>
  <si>
    <t>https://dadosabertos.camara.leg.br/api/v2/deputados/160758</t>
  </si>
  <si>
    <t>Domingos Sávio</t>
  </si>
  <si>
    <t>DOMINGOS SÁVIO CAMPOS RESENDE</t>
  </si>
  <si>
    <t>São Tiago</t>
  </si>
  <si>
    <t>https://dadosabertos.camara.leg.br/api/v2/deputados/220573</t>
  </si>
  <si>
    <t>Dorinaldo Malafaia</t>
  </si>
  <si>
    <t>DORINALDO BARBOSA MALAFAIA</t>
  </si>
  <si>
    <t>https://www.facebook.com/dorinaldomalafaia, https://www.instagram.com/malafaiadorinaldo, https://twitter.com/malafaia_d</t>
  </si>
  <si>
    <t>https://dadosabertos.camara.leg.br/api/v2/deputados/227433</t>
  </si>
  <si>
    <t>Douglas Viegas</t>
  </si>
  <si>
    <t>DOUGLAS DE PAULO VIEGAS</t>
  </si>
  <si>
    <t>https://dadosabertos.camara.leg.br/api/v2/deputados/204450</t>
  </si>
  <si>
    <t>Doutor Luizinho</t>
  </si>
  <si>
    <t>LUIZ ANTONIO DE SOUZA TEIXEIRA JÚNIOR</t>
  </si>
  <si>
    <t>https://www.facebook.com/doutorluizinho, https://www.instagram.com/doutorluizinho, https://twitter.com/Doutorluizinhot</t>
  </si>
  <si>
    <t>Nova Iguaçu</t>
  </si>
  <si>
    <t>https://dadosabertos.camara.leg.br/api/v2/deputados/227401</t>
  </si>
  <si>
    <t>Dr Fabio Rueda</t>
  </si>
  <si>
    <t>FABIO GONÇALVES DE RUEDA</t>
  </si>
  <si>
    <t>https://www.instagram.com/fabioruedaoficial, https://www.facebook.com/fabio.derueda</t>
  </si>
  <si>
    <t>https://dadosabertos.camara.leg.br/api/v2/deputados/227991</t>
  </si>
  <si>
    <t>Dr Flávio</t>
  </si>
  <si>
    <t>FLAVIO CAMPOS FERREIRA</t>
  </si>
  <si>
    <t>Central de Minas</t>
  </si>
  <si>
    <t>https://dadosabertos.camara.leg.br/api/v2/deputados/221339</t>
  </si>
  <si>
    <t>Dr. Benjamim</t>
  </si>
  <si>
    <t>BENJAMIM DE OLIVEIRA</t>
  </si>
  <si>
    <t>https://www.instagram.com/soudrbenjamim</t>
  </si>
  <si>
    <t>Planalto</t>
  </si>
  <si>
    <t>https://dadosabertos.camara.leg.br/api/v2/deputados/220614</t>
  </si>
  <si>
    <t>Dr. Daniel Soranz</t>
  </si>
  <si>
    <t>DANIEL RICARDO SORANZ PINTO</t>
  </si>
  <si>
    <t>https://www.instagram.com/danielsoranz</t>
  </si>
  <si>
    <t>Vassouras</t>
  </si>
  <si>
    <t>https://dadosabertos.camara.leg.br/api/v2/deputados/220610</t>
  </si>
  <si>
    <t>Dr. Fernando Máximo</t>
  </si>
  <si>
    <t>FERNANDO RODRIGUES MÁXIMO</t>
  </si>
  <si>
    <t>https://www.youtube.com/@DrFernandoMaximo, https://www.facebook.com/drfernandomaximo007, https://www.instagram.com/drfernandomaximo007/, https://twitter.com/fernandomaximoX</t>
  </si>
  <si>
    <t>https://dadosabertos.camara.leg.br/api/v2/deputados/220688</t>
  </si>
  <si>
    <t>Dr. Francisco</t>
  </si>
  <si>
    <t>FRANCISCO DE ASSIS DE OLIVEIRA COSTA</t>
  </si>
  <si>
    <t>https://www.instagram.com/drfranciscopiaui, https://twitter.com/drfranciscopi, https://www.facebook.com/drfranciscopiaui</t>
  </si>
  <si>
    <t>São Francisco do Piauí</t>
  </si>
  <si>
    <t>https://dadosabertos.camara.leg.br/api/v2/deputados/204518</t>
  </si>
  <si>
    <t>Dr. Frederico</t>
  </si>
  <si>
    <t>FREDERICO DE CASTRO ESCALEIRA</t>
  </si>
  <si>
    <t>https://www.facebook.com/drfredericomg, https://www.instagram.com/drfredericomg</t>
  </si>
  <si>
    <t>Teresópolis</t>
  </si>
  <si>
    <t>https://dadosabertos.camara.leg.br/api/v2/deputados/212625</t>
  </si>
  <si>
    <t>Dr. Gonçalo</t>
  </si>
  <si>
    <t>ANTONIO ELIZABETH GONÇALO DE SOUSA</t>
  </si>
  <si>
    <t>Pastos Bons</t>
  </si>
  <si>
    <t>https://dadosabertos.camara.leg.br/api/v2/deputados/220570</t>
  </si>
  <si>
    <t>Dr. Ismael Alexandrino</t>
  </si>
  <si>
    <t>ISMAEL ALEXANDRINO JUNIOR</t>
  </si>
  <si>
    <t>https://www.instagram.com/ismael.alexandrino, https://twitter.com/IsmAlexandrino, https://www.facebook.com/IsmaelAlexandrino</t>
  </si>
  <si>
    <t>São Luís de Montes Belos</t>
  </si>
  <si>
    <t>https://dadosabertos.camara.leg.br/api/v2/deputados/204481</t>
  </si>
  <si>
    <t>Dr. Jaziel</t>
  </si>
  <si>
    <t>JAZIEL PEREIRA DE SOUSA</t>
  </si>
  <si>
    <t>Camocim</t>
  </si>
  <si>
    <t>https://dadosabertos.camara.leg.br/api/v2/deputados/204351</t>
  </si>
  <si>
    <t>Dr. Luiz Ovando</t>
  </si>
  <si>
    <t>LUIZ ALBERTO OVANDO</t>
  </si>
  <si>
    <t>https://www.facebook.com/drluizovando, https://www.instagram.com/drluizovando, https://twitter.com/drluizovando, https://youtube.com/channel/UCQ1v5nEfElt-ztWZkpxZdBQ</t>
  </si>
  <si>
    <t>Corumbá</t>
  </si>
  <si>
    <t>https://dadosabertos.camara.leg.br/api/v2/deputados/228616</t>
  </si>
  <si>
    <t>Dr. Remy Soares</t>
  </si>
  <si>
    <t>REMY ALVES SOARES FILHO</t>
  </si>
  <si>
    <t>São Luís</t>
  </si>
  <si>
    <t>https://dadosabertos.camara.leg.br/api/v2/deputados/220528</t>
  </si>
  <si>
    <t>Dr. Victor Linhalis</t>
  </si>
  <si>
    <t>VICTOR GAROZI LINHALIS</t>
  </si>
  <si>
    <t>https://www.facebook.com/DrVictorLinhalis, https://www.instagram.com/drvictorlinhalis/, https://twitter.com/DepDrVictor, https://www.youtube.com/channel/UC9lrrW_04FxppALPdqqoUjw</t>
  </si>
  <si>
    <t>https://dadosabertos.camara.leg.br/api/v2/deputados/204412</t>
  </si>
  <si>
    <t>Dr. Zacharias Calil</t>
  </si>
  <si>
    <t>ZACARIAS CALIL HAMU</t>
  </si>
  <si>
    <t>https://twitter.com/zachariascalil, https://www.facebook.com/drzachariascalil, https://www.instagram.com/drzachariascalil</t>
  </si>
  <si>
    <t>Goiânia</t>
  </si>
  <si>
    <t>https://dadosabertos.camara.leg.br/api/v2/deputados/220674</t>
  </si>
  <si>
    <t>Dra. Alessandra Haber</t>
  </si>
  <si>
    <t>ALESSANDRA HABER CARVALHO SANTOS</t>
  </si>
  <si>
    <t>https://www.instagram.com/draalessandrahaber, https://www.facebook.com/draalessandrahaber</t>
  </si>
  <si>
    <t>https://dadosabertos.camara.leg.br/api/v2/deputados/230088</t>
  </si>
  <si>
    <t>Dra. Mayra Pinheiro</t>
  </si>
  <si>
    <t>MAYRA ISABEL CORREIA PINHEIRO</t>
  </si>
  <si>
    <t>https://dadosabertos.camara.leg.br/api/v2/deputados/227800</t>
  </si>
  <si>
    <t>Duarte Gonçalves Jr</t>
  </si>
  <si>
    <t>DUARTE EUSTÁQUIO GONÇALVES JUNIOR</t>
  </si>
  <si>
    <t>Ponte Nova</t>
  </si>
  <si>
    <t>https://dadosabertos.camara.leg.br/api/v2/deputados/220686</t>
  </si>
  <si>
    <t>Duarte Jr.</t>
  </si>
  <si>
    <t>HILDELIS SILVA DUARTE JUNIOR</t>
  </si>
  <si>
    <t>https://www.instagram.com/duartejr_, https://twitter.com/DuarteJr_, https://www.facebook.com/ProfessorDuarteJr</t>
  </si>
  <si>
    <t>https://dadosabertos.camara.leg.br/api/v2/deputados/220540</t>
  </si>
  <si>
    <t>Duda Ramos</t>
  </si>
  <si>
    <t>DUDA BRITO RAMOS</t>
  </si>
  <si>
    <t>https://www.facebook.com/dudaramos.rr, https://twitter.com/soududaramos, https://www.instagram.com/dudaramos.rr</t>
  </si>
  <si>
    <t>Benjamin Constant</t>
  </si>
  <si>
    <t>https://dadosabertos.camara.leg.br/api/v2/deputados/220623</t>
  </si>
  <si>
    <t>Duda Salabert</t>
  </si>
  <si>
    <t>DUDA SALABERT ROSA</t>
  </si>
  <si>
    <t>https://www.instagram.com/duda_salabert, https://twitter.com/DudaSalabert, https://www.facebook.com/DudaSalabert</t>
  </si>
  <si>
    <t>https://dadosabertos.camara.leg.br/api/v2/deputados/204541</t>
  </si>
  <si>
    <t>Eduardo Bismarck</t>
  </si>
  <si>
    <t>EDUARDO HENRIQUE MAIA BISMARCK</t>
  </si>
  <si>
    <t>https://twitter.com/eduardobismarck, https://www.instagram.com/eduardobismarckce, https://www.facebook.com/eduardobismarckce, https://youtube.com/EduardoBismarckCE</t>
  </si>
  <si>
    <t>https://dadosabertos.camara.leg.br/api/v2/deputados/92346</t>
  </si>
  <si>
    <t>Eduardo Bolsonaro</t>
  </si>
  <si>
    <t>EDUARDO NANTES BOLSONARO</t>
  </si>
  <si>
    <t>https://dadosabertos.camara.leg.br/api/v2/deputados/141421</t>
  </si>
  <si>
    <t>Eduardo da Fonte</t>
  </si>
  <si>
    <t>EDUARDO HENRIQUE DA FONTE DE ALBUQUERQUE SILVA</t>
  </si>
  <si>
    <t>https://dadosabertos.camara.leg.br/api/v2/deputados/220589</t>
  </si>
  <si>
    <t>Eduardo Velloso</t>
  </si>
  <si>
    <t>EDUARDO OVÍDIO BORGES DE VELLOSO VIANNA</t>
  </si>
  <si>
    <t>https://www.instagram.com/dr.eduardovelloso, https://www.facebook.com/dr.eduardovellosoo, https://youtube.com/channel, https://twitter.com/_EduardoVelloso</t>
  </si>
  <si>
    <t>Rio Branco</t>
  </si>
  <si>
    <t>https://dadosabertos.camara.leg.br/api/v2/deputados/74075</t>
  </si>
  <si>
    <t>Elcione Barbalho</t>
  </si>
  <si>
    <t>ELCIONE THEREZINHA ZAHLUTH BARBALHO</t>
  </si>
  <si>
    <t>http://twitter.com/elcionepmdb, http://www.facebook.com/elcionepmdb, https://www.instagram.com/elcionebarbalho</t>
  </si>
  <si>
    <t>https://dadosabertos.camara.leg.br/api/v2/deputados/204364</t>
  </si>
  <si>
    <t>Eli Borges</t>
  </si>
  <si>
    <t>ELI DIAS BORGES</t>
  </si>
  <si>
    <t>Ipameri</t>
  </si>
  <si>
    <t>https://dadosabertos.camara.leg.br/api/v2/deputados/226553</t>
  </si>
  <si>
    <t>Eliane Braz</t>
  </si>
  <si>
    <t>FRANCISCA ELIANE BRAZ DE CARVALHO</t>
  </si>
  <si>
    <t>https://www.facebook.com/elianebrazce</t>
  </si>
  <si>
    <t>https://dadosabertos.camara.leg.br/api/v2/deputados/229585</t>
  </si>
  <si>
    <t>Elisangela Araujo</t>
  </si>
  <si>
    <t>ELISANGELA DOS SANTOS ARAUJO</t>
  </si>
  <si>
    <t>Valente</t>
  </si>
  <si>
    <t>https://dadosabertos.camara.leg.br/api/v2/deputados/220008</t>
  </si>
  <si>
    <t>Eliza Virgínia</t>
  </si>
  <si>
    <t>ELIZA VIRGINIA DE SOUZA FERNANDES</t>
  </si>
  <si>
    <t>João Pessoa</t>
  </si>
  <si>
    <t>https://dadosabertos.camara.leg.br/api/v2/deputados/178854</t>
  </si>
  <si>
    <t>Elmar Nascimento</t>
  </si>
  <si>
    <t>ELMAR JOSE VIEIRA NASCIMENTO</t>
  </si>
  <si>
    <t>Campo Formoso</t>
  </si>
  <si>
    <t>https://dadosabertos.camara.leg.br/api/v2/deputados/218086</t>
  </si>
  <si>
    <t>Ely Santos</t>
  </si>
  <si>
    <t>ELIANE DE SOUSA ALVES</t>
  </si>
  <si>
    <t>https://pt-br.facebook.com/oficialelysantos/, https://instagram.com/deputadafederal_elysantos?utm_medium=copy_link</t>
  </si>
  <si>
    <t>https://dadosabertos.camara.leg.br/api/v2/deputados/198783</t>
  </si>
  <si>
    <t>Emanuel Pinheiro Neto</t>
  </si>
  <si>
    <t>EMANUEL PINHEIRO DA SILVA PRIMO</t>
  </si>
  <si>
    <t>https://www.facebook.com/emanuelpinheironeto, https://www.instagram.com/emanuelpinheironeto, https://twitter.com/emanuelzinhomt</t>
  </si>
  <si>
    <t>https://dadosabertos.camara.leg.br/api/v2/deputados/161550</t>
  </si>
  <si>
    <t>Emidinho Madeira</t>
  </si>
  <si>
    <t>EMIDIO ALVES MADEIRA JUNIOR</t>
  </si>
  <si>
    <t>https://www.instagram.com/emidinhomadeira, https://www.facebook.com/emidinhomadeira</t>
  </si>
  <si>
    <t>Nova Resende</t>
  </si>
  <si>
    <t>https://dadosabertos.camara.leg.br/api/v2/deputados/225730</t>
  </si>
  <si>
    <t>Enfermeira Ana Paula</t>
  </si>
  <si>
    <t>ANA PAULA BRANDÃO DA SILVA FARIAS</t>
  </si>
  <si>
    <t>https://dadosabertos.camara.leg.br/api/v2/deputados/230765</t>
  </si>
  <si>
    <t>Enfermeira Rejane</t>
  </si>
  <si>
    <t>REJANE DE ALMEIDA</t>
  </si>
  <si>
    <t>https://dadosabertos.camara.leg.br/api/v2/deputados/132504</t>
  </si>
  <si>
    <t>Enio Verri</t>
  </si>
  <si>
    <t>ENIO JOSÉ VERRI</t>
  </si>
  <si>
    <t>https://www.facebook.com/enio.verri, https://twitter.com/enioverri, https://www.instagram.com/enioverri, https://youtube.com/enioverri</t>
  </si>
  <si>
    <t>http://www.enioverri.com.br/</t>
  </si>
  <si>
    <t>Maringá</t>
  </si>
  <si>
    <t>https://dadosabertos.camara.leg.br/api/v2/deputados/220663</t>
  </si>
  <si>
    <t>Eriberto Medeiros</t>
  </si>
  <si>
    <t>JOSÉ ERIBERTO MEDEIROS DE OLIVEIRA</t>
  </si>
  <si>
    <t>https://dadosabertos.camara.leg.br/api/v2/deputados/220645</t>
  </si>
  <si>
    <t>Erika Hilton</t>
  </si>
  <si>
    <t>ERIKA SANTOS SILVA</t>
  </si>
  <si>
    <t>https://www.instagram.com/hilton_erika, https://twitter.com/erikakhilton</t>
  </si>
  <si>
    <t>Franco da Rocha</t>
  </si>
  <si>
    <t>https://dadosabertos.camara.leg.br/api/v2/deputados/160575</t>
  </si>
  <si>
    <t>Erika Kokay</t>
  </si>
  <si>
    <t>ÉRIKA JUCÁ KOKAY</t>
  </si>
  <si>
    <t>https://dadosabertos.camara.leg.br/api/v2/deputados/160640</t>
  </si>
  <si>
    <t>Eros Biondini</t>
  </si>
  <si>
    <t>EROS FERREIRA BIONDINI</t>
  </si>
  <si>
    <t>http://twitter.com/erosbiondini, https://www.facebook.com/erosbiondini, http://www.youtube.com/erosbiondini, https://www.instagram.com/ErosBiondini</t>
  </si>
  <si>
    <t>http://www.erosbiondini.com</t>
  </si>
  <si>
    <t>https://dadosabertos.camara.leg.br/api/v2/deputados/204482</t>
  </si>
  <si>
    <t>Euclydes Pettersen</t>
  </si>
  <si>
    <t>EUCLYDES MARCOS PETTERSEN NETO</t>
  </si>
  <si>
    <t>Governador Valadares</t>
  </si>
  <si>
    <t>https://dadosabertos.camara.leg.br/api/v2/deputados/74454</t>
  </si>
  <si>
    <t>Eunício Oliveira</t>
  </si>
  <si>
    <t>EUNÍCIO LOPES DE OLIVEIRA</t>
  </si>
  <si>
    <t>https://www.instagram.com/euniciooliveira, https://twitter.com/eunicio</t>
  </si>
  <si>
    <t>Lavras da Mangabeira</t>
  </si>
  <si>
    <t>https://dadosabertos.camara.leg.br/api/v2/deputados/178871</t>
  </si>
  <si>
    <t>Evair Vieira de Melo</t>
  </si>
  <si>
    <t>EVAIR VIEIRA DE MELO</t>
  </si>
  <si>
    <t>https://www.facebook.com/evair.vieirademelo, https://youtube.com/channel/UCT5EVLanh6IiCl01fzPSOBQ</t>
  </si>
  <si>
    <t>Conceição do Castelo</t>
  </si>
  <si>
    <t>https://dadosabertos.camara.leg.br/api/v2/deputados/178905</t>
  </si>
  <si>
    <t>Fabio Garcia</t>
  </si>
  <si>
    <t>FABIO PAULINO GARCIA</t>
  </si>
  <si>
    <t>DF</t>
  </si>
  <si>
    <t>Brasília</t>
  </si>
  <si>
    <t>https://dadosabertos.camara.leg.br/api/v2/deputados/68720</t>
  </si>
  <si>
    <t>Fábio Henrique</t>
  </si>
  <si>
    <t>FABIO HENRIQUE SANTANA DE CARVALHO</t>
  </si>
  <si>
    <t>https://www.instagram.com/fabiohenriquese12, https://twitter.com/FabioHenriqueSE</t>
  </si>
  <si>
    <t>Simão Dias</t>
  </si>
  <si>
    <t>https://dadosabertos.camara.leg.br/api/v2/deputados/220681</t>
  </si>
  <si>
    <t>Fábio Macedo</t>
  </si>
  <si>
    <t>FÁBIO HENRIQUE DIAS DE  MACEDO</t>
  </si>
  <si>
    <t>Dom Pedro</t>
  </si>
  <si>
    <t>https://dadosabertos.camara.leg.br/api/v2/deputados/171623</t>
  </si>
  <si>
    <t>Fabio Reis</t>
  </si>
  <si>
    <t>FABIO DE ALMEIDA REIS</t>
  </si>
  <si>
    <t>https://www.facebook.com/fabioreispsd</t>
  </si>
  <si>
    <t>Lagarto</t>
  </si>
  <si>
    <t>https://dadosabertos.camara.leg.br/api/v2/deputados/204368</t>
  </si>
  <si>
    <t>Fabio Schiochet</t>
  </si>
  <si>
    <t>FÁBIO LUIZ SCHIOCHET FILHO</t>
  </si>
  <si>
    <t>https://dadosabertos.camara.leg.br/api/v2/deputados/220653</t>
  </si>
  <si>
    <t>Fábio Teruel</t>
  </si>
  <si>
    <t>Fábio Eduardo de Oliveira Teruel</t>
  </si>
  <si>
    <t>https://www.instagram.com/fabioterueloficial, https://youtube.com/FabioTeruelOficial, https://www.facebook.com/TmjFabioTeruel</t>
  </si>
  <si>
    <t>Santa Bárbara D'Oeste</t>
  </si>
  <si>
    <t>https://dadosabertos.camara.leg.br/api/v2/deputados/66828</t>
  </si>
  <si>
    <t>Fausto Pinato</t>
  </si>
  <si>
    <t>FAUSTO RUY PINATO</t>
  </si>
  <si>
    <t>Fernandópolis</t>
  </si>
  <si>
    <t>https://dadosabertos.camara.leg.br/api/v2/deputados/220712</t>
  </si>
  <si>
    <t>Fausto Santos Jr.</t>
  </si>
  <si>
    <t>FAUSTO VIEIRA DOS SANTOS JUNIOR</t>
  </si>
  <si>
    <t>https://dadosabertos.camara.leg.br/api/v2/deputados/220646</t>
  </si>
  <si>
    <t>Felipe Becari</t>
  </si>
  <si>
    <t>FELIPE BECARI COMENALE</t>
  </si>
  <si>
    <t>https://twitter.com/felipebecari, https://www.facebook.com/felipebecarisp, https://www.instagram.com/felipebecari, https://youtube.com/channel</t>
  </si>
  <si>
    <t>https://dadosabertos.camara.leg.br/api/v2/deputados/72442</t>
  </si>
  <si>
    <t>Felipe Carreras</t>
  </si>
  <si>
    <t>FELIPE AUGUSTO LYRA CARRERAS</t>
  </si>
  <si>
    <t>https://dadosabertos.camara.leg.br/api/v2/deputados/204398</t>
  </si>
  <si>
    <t>Felipe Francischini</t>
  </si>
  <si>
    <t>LUIS FELIPE BONATTO FRANCISCHINI</t>
  </si>
  <si>
    <t>https://dadosabertos.camara.leg.br/api/v2/deputados/227370</t>
  </si>
  <si>
    <t>Felipe Saliba</t>
  </si>
  <si>
    <t>FELIPE MAURÍCIO SALIBA DE SOUZA</t>
  </si>
  <si>
    <t>https://dadosabertos.camara.leg.br/api/v2/deputados/160666</t>
  </si>
  <si>
    <t>Félix Mendonça Júnior</t>
  </si>
  <si>
    <t>FELIX DE ALMEIDA MENDONÇA JÚNIOR</t>
  </si>
  <si>
    <t>https://www.facebook.com/felixmendoncajr, https://twitter.com/felixmendoncajr, https://www.instagram.com/felixmendoncajr</t>
  </si>
  <si>
    <t>Itabuna</t>
  </si>
  <si>
    <t>https://dadosabertos.camara.leg.br/api/v2/deputados/204407</t>
  </si>
  <si>
    <t>Fernanda Melchionna</t>
  </si>
  <si>
    <t>FERNANDA MELCHIONNA E SILVA</t>
  </si>
  <si>
    <t>Alegrete</t>
  </si>
  <si>
    <t>https://dadosabertos.camara.leg.br/api/v2/deputados/220656</t>
  </si>
  <si>
    <t>Fernanda Pessoa</t>
  </si>
  <si>
    <t>FERNANDA ENEIDA PESSOA CARACAS DE SOUZA</t>
  </si>
  <si>
    <t>https://dadosabertos.camara.leg.br/api/v2/deputados/141431</t>
  </si>
  <si>
    <t>Fernando Coelho Filho</t>
  </si>
  <si>
    <t>FERNANDO BEZERRA DE SOUZA COELHO FILHO</t>
  </si>
  <si>
    <t>https://dadosabertos.camara.leg.br/api/v2/deputados/204445</t>
  </si>
  <si>
    <t>Fernando Mineiro</t>
  </si>
  <si>
    <t>FERNANDO WANDERLEY VARGAS DA SILVA</t>
  </si>
  <si>
    <t>https://www.facebook.com/fernandomineiro, https://www.instagram.com/mineiroptrn, https://twitter.com/mineiroptrn</t>
  </si>
  <si>
    <t>Curvelo</t>
  </si>
  <si>
    <t>https://dadosabertos.camara.leg.br/api/v2/deputados/92699</t>
  </si>
  <si>
    <t>Fernando Monteiro</t>
  </si>
  <si>
    <t>FERNANDO MONTEIRO DE ALBUQUERQUE</t>
  </si>
  <si>
    <t>https://dadosabertos.camara.leg.br/api/v2/deputados/204427</t>
  </si>
  <si>
    <t>Fernando Rodolfo</t>
  </si>
  <si>
    <t>FERNANDO RODOLFO TENORIO DE VASCONCELOS</t>
  </si>
  <si>
    <t>https://www.instagram.com/fernandorodolfooficial, https://www.facebook.com/FernandoRodolfoTV</t>
  </si>
  <si>
    <t>Garanhuns</t>
  </si>
  <si>
    <t>https://dadosabertos.camara.leg.br/api/v2/deputados/204411</t>
  </si>
  <si>
    <t>Filipe Barros</t>
  </si>
  <si>
    <t>FILIPE BARROS BAPTISTA DE TOLEDO RIBEIRO</t>
  </si>
  <si>
    <t>https://www.instagram.com/filipebarrosoficial, https://twitter.com/filipebarrost</t>
  </si>
  <si>
    <t>https://dadosabertos.camara.leg.br/api/v2/deputados/220545</t>
  </si>
  <si>
    <t>Filipe Martins</t>
  </si>
  <si>
    <t>FILIPE MARTINS DOS SANTOS</t>
  </si>
  <si>
    <t>https://www.instagram.com/filipemartinsto, https://www.facebook.com/filipemartinsto, https://youtube.com/filipemartinsto</t>
  </si>
  <si>
    <t>https://dadosabertos.camara.leg.br/api/v2/deputados/160598</t>
  </si>
  <si>
    <t>Flávia Morais</t>
  </si>
  <si>
    <t>FLÁVIA CARREIRO ALBUQUERQUE MORAIS</t>
  </si>
  <si>
    <t>https://www.instagram.com/flaviamorais1212, https://www.facebook.com/FláviaMorais</t>
  </si>
  <si>
    <t>https://dadosabertos.camara.leg.br/api/v2/deputados/225727</t>
  </si>
  <si>
    <t>Flavinha</t>
  </si>
  <si>
    <t>ANA FLÁVIA RODRIGUES RAMIRO</t>
  </si>
  <si>
    <t>Colíder</t>
  </si>
  <si>
    <t>https://dadosabertos.camara.leg.br/api/v2/deputados/191923</t>
  </si>
  <si>
    <t>Flávio Nogueira</t>
  </si>
  <si>
    <t>FLÁVIO RODRIGUES NOGUEIRA</t>
  </si>
  <si>
    <t>https://twitter.com/flavionpi, https://www.facebook.com/flavionogueirapi, https://youtube.com/channel/UCK5EmojEtDuJnbOAGHcWhiA, https://www.instagram.com/flavionogueirapi</t>
  </si>
  <si>
    <t>Alto Santo</t>
  </si>
  <si>
    <t>https://dadosabertos.camara.leg.br/api/v2/deputados/220700</t>
  </si>
  <si>
    <t>Florentino Neto</t>
  </si>
  <si>
    <t>FLORENTINO ALVES VERAS NETO</t>
  </si>
  <si>
    <t>Buriti dos Lopes</t>
  </si>
  <si>
    <t>https://dadosabertos.camara.leg.br/api/v2/deputados/220551</t>
  </si>
  <si>
    <t>Franciane Bayer</t>
  </si>
  <si>
    <t>FRANCIANE ABADE BAYER MULLER</t>
  </si>
  <si>
    <t>Santa Maria</t>
  </si>
  <si>
    <t>https://dadosabertos.camara.leg.br/api/v2/deputados/204494</t>
  </si>
  <si>
    <t>Fred Costa</t>
  </si>
  <si>
    <t>FREDERICO BORGES DA COSTA</t>
  </si>
  <si>
    <t>https://twitter.com/fredcostadep, https://www.facebook.com/FredCostaDEP, https://www.instagram.com/FredCostaDEP</t>
  </si>
  <si>
    <t>https://dadosabertos.camara.leg.br/api/v2/deputados/220534</t>
  </si>
  <si>
    <t>Fred Linhares</t>
  </si>
  <si>
    <t>DAVYS FREDERICO TEIXEIRA LINHARES</t>
  </si>
  <si>
    <t>https://www.instagram.com/fredlinharesbrasilia, https://www.facebook.com/FredLinharesBrasilia?mibextid=LQQJ4d, https://www.youtube.com/@fredlinharesbrasilia/videos, https://twitter.com/fredlinhares?ref_src=twsrc%5Egoogle%7Ctwcamp%5Eserp%7Ctwgr%5Eauthor</t>
  </si>
  <si>
    <t>https://dadosabertos.camara.leg.br/api/v2/deputados/224117</t>
  </si>
  <si>
    <t>Gabriel Mota</t>
  </si>
  <si>
    <t>GABRIEL MOTA E SILVA</t>
  </si>
  <si>
    <t>https://www.facebook.com/gabrielmotarr, https://twitter.com/gabrielmotarr</t>
  </si>
  <si>
    <t>https://dadosabertos.camara.leg.br/api/v2/deputados/220708</t>
  </si>
  <si>
    <t>Gabriel Nunes</t>
  </si>
  <si>
    <t>GABRIEL JOSE MOURA NUNES SOARES</t>
  </si>
  <si>
    <t>https://dadosabertos.camara.leg.br/api/v2/deputados/204473</t>
  </si>
  <si>
    <t>General Girão</t>
  </si>
  <si>
    <t>ELIÉSER GIRÃO MONTEIRO FILHO</t>
  </si>
  <si>
    <t>https://dadosabertos.camara.leg.br/api/v2/deputados/220611</t>
  </si>
  <si>
    <t>General Pazuello</t>
  </si>
  <si>
    <t>EDUARDO PAZUELLO</t>
  </si>
  <si>
    <t>https://dadosabertos.camara.leg.br/api/v2/deputados/178966</t>
  </si>
  <si>
    <t>Geovania de Sá</t>
  </si>
  <si>
    <t>Geovânia de Sá</t>
  </si>
  <si>
    <t>https://www.facebook.com/geovaniadesaa?mibextid=ZbWKwL, https://instagram.com/geovaniasa?igshid=ZDdkNTZiNTM=, https://twitter.com/geovaniadesa?t=zlR3T1G0uVQIQSdO6omG7A&amp;s=09</t>
  </si>
  <si>
    <t>https://dadosabertos.camara.leg.br/api/v2/deputados/220702</t>
  </si>
  <si>
    <t>Geraldo Mendes</t>
  </si>
  <si>
    <t>GERALDO GABRIEL MENDES</t>
  </si>
  <si>
    <t>https://www.facebook.com/geraldomendesoficial?mibextid=LQQJ4d, https://www.instagram.com/geraldomendesoficial/?igshid=YmMyMTA2M2Y%3D, https://www.youtube.com/@geraldomendes3450</t>
  </si>
  <si>
    <t>Galvão</t>
  </si>
  <si>
    <t>https://dadosabertos.camara.leg.br/api/v2/deputados/74374</t>
  </si>
  <si>
    <t>Geraldo Resende</t>
  </si>
  <si>
    <t>GERALDO RESENDE PEREIRA</t>
  </si>
  <si>
    <t>http://twitter.com/dep_geraldo, https://www.facebook.com/geraldoresendems, https://www.instagram.com/geraldoresendems, https://youtube.com/channel/UCbnj5-ROiu04qLttEG6HNmQ</t>
  </si>
  <si>
    <t>http://www.depgeraldo.wordpress.com</t>
  </si>
  <si>
    <t>Córrego Danta</t>
  </si>
  <si>
    <t>https://dadosabertos.camara.leg.br/api/v2/deputados/220587</t>
  </si>
  <si>
    <t>Gerlen Diniz</t>
  </si>
  <si>
    <t>GEHLEN DINIZ ANDRADE</t>
  </si>
  <si>
    <t>Sena Madureira</t>
  </si>
  <si>
    <t>https://dadosabertos.camara.leg.br/api/v2/deputados/204394</t>
  </si>
  <si>
    <t>Gervásio Maia</t>
  </si>
  <si>
    <t>GERVÁSIO AGRIPINO MAIA</t>
  </si>
  <si>
    <t>https://www.facebook.com/gervasiomaiapb, https://www.instagram.com/gervasiomaia, https://twitter.com/gervasiomaia</t>
  </si>
  <si>
    <t>https://dadosabertos.camara.leg.br/api/v2/deputados/74383</t>
  </si>
  <si>
    <t>Giacobo</t>
  </si>
  <si>
    <t>FERNANDO LÚCIO GIACOBO</t>
  </si>
  <si>
    <t>https://www.facebook.com/fernandogiacobo, https://www.instagram.com/fernandogiacobo</t>
  </si>
  <si>
    <t>https://dadosabertos.camara.leg.br/api/v2/deputados/204491</t>
  </si>
  <si>
    <t>Gilberto Abramo</t>
  </si>
  <si>
    <t>GILBERTO APARECIDO ABRAMO</t>
  </si>
  <si>
    <t>https://www.instagram.com/gilbertoabramo_, https://twitter.com/gilbertoabramo, https://www.facebook.com/gilbertoabramo</t>
  </si>
  <si>
    <t>Porto Ferreira</t>
  </si>
  <si>
    <t>https://dadosabertos.camara.leg.br/api/v2/deputados/74270</t>
  </si>
  <si>
    <t>Gilberto Nascimento</t>
  </si>
  <si>
    <t>GILBERTO NASCIMENTO SILVA</t>
  </si>
  <si>
    <t>https://dadosabertos.camara.leg.br/api/v2/deputados/220529</t>
  </si>
  <si>
    <t>Gilson Daniel</t>
  </si>
  <si>
    <t>GILSON DANIEL BATISTA</t>
  </si>
  <si>
    <t>https://www.instagram.com/gilsondaniel1919</t>
  </si>
  <si>
    <t>https://dadosabertos.camara.leg.br/api/v2/deputados/204365</t>
  </si>
  <si>
    <t>Gilson Marques</t>
  </si>
  <si>
    <t>GILSON MARQUES VIEIRA</t>
  </si>
  <si>
    <t>https://twitter.com/gilson__marques, https://www.facebook.com/gilson.marques.novo, https://www.instagram.com/gilson.marques.novo, https://youtube.com/gilsonmarquesnovo</t>
  </si>
  <si>
    <t>Rio do Sul</t>
  </si>
  <si>
    <t>https://dadosabertos.camara.leg.br/api/v2/deputados/220526</t>
  </si>
  <si>
    <t>Gilvan da Federal</t>
  </si>
  <si>
    <t>GILVAN AGUIAR COSTA</t>
  </si>
  <si>
    <t>https://www.instagram.com/gilvandafederal</t>
  </si>
  <si>
    <t>Araióses</t>
  </si>
  <si>
    <t>https://dadosabertos.camara.leg.br/api/v2/deputados/220531</t>
  </si>
  <si>
    <t>Gilvan Maximo</t>
  </si>
  <si>
    <t>GILVAM MAXIMO</t>
  </si>
  <si>
    <t>Rubiataba</t>
  </si>
  <si>
    <t>https://dadosabertos.camara.leg.br/api/v2/deputados/160673</t>
  </si>
  <si>
    <t>Giovani Cherini</t>
  </si>
  <si>
    <t>GIOVANI CHERINI</t>
  </si>
  <si>
    <t>Soledade</t>
  </si>
  <si>
    <t>https://dadosabertos.camara.leg.br/api/v2/deputados/226179</t>
  </si>
  <si>
    <t>Gisela Simona</t>
  </si>
  <si>
    <t>GISELA SIMONA VIANA DE SOUZA</t>
  </si>
  <si>
    <t>https://dadosabertos.camara.leg.br/api/v2/deputados/152605</t>
  </si>
  <si>
    <t>Glauber Braga</t>
  </si>
  <si>
    <t>GLAUBER DE MEDEIROS BRAGA</t>
  </si>
  <si>
    <t>Nova Friburgo</t>
  </si>
  <si>
    <t>https://dadosabertos.camara.leg.br/api/v2/deputados/229333</t>
  </si>
  <si>
    <t>Gláucia Santiago</t>
  </si>
  <si>
    <t>GLÁUCIA MARIA SANTIAGO RODRIGUES</t>
  </si>
  <si>
    <t>Itaúna</t>
  </si>
  <si>
    <t>https://dadosabertos.camara.leg.br/api/v2/deputados/204419</t>
  </si>
  <si>
    <t>Glaustin da Fokus</t>
  </si>
  <si>
    <t>GLAUSKSTON BATISTA RIOS</t>
  </si>
  <si>
    <t>https://dadosabertos.camara.leg.br/api/v2/deputados/107283</t>
  </si>
  <si>
    <t>Gleisi Hoffmann</t>
  </si>
  <si>
    <t>GLEISI HELENA HOFFMANN</t>
  </si>
  <si>
    <t>https://www.facebook.com/gleisi.hoffmann, https://www.instagram.com/gleisihoffmann, https://youtube.com/GleisiHoffmannPT, https://twitter.com/gleisi</t>
  </si>
  <si>
    <t>www.gleisi.com.br</t>
  </si>
  <si>
    <t>https://dadosabertos.camara.leg.br/api/v2/deputados/198197</t>
  </si>
  <si>
    <t>Greyce Elias</t>
  </si>
  <si>
    <t>GREYCE DE QUEIROZ ELIAS</t>
  </si>
  <si>
    <t>https://twitter.com/greyceelias, https://www.instagram.com/greyceelias, https://www.facebook.com/greyce.elias, https://youtube.com/channel/UCcSZxLiSfO1dFmAryUnxPHg</t>
  </si>
  <si>
    <t>Patrocínio</t>
  </si>
  <si>
    <t>https://dadosabertos.camara.leg.br/api/v2/deputados/220639</t>
  </si>
  <si>
    <t>Guilherme Boulos</t>
  </si>
  <si>
    <t>GUILHERME CASTRO BOULOS</t>
  </si>
  <si>
    <t>https://www.facebook.com/guilhermeboulos?mibextid=LQQJ4d, https://www.instagram.com/guilhermeboulos.oficial, https://www.youtube.com/@GuilhermeBoulosoficial, https://twitter.com/guilhermeboulos?s=11&amp;t=PbdbjkD7sGuAiT6UirTpIw</t>
  </si>
  <si>
    <t>https://dadosabertos.camara.leg.br/api/v2/deputados/204531</t>
  </si>
  <si>
    <t>Guilherme Derrite</t>
  </si>
  <si>
    <t>GUILHERME MURARO DERRITE</t>
  </si>
  <si>
    <t>https://www.instagram.com/capitaoderrite, https://twitter.com/capitaoderrite, https://www.facebook.com/capitaoderrite, https://youtube.com/channel/UCZHZxgmwC2c5tz3_Jn-gGOw</t>
  </si>
  <si>
    <t>www.derrite.com.br</t>
  </si>
  <si>
    <t>Sorocaba</t>
  </si>
  <si>
    <t>https://dadosabertos.camara.leg.br/api/v2/deputados/220664</t>
  </si>
  <si>
    <t>Guilherme Uchoa</t>
  </si>
  <si>
    <t>GUILHERME A. UCHOA CAVALCANTI PESSOA DE MELO JUNIOR</t>
  </si>
  <si>
    <t>https://www.instagram.com/GUILHERMEUCHOAJR</t>
  </si>
  <si>
    <t>Paulista</t>
  </si>
  <si>
    <t>https://dadosabertos.camara.leg.br/api/v2/deputados/220568</t>
  </si>
  <si>
    <t>Gustavo Gayer</t>
  </si>
  <si>
    <t>GUSTAVO GAYER MACHADO DE ARAUJO</t>
  </si>
  <si>
    <t>https://www.facebook.com/gustavogayer, https://www.instagram.com/gusgayer, https://youtube.com/GustavoGayer, https://twitter.com/GayerGus</t>
  </si>
  <si>
    <t>https://dadosabertos.camara.leg.br/api/v2/deputados/204408</t>
  </si>
  <si>
    <t>Gustinho Ribeiro</t>
  </si>
  <si>
    <t>LUIZ AUGUSTO CARVALHO RIBEIRO FILHO</t>
  </si>
  <si>
    <t>https://dadosabertos.camara.leg.br/api/v2/deputados/204456</t>
  </si>
  <si>
    <t>Gutemberg Reis</t>
  </si>
  <si>
    <t>GUTEMBERG REIS DE OLIVEIRA</t>
  </si>
  <si>
    <t>https://dadosabertos.camara.leg.br/api/v2/deputados/178964</t>
  </si>
  <si>
    <t>Heitor Schuch</t>
  </si>
  <si>
    <t>HEITOR JOSE SCHUCH</t>
  </si>
  <si>
    <t>https://twitter.com/HeitorSchuch, https://www.facebook.com/heitorschuchoficial, https://www.instagram.com/heitorschuch</t>
  </si>
  <si>
    <t>Santa Cruz do Sul</t>
  </si>
  <si>
    <t>https://dadosabertos.camara.leg.br/api/v2/deputados/178873</t>
  </si>
  <si>
    <t>Helder Salomão</t>
  </si>
  <si>
    <t>HELDER IGNACIO SALOMAO</t>
  </si>
  <si>
    <t>https://dadosabertos.camara.leg.br/api/v2/deputados/220537</t>
  </si>
  <si>
    <t>Helena Lima</t>
  </si>
  <si>
    <t>MARIA HELENA TEIXEIRA LIMA</t>
  </si>
  <si>
    <t>https://www.instagram.com/helenadaasatur, https://twitter.com/helenadaasatur</t>
  </si>
  <si>
    <t>Araguatins</t>
  </si>
  <si>
    <t>https://dadosabertos.camara.leg.br/api/v2/deputados/178909</t>
  </si>
  <si>
    <t>Hélio Leite</t>
  </si>
  <si>
    <t>HELIO LEITE DA SILVA</t>
  </si>
  <si>
    <t>https://www.instagram.com/helio.leite</t>
  </si>
  <si>
    <t>Castanhal</t>
  </si>
  <si>
    <t>https://dadosabertos.camara.leg.br/api/v2/deputados/204444</t>
  </si>
  <si>
    <t>Helio Lopes</t>
  </si>
  <si>
    <t>HELIO FERNANDO BARBOSA LOPES</t>
  </si>
  <si>
    <t>https://twitter.com/depheliolopes, https://www.facebook.com/depheliolopes, https://www.instagram.com/depheliolopes</t>
  </si>
  <si>
    <t>Queimados</t>
  </si>
  <si>
    <t>https://dadosabertos.camara.leg.br/api/v2/deputados/220672</t>
  </si>
  <si>
    <t>Henderson Pinto</t>
  </si>
  <si>
    <t>HENDERSON LIRA PINTO</t>
  </si>
  <si>
    <t>Santarém</t>
  </si>
  <si>
    <t>https://dadosabertos.camara.leg.br/api/v2/deputados/227324</t>
  </si>
  <si>
    <t>Henrique Júnior</t>
  </si>
  <si>
    <t>HENRIQUE CESAR FERREIRA DE MELO LIMA JUNIOR</t>
  </si>
  <si>
    <t>https://dadosabertos.camara.leg.br/api/v2/deputados/204539</t>
  </si>
  <si>
    <t>Hercílio Coelho Diniz</t>
  </si>
  <si>
    <t>HERCÍLIO ARAÚJO DINIZ FILHO</t>
  </si>
  <si>
    <t>https://www.instagram.com/herciliocoelhodinizoficial, https://www.facebook.com/herciliocoelhodinizoficial, https://twitter.com/herciliodiniz, https://youtube.com/HercílioCoelhoDinizOficial</t>
  </si>
  <si>
    <t>https://dadosabertos.camara.leg.br/api/v2/deputados/100689</t>
  </si>
  <si>
    <t>Hildo do Candango</t>
  </si>
  <si>
    <t>OSMARILDO ALVES DE SOUSA</t>
  </si>
  <si>
    <t>Condeúba</t>
  </si>
  <si>
    <t>https://dadosabertos.camara.leg.br/api/v2/deputados/178884</t>
  </si>
  <si>
    <t>Hildo Rocha</t>
  </si>
  <si>
    <t>HILDO AUGUSTO DA ROCHA NETO</t>
  </si>
  <si>
    <t>https://dadosabertos.camara.leg.br/api/v2/deputados/141450</t>
  </si>
  <si>
    <t>Hugo Leal</t>
  </si>
  <si>
    <t>HUGO LEAL MELO DA SILVA</t>
  </si>
  <si>
    <t>https://www.instagram.com/dephugoleal, https://twitter.com/dephugoleal</t>
  </si>
  <si>
    <t>Ouro Fino</t>
  </si>
  <si>
    <t>https://dadosabertos.camara.leg.br/api/v2/deputados/160674</t>
  </si>
  <si>
    <t>Hugo Motta</t>
  </si>
  <si>
    <t>HUGO MOTTA WANDERLEY DA NÓBREGA</t>
  </si>
  <si>
    <t>https://dadosabertos.camara.leg.br/api/v2/deputados/220563</t>
  </si>
  <si>
    <t>Icaro de Valmir</t>
  </si>
  <si>
    <t>ICARO BARBOSA COSTA</t>
  </si>
  <si>
    <t>https://www.instagram.com/icarodevalmir, https://twitter.com/icarodevalmir</t>
  </si>
  <si>
    <t>https://dadosabertos.camara.leg.br/api/v2/deputados/204533</t>
  </si>
  <si>
    <t>Idilvan Alencar</t>
  </si>
  <si>
    <t>ANTONIO IDILVAN DE LIMA ALENCAR</t>
  </si>
  <si>
    <t>https://www.instagram.com/idilvanalencar, https://twitter.com/idilvanalencar, https://www.facebook.com/idilvanoficial</t>
  </si>
  <si>
    <t>Crato</t>
  </si>
  <si>
    <t>https://dadosabertos.camara.leg.br/api/v2/deputados/204508</t>
  </si>
  <si>
    <t>Igor Timo</t>
  </si>
  <si>
    <t>IGOR TARCIANO TIMO</t>
  </si>
  <si>
    <t>https://www.facebook.com/oficialigortimo, https://www.instagram.com/oficialigortimo, https://twitter.com/oficialigortimo</t>
  </si>
  <si>
    <t>Virgem da Lapa</t>
  </si>
  <si>
    <t>https://dadosabertos.camara.leg.br/api/v2/deputados/98615</t>
  </si>
  <si>
    <t>Ismael</t>
  </si>
  <si>
    <t>ISMAEL DOS SANTOS</t>
  </si>
  <si>
    <t>https://www.instagram.com/deputadoismael, https://twitter.com/deputadoismael, https://www.facebook.com/deputadoismael</t>
  </si>
  <si>
    <t>Blumenau</t>
  </si>
  <si>
    <t>https://dadosabertos.camara.leg.br/api/v2/deputados/204436</t>
  </si>
  <si>
    <t>Isnaldo Bulhões Jr.</t>
  </si>
  <si>
    <t>ISNALDO BULHOES BARROS JUNIOR</t>
  </si>
  <si>
    <t>https://www.instagram.com/isnaldobulhoes, https://www.facebook.com/isnaldobulhoesjr, https://twitter.com/bulhoesjr</t>
  </si>
  <si>
    <t>https://dadosabertos.camara.leg.br/api/v2/deputados/230764</t>
  </si>
  <si>
    <t>Ivan Junior</t>
  </si>
  <si>
    <t>MAURO IVAN F. SANTIAGO JR</t>
  </si>
  <si>
    <t>https://dadosabertos.camara.leg.br/api/v2/deputados/73531</t>
  </si>
  <si>
    <t>Ivan Valente</t>
  </si>
  <si>
    <t>IVAN VALENTE</t>
  </si>
  <si>
    <t>https://dadosabertos.camara.leg.br/api/v2/deputados/220696</t>
  </si>
  <si>
    <t>Ivoneide Caetano</t>
  </si>
  <si>
    <t>IVONEIDE SOUZA CAETANO</t>
  </si>
  <si>
    <t>https://www.facebook.com/ivoneidecaetanooficial, https://www.instagram.com/ivoneidecaetanooficial, https://twitter.com/ivoneidecaetano, https://youtube.com/channel/UCG1OT1V0SGnvBIf_RRicnpg</t>
  </si>
  <si>
    <t>Biritinga</t>
  </si>
  <si>
    <t>https://dadosabertos.camara.leg.br/api/v2/deputados/220670</t>
  </si>
  <si>
    <t>Iza Arruda</t>
  </si>
  <si>
    <t>IZA PAULA DE DEUS E MELLO ALBUQUERQUE ARRUDA</t>
  </si>
  <si>
    <t>https://www.instagram.com/izaarrudape, https://www.facebook.com/izaarrudape</t>
  </si>
  <si>
    <t>Vitória de Santo Antão</t>
  </si>
  <si>
    <t>https://dadosabertos.camara.leg.br/api/v2/deputados/220527</t>
  </si>
  <si>
    <t>Jack Rocha</t>
  </si>
  <si>
    <t>JACKELINE OLIVEIRA ROCHA</t>
  </si>
  <si>
    <t>https://dadosabertos.camara.leg.br/api/v2/deputados/220697</t>
  </si>
  <si>
    <t>Jadyel Alencar</t>
  </si>
  <si>
    <t>JADYEL SILVA ALENCAR</t>
  </si>
  <si>
    <t>https://dadosabertos.camara.leg.br/api/v2/deputados/74848</t>
  </si>
  <si>
    <t>Jandira Feghali</t>
  </si>
  <si>
    <t>JANDIRA FEGHALI</t>
  </si>
  <si>
    <t>https://dadosabertos.camara.leg.br/api/v2/deputados/220567</t>
  </si>
  <si>
    <t>Jeferson Rodrigues</t>
  </si>
  <si>
    <t>JEFERSON RODRIGUES LEMOS</t>
  </si>
  <si>
    <t>https://dadosabertos.camara.leg.br/api/v2/deputados/74273</t>
  </si>
  <si>
    <t>Jefferson Campos</t>
  </si>
  <si>
    <t>JEFFERSON ALVES DE CAMPOS</t>
  </si>
  <si>
    <t>https://www.instagram.com/depjefferson, https://www.facebook.com/depjefferson, https://youtube.com/DepJeffersonCampos, https://twitter.com/depjefferson</t>
  </si>
  <si>
    <t>https://dadosabertos.camara.leg.br/api/v2/deputados/160531</t>
  </si>
  <si>
    <t>Jhonatan de Jesus</t>
  </si>
  <si>
    <t>JOHNATHAN PEREIRA DE JESUS</t>
  </si>
  <si>
    <t>https://dadosabertos.camara.leg.br/api/v2/deputados/141456</t>
  </si>
  <si>
    <t>Jilmar Tatto</t>
  </si>
  <si>
    <t>JILMAR AUGUSTINHO TATTO</t>
  </si>
  <si>
    <t>Corbélia</t>
  </si>
  <si>
    <t>https://dadosabertos.camara.leg.br/api/v2/deputados/141458</t>
  </si>
  <si>
    <t>João Carlos Bacelar</t>
  </si>
  <si>
    <t>JOÃO CARLOS PAOLILO BACELAR FILHO</t>
  </si>
  <si>
    <t>https://www.instagram.com/joaobacelaroficial</t>
  </si>
  <si>
    <t>https://dadosabertos.camara.leg.br/api/v2/deputados/230957</t>
  </si>
  <si>
    <t>João Cury</t>
  </si>
  <si>
    <t>João Cury Neto</t>
  </si>
  <si>
    <t>Botucatu</t>
  </si>
  <si>
    <t>https://dadosabertos.camara.leg.br/api/v2/deputados/178970</t>
  </si>
  <si>
    <t>João Daniel</t>
  </si>
  <si>
    <t>JOAO SOMARIVA DANIEL</t>
  </si>
  <si>
    <t>https://twitter.com/depjoaodanielpt, https://www.facebook.com/deputadojoaodaniel, https://www.instagram.com/deputadojoaodaniel, https://youtube.com/deputadojoaodaniel</t>
  </si>
  <si>
    <t>https://dadosabertos.camara.leg.br/api/v2/deputados/74550</t>
  </si>
  <si>
    <t>João Leão</t>
  </si>
  <si>
    <t>JOÃO FELIPE DE SOUZA LEÃO</t>
  </si>
  <si>
    <t>https://dadosabertos.camara.leg.br/api/v2/deputados/141459</t>
  </si>
  <si>
    <t>João Maia</t>
  </si>
  <si>
    <t>JOÃO DA SILVA MAIA</t>
  </si>
  <si>
    <t>Brejo do Cruz</t>
  </si>
  <si>
    <t>https://dadosabertos.camara.leg.br/api/v2/deputados/178910</t>
  </si>
  <si>
    <t>Joaquim Passarinho</t>
  </si>
  <si>
    <t>JOAQUIM PASSARINHO PINTO DE SOUZA PORTO</t>
  </si>
  <si>
    <t>https://www.facebook.com/joaquimpassarinhooficial, https://www.instagram.com/joaquim_passarinho, https://twitter.com/depjpassarinho</t>
  </si>
  <si>
    <t>https://dadosabertos.camara.leg.br/api/v2/deputados/160548</t>
  </si>
  <si>
    <t>Jonas Donizette</t>
  </si>
  <si>
    <t>JONAS DONIZETTE FERREIRA</t>
  </si>
  <si>
    <t>http://www.twitter.com/jonas_donizette, https://www.instagram.com/jonasdonizette/, https://www.facebook.com/jonasdonizette</t>
  </si>
  <si>
    <t>Monte Belo</t>
  </si>
  <si>
    <t>https://dadosabertos.camara.leg.br/api/v2/deputados/217480</t>
  </si>
  <si>
    <t>Jones Moura</t>
  </si>
  <si>
    <t>JONES BARBOSA DE MOURA</t>
  </si>
  <si>
    <t>https://dadosabertos.camara.leg.br/api/v2/deputados/205550</t>
  </si>
  <si>
    <t>Jorge Braz</t>
  </si>
  <si>
    <t>JORGE BRAZ DE OLIVEIRA</t>
  </si>
  <si>
    <t>https://www.facebook.com/jorgebrazoficial, https://www.instagram.com/jorge_braz, https://twitter.com/Jorge_Braz, https://youtube.com/VEREADORJORGEBRAZ</t>
  </si>
  <si>
    <t>Palma</t>
  </si>
  <si>
    <t>https://dadosabertos.camara.leg.br/api/v2/deputados/214694</t>
  </si>
  <si>
    <t>Jorge Goetten</t>
  </si>
  <si>
    <t>JORGE GOETTEN DE LIMA</t>
  </si>
  <si>
    <t>https://www.instagram.com/jorgegoetten, https://www.facebook.com/Jorgegoettenminister, https://twitter.com/jorgegoetten</t>
  </si>
  <si>
    <t>Mirim Doce</t>
  </si>
  <si>
    <t>https://dadosabertos.camara.leg.br/api/v2/deputados/178857</t>
  </si>
  <si>
    <t>Jorge Solla</t>
  </si>
  <si>
    <t>JORGE JOSE SANTOS PEREIRA SOLLA</t>
  </si>
  <si>
    <t>https://dadosabertos.camara.leg.br/api/v2/deputados/141464</t>
  </si>
  <si>
    <t>José Airton Félix Cirilo</t>
  </si>
  <si>
    <t>JOSÉ AIRTON FÉLIX CIRILO DA SILVA</t>
  </si>
  <si>
    <t>https://twitter.com/joseairtonpt, https://www.facebook.com/Joseairtoncirilo, https://www.instagram.com/Joseairtoncirilo</t>
  </si>
  <si>
    <t>Aracati</t>
  </si>
  <si>
    <t>https://dadosabertos.camara.leg.br/api/v2/deputados/141470</t>
  </si>
  <si>
    <t>José Guimarães</t>
  </si>
  <si>
    <t>JOSÉ NOBRE GUIMARÃES</t>
  </si>
  <si>
    <t>Quixeramobim</t>
  </si>
  <si>
    <t>https://dadosabertos.camara.leg.br/api/v2/deputados/204472</t>
  </si>
  <si>
    <t>José Medeiros</t>
  </si>
  <si>
    <t>JOSE ANTONIO DOS SANTOS MEDEIROS</t>
  </si>
  <si>
    <t>Caicó</t>
  </si>
  <si>
    <t>https://dadosabertos.camara.leg.br/api/v2/deputados/204391</t>
  </si>
  <si>
    <t>José Nelto</t>
  </si>
  <si>
    <t>JOSÉ NELTO LAGARES DAS MERCEZ</t>
  </si>
  <si>
    <t>https://www.facebook.com/joseneltopodemos, https://twitter.com/depjosenelto, https://www.instagram.com/joseneltooficial</t>
  </si>
  <si>
    <t>Tiros</t>
  </si>
  <si>
    <t>https://dadosabertos.camara.leg.br/api/v2/deputados/74079</t>
  </si>
  <si>
    <t>José Priante</t>
  </si>
  <si>
    <t>JOSÉ BENITO PRIANTE JÚNIOR</t>
  </si>
  <si>
    <t>https://dadosabertos.camara.leg.br/api/v2/deputados/74554</t>
  </si>
  <si>
    <t>José Rocha</t>
  </si>
  <si>
    <t>JOSÉ ALVES ROCHA</t>
  </si>
  <si>
    <t>Coribe</t>
  </si>
  <si>
    <t>https://dadosabertos.camara.leg.br/api/v2/deputados/209189</t>
  </si>
  <si>
    <t>Joseildo Ramos</t>
  </si>
  <si>
    <t>JOSEILDO RIBEIRO RAMOS</t>
  </si>
  <si>
    <t>https://www.facebook.com/deputadojoseildoramos, https://www.instagram.com/joseildoramos, https://twitter.com/joseildoramos</t>
  </si>
  <si>
    <t>Alagoinhas</t>
  </si>
  <si>
    <t>https://dadosabertos.camara.leg.br/api/v2/deputados/220578</t>
  </si>
  <si>
    <t>Josenildo</t>
  </si>
  <si>
    <t>JOSENILDO SANTOS ABRANTES</t>
  </si>
  <si>
    <t>https://dadosabertos.camara.leg.br/api/v2/deputados/74141</t>
  </si>
  <si>
    <t>Josias Gomes</t>
  </si>
  <si>
    <t>JOSIAS GOMES DA SILVA</t>
  </si>
  <si>
    <t>Amaraji</t>
  </si>
  <si>
    <t>https://dadosabertos.camara.leg.br/api/v2/deputados/204563</t>
  </si>
  <si>
    <t>Josimar Maranhãozinho</t>
  </si>
  <si>
    <t>JOSIMAR CUNHA RODRIGUES</t>
  </si>
  <si>
    <t>Várzea Alegre</t>
  </si>
  <si>
    <t>https://dadosabertos.camara.leg.br/api/v2/deputados/215043</t>
  </si>
  <si>
    <t>Josivaldo JP</t>
  </si>
  <si>
    <t>JOSIVALDO DOS SANTOS MELO</t>
  </si>
  <si>
    <t>https://www.instagram.com/jpdeputado/, https://www.facebook.com/deputadojosivaldojp/</t>
  </si>
  <si>
    <t>Jacundá</t>
  </si>
  <si>
    <t>https://dadosabertos.camara.leg.br/api/v2/deputados/204474</t>
  </si>
  <si>
    <t>Juarez Costa</t>
  </si>
  <si>
    <t>JUAREZ ALVES DA COSTA</t>
  </si>
  <si>
    <t>https://twitter.com/juarezcostamt, https://www.instagram.com/juarezcostamt, https://www.youtube.com/channel/UCKKA7s-2Lo6xKtZlgahT-aA, https://www.facebook.com/juarezcostamt</t>
  </si>
  <si>
    <t>https://dadosabertos.camara.leg.br/api/v2/deputados/220559</t>
  </si>
  <si>
    <t>Julia Zanatta</t>
  </si>
  <si>
    <t>JULIA PEDROSO ZANATTA</t>
  </si>
  <si>
    <t>https://www.instagram.com/juliazanattasc, https://twitter.com/apropriajulia, https://www.facebook.com/juliazanattasc, https://youtube.com/channel/UC-xMxlTPP-xGmOry0wx2sxw</t>
  </si>
  <si>
    <t>https://dadosabertos.camara.leg.br/api/v2/deputados/220640</t>
  </si>
  <si>
    <t>Juliana Cardoso</t>
  </si>
  <si>
    <t>JULIANA CARDOSO</t>
  </si>
  <si>
    <t>https://www.instagram.com/julianacardoso_pt, https://www.facebook.com/julianacardosopt, https://twitter.com/julianapt, https://youtube.com/julianacardosopt</t>
  </si>
  <si>
    <t>https://dadosabertos.camara.leg.br/api/v2/deputados/228837</t>
  </si>
  <si>
    <t>Juliana Kolankiewicz</t>
  </si>
  <si>
    <t>JULIANA ROSA DE SOUZA KOLANKIEWICZ</t>
  </si>
  <si>
    <t>Palmas</t>
  </si>
  <si>
    <t>https://dadosabertos.camara.leg.br/api/v2/deputados/66385</t>
  </si>
  <si>
    <t>Julio Arcoverde</t>
  </si>
  <si>
    <t>JULIO FERRAZ ARCOVERDE</t>
  </si>
  <si>
    <t>https://www.instagram.com/julioarcoverde, https://www.facebook.com/depjulioarcoverde, https://twitter.com/julioarcoverde, https://youtube.com/julioarcoverde</t>
  </si>
  <si>
    <t>https://dadosabertos.camara.leg.br/api/v2/deputados/74317</t>
  </si>
  <si>
    <t>Júlio Cesar</t>
  </si>
  <si>
    <t>JÚLIO CÉSAR DE CARVALHO LIMA</t>
  </si>
  <si>
    <t>https://www.facebook.com/depjuliocesar, https://www.instagram.com/deputadojuliocesar, https://twitter.com/depjuliocesarPI, https://youtube.com/deputadojuliocesarpi</t>
  </si>
  <si>
    <t>Guadalupe</t>
  </si>
  <si>
    <t>https://dadosabertos.camara.leg.br/api/v2/deputados/204372</t>
  </si>
  <si>
    <t>Julio Cesar Ribeiro</t>
  </si>
  <si>
    <t>JULIO CESAR RIBEIRO</t>
  </si>
  <si>
    <t>https://www.facebook.com/JulioCesarRibeiro, https://www.instagram.com/juliocesarribeiro, https://twitter.com/JulioCesarRib, https://youtube.com/JulioCesarRibeiro</t>
  </si>
  <si>
    <t>https://dadosabertos.camara.leg.br/api/v2/deputados/74253</t>
  </si>
  <si>
    <t>Julio Lopes</t>
  </si>
  <si>
    <t>JULIO LUIZ BAPTISTA LOPES</t>
  </si>
  <si>
    <t>https://www.facebook.com/juliolopesrio/?locale=pt_BR, https://www.instagram.com/juliolopes_rio/, https://youtube.com/JulioLopesRio</t>
  </si>
  <si>
    <t>https://dadosabertos.camara.leg.br/api/v2/deputados/228797</t>
  </si>
  <si>
    <t>Júlio Oliveira</t>
  </si>
  <si>
    <t>JÚLIO DA SILVA OLIVEIRA</t>
  </si>
  <si>
    <t>Beneditinos</t>
  </si>
  <si>
    <t>https://dadosabertos.camara.leg.br/api/v2/deputados/204457</t>
  </si>
  <si>
    <t>Juninho do Pneu</t>
  </si>
  <si>
    <t>ROGERIO TEIXEIRA JUNIOR</t>
  </si>
  <si>
    <t>https://www.instagram.com/juninhodopneu, https://www.facebook.com/juninhodopneu01</t>
  </si>
  <si>
    <t>https://dadosabertos.camara.leg.br/api/v2/deputados/204520</t>
  </si>
  <si>
    <t>Junio Amaral</t>
  </si>
  <si>
    <t>GERALDO JUNIO DO AMARAL</t>
  </si>
  <si>
    <t>https://www.facebook.com/cabojunioamaral, https://www.instagram.com/junioamaraldm, https://twitter.com/cabojunioamaral</t>
  </si>
  <si>
    <t>https://dadosabertos.camara.leg.br/api/v2/deputados/204497</t>
  </si>
  <si>
    <t>Júnior Ferrari</t>
  </si>
  <si>
    <t>JOÃO FERRARI JÚNIOR</t>
  </si>
  <si>
    <t>Oriximiná</t>
  </si>
  <si>
    <t>https://dadosabertos.camara.leg.br/api/v2/deputados/204574</t>
  </si>
  <si>
    <t>Junior Lourenço</t>
  </si>
  <si>
    <t>JOSE LOURENÇO BOMFIM JUNIOR</t>
  </si>
  <si>
    <t>https://www.instagram.com/juniorlourenco2200</t>
  </si>
  <si>
    <t>https://dadosabertos.camara.leg.br/api/v2/deputados/204550</t>
  </si>
  <si>
    <t>Júnior Mano</t>
  </si>
  <si>
    <t>ANTÔNIO LUIZ RODRIGUES MANO JÚNIOR</t>
  </si>
  <si>
    <t>https://www.instagram.com/juniormanodep, https://twitter.com/juniormanodep, https://www.facebook.com/juniormanodep, https://youtube.com/deputadojuniormano</t>
  </si>
  <si>
    <t>Nova Russas</t>
  </si>
  <si>
    <t>https://dadosabertos.camara.leg.br/api/v2/deputados/178886</t>
  </si>
  <si>
    <t>Juscelino Filho</t>
  </si>
  <si>
    <t>JOSE JUSCELINO DOS SANTOS REZENDE FILHO</t>
  </si>
  <si>
    <t>https://dadosabertos.camara.leg.br/api/v2/deputados/208297</t>
  </si>
  <si>
    <t>Katia Dias</t>
  </si>
  <si>
    <t>KATIA REGINA OLIVEIRA DIAS</t>
  </si>
  <si>
    <t>Juiz de Fora</t>
  </si>
  <si>
    <t>https://dadosabertos.camara.leg.br/api/v2/deputados/220677</t>
  </si>
  <si>
    <t>Keniston Braga</t>
  </si>
  <si>
    <t>KENISTON DE JESUS REGO BRAGA</t>
  </si>
  <si>
    <t>https://www.facebook.com/kenistonoficial, https://www.instagram.com/kenistonoficial/, https://www.youtube.com/c/KenistonOficial</t>
  </si>
  <si>
    <t>Abaetetuba</t>
  </si>
  <si>
    <t>https://dadosabertos.camara.leg.br/api/v2/deputados/162067</t>
  </si>
  <si>
    <t>Kiko Celeguim</t>
  </si>
  <si>
    <t>FRANCISCO DANIEL CELEGUIM DE MORAIS</t>
  </si>
  <si>
    <t>https://www.facebook.com/kikoceleguim, https://youtube.com/KikoCeleguimoficial, https://www.instagram.com/kiko.celeguim, https://twitter.com/kikoceleguim</t>
  </si>
  <si>
    <t>https://dadosabertos.camara.leg.br/api/v2/deputados/204536</t>
  </si>
  <si>
    <t>Kim Kataguiri</t>
  </si>
  <si>
    <t>KIM PATROCA KATAGUIRI</t>
  </si>
  <si>
    <t>https://twitter.com/kimkataguiri, https://www.instagram.com/kimkataguiri, https://youtube.com/kimkataguiri, https://www.facebook.com/Kim-Kataguiri-833053646745836</t>
  </si>
  <si>
    <t>Salto</t>
  </si>
  <si>
    <t>https://dadosabertos.camara.leg.br/api/v2/deputados/98057</t>
  </si>
  <si>
    <t>Lafayette de Andrada</t>
  </si>
  <si>
    <t>LAFAYETTE LUIZ DOORGAL DE ANDRADA</t>
  </si>
  <si>
    <t>https://twitter.com/lafayetteandrad, https://www.facebook.com/lafayettedeandrada, https://www.instagram.com/lafayetteandrada, https://youtube.com/channel/UC5f8X2JAnafqV7bPLmDeZGw</t>
  </si>
  <si>
    <t>https://dadosabertos.camara.leg.br/api/v2/deputados/74856</t>
  </si>
  <si>
    <t>Laura Carneiro</t>
  </si>
  <si>
    <t>MARIA LAURA MONTEZA DE SOUZA CARNEIRO</t>
  </si>
  <si>
    <t>https://dadosabertos.camara.leg.br/api/v2/deputados/141480</t>
  </si>
  <si>
    <t>Lázaro Botelho</t>
  </si>
  <si>
    <t>LÁZARO BOTELHO MARTINS</t>
  </si>
  <si>
    <t>https://www.instagram.com/dep.lazaro/, https://www.facebook.com/dep.lazaro/?locale=pt_BR</t>
  </si>
  <si>
    <t>Loreto</t>
  </si>
  <si>
    <t>https://dadosabertos.camara.leg.br/api/v2/deputados/178832</t>
  </si>
  <si>
    <t>Leandre</t>
  </si>
  <si>
    <t>LEANDRE DAL PONTE</t>
  </si>
  <si>
    <t>https://dadosabertos.camara.leg.br/api/v2/deputados/220600</t>
  </si>
  <si>
    <t>Lebrão</t>
  </si>
  <si>
    <t>JOSE EURIPEDES CLEMENTE</t>
  </si>
  <si>
    <t>Guará</t>
  </si>
  <si>
    <t>https://dadosabertos.camara.leg.br/api/v2/deputados/220566</t>
  </si>
  <si>
    <t>Lêda Borges</t>
  </si>
  <si>
    <t>Lêda Borges de Moura</t>
  </si>
  <si>
    <t>Conquista</t>
  </si>
  <si>
    <t>https://dadosabertos.camara.leg.br/api/v2/deputados/231911</t>
  </si>
  <si>
    <t>Lenir de Assis</t>
  </si>
  <si>
    <t>LENIR CANDIDA DE ASSIS</t>
  </si>
  <si>
    <t>https://www.instagram.com/lenirdeassis, https://twitter.com/LenirOficial, https://www.facebook.com/lenirdassis</t>
  </si>
  <si>
    <t>https://dadosabertos.camara.leg.br/api/v2/deputados/80815</t>
  </si>
  <si>
    <t>Leo Prates</t>
  </si>
  <si>
    <t>LEONARDO SILVA PRATES</t>
  </si>
  <si>
    <t>https://www.facebook.com/leo.prates.7, https://www.instagram.com/leoprates, https://twitter.com/LeonardoPrates4</t>
  </si>
  <si>
    <t>https://dadosabertos.camara.leg.br/api/v2/deputados/122195</t>
  </si>
  <si>
    <t>Leonardo Gadelha</t>
  </si>
  <si>
    <t>LEONARDO DE MELO GADELHA</t>
  </si>
  <si>
    <t>https://www.instagram.com/leonardogadelhapb, https://www.facebook.com/leonardogadelhapb</t>
  </si>
  <si>
    <t>https://dadosabertos.camara.leg.br/api/v2/deputados/74156</t>
  </si>
  <si>
    <t>Leonardo Monteiro</t>
  </si>
  <si>
    <t>JOSÉ LEONARDO COSTA MONTEIRO</t>
  </si>
  <si>
    <t>https://dadosabertos.camara.leg.br/api/v2/deputados/74299</t>
  </si>
  <si>
    <t>Leônidas Cristino</t>
  </si>
  <si>
    <t>JOSÉ LEÔNIDAS DE MENEZES CRISTINO</t>
  </si>
  <si>
    <t>https://www.instagram.com/leonidas.cristino, https://www.facebook.com/leonidascristinooficial, https://twitter.com/joseleonidas</t>
  </si>
  <si>
    <t>Coreaú</t>
  </si>
  <si>
    <t>https://dadosabertos.camara.leg.br/api/v2/deputados/92102</t>
  </si>
  <si>
    <t>Leur Lomanto Júnior</t>
  </si>
  <si>
    <t>LEUR ANTONIO DE BRITTO LOMANTO JUNIOR</t>
  </si>
  <si>
    <t>https://www.facebook.com/leurlomantojr/, https://www.instagram.com/leurlomantojr, https://twitter.com/leurlomantojr</t>
  </si>
  <si>
    <t>https://dadosabertos.camara.leg.br/api/v2/deputados/139285</t>
  </si>
  <si>
    <t>Lídice da Mata</t>
  </si>
  <si>
    <t>LÍDICE DA MATA E SOUZA</t>
  </si>
  <si>
    <t>https://twitter.com/lidicedamata, https://www.instagram.com/lidicedamata</t>
  </si>
  <si>
    <t>Cachoeira</t>
  </si>
  <si>
    <t>https://dadosabertos.camara.leg.br/api/v2/deputados/74585</t>
  </si>
  <si>
    <t>Lincoln Portela</t>
  </si>
  <si>
    <t>LINCOLN DINIZ PORTELA</t>
  </si>
  <si>
    <t>https://dadosabertos.camara.leg.br/api/v2/deputados/74858</t>
  </si>
  <si>
    <t>Lindbergh Farias</t>
  </si>
  <si>
    <t>LUIZ LINDBERGH FARIAS FILHO</t>
  </si>
  <si>
    <t>https://dadosabertos.camara.leg.br/api/v2/deputados/171139</t>
  </si>
  <si>
    <t>Loreny</t>
  </si>
  <si>
    <t>LORENY MAYARA CAETANO ROBERTO</t>
  </si>
  <si>
    <t>Taubaté</t>
  </si>
  <si>
    <t>https://dadosabertos.camara.leg.br/api/v2/deputados/220662</t>
  </si>
  <si>
    <t>Lucas Ramos</t>
  </si>
  <si>
    <t>LUCAS CAVALCANTI RAMOS</t>
  </si>
  <si>
    <t>https://www.instagram.com/lucasramospe, https://www.facebook.com/lucasramosoficial, https://twitter.com/lucasramospe</t>
  </si>
  <si>
    <t>https://dadosabertos.camara.leg.br/api/v2/deputados/204404</t>
  </si>
  <si>
    <t>Lucas Redecker</t>
  </si>
  <si>
    <t>LUCAS BELLO REDECKER</t>
  </si>
  <si>
    <t>https://facebook.com/lucasredecker, https://instagram.com/lucasredecker, https://youtube.com/user/lucasredecker, https://twitter.com/lucasredecker</t>
  </si>
  <si>
    <t>www.lucasredecker.com</t>
  </si>
  <si>
    <t>Novo Hamburgo</t>
  </si>
  <si>
    <t>https://dadosabertos.camara.leg.br/api/v2/deputados/138286</t>
  </si>
  <si>
    <t>Luciano Alves</t>
  </si>
  <si>
    <t>LUCIANO ALVES DOS SANTOS</t>
  </si>
  <si>
    <t>https://www.instagram.com/deputadolucianoalves, https://www.facebook.com/deputadolucianoalves</t>
  </si>
  <si>
    <t>Nova Cantu</t>
  </si>
  <si>
    <t>https://dadosabertos.camara.leg.br/api/v2/deputados/220581</t>
  </si>
  <si>
    <t>Luciano Amaral</t>
  </si>
  <si>
    <t>LUCIANO SURUAGY DO AMARAL FILHO</t>
  </si>
  <si>
    <t>https://dadosabertos.camara.leg.br/api/v2/deputados/103758</t>
  </si>
  <si>
    <t>Luciano Azevedo</t>
  </si>
  <si>
    <t>LUCIANO PALMA DE AZEVEDO</t>
  </si>
  <si>
    <t>https://www.instagram.com/luciano_passofundo</t>
  </si>
  <si>
    <t>Passo Fundo</t>
  </si>
  <si>
    <t>https://dadosabertos.camara.leg.br/api/v2/deputados/74478</t>
  </si>
  <si>
    <t>Luciano Bivar</t>
  </si>
  <si>
    <t>LUCIANO CALDAS BIVAR</t>
  </si>
  <si>
    <t>https://dadosabertos.camara.leg.br/api/v2/deputados/178931</t>
  </si>
  <si>
    <t>Luciano Ducci</t>
  </si>
  <si>
    <t>LUCIANO DUCCI</t>
  </si>
  <si>
    <t>https://dadosabertos.camara.leg.br/api/v2/deputados/227323</t>
  </si>
  <si>
    <t>Luciano Galego</t>
  </si>
  <si>
    <t>LUCIANO RODRIGUES SEIDEL</t>
  </si>
  <si>
    <t>Imperatriz</t>
  </si>
  <si>
    <t>https://dadosabertos.camara.leg.br/api/v2/deputados/220616</t>
  </si>
  <si>
    <t>Luciano Vieira</t>
  </si>
  <si>
    <t>LUCIANO VIEIRA MENDES</t>
  </si>
  <si>
    <t>https://dadosabertos.camara.leg.br/api/v2/deputados/178954</t>
  </si>
  <si>
    <t>Lucio Mosquini</t>
  </si>
  <si>
    <t>LUCIO ANTONIO MOSQUINI</t>
  </si>
  <si>
    <t>https://www.facebook.com/deputadoluciomosquini, https://www.instagram.com/luciomosquini, https://youtube.com/lucioantoniomosquinimosqui7885</t>
  </si>
  <si>
    <t>Rondonópolis</t>
  </si>
  <si>
    <t>https://dadosabertos.camara.leg.br/api/v2/deputados/229082</t>
  </si>
  <si>
    <t>Lucyana Genésio</t>
  </si>
  <si>
    <t>KARLA LUCYANA SOARES CANTO COSTA</t>
  </si>
  <si>
    <t>https://dadosabertos.camara.leg.br/api/v2/deputados/222429</t>
  </si>
  <si>
    <t>Luis Carlos Gomes</t>
  </si>
  <si>
    <t>LUIS CARLOS GOMES DA SILVA</t>
  </si>
  <si>
    <t>https://dadosabertos.camara.leg.br/api/v2/deputados/160510</t>
  </si>
  <si>
    <t>Luis Tibé</t>
  </si>
  <si>
    <t>LUIS HENRIQUE DE OLIVEIRA RESENDE</t>
  </si>
  <si>
    <t>https://www.instagram.com/deputadoluistibe/, https://twitter.com/LuisTibeOficial, https://www.facebook.com/luistibeoficial, https://www.youtube.com/watch?v=BuVmJsuVjuY</t>
  </si>
  <si>
    <t>https://dadosabertos.camara.leg.br/api/v2/deputados/204410</t>
  </si>
  <si>
    <t>Luisa Canziani</t>
  </si>
  <si>
    <t>LUISA CANZIANI DOS SANTOS SILVEIRA</t>
  </si>
  <si>
    <t>https://dadosabertos.camara.leg.br/api/v2/deputados/204448</t>
  </si>
  <si>
    <t>Luiz Antonio Corrêa</t>
  </si>
  <si>
    <t>LUIZ ANTONIO C. C. CORRÊA DA SILVA</t>
  </si>
  <si>
    <t>https://dadosabertos.camara.leg.br/api/v2/deputados/141485</t>
  </si>
  <si>
    <t>Luiz Carlos Busato</t>
  </si>
  <si>
    <t>LUIZ CARLOS GHIORZZI BUSATO</t>
  </si>
  <si>
    <t>https://www.facebook.com/lcbusato, https://www.instagram.com/lcbusato, https://youtube.com/channel/UCI1WRKDHZA-6HQwN5_yWypw, https://twitter.com/lcbusato</t>
  </si>
  <si>
    <t>Cacador</t>
  </si>
  <si>
    <t>https://dadosabertos.camara.leg.br/api/v2/deputados/73778</t>
  </si>
  <si>
    <t>Luiz Carlos Hauly</t>
  </si>
  <si>
    <t>LUIZ CARLOS JORGE HAULY</t>
  </si>
  <si>
    <t>https://www.instagram.com/deputadohauly, https://twitter.com/deputadoHauly</t>
  </si>
  <si>
    <t>Cambé</t>
  </si>
  <si>
    <t>https://dadosabertos.camara.leg.br/api/v2/deputados/204485</t>
  </si>
  <si>
    <t>Luiz Carlos Motta</t>
  </si>
  <si>
    <t>LUIZ CARLOS MOTTA</t>
  </si>
  <si>
    <t>https://www.instagram.com/deputadomotta, https://www.facebook.com/mottadoscomerciarios, https://www.youtube.com/@DeputadoMotta, https://twitter.com/deputadomotta</t>
  </si>
  <si>
    <t>https://dadosabertos.camara.leg.br/api/v2/deputados/74041</t>
  </si>
  <si>
    <t>Luiz Couto</t>
  </si>
  <si>
    <t>LUIZ ALBUQUERQUE COUTO</t>
  </si>
  <si>
    <t>https://dadosabertos.camara.leg.br/api/v2/deputados/141487</t>
  </si>
  <si>
    <t>Luiz Fernando Faria</t>
  </si>
  <si>
    <t>LUIZ FERNANDO RAMOS FARIA</t>
  </si>
  <si>
    <t>Santos Dumont</t>
  </si>
  <si>
    <t>https://dadosabertos.camara.leg.br/api/v2/deputados/229432</t>
  </si>
  <si>
    <t>Luiz Fernando Vampiro</t>
  </si>
  <si>
    <t>LUIZ FERNANDO CARDOSO</t>
  </si>
  <si>
    <t>https://www.instagram.com/luizfernandovampiro</t>
  </si>
  <si>
    <t>https://dadosabertos.camara.leg.br/api/v2/deputados/220658</t>
  </si>
  <si>
    <t>Luiz Gastão</t>
  </si>
  <si>
    <t>LUIZ GASTÃO BITTENCOURT DA SILVA</t>
  </si>
  <si>
    <t>Petrópolis</t>
  </si>
  <si>
    <t>https://dadosabertos.camara.leg.br/api/v2/deputados/204455</t>
  </si>
  <si>
    <t>Luiz Lima</t>
  </si>
  <si>
    <t>LUIZ EDUARDO CARNEIRO DA SILVA DE SOUZA LIMA</t>
  </si>
  <si>
    <t>https://twitter.com/oficialluizlima, https://www.facebook.com/oficialluizlima, https://www.instagram.com/oficialluizlima, https://youtube.com/oficialluizlima</t>
  </si>
  <si>
    <t>https://dadosabertos.camara.leg.br/api/v2/deputados/220636</t>
  </si>
  <si>
    <t>Luiz Marinho</t>
  </si>
  <si>
    <t>LUIZ MARINHO</t>
  </si>
  <si>
    <t>Cosmorama</t>
  </si>
  <si>
    <t>https://dadosabertos.camara.leg.br/api/v2/deputados/162332</t>
  </si>
  <si>
    <t>Luiz Nishimori</t>
  </si>
  <si>
    <t>LUIZ HILOSHI NISHIMORI</t>
  </si>
  <si>
    <t>Marialva</t>
  </si>
  <si>
    <t>https://dadosabertos.camara.leg.br/api/v2/deputados/204526</t>
  </si>
  <si>
    <t>Luiz Philippe de Orleans e Bragança</t>
  </si>
  <si>
    <t>LUIZ PHILIPPE DE ORLEANS BRAGANÇA</t>
  </si>
  <si>
    <t>https://twitter.com/lpbragancabr, https://youtube.com/luizphilippebr, https://www.instagram.com/lpbragancabr, https://www.facebook.com/luizphilippebr</t>
  </si>
  <si>
    <t>https://dadosabertos.camara.leg.br/api/v2/deputados/74784</t>
  </si>
  <si>
    <t>Luiza Erundina</t>
  </si>
  <si>
    <t>LUIZA ERUNDINA DE SOUSA</t>
  </si>
  <si>
    <t>Uiraúna</t>
  </si>
  <si>
    <t>https://dadosabertos.camara.leg.br/api/v2/deputados/178866</t>
  </si>
  <si>
    <t>Luizianne Lins</t>
  </si>
  <si>
    <t>LUIZIANNE DE OLIVEIRA LINS</t>
  </si>
  <si>
    <t>https://twitter.com/luiziannelinsPT</t>
  </si>
  <si>
    <t>https://dadosabertos.camara.leg.br/api/v2/deputados/220669</t>
  </si>
  <si>
    <t>Lula da Fonte</t>
  </si>
  <si>
    <t>LUIZ EDUARDO DE QUEIROZ CAMPOS DA FONTE ALBUQUERQUE</t>
  </si>
  <si>
    <t>https://dadosabertos.camara.leg.br/api/v2/deputados/166402</t>
  </si>
  <si>
    <t>Magda Mofatto</t>
  </si>
  <si>
    <t>MAGDA MOFATTO HON</t>
  </si>
  <si>
    <t>https://www.facebook.com/MagdaMofatto.Goias, https://www.instagram.com/magdamofatto.goias, https://twitter.com/MofattoMagda</t>
  </si>
  <si>
    <t>Limeira</t>
  </si>
  <si>
    <t>https://dadosabertos.camara.leg.br/api/v2/deputados/220648</t>
  </si>
  <si>
    <t>Marangoni</t>
  </si>
  <si>
    <t>FERNANDO JOSE DE SOUZA MARANGONI</t>
  </si>
  <si>
    <t>https://www.facebook.com/marangoni.oficial, https://www.instagram.com/marangoni.oficial, https://twitter.com/marangoni_fer, https://www.youtube.com/@fernandomarangoni99/</t>
  </si>
  <si>
    <t>https://dadosabertos.camara.leg.br/api/v2/deputados/156190</t>
  </si>
  <si>
    <t>Marcel van Hattem</t>
  </si>
  <si>
    <t>MARCEL VAN HATTEM</t>
  </si>
  <si>
    <t>https://www.instagram.com/MARCELVANHATTEM, https://twitter.com/MARCELVANHATTEM, https://www.facebook.com/MARCELVH, https://youtube.com/channel/UCAGHY76tgzPiiXpJtM1sVCg</t>
  </si>
  <si>
    <t>São Leopoldo</t>
  </si>
  <si>
    <t>https://dadosabertos.camara.leg.br/api/v2/deputados/179000</t>
  </si>
  <si>
    <t>Marcelo Álvaro Antônio</t>
  </si>
  <si>
    <t>MARCELO HENRIQUE TEIXEIRA DIAS</t>
  </si>
  <si>
    <t>https://www.instagram.com/marceloalvaroantonio, https://www.facebook.com/marceloalvaroantonio, https://twitter.com/marceloalvaroan</t>
  </si>
  <si>
    <t>https://dadosabertos.camara.leg.br/api/v2/deputados/204433</t>
  </si>
  <si>
    <t>Marcelo Calero</t>
  </si>
  <si>
    <t>MARCELO CALERO FARIA GARCIA</t>
  </si>
  <si>
    <t>https://www.facebook.com/calero.rio, https://www.instagram.com/marcelocalero, https://twitter.com/caleromarcelo, https://youtube.com/MarceloCaleroRio</t>
  </si>
  <si>
    <t>www.calero.rio</t>
  </si>
  <si>
    <t>https://dadosabertos.camara.leg.br/api/v2/deputados/220599</t>
  </si>
  <si>
    <t>Marcelo Crivella</t>
  </si>
  <si>
    <t>MARCELO BEZERRA  CRIVELLA</t>
  </si>
  <si>
    <t>https://dadosabertos.camara.leg.br/api/v2/deputados/220634</t>
  </si>
  <si>
    <t>Marcelo Lima</t>
  </si>
  <si>
    <t>MARCELO DE LIMA FERNANDES</t>
  </si>
  <si>
    <t>https://dadosabertos.camara.leg.br/api/v2/deputados/133810</t>
  </si>
  <si>
    <t>Marcelo Moraes</t>
  </si>
  <si>
    <t>MARCELO PIRES MORAES</t>
  </si>
  <si>
    <t>https://dadosabertos.camara.leg.br/api/v2/deputados/160161</t>
  </si>
  <si>
    <t>Marcelo Queiroz</t>
  </si>
  <si>
    <t>MARCELO ANDRE CID HERACLITO DO PORTO QUEIROZ</t>
  </si>
  <si>
    <t>https://dadosabertos.camara.leg.br/api/v2/deputados/178983</t>
  </si>
  <si>
    <t>Marcio Alvino</t>
  </si>
  <si>
    <t>MARCIO LUIZ ALVINO DE SOUZA</t>
  </si>
  <si>
    <t>https://dadosabertos.camara.leg.br/api/v2/deputados/179001</t>
  </si>
  <si>
    <t>Márcio Biolchi</t>
  </si>
  <si>
    <t>MARCIO DELLA VALLE BIOLCHI</t>
  </si>
  <si>
    <t>Carazinho</t>
  </si>
  <si>
    <t>https://dadosabertos.camara.leg.br/api/v2/deputados/226410</t>
  </si>
  <si>
    <t>Márcio Correa</t>
  </si>
  <si>
    <t>MÁRCIO AURÉLIO CORRÊA</t>
  </si>
  <si>
    <t>Anápolis</t>
  </si>
  <si>
    <t>https://dadosabertos.camara.leg.br/api/v2/deputados/220687</t>
  </si>
  <si>
    <t>Márcio Honaiser</t>
  </si>
  <si>
    <t>MARCIO JOSE HONAISER</t>
  </si>
  <si>
    <t>https://twitter.com/Marcio_Honaiser, https://www.instagram.com/marciohonaiser/, https://www.facebook.com/marciohonaiser/</t>
  </si>
  <si>
    <t>https://dadosabertos.camara.leg.br/api/v2/deputados/81055</t>
  </si>
  <si>
    <t>Márcio Jerry</t>
  </si>
  <si>
    <t>MÁRCIO JERRY SARAIVA BARROSO</t>
  </si>
  <si>
    <t>https://twitter.com/marciojerry, https://www.facebook.com/marciojerry, https://www.instagram.com/marciojerry, https://youtube.com/marciojerry</t>
  </si>
  <si>
    <t>Colinas</t>
  </si>
  <si>
    <t>https://dadosabertos.camara.leg.br/api/v2/deputados/150418</t>
  </si>
  <si>
    <t>Márcio Marinho</t>
  </si>
  <si>
    <t>MÁRCIO CARLOS MARINHO</t>
  </si>
  <si>
    <t>https://www.facebook.com/deputadomarciomarinho, https://www.instagram.com/deputadomarciomarinho, https://youtube.com/channel/UCx3t_YQx8H-93UD5k9Mt1lQ, https://twitter.com/dpmarciomarinho?lang=pt-br</t>
  </si>
  <si>
    <t>http://deputadomarciomarinho.com.br/site/</t>
  </si>
  <si>
    <t>Cabo Frio</t>
  </si>
  <si>
    <t>https://dadosabertos.camara.leg.br/api/v2/deputados/204522</t>
  </si>
  <si>
    <t>Marco Bertaiolli</t>
  </si>
  <si>
    <t>MARCO AURELIO BERTAIOLLI</t>
  </si>
  <si>
    <t>https://www.instagram.com/marco.bertaiolli, https://twitter.com/MarcoBertaiolli, https://www.facebook.com/marco.bertaiolli</t>
  </si>
  <si>
    <t>www.marcobertaiolli.com.br</t>
  </si>
  <si>
    <t>Mogi das Cruzes</t>
  </si>
  <si>
    <t>https://dadosabertos.camara.leg.br/api/v2/deputados/219585</t>
  </si>
  <si>
    <t>Marco Brasil</t>
  </si>
  <si>
    <t>MARCO AURELIO RIBEIRO</t>
  </si>
  <si>
    <t>https://www.facebook.com/marcobrasillocutor, https://www.instagram.com/marcobrasil, https://twitter.com/marco_brasil</t>
  </si>
  <si>
    <t>Dracena</t>
  </si>
  <si>
    <t>https://dadosabertos.camara.leg.br/api/v2/deputados/160535</t>
  </si>
  <si>
    <t>Marcon</t>
  </si>
  <si>
    <t>DIONILSO MATEUS MARCON</t>
  </si>
  <si>
    <t>https://www.facebook.com/deputadomarcon, https://twitter.com/deputadomarcon, https://instagram.com/deputadomarcon</t>
  </si>
  <si>
    <t>Ronda Alta</t>
  </si>
  <si>
    <t>https://dadosabertos.camara.leg.br/api/v2/deputados/204431</t>
  </si>
  <si>
    <t>Marcos Aurélio Sampaio</t>
  </si>
  <si>
    <t>MARCOS AURÉLIO  PÁDUA RIBEIRO GONÇALVES DE SAMPAIO</t>
  </si>
  <si>
    <t>https://dadosabertos.camara.leg.br/api/v2/deputados/204506</t>
  </si>
  <si>
    <t>Marcos Pereira</t>
  </si>
  <si>
    <t>MARCOS ANTONIO PEREIRA</t>
  </si>
  <si>
    <t>https://www.facebook.com/marcospereira1010, https://www.instagram.com/marcospereira1010, https://twitter.com/marcospereira04, https://youtube.com/marcospereira0404</t>
  </si>
  <si>
    <t>Linhares</t>
  </si>
  <si>
    <t>https://dadosabertos.camara.leg.br/api/v2/deputados/220547</t>
  </si>
  <si>
    <t>Marcos Pollon</t>
  </si>
  <si>
    <t>MARCOS SBOROWSKI POLLON</t>
  </si>
  <si>
    <t>https://www.facebook.com/mpollon, https://www.instagram.com/pollonms, https://twitter.com/PollonMarcos, https://youtube.com/channel/UC8ioF4r2QoAp5mMp1epPAsg</t>
  </si>
  <si>
    <t>https://dadosabertos.camara.leg.br/api/v2/deputados/178943</t>
  </si>
  <si>
    <t>Marcos Soares</t>
  </si>
  <si>
    <t>MARCOS BEZERRA RIBEIRO SOARES</t>
  </si>
  <si>
    <t>https://dadosabertos.camara.leg.br/api/v2/deputados/220604</t>
  </si>
  <si>
    <t>Marcos Tavares</t>
  </si>
  <si>
    <t>MARCOS PAULO BARBOSA TAVARES</t>
  </si>
  <si>
    <t>https://www.instagram.com/oficialmarcostavares, https://www.facebook.com/oficialmarcostavares</t>
  </si>
  <si>
    <t>https://dadosabertos.camara.leg.br/api/v2/deputados/220668</t>
  </si>
  <si>
    <t>Maria Arraes</t>
  </si>
  <si>
    <t>MARIA LEAL ARRAES DE ALENCAR</t>
  </si>
  <si>
    <t>https://www.facebook.com//mariaarraespe, https://twitter.com/mariaarraespe, https://www.instagram.com/mariaarraes</t>
  </si>
  <si>
    <t>https://dadosabertos.camara.leg.br/api/v2/deputados/74398</t>
  </si>
  <si>
    <t>Maria do Rosário</t>
  </si>
  <si>
    <t>MARIA DO ROSÁRIO NUNES</t>
  </si>
  <si>
    <t>https://www.facebook.com/DeputadaMariaDoRosario, https://www.instagram.com/_mariadorosario, https://twitter.com/mariadorosario</t>
  </si>
  <si>
    <t>Veranópolis</t>
  </si>
  <si>
    <t>https://dadosabertos.camara.leg.br/api/v2/deputados/204540</t>
  </si>
  <si>
    <t>Maria Rosas</t>
  </si>
  <si>
    <t>MARIA DO PARTO MENDES ROSAS</t>
  </si>
  <si>
    <t>https://www.facebook.com/depmariarosas, https://www.instagram.com/mariarosas.oficial, https://twitter.com/mariarosassp, https://youtube.com/channel/UCWIJ_PIc4AsfR_LlBxSILSA</t>
  </si>
  <si>
    <t>www.mariarosas.com.br</t>
  </si>
  <si>
    <t>Angra dos Reis</t>
  </si>
  <si>
    <t>https://dadosabertos.camara.leg.br/api/v2/deputados/227275</t>
  </si>
  <si>
    <t>Mariana Carvalho</t>
  </si>
  <si>
    <t>TACILLA MARIANA CARVALHO SILVA</t>
  </si>
  <si>
    <t>https://dadosabertos.camara.leg.br/api/v2/deputados/220637</t>
  </si>
  <si>
    <t>Marina Silva</t>
  </si>
  <si>
    <t>MARIA OSMARINA MARINA DA SILVA VAZ DE LIMA</t>
  </si>
  <si>
    <t>https://dadosabertos.camara.leg.br/api/v2/deputados/220655</t>
  </si>
  <si>
    <t>Mario Frias</t>
  </si>
  <si>
    <t>MARIO LUIS FRIAS</t>
  </si>
  <si>
    <t>https://twitter.com/mfriasoficial, https://www.instagram.com/mariofriasoficial</t>
  </si>
  <si>
    <t>https://dadosabertos.camara.leg.br/api/v2/deputados/74158</t>
  </si>
  <si>
    <t>Mário Heringer</t>
  </si>
  <si>
    <t>MÁRIO LÚCIO HERINGER</t>
  </si>
  <si>
    <t>Manhumirim</t>
  </si>
  <si>
    <t>https://dadosabertos.camara.leg.br/api/v2/deputados/178858</t>
  </si>
  <si>
    <t>Mário Negromonte Jr.</t>
  </si>
  <si>
    <t>MARIO S. M. NEGROMONTE JR.</t>
  </si>
  <si>
    <t>https://www.instagram.com/marionegromontejr</t>
  </si>
  <si>
    <t>Paulo Afonso</t>
  </si>
  <si>
    <t>https://dadosabertos.camara.leg.br/api/v2/deputados/204566</t>
  </si>
  <si>
    <t>Marreca Filho</t>
  </si>
  <si>
    <t>ANTONIO DA CRUZ FILGUEIRA NETO</t>
  </si>
  <si>
    <t>https://www.instagram.com/depmarrecafilho, https://www.facebook.com/depmarrecafilho, https://twitter.com/depmarrecafilho</t>
  </si>
  <si>
    <t>https://dadosabertos.camara.leg.br/api/v2/deputados/220572</t>
  </si>
  <si>
    <t>Marussa Boldrin</t>
  </si>
  <si>
    <t>MARUSSA CASSIA FAVARO BOLDRIN</t>
  </si>
  <si>
    <t>https://www.facebook.com/marussaboldrin.go, https://www.instagram.com/marussa.boldrin, https://twitter.com/marussago</t>
  </si>
  <si>
    <t>https://dadosabertos.camara.leg.br/api/v2/deputados/178843</t>
  </si>
  <si>
    <t>Marx Beltrão</t>
  </si>
  <si>
    <t>MARX BELTRÃO LIMA SIQUEIRA</t>
  </si>
  <si>
    <t>https://dadosabertos.camara.leg.br/api/v2/deputados/220661</t>
  </si>
  <si>
    <t>Matheus Noronha</t>
  </si>
  <si>
    <t>MATHEUS SOARES NORONHA</t>
  </si>
  <si>
    <t>https://dadosabertos.camara.leg.br/api/v2/deputados/220609</t>
  </si>
  <si>
    <t>Maurício Carvalho</t>
  </si>
  <si>
    <t>MAURICIO FONSECA RIBEIRO CARVALHO DE MORAES</t>
  </si>
  <si>
    <t>https://dadosabertos.camara.leg.br/api/v2/deputados/220628</t>
  </si>
  <si>
    <t>Mauricio do Vôlei</t>
  </si>
  <si>
    <t>MAURICIO LUIZ DE SOUZA</t>
  </si>
  <si>
    <t>https://www.instagram.com/mauriciodovolei, https://www.facebook.com/mauriciodovolei, https://twitter.com/mauriciodovolei</t>
  </si>
  <si>
    <t>Iturama</t>
  </si>
  <si>
    <t>https://dadosabertos.camara.leg.br/api/v2/deputados/220550</t>
  </si>
  <si>
    <t>Mauricio Marcon</t>
  </si>
  <si>
    <t>MAURICIO BEDIN MARCON</t>
  </si>
  <si>
    <t>https://dadosabertos.camara.leg.br/api/v2/deputados/220647</t>
  </si>
  <si>
    <t>Mauricio Neves</t>
  </si>
  <si>
    <t>MANOEL MAURICIO SILVA NEVES</t>
  </si>
  <si>
    <t>https://www.facebook.com/mauricioneves, https://www.instagram.com/mauricioneves_oficial, https://twitter.com/MauricioNeves_, https://youtube.com/mauricioneves9642</t>
  </si>
  <si>
    <t>São Caetano do Sul</t>
  </si>
  <si>
    <t>https://dadosabertos.camara.leg.br/api/v2/deputados/204486</t>
  </si>
  <si>
    <t>Mauro Benevides Filho</t>
  </si>
  <si>
    <t>CARLOS MAURO BENEVIDES FILHO</t>
  </si>
  <si>
    <t>https://www.instagram.com/mauro_benevidesfilho, https://twitter.com/mauro_bfilho</t>
  </si>
  <si>
    <t>https://dadosabertos.camara.leg.br/api/v2/deputados/220607</t>
  </si>
  <si>
    <t>Max Lemos</t>
  </si>
  <si>
    <t>MAX RODRIGUES LEMOS</t>
  </si>
  <si>
    <t>https://www.instagram.com/maxlemosoficial, https://www.facebook.com/maxlemos.com.br, https://twitter.com/maxlemosoficial, https://youtube.com/@maxlemos9960</t>
  </si>
  <si>
    <t>https://dadosabertos.camara.leg.br/api/v2/deputados/220591</t>
  </si>
  <si>
    <t>Meire Serafim</t>
  </si>
  <si>
    <t>ROZIMEIRE RIBEIRO ANDRADE</t>
  </si>
  <si>
    <t>https://www.instagram.com/dep.meireserafim, https://www.facebook.com/dep.meireserafim, https://twitter.com/depmeireserafim</t>
  </si>
  <si>
    <t>Ji-Paraná</t>
  </si>
  <si>
    <t>https://dadosabertos.camara.leg.br/api/v2/deputados/74428</t>
  </si>
  <si>
    <t>Mendonça Filho</t>
  </si>
  <si>
    <t>JOSÉ MENDONÇA BEZERRA FILHO</t>
  </si>
  <si>
    <t>https://dadosabertos.camara.leg.br/api/v2/deputados/188097</t>
  </si>
  <si>
    <t>Merlong Solano</t>
  </si>
  <si>
    <t>MERLONG SOLANO NOGUEIRA</t>
  </si>
  <si>
    <t>Valença do Piauí</t>
  </si>
  <si>
    <t>https://dadosabertos.camara.leg.br/api/v2/deputados/220585</t>
  </si>
  <si>
    <t>Mersinho Lucena</t>
  </si>
  <si>
    <t>FRANCISCO EMERSON ASSIS DE LUCENA</t>
  </si>
  <si>
    <t>https://dadosabertos.camara.leg.br/api/v2/deputados/220530</t>
  </si>
  <si>
    <t>Messias Donato</t>
  </si>
  <si>
    <t>Manoel Messias Donato Bezerra</t>
  </si>
  <si>
    <t>https://www.facebook.com/messiasdonato, https://twitter.com/MessiasDonato, https://www.instagram.com/messiasdonato, https://youtube.com/channel/UCzw1O2NLEynTs9dm3X2AILA</t>
  </si>
  <si>
    <t>Itororó</t>
  </si>
  <si>
    <t>https://dadosabertos.camara.leg.br/api/v2/deputados/171786</t>
  </si>
  <si>
    <t>Miguel Ângelo</t>
  </si>
  <si>
    <t>MIGUEL ÂNGELO MONTEIRO ANDRADE</t>
  </si>
  <si>
    <t>https://www.facebook.com/MiguelÂngelo, https://www.instagram.com/miguelangelomg13, https://twitter.com/MiguelAngelo_</t>
  </si>
  <si>
    <t>https://dadosabertos.camara.leg.br/api/v2/deputados/178985</t>
  </si>
  <si>
    <t>Miguel Lombardi</t>
  </si>
  <si>
    <t>MIGUEL LOMBARDI</t>
  </si>
  <si>
    <t>https://youtube.com/channel/UCzP0L6ymrNXOBJuOpflBwgA, https://www.instagram.com/dep.miguellombardi</t>
  </si>
  <si>
    <t>https://dadosabertos.camara.leg.br/api/v2/deputados/154178</t>
  </si>
  <si>
    <t>Milton Vieira</t>
  </si>
  <si>
    <t>MILTON VIEIRA PINTO</t>
  </si>
  <si>
    <t>https://www.facebook.com/miltonvieiraoficial, https://www.instagram.com/miltonvieiraoficial, https://www.youtube.com/user/depmiltonvieira/, https://twitter.com/depmiltonvieira</t>
  </si>
  <si>
    <t>Iepê</t>
  </si>
  <si>
    <t>https://dadosabertos.camara.leg.br/api/v2/deputados/178895</t>
  </si>
  <si>
    <t>Misael Varella</t>
  </si>
  <si>
    <t>MISAEL ARTUR FERREIRA VARELLA</t>
  </si>
  <si>
    <t>https://www.facebook.com/deputadomisaelvarella, https://www.instagram.com/misaelvarella</t>
  </si>
  <si>
    <t>https://dadosabertos.camara.leg.br/api/v2/deputados/229225</t>
  </si>
  <si>
    <t>Missionária Michele Collins</t>
  </si>
  <si>
    <t>DAÍZE MICHELE DE AGUIAR GONÇALVES COLLINS</t>
  </si>
  <si>
    <t>https://dadosabertos.camara.leg.br/api/v2/deputados/160561</t>
  </si>
  <si>
    <t>Missionário José Olimpio</t>
  </si>
  <si>
    <t>JOSÉ OLIMPIO SILVEIRA MORAES</t>
  </si>
  <si>
    <t>Itu</t>
  </si>
  <si>
    <t>https://dadosabertos.camara.leg.br/api/v2/deputados/178997</t>
  </si>
  <si>
    <t>Moses Rodrigues</t>
  </si>
  <si>
    <t>MOSES HAENDEL MELO RODRIGUES</t>
  </si>
  <si>
    <t>https://www.instagram.com/mosesrodriguesoficial, https://www.facebook.com/MosesRodriguesOficial, https://twitter.com/DepFederalMoses</t>
  </si>
  <si>
    <t>Sobral</t>
  </si>
  <si>
    <t>https://dadosabertos.camara.leg.br/api/v2/deputados/220617</t>
  </si>
  <si>
    <t>Murillo Gouvea</t>
  </si>
  <si>
    <t>MURILLO GOUVEA RODRIGUES</t>
  </si>
  <si>
    <t>https://www.facebook.com/murillogouvea.rj, https://www.instagram.com/murillogouvea.rj, https://twitter.com/murillogouvea.rj</t>
  </si>
  <si>
    <t>Itaperuna</t>
  </si>
  <si>
    <t>https://dadosabertos.camara.leg.br/api/v2/deputados/220584</t>
  </si>
  <si>
    <t>Murilo Galdino</t>
  </si>
  <si>
    <t>CÁSSIO MURILO GALDINO DE ARAÚJO</t>
  </si>
  <si>
    <t>https://twitter.com/Murilogaldinopb, https://www.facebook.com/murilogaldinopb</t>
  </si>
  <si>
    <t>Pocinhos</t>
  </si>
  <si>
    <t>https://dadosabertos.camara.leg.br/api/v2/deputados/204453</t>
  </si>
  <si>
    <t>Natália Bonavides</t>
  </si>
  <si>
    <t>NATÁLIA BASTOS BONAVIDES</t>
  </si>
  <si>
    <t>https://twitter.com/Natbonavides, https://www.facebook.com/nataliabonavides, https://www.instagram.com/nataliabonavides, https://youtube.com/channel/UC4SZ1UNy6t9Mz99In-Rt1tw</t>
  </si>
  <si>
    <t>Natal</t>
  </si>
  <si>
    <t>https://dadosabertos.camara.leg.br/api/v2/deputados/228042</t>
  </si>
  <si>
    <t>Naumi Amorim</t>
  </si>
  <si>
    <t>NAUMI GOMES DE AMORIM</t>
  </si>
  <si>
    <t>Tauá</t>
  </si>
  <si>
    <t>https://dadosabertos.camara.leg.br/api/v2/deputados/233218</t>
  </si>
  <si>
    <t>Nelinho Freitas</t>
  </si>
  <si>
    <t>RONDINELLE PEREIRA DE FREITAS</t>
  </si>
  <si>
    <t>Russas</t>
  </si>
  <si>
    <t>https://dadosabertos.camara.leg.br/api/v2/deputados/204449</t>
  </si>
  <si>
    <t>Nelson Barbudo</t>
  </si>
  <si>
    <t>NELSON NED PREVIDENTE</t>
  </si>
  <si>
    <t>https://www.instagram.com/nelsonbarbudo, https://www.facebook.com/onelsonbarbudo, https://youtube.com/channel/UC2wzaVfyw_DJ7Dw8vMqNoCw</t>
  </si>
  <si>
    <t>Poloni</t>
  </si>
  <si>
    <t>https://dadosabertos.camara.leg.br/api/v2/deputados/220622</t>
  </si>
  <si>
    <t>Nely Aquino</t>
  </si>
  <si>
    <t>NELI PEREIRA DE AQUINO</t>
  </si>
  <si>
    <t>https://www.instagram.com/nelyaquinooficial, https://www.facebook.com/NelyAquinoOficial, https://youtube.com/NelyAquino</t>
  </si>
  <si>
    <t>São Sebastião do Maranhão</t>
  </si>
  <si>
    <t>https://dadosabertos.camara.leg.br/api/v2/deputados/220703</t>
  </si>
  <si>
    <t>Neto Carletto</t>
  </si>
  <si>
    <t>ORLANDO SULZ DE ALMEIDA NETO</t>
  </si>
  <si>
    <t>https://www.facebook.com/netocarletto, https://www.instagram.com/netocarletto, https://twitter.com/carlettoneto</t>
  </si>
  <si>
    <t>Teixeira de Freitas</t>
  </si>
  <si>
    <t>https://dadosabertos.camara.leg.br/api/v2/deputados/229939</t>
  </si>
  <si>
    <t>Newton Bonin</t>
  </si>
  <si>
    <t>NEWTON BONIN</t>
  </si>
  <si>
    <t>https://dadosabertos.camara.leg.br/api/v2/deputados/178896</t>
  </si>
  <si>
    <t>Newton Cardoso Jr</t>
  </si>
  <si>
    <t>NEWTON CARDOSO JUNIOR</t>
  </si>
  <si>
    <t>Contagem</t>
  </si>
  <si>
    <t>https://dadosabertos.camara.leg.br/api/v2/deputados/204479</t>
  </si>
  <si>
    <t>Nicoletti</t>
  </si>
  <si>
    <t>ANTONIO CARLOS NICOLETTI</t>
  </si>
  <si>
    <t>https://twitter.com/depnicoletti, https://www.facebook.com/DeputadoNicoletti, https://www.instagram.com/deputadonicoletti, https://youtube.com/DeputadoNicoletti</t>
  </si>
  <si>
    <t>Ijuí</t>
  </si>
  <si>
    <t>https://dadosabertos.camara.leg.br/api/v2/deputados/209787</t>
  </si>
  <si>
    <t>Nikolas Ferreira</t>
  </si>
  <si>
    <t>NIKOLAS FERREIRA DE OLIVEIRA</t>
  </si>
  <si>
    <t>https://www.instagram.com/nikolasferreiradm/, https://twitter.com/nikolas_dm, https://www.youtube.com/@NikolasFerreiraO</t>
  </si>
  <si>
    <t>https://dadosabertos.camara.leg.br/api/v2/deputados/178986</t>
  </si>
  <si>
    <t>Nilto Tatto</t>
  </si>
  <si>
    <t>NILTO IGNACIO TATTO</t>
  </si>
  <si>
    <t>https://dadosabertos.camara.leg.br/api/v2/deputados/227660</t>
  </si>
  <si>
    <t>Nitinho</t>
  </si>
  <si>
    <t>JOSENITO VITALE DE JESUS</t>
  </si>
  <si>
    <t>https://www.facebook.com/nittinhovitale</t>
  </si>
  <si>
    <t>https://dadosabertos.camara.leg.br/api/v2/deputados/74159</t>
  </si>
  <si>
    <t>Odair Cunha</t>
  </si>
  <si>
    <t>ODAIR JOSÉ DA CUNHA</t>
  </si>
  <si>
    <t>https://twitter.com/odaircunhamg, https://www.facebook.com/odaircunhamg, https://www.instagram.com/odaircunhamg</t>
  </si>
  <si>
    <t>Piedade</t>
  </si>
  <si>
    <t>https://dadosabertos.camara.leg.br/api/v2/deputados/204498</t>
  </si>
  <si>
    <t>Olival Marques</t>
  </si>
  <si>
    <t>OLIVAL HENRIQUE MARQUES DE SOUZA</t>
  </si>
  <si>
    <t>https://www.instagram.com/OlivalMarques, https://www.facebook.com/OlivalMarquesOficial, https://twitter.com/OlivalMarquesOf</t>
  </si>
  <si>
    <t>https://dadosabertos.camara.leg.br/api/v2/deputados/178987</t>
  </si>
  <si>
    <t>Orlando Silva</t>
  </si>
  <si>
    <t>ORLANDO SILVA DE JESUS JUNIOR</t>
  </si>
  <si>
    <t>https://twitter.com/orlandosilva, https://www.instagram.com/orlandosilvasp, https://www.facebook.com/orlandosilvasp</t>
  </si>
  <si>
    <t>https://dadosabertos.camara.leg.br/api/v2/deputados/73692</t>
  </si>
  <si>
    <t>Osmar Terra</t>
  </si>
  <si>
    <t>OSMAR GASPARINI TERRA</t>
  </si>
  <si>
    <t>https://twitter.com/OsmarTerra, https://www.instagram.com/terra.osmar, https://www.facebook.com/DeputadoOsmarTerra, https://youtube.com/channel/UCZdKvhFxyXQm-JmyvHUYojA</t>
  </si>
  <si>
    <t>https://dadosabertos.camara.leg.br/api/v2/deputados/204422</t>
  </si>
  <si>
    <t>Ossesio Silva</t>
  </si>
  <si>
    <t>OSSESIO JOSE DA SILVA</t>
  </si>
  <si>
    <t>https://www.instagram.com/ossesio.silva, https://www.facebook.com/ossesio.silva, https://twitter.com/ossesio_silva</t>
  </si>
  <si>
    <t>https://dadosabertos.camara.leg.br/api/v2/deputados/204441</t>
  </si>
  <si>
    <t>Otoni de Paula</t>
  </si>
  <si>
    <t>OTONI MOURA DE PAULO JUNIOR</t>
  </si>
  <si>
    <t>https://www.facebook.com/OtoniDeputadoFederal, https://www.instagram.com/otonidepaulaoficial, https://twitter.com/otonidepfederal</t>
  </si>
  <si>
    <t>https://dadosabertos.camara.leg.br/api/v2/deputados/204573</t>
  </si>
  <si>
    <t>Otto Alencar Filho</t>
  </si>
  <si>
    <t>OTTO ROBERTO MENDONÇA DE ALENCAR FILHO</t>
  </si>
  <si>
    <t>https://www.facebook.com/otto.filho.oficial, https://twitter.com/OttoAlencarFilh, https://www.instagram.com/ottofilho.oficial</t>
  </si>
  <si>
    <t>https://dadosabertos.camara.leg.br/api/v2/deputados/220706</t>
  </si>
  <si>
    <t>Padovani</t>
  </si>
  <si>
    <t>NELSON FERNANDO PADOVANI</t>
  </si>
  <si>
    <t>https://www.instagram.com/nelsinhopadovani, https://twitter.com/padovanidep</t>
  </si>
  <si>
    <t>Cascavel</t>
  </si>
  <si>
    <t>https://dadosabertos.camara.leg.br/api/v2/deputados/160556</t>
  </si>
  <si>
    <t>Padre João</t>
  </si>
  <si>
    <t>JOÃO CARLOS SIQUEIRA</t>
  </si>
  <si>
    <t>https://www.facebook.com/padrejoao, https://twitter.com/dep_padrejoao, https://www.instagram.com/dep_padrejoao, https://youtube.com/channel/UC3xn6en0oZZdxt56VW8PS9A</t>
  </si>
  <si>
    <t>Urucânia</t>
  </si>
  <si>
    <t>https://dadosabertos.camara.leg.br/api/v2/deputados/230762</t>
  </si>
  <si>
    <t>Pastor Claudio Mariano</t>
  </si>
  <si>
    <t>CLAUDIO MARIANO SILVA</t>
  </si>
  <si>
    <t>Arenópolis</t>
  </si>
  <si>
    <t>https://dadosabertos.camara.leg.br/api/v2/deputados/180214</t>
  </si>
  <si>
    <t>Pastor Diniz</t>
  </si>
  <si>
    <t>RAIMUNDO DINIZ ARAÚJO</t>
  </si>
  <si>
    <t>https://www.instagram.com/pastordiniz.ad, https://www.facebook.com/pr.diniz.rr</t>
  </si>
  <si>
    <t>https://dadosabertos.camara.leg.br/api/v2/deputados/160642</t>
  </si>
  <si>
    <t>Pastor Eurico</t>
  </si>
  <si>
    <t>FRANCISCO EURICO DA SILVA</t>
  </si>
  <si>
    <t>Presidente Prudente</t>
  </si>
  <si>
    <t>https://dadosabertos.camara.leg.br/api/v2/deputados/204570</t>
  </si>
  <si>
    <t>Pastor Gil</t>
  </si>
  <si>
    <t>GILDENEMIR DE LIMA SOUSA</t>
  </si>
  <si>
    <t>https://www.facebook.com/deputadopastorgil, https://www.instagram.com/deputadogildenemyr</t>
  </si>
  <si>
    <t>https://dadosabertos.camara.leg.br/api/v2/deputados/220615</t>
  </si>
  <si>
    <t>Pastor Henrique Vieira</t>
  </si>
  <si>
    <t>HENRIQUE DOS SANTOS VIEIRA LIMA</t>
  </si>
  <si>
    <t>https://www.facebook.com/pastorhenriquevieira, https://www.instagram.com/pastorhenriquevieira, https://twitter.com/pastorhenriquev, https://youtube.com/PastorHenriqueVieira</t>
  </si>
  <si>
    <t>https://dadosabertos.camara.leg.br/api/v2/deputados/204553</t>
  </si>
  <si>
    <t>Pastor Sargento Isidório</t>
  </si>
  <si>
    <t>MANOEL ISIDORIO DE SANTANA JUNIOR</t>
  </si>
  <si>
    <t>https://www.facebook.com/pastorisidorio, https://www.instagram.com/pastorsargentoisidorio</t>
  </si>
  <si>
    <t>https://dadosabertos.camara.leg.br/api/v2/deputados/74160</t>
  </si>
  <si>
    <t>Patrus Ananias</t>
  </si>
  <si>
    <t>PATRUS ANANIAS DE SOUZA</t>
  </si>
  <si>
    <t>Bocaiúva</t>
  </si>
  <si>
    <t>https://dadosabertos.camara.leg.br/api/v2/deputados/74095</t>
  </si>
  <si>
    <t>Pauderney Avelino</t>
  </si>
  <si>
    <t>PAUDERNEY TOMAZ AVELINO</t>
  </si>
  <si>
    <t>http://www.twitter.com/pauderney</t>
  </si>
  <si>
    <t>Eirunepé</t>
  </si>
  <si>
    <t>https://dadosabertos.camara.leg.br/api/v2/deputados/171617</t>
  </si>
  <si>
    <t>Paulão</t>
  </si>
  <si>
    <t>PAULO FERNANDO DOS SANTOS</t>
  </si>
  <si>
    <t>https://dadosabertos.camara.leg.br/api/v2/deputados/141518</t>
  </si>
  <si>
    <t>Paulinho da Força</t>
  </si>
  <si>
    <t>PAULO PEREIRA DA SILVA</t>
  </si>
  <si>
    <t>Porecatu</t>
  </si>
  <si>
    <t>https://dadosabertos.camara.leg.br/api/v2/deputados/220627</t>
  </si>
  <si>
    <t>Paulinho Freire</t>
  </si>
  <si>
    <t>PAULO EDUARDO DA COSTA FREIRE</t>
  </si>
  <si>
    <t>https://dadosabertos.camara.leg.br/api/v2/deputados/141516</t>
  </si>
  <si>
    <t>Paulo Abi-Ackel</t>
  </si>
  <si>
    <t>PAULO ABI-ACKEL</t>
  </si>
  <si>
    <t>https://dadosabertos.camara.leg.br/api/v2/deputados/220650</t>
  </si>
  <si>
    <t>Paulo Alexandre Barbosa</t>
  </si>
  <si>
    <t>PAULO ALEXANDRE PEREIRA BARBOSA</t>
  </si>
  <si>
    <t>https://www.instagram.com/pauloalexandrebarbosa, https://twitter.com/https:, https://www.facebook.com/pauloalexandrebarbosapsdb</t>
  </si>
  <si>
    <t>https://dadosabertos.camara.leg.br/api/v2/deputados/178860</t>
  </si>
  <si>
    <t>Paulo Azi</t>
  </si>
  <si>
    <t>PAULO VELLOSO DANTAS AZI</t>
  </si>
  <si>
    <t>https://www.facebook.com/PauloAzi, https://twitter.com/PauloAzi, https://www.instagram.com/PauloAziofcial</t>
  </si>
  <si>
    <t>www.pauloazi.com.br</t>
  </si>
  <si>
    <t>https://dadosabertos.camara.leg.br/api/v2/deputados/160517</t>
  </si>
  <si>
    <t>Paulo Folletto</t>
  </si>
  <si>
    <t>PAULO ROBERTO FOLLETTO</t>
  </si>
  <si>
    <t>https://www.instagram.com/paulo.folletto, https://www.facebook.com/foletto.paulo, https://twitter.com/deputadofoletto</t>
  </si>
  <si>
    <t>https://dadosabertos.camara.leg.br/api/v2/deputados/160558</t>
  </si>
  <si>
    <t>Paulo Freire Costa</t>
  </si>
  <si>
    <t>PAULO ROBERTO FREIRE DA COSTA</t>
  </si>
  <si>
    <t>https://dadosabertos.camara.leg.br/api/v2/deputados/204492</t>
  </si>
  <si>
    <t>Paulo Guedes</t>
  </si>
  <si>
    <t>PAULO JOSE CARLOS GUEDES</t>
  </si>
  <si>
    <t>Manga</t>
  </si>
  <si>
    <t>https://dadosabertos.camara.leg.br/api/v2/deputados/233592</t>
  </si>
  <si>
    <t>Paulo Lemos</t>
  </si>
  <si>
    <t>PAULO CESAR LEMOS DE OLIVEIRA</t>
  </si>
  <si>
    <t>https://www.facebook.com/paulolemosap, https://twitter.com/paulolemosap, https://www.instagram.com/paulolemosap, https://youtube.com/channel/UCPt5rQPkiVFL3kskxR0CP7Q</t>
  </si>
  <si>
    <t>Baião</t>
  </si>
  <si>
    <t>https://dadosabertos.camara.leg.br/api/v2/deputados/220685</t>
  </si>
  <si>
    <t>Paulo Litro</t>
  </si>
  <si>
    <t>PAULO HENRIQUE COLETTI FERNANDES</t>
  </si>
  <si>
    <t>https://dadosabertos.camara.leg.br/api/v2/deputados/74574</t>
  </si>
  <si>
    <t>Paulo Magalhães</t>
  </si>
  <si>
    <t>PAULO SÉRGIO PARANHOS DE MAGALHÃES</t>
  </si>
  <si>
    <t>https://dadosabertos.camara.leg.br/api/v2/deputados/128760</t>
  </si>
  <si>
    <t>Paulo Marinho Jr</t>
  </si>
  <si>
    <t>PAULO CELSO FONSECA MARINHO JÚNIOR</t>
  </si>
  <si>
    <t>https://dadosabertos.camara.leg.br/api/v2/deputados/74400</t>
  </si>
  <si>
    <t>Paulo Pimenta</t>
  </si>
  <si>
    <t>PAULO ROBERTO SEVERO PIMENTA</t>
  </si>
  <si>
    <t>https://dadosabertos.camara.leg.br/api/v2/deputados/141488</t>
  </si>
  <si>
    <t>Paulo Teixeira</t>
  </si>
  <si>
    <t>LUIZ PAULO TEIXEIRA FERREIRA</t>
  </si>
  <si>
    <t>https://twitter.com/pauloteixeira13, https://www.facebook.com/pauloteixeira13, https://www.instagram.com/pauloteixeira13</t>
  </si>
  <si>
    <t>Águas da Prata</t>
  </si>
  <si>
    <t>https://dadosabertos.camara.leg.br/api/v2/deputados/220630</t>
  </si>
  <si>
    <t>Pedro Aihara</t>
  </si>
  <si>
    <t>PEDRO DOSHIKAZU PIANCHAO AIHARA</t>
  </si>
  <si>
    <t>https://www.instagram.com/pedroaihara, https://www.facebook.com/pedroaiharaoficial, https://twitter.com/https:</t>
  </si>
  <si>
    <t>https://dadosabertos.camara.leg.br/api/v2/deputados/220667</t>
  </si>
  <si>
    <t>Pedro Campos</t>
  </si>
  <si>
    <t>PEDRO HENRIQUE DE A. L. C. CAMPOS</t>
  </si>
  <si>
    <t>https://www.instagram.com/pedrocampospe, https://www.facebook.com/pedrocampospe</t>
  </si>
  <si>
    <t>https://dadosabertos.camara.leg.br/api/v2/deputados/229112</t>
  </si>
  <si>
    <t>Pedro Jr</t>
  </si>
  <si>
    <t>PEDRO SOUZA CATINGUEIRO JUNIOR</t>
  </si>
  <si>
    <t>https://www.instagram.com/deputadopedrojunior, https://www.facebook.com/deputadopedrojunior, https://twitter.com/deputadopedrojunior</t>
  </si>
  <si>
    <t>Grajaú</t>
  </si>
  <si>
    <t>https://dadosabertos.camara.leg.br/api/v2/deputados/122974</t>
  </si>
  <si>
    <t>Pedro Lucas Fernandes</t>
  </si>
  <si>
    <t>PEDRO LUCAS ANDRADE FERNANDES RIBEIRO</t>
  </si>
  <si>
    <t>https://dadosabertos.camara.leg.br/api/v2/deputados/204395</t>
  </si>
  <si>
    <t>Pedro Lupion</t>
  </si>
  <si>
    <t>PEDRO DEBONI LUPION MELLO</t>
  </si>
  <si>
    <t>https://www.instagram.com/pedrolupion, https://twitter.com/pedro_lupion, https://www.facebook.com/pedrolupion</t>
  </si>
  <si>
    <t>https://dadosabertos.camara.leg.br/api/v2/deputados/122158</t>
  </si>
  <si>
    <t>Pedro Paulo</t>
  </si>
  <si>
    <t>PEDRO PAULO CARVALHO TEIXEIRA</t>
  </si>
  <si>
    <t>https://dadosabertos.camara.leg.br/api/v2/deputados/229259</t>
  </si>
  <si>
    <t>Pedro Tourinho</t>
  </si>
  <si>
    <t>PEDRO TOURINHO DE SIQUEIRA</t>
  </si>
  <si>
    <t>https://dadosabertos.camara.leg.br/api/v2/deputados/160604</t>
  </si>
  <si>
    <t>Pedro Uczai</t>
  </si>
  <si>
    <t>PEDRO FRANCISCO UCZAI</t>
  </si>
  <si>
    <t>Descanso</t>
  </si>
  <si>
    <t>https://dadosabertos.camara.leg.br/api/v2/deputados/204406</t>
  </si>
  <si>
    <t>Pedro Westphalen</t>
  </si>
  <si>
    <t>PEDRO BANDARRA WESTPHALEN</t>
  </si>
  <si>
    <t>https://dadosabertos.camara.leg.br/api/v2/deputados/161440</t>
  </si>
  <si>
    <t>Pezenti</t>
  </si>
  <si>
    <t>RAFAEL PEZENTI</t>
  </si>
  <si>
    <t>https://www.facebook.com/deputadopezenti, https://www.instagram.com/deputadopezenti, https://twitter.com/deputadopezenti</t>
  </si>
  <si>
    <t>Petrolândia</t>
  </si>
  <si>
    <t>https://dadosabertos.camara.leg.br/api/v2/deputados/204524</t>
  </si>
  <si>
    <t>Pinheirinho</t>
  </si>
  <si>
    <t>ANTÔNIO PINHEIRO NETO</t>
  </si>
  <si>
    <t>https://www.facebook.com/pinheirinhomg, https://twitter.com/pinheirinhomg, https://youtube.com/channel/UCrsQcx5F8S_gHJTpfiE8FfA, https://www.instagram.com/pinheirinhomg</t>
  </si>
  <si>
    <t>https://dadosabertos.camara.leg.br/api/v2/deputados/73486</t>
  </si>
  <si>
    <t>Pompeo de Mattos</t>
  </si>
  <si>
    <t>DARCI POMPEO DE MATTOS</t>
  </si>
  <si>
    <t>https://www.instagram.com/pompeodemattospdt, https://www.facebook.com/PompeodeMattos, https://twitter.com/PompeodeMattos, https://youtube.com/PompeodeMattos</t>
  </si>
  <si>
    <t>Santo Augusto</t>
  </si>
  <si>
    <t>https://dadosabertos.camara.leg.br/api/v2/deputados/160601</t>
  </si>
  <si>
    <t>Pr. Marco Feliciano</t>
  </si>
  <si>
    <t>MARCO ANTÔNIO FELICIANO</t>
  </si>
  <si>
    <t>Orlândia</t>
  </si>
  <si>
    <t>https://dadosabertos.camara.leg.br/api/v2/deputados/226075</t>
  </si>
  <si>
    <t>Priscila Costa</t>
  </si>
  <si>
    <t>PRISCILA BEZERRA DA COSTA</t>
  </si>
  <si>
    <t>https://www.facebook.com/priscilacostaoficial, https://www.instagram.com/priscilacosta</t>
  </si>
  <si>
    <t>https://dadosabertos.camara.leg.br/api/v2/deputados/89536</t>
  </si>
  <si>
    <t>Prof. Paulo Fernando</t>
  </si>
  <si>
    <t>PAULO FERNANDO MELO DA COSTA</t>
  </si>
  <si>
    <t>https://www.instagram.com/paulofernandodf, https://twitter.com/paulofernandodf, https://youtube.com/PauloFernandoDF, https://www.facebook.com/paulofernandoprovida</t>
  </si>
  <si>
    <t>https://dadosabertos.camara.leg.br/api/v2/deputados/220533</t>
  </si>
  <si>
    <t>Prof. Reginaldo Veras</t>
  </si>
  <si>
    <t>Reginaldo Veras Coelho</t>
  </si>
  <si>
    <t>https://www.instagram.com/reginaldo.veras, https://www.facebook.com/reginaldoverasdf, https://twitter.com/Reginaldoveras, https://youtube.com/Reginaldoveras12</t>
  </si>
  <si>
    <t>Crateús</t>
  </si>
  <si>
    <t>https://dadosabertos.camara.leg.br/api/v2/deputados/204390</t>
  </si>
  <si>
    <t>Professor Alcides</t>
  </si>
  <si>
    <t>ALCIDES RIBEIRO FILHO</t>
  </si>
  <si>
    <t>https://www.facebook.com/ProfessorAlcidesoficial, https://www.instagram.com/professoralcidesoficial, https://youtube.com/DeputadoProfessorAlcides</t>
  </si>
  <si>
    <t>Remanso</t>
  </si>
  <si>
    <t>https://dadosabertos.camara.leg.br/api/v2/deputados/220580</t>
  </si>
  <si>
    <t>Professora Goreth</t>
  </si>
  <si>
    <t>MARIA GORETH DA SILVA E SOUSA</t>
  </si>
  <si>
    <t>https://dadosabertos.camara.leg.br/api/v2/deputados/221338</t>
  </si>
  <si>
    <t>Professora Luciene Cavalcante</t>
  </si>
  <si>
    <t>LUCIENE CAVALCANTE DA SILVA</t>
  </si>
  <si>
    <t>https://dadosabertos.camara.leg.br/api/v2/deputados/160641</t>
  </si>
  <si>
    <t>Professora Marcivania</t>
  </si>
  <si>
    <t>MARCIVANIA DO SOCORRO DA ROCHA FLEXA</t>
  </si>
  <si>
    <t>https://twitter.com/profmarcivania, https://www.instagram.com/profmarcivania, https://www.facebook.com/profmarcivania</t>
  </si>
  <si>
    <t>https://dadosabertos.camara.leg.br/api/v2/deputados/220586</t>
  </si>
  <si>
    <t>Rafael Brito</t>
  </si>
  <si>
    <t>RAFAEL DE GOES BRITO</t>
  </si>
  <si>
    <t>https://www.instagram.com/rafaelbrito15, https://youtube.com/channel/UCq3xwtJvyjdU-ceUhWg-lPg</t>
  </si>
  <si>
    <t>https://dadosabertos.camara.leg.br/api/v2/deputados/233594</t>
  </si>
  <si>
    <t>Rafael Fera</t>
  </si>
  <si>
    <t>RAFAEL BENTO PEREIRA</t>
  </si>
  <si>
    <t>Ariquemes</t>
  </si>
  <si>
    <t>https://dadosabertos.camara.leg.br/api/v2/deputados/220532</t>
  </si>
  <si>
    <t>Rafael Prudente</t>
  </si>
  <si>
    <t>RAFAEL CAVALCANTI PRUDENTE</t>
  </si>
  <si>
    <t>https://www.facebook.com/rafaelprudentedep, https://www.instagram.com/rafaelprudentedep, https://twitter.com/rafaelprudente_, https://youtube.com/RafaelPrudente</t>
  </si>
  <si>
    <t>https://dadosabertos.camara.leg.br/api/v2/deputados/220626</t>
  </si>
  <si>
    <t>Rafael Simoes</t>
  </si>
  <si>
    <t>RAFAEL TADEU SIMÕES</t>
  </si>
  <si>
    <t>https://www.facebook.com/rafaelsimoesmg, https://www.instagram.com/rafaelsimoesmg, https://twitter.com/rafaelsimoesmg</t>
  </si>
  <si>
    <t>Pouso Alegre</t>
  </si>
  <si>
    <t>https://dadosabertos.camara.leg.br/api/v2/deputados/204567</t>
  </si>
  <si>
    <t>Raimundo Costa</t>
  </si>
  <si>
    <t>RAIMUNDO MAGALHÃES COSTA</t>
  </si>
  <si>
    <t>https://www.facebook.com/oficialraimundocosta, https://twitter.com/raimundocostaba</t>
  </si>
  <si>
    <t>Valença</t>
  </si>
  <si>
    <t>https://dadosabertos.camara.leg.br/api/v2/deputados/74084</t>
  </si>
  <si>
    <t>Raimundo Santos</t>
  </si>
  <si>
    <t>RAIMUNDO JOSÉ PEREIRA DOS SANTOS</t>
  </si>
  <si>
    <t>https://www.instagram.com/depraimundosantos/, https://www.facebook.com/raimundosantosdep, https://twitter.com/deprsantos, https://youtube.com/channel/UCDl2RREU083fkW3AR1PC3OQ</t>
  </si>
  <si>
    <t>https://dadosabertos.camara.leg.br/api/v2/deputados/115200</t>
  </si>
  <si>
    <t>Raniery Paulino</t>
  </si>
  <si>
    <t>ROBERTO RANIERY DE AQUINO PAULINO</t>
  </si>
  <si>
    <t>https://dadosabertos.camara.leg.br/api/v2/deputados/74161</t>
  </si>
  <si>
    <t>Reginaldo Lopes</t>
  </si>
  <si>
    <t>REGINALDO LÁZARO DE OLIVEIRA LOPES</t>
  </si>
  <si>
    <t>https://www.facebook.com/reginaldolopesmg, https://twitter.com/reginaldolopes, https://youtube.com/channel/UCKrXcydte7lEBDWVoogEptw</t>
  </si>
  <si>
    <t>Bom Sucesso</t>
  </si>
  <si>
    <t>https://dadosabertos.camara.leg.br/api/v2/deputados/221378</t>
  </si>
  <si>
    <t>Reginete Bispo</t>
  </si>
  <si>
    <t>REGINETE SOUZA BISPO</t>
  </si>
  <si>
    <t>https://www.facebook.com/RegineteSouzaBispo, https://www.instagram.com/reginetebispo, https://twitter.com/reginetebispo, https://youtube.com/reginetebispo5856</t>
  </si>
  <si>
    <t>Marau</t>
  </si>
  <si>
    <t>https://dadosabertos.camara.leg.br/api/v2/deputados/220606</t>
  </si>
  <si>
    <t>Reimont</t>
  </si>
  <si>
    <t>REIMONT LUIZ OTONI SANTA BARBARA</t>
  </si>
  <si>
    <t>Conceição do Mato Dentro</t>
  </si>
  <si>
    <t>https://dadosabertos.camara.leg.br/api/v2/deputados/205865</t>
  </si>
  <si>
    <t>Reinhold Stephanes</t>
  </si>
  <si>
    <t>REINHOLD STEPHANES JUNIOR</t>
  </si>
  <si>
    <t>https://dadosabertos.camara.leg.br/api/v2/deputados/225386</t>
  </si>
  <si>
    <t>Renan Ferreirinha</t>
  </si>
  <si>
    <t>RENAN FERREIRINHA CARNEIRO</t>
  </si>
  <si>
    <t>https://dadosabertos.camara.leg.br/api/v2/deputados/178989</t>
  </si>
  <si>
    <t>Renata Abreu</t>
  </si>
  <si>
    <t>RENATA HELLMEISTER DE ABREU</t>
  </si>
  <si>
    <t>https://dadosabertos.camara.leg.br/api/v2/deputados/153423</t>
  </si>
  <si>
    <t>Renilce Nicodemos</t>
  </si>
  <si>
    <t>RENILCE CONCEIÇÃO NICODEMOS DE ALBUQUERQUE</t>
  </si>
  <si>
    <t>https://www.instagram.com/renilcenicodemoss, https://twitter.com/RenilceOficial, https://www.facebook.com/renilcenicodemos</t>
  </si>
  <si>
    <t>Marapanim</t>
  </si>
  <si>
    <t>https://dadosabertos.camara.leg.br/api/v2/deputados/73801</t>
  </si>
  <si>
    <t>Renildo Calheiros</t>
  </si>
  <si>
    <t>RENILDO VASCONCELOS CALHEIROS</t>
  </si>
  <si>
    <t>Murici</t>
  </si>
  <si>
    <t>https://dadosabertos.camara.leg.br/api/v2/deputados/175765</t>
  </si>
  <si>
    <t>Ribamar Silva</t>
  </si>
  <si>
    <t>RIBAMAR ANTONIO DA SILVA</t>
  </si>
  <si>
    <t>https://www.instagram.com/ribamarsilvaoficial</t>
  </si>
  <si>
    <t>Osasco</t>
  </si>
  <si>
    <t>https://dadosabertos.camara.leg.br/api/v2/deputados/221329</t>
  </si>
  <si>
    <t>Ricardo Abrão</t>
  </si>
  <si>
    <t>RICARDO MARTINS DAVID</t>
  </si>
  <si>
    <t>https://www.facebook.com/ricardoabraooficial, https://www.instagram.com/ricardoabraooficial, https://twitter.com/RicardoAbrao_RJ</t>
  </si>
  <si>
    <t>https://dadosabertos.camara.leg.br/api/v2/deputados/220543</t>
  </si>
  <si>
    <t>Ricardo Ayres</t>
  </si>
  <si>
    <t>RICARDO AYRES DE CARVALHO</t>
  </si>
  <si>
    <t>https://www.facebook.com/ricardoayres.to, https://www.instagram.com/ricardoayres_to, https://twitter.com/ricardoayres_to</t>
  </si>
  <si>
    <t>https://dadosabertos.camara.leg.br/api/v2/deputados/73788</t>
  </si>
  <si>
    <t>Ricardo Barros</t>
  </si>
  <si>
    <t>RICARDO JOSÉ MAGALHÃES BARROS</t>
  </si>
  <si>
    <t>https://dadosabertos.camara.leg.br/api/v2/deputados/204362</t>
  </si>
  <si>
    <t>Ricardo Guidi</t>
  </si>
  <si>
    <t>RICARDO ZANATTA GUIDI</t>
  </si>
  <si>
    <t>https://www.instagram.com/ricardozguidi, https://www.facebook.com/deputadoricardoguidi, https://twitter.com/ricardozguidi</t>
  </si>
  <si>
    <t>https://dadosabertos.camara.leg.br/api/v2/deputados/220694</t>
  </si>
  <si>
    <t>Ricardo Maia</t>
  </si>
  <si>
    <t>RICARDO MAIA CHAVES DE SOUZA</t>
  </si>
  <si>
    <t>https://www.instagram.com/ricardomaia.dabahia, https://www.facebook.com/RicardoMaia.DaBahia, https://youtube.com/ricardomaiadabahia5610, https://twitter.com/ricardomaiadep</t>
  </si>
  <si>
    <t>Ribeira do Pombal</t>
  </si>
  <si>
    <t>https://dadosabertos.camara.leg.br/api/v2/deputados/220633</t>
  </si>
  <si>
    <t>Ricardo Salles</t>
  </si>
  <si>
    <t>RICARDO DE AQUINO SALLES</t>
  </si>
  <si>
    <t>https://dadosabertos.camara.leg.br/api/v2/deputados/213274</t>
  </si>
  <si>
    <t>Ricardo Silva</t>
  </si>
  <si>
    <t>RICARDO AUGUSTO MACHADO DA SILVA</t>
  </si>
  <si>
    <t>https://www.facebook.com/ricardosilvarp</t>
  </si>
  <si>
    <t>https://dadosabertos.camara.leg.br/api/v2/deputados/204489</t>
  </si>
  <si>
    <t>Robério Monteiro</t>
  </si>
  <si>
    <t>MARCOS ROBERIO RIBEIRO MONTEIRO</t>
  </si>
  <si>
    <t>https://www.instagram.com/dep.roberiomonteiro</t>
  </si>
  <si>
    <t>Itarema</t>
  </si>
  <si>
    <t>https://dadosabertos.camara.leg.br/api/v2/deputados/220693</t>
  </si>
  <si>
    <t>Roberta Roma</t>
  </si>
  <si>
    <t>Roberta de Araujo Costa Roma</t>
  </si>
  <si>
    <t>https://dadosabertos.camara.leg.br/api/v2/deputados/220588</t>
  </si>
  <si>
    <t>Roberto Duarte</t>
  </si>
  <si>
    <t>ROBERTO DUARTE JUNIOR</t>
  </si>
  <si>
    <t>https://www.facebook.com/robertoduartenarede, https://www.instagram.com/rdnarede, https://twitter.com/rdnarede</t>
  </si>
  <si>
    <t>https://dadosabertos.camara.leg.br/api/v2/deputados/220613</t>
  </si>
  <si>
    <t>Roberto Monteiro Pai</t>
  </si>
  <si>
    <t>ROBERTO LUIZ RODRIGUES DE OLIVEIRA</t>
  </si>
  <si>
    <t>https://dadosabertos.camara.leg.br/api/v2/deputados/220624</t>
  </si>
  <si>
    <t>Robinson Faria</t>
  </si>
  <si>
    <t>ROBINSON MESQUITA DE FARIA</t>
  </si>
  <si>
    <t>https://dadosabertos.camara.leg.br/api/v2/deputados/220546</t>
  </si>
  <si>
    <t>Rodolfo Nogueira</t>
  </si>
  <si>
    <t>RODOLFO OLIVEIRA NOGUEIRA</t>
  </si>
  <si>
    <t>https://www.facebook.com/rodolfonogueiraoficial, https://instagram.com/rodolfonogueirams?igshid=YmMyMTA2M2Y=, https://twitter.com/rodolfoms, https://youtube.com/RodolfoNogueirams</t>
  </si>
  <si>
    <t>https://rodolfonogueirams.com.br/</t>
  </si>
  <si>
    <t>Dourados</t>
  </si>
  <si>
    <t>https://dadosabertos.camara.leg.br/api/v2/deputados/230767</t>
  </si>
  <si>
    <t>Rodrigo da Zaeli</t>
  </si>
  <si>
    <t>RODRIGO LUGLI</t>
  </si>
  <si>
    <t>Umuarama</t>
  </si>
  <si>
    <t>https://dadosabertos.camara.leg.br/api/v2/deputados/141531</t>
  </si>
  <si>
    <t>Rodrigo de Castro</t>
  </si>
  <si>
    <t>RODRIGO BATISTA DE CASTRO</t>
  </si>
  <si>
    <t>http://twitter.com/#!/RodrigoCastro45, http://www.facebook.com/pages/deputado-federal-Rodrigo-de-Castro/124002814371381, http://www.youtube.com/rodrigocastro45</t>
  </si>
  <si>
    <t>Viçosa</t>
  </si>
  <si>
    <t>https://dadosabertos.camara.leg.br/api/v2/deputados/223128</t>
  </si>
  <si>
    <t>Rodrigo Estacho</t>
  </si>
  <si>
    <t>RODRIGO TLUSTIK VENEK</t>
  </si>
  <si>
    <t>Guarapuava</t>
  </si>
  <si>
    <t>https://dadosabertos.camara.leg.br/api/v2/deputados/220641</t>
  </si>
  <si>
    <t>Rodrigo Gambale</t>
  </si>
  <si>
    <t>RODRIGO GAMBALE VIEIRA</t>
  </si>
  <si>
    <t>https://www.instagram.com/rodrigogambale, https://www.facebook.com/RodrigoGambale</t>
  </si>
  <si>
    <t>https://dadosabertos.camara.leg.br/api/v2/deputados/141533</t>
  </si>
  <si>
    <t>Rodrigo Rollemberg</t>
  </si>
  <si>
    <t>RODRIGO SOBRAL ROLLEMBERG</t>
  </si>
  <si>
    <t>https://dadosabertos.camara.leg.br/api/v2/deputados/165470</t>
  </si>
  <si>
    <t>Rodrigo Valadares</t>
  </si>
  <si>
    <t>RODRIGO SANTANA VALADARES</t>
  </si>
  <si>
    <t>https://www.instagram.com/rodrigovaladares_, https://youtube.com/deputadorodrigovaladares1954, https://twitter.com/DepRodrigo_, https://www.facebook.com/DeputadoRodrigo.SE</t>
  </si>
  <si>
    <t>https://dadosabertos.camara.leg.br/api/v2/deputados/220695</t>
  </si>
  <si>
    <t>Rogéria Santos</t>
  </si>
  <si>
    <t>ROGÉRIA DE ALMEIDA PEREIRA DOS SANTOS</t>
  </si>
  <si>
    <t>https://www.facebook.com/rogeriasantosoficial, https://www.instagram.com/rogeriasantosoficial, https://twitter.com/drarogeria, https://youtube.com/channel/UCWe-7aMx_Q87rZIbh7ccbyw</t>
  </si>
  <si>
    <t>https://dadosabertos.camara.leg.br/api/v2/deputados/204480</t>
  </si>
  <si>
    <t>Rogério Correia</t>
  </si>
  <si>
    <t>ROGÉRIO CORREIA DE MOURA BAPTISTA</t>
  </si>
  <si>
    <t>https://www.instagram.com/rogeriocorreia_, https://www.facebook.com/deputadorogeriocorreia, https://twitter.com/RogerioCorreia_, https://youtube.com/channel/UC6AVYYHC-GswIhS2xlYUb5g</t>
  </si>
  <si>
    <t>https://dadosabertos.camara.leg.br/api/v2/deputados/160629</t>
  </si>
  <si>
    <t>Romero Rodrigues</t>
  </si>
  <si>
    <t>ROMERO RODRIGUES VEIGA</t>
  </si>
  <si>
    <t>https://www.instagram.com/romerorodriguespb, https://www.facebook.com/romerorodriguespb, https://twitter.com/romeropelapb, https://youtube.com/romerorodriguespb</t>
  </si>
  <si>
    <t>https://dadosabertos.camara.leg.br/api/v2/deputados/163321</t>
  </si>
  <si>
    <t>Ronaldo Nogueira</t>
  </si>
  <si>
    <t>RONALDO NOGUEIRA DE OLIVEIRA</t>
  </si>
  <si>
    <t>https://www.instagram.com/ronaldonogueirarnoficial, https://www.facebook.com/ronaldonogueirarnoficial, https://twitter.com/ronaldornrn, https://youtube.com/channel/UC7-J9zAGVFt0FH_cqUlb0GA</t>
  </si>
  <si>
    <t>https://dadosabertos.camara.leg.br/api/v2/deputados/204525</t>
  </si>
  <si>
    <t>Rosana Valle</t>
  </si>
  <si>
    <t>ROSANA DE OLIVEIRA VALLE</t>
  </si>
  <si>
    <t>https://www.facebook.com/RosanaValleOficial, https://www.instagram.com/rosanavalleoficial, https://twitter.com/DepRosanaValle, https://youtube.com/channel/UCoiIg7-jlQtJX3CCgOceQbA</t>
  </si>
  <si>
    <t>https://dadosabertos.camara.leg.br/api/v2/deputados/178945</t>
  </si>
  <si>
    <t>Rosangela Gomes</t>
  </si>
  <si>
    <t>ROSANGELA DE SOUZA GOMES</t>
  </si>
  <si>
    <t>https://twitter.com/rosangelagomes, https://www.facebook.com/pages/Rosangela-Gomes, https://www.instagram.com/rosangelasgomes</t>
  </si>
  <si>
    <t>www.rosangelagomes.com</t>
  </si>
  <si>
    <t>https://dadosabertos.camara.leg.br/api/v2/deputados/220644</t>
  </si>
  <si>
    <t>Rosangela Moro</t>
  </si>
  <si>
    <t>ROSANGELA MARIA WOLFF DE QUADROS MORO</t>
  </si>
  <si>
    <t>https://www.instagram.com/rosangelawmoro, https://www.facebook.com/rosangelawolffmoro, https://twitter.com/rosangelawm, https://youtube.com/channel/UC5X-86dz8GEf6QGMm95ZoAA</t>
  </si>
  <si>
    <t>https://dadosabertos.camara.leg.br/api/v2/deputados/220620</t>
  </si>
  <si>
    <t>Rosângela Reis</t>
  </si>
  <si>
    <t>ROSANGELA DE OLIVEIRA CAMPOS REIS</t>
  </si>
  <si>
    <t>https://www.instagram.com/rosangelareis.mg</t>
  </si>
  <si>
    <t>Mesquita</t>
  </si>
  <si>
    <t>https://dadosabertos.camara.leg.br/api/v2/deputados/73806</t>
  </si>
  <si>
    <t>Roseana Sarney</t>
  </si>
  <si>
    <t>Roseana Sarney Murad</t>
  </si>
  <si>
    <t>https://twitter.com/roseanasarneym, https://www.facebook.com/roseanasarney, https://www.instagram.com/roseanasarney</t>
  </si>
  <si>
    <t>https://dadosabertos.camara.leg.br/api/v2/deputados/74371</t>
  </si>
  <si>
    <t>Rubens Otoni</t>
  </si>
  <si>
    <t>RUBENS OTONI GOMIDE</t>
  </si>
  <si>
    <t>Goianésia</t>
  </si>
  <si>
    <t>https://dadosabertos.camara.leg.br/api/v2/deputados/178887</t>
  </si>
  <si>
    <t>Rubens Pereira Júnior</t>
  </si>
  <si>
    <t>RUBENS PEREIRA E SILVA JUNIOR</t>
  </si>
  <si>
    <t>https://twitter.com/https:, https://www.instagram.com/rubenspereirajr, https://www.facebook.com/share, https://youtube.com/channel/UCovkVrGdzXbAHaV6ODAWbeA</t>
  </si>
  <si>
    <t>https://dadosabertos.camara.leg.br/api/v2/deputados/73604</t>
  </si>
  <si>
    <t>Rui Falcão</t>
  </si>
  <si>
    <t>RUI GOETHE DA COSTA FALCÃO</t>
  </si>
  <si>
    <t>https://www.facebook.com/rfalcao13, https://www.instagram.com/ruifalcao13, https://twitter.com/rfalcao13, https://youtube.com/rfalcao13</t>
  </si>
  <si>
    <t>Pitangui</t>
  </si>
  <si>
    <t>https://dadosabertos.camara.leg.br/api/v2/deputados/160635</t>
  </si>
  <si>
    <t>Ruy Carneiro</t>
  </si>
  <si>
    <t>RUY MANUEL CARNEIRO BARBOSA DE ACA BELCHIOR</t>
  </si>
  <si>
    <t>https://twitter.com/ruycarneiropb, https://www.instagram.com/ruy.carneiro, https://www.facebook.com/ruycarneiropb</t>
  </si>
  <si>
    <t>https://dadosabertos.camara.leg.br/api/v2/deputados/204535</t>
  </si>
  <si>
    <t>Sâmia Bomfim</t>
  </si>
  <si>
    <t>SAMIA DE SOUZA BOMFIM</t>
  </si>
  <si>
    <t>https://www.facebook.com/samia.bomfim.psol, https://www.instagram.com/samiabomfim, https://twitter.com/samiabomfim, https://youtube.com/samiabomfimpsol</t>
  </si>
  <si>
    <t>https://dadosabertos.camara.leg.br/api/v2/deputados/233598</t>
  </si>
  <si>
    <t>Samuel Santos</t>
  </si>
  <si>
    <t>SAMUEL JOSE DOS SANTOS</t>
  </si>
  <si>
    <t>https://www.facebook.com/SamuelSantos.PerfilOficial, https://www.instagram.com/eusousamuelsantos</t>
  </si>
  <si>
    <t>Medeiros Neto</t>
  </si>
  <si>
    <t>https://dadosabertos.camara.leg.br/api/v2/deputados/220631</t>
  </si>
  <si>
    <t>Samuel Viana</t>
  </si>
  <si>
    <t>SAMUEL JOSÉ RODRIGUES DE VIANA</t>
  </si>
  <si>
    <t>https://www.instagram.com/vianasamuel, https://www.facebook.com/samuelvianamg, https://twitter.com/vianasamuelmg, https://youtube.com/channel/UCgXYsH9AH6hf3kRJ272lAoQ</t>
  </si>
  <si>
    <t>https://dadosabertos.camara.leg.br/api/v2/deputados/204416</t>
  </si>
  <si>
    <t>Sanderson</t>
  </si>
  <si>
    <t>UBIRATAN ANTUNES SANDERSON</t>
  </si>
  <si>
    <t>https://twitter.com/DepSanderson, https://www.instagram.com/deputadosanderson, https://www.facebook.com/deputadosanderson, https://youtube.com/channel/UC3bESW2nMM1EW-in7OwlKwg?view_as=subscriber</t>
  </si>
  <si>
    <t>Erechim</t>
  </si>
  <si>
    <t>https://dadosabertos.camara.leg.br/api/v2/deputados/160621</t>
  </si>
  <si>
    <t>Sandro Alex</t>
  </si>
  <si>
    <t>SANDRO ALEX CRUZ DE OLIVEIRA</t>
  </si>
  <si>
    <t>https://dadosabertos.camara.leg.br/api/v2/deputados/204387</t>
  </si>
  <si>
    <t>Sargento Fahur</t>
  </si>
  <si>
    <t>GILSON CARDOSO FAHUR</t>
  </si>
  <si>
    <t>https://www.facebook.com/SargentoFahur10, https://twitter.com/SargentoFAHUR, https://www.instagram.com/sargentofahurpr, https://youtube.com/channel/UCGtU73VeRj9hY1P3PtVUERw</t>
  </si>
  <si>
    <t>https://dadosabertos.camara.leg.br/api/v2/deputados/220621</t>
  </si>
  <si>
    <t>Sargento Gonçalves</t>
  </si>
  <si>
    <t>EVANDRO GONÇALVES DA SILVA JÚNIOR</t>
  </si>
  <si>
    <t>https://www.facebook.com/sargentogoncalves22, https://twitter.com/sgtgoncalves22, https://www.instagram.com/sargentogoncalves22</t>
  </si>
  <si>
    <t>https://dadosabertos.camara.leg.br/api/v2/deputados/220618</t>
  </si>
  <si>
    <t>Sargento Portugal</t>
  </si>
  <si>
    <t>JOSÉ PORTUGAL NETO</t>
  </si>
  <si>
    <t>https://www.facebook.com/DeputadoFederalSargentoPortugal, https://twitter.com/sargentoportuga</t>
  </si>
  <si>
    <t>https://dadosabertos.camara.leg.br/api/v2/deputados/220713</t>
  </si>
  <si>
    <t>Saullo Vianna</t>
  </si>
  <si>
    <t>SAULLO VELAME VIANNA</t>
  </si>
  <si>
    <t>https://www.facebook.com/saulloviannaa, https://www.instagram.com/saullovianna, https://twitter.com/saullovianna, https://youtube.com/SaulloVianna</t>
  </si>
  <si>
    <t>https://dadosabertos.camara.leg.br/api/v2/deputados/226837</t>
  </si>
  <si>
    <t>Saulo Pedroso</t>
  </si>
  <si>
    <t>SAULO PEDROSO DE SOUZA</t>
  </si>
  <si>
    <t>https://www.facebook.com/saulopedrososp, https://twitter.com/saulopedrososp</t>
  </si>
  <si>
    <t>https://dadosabertos.camara.leg.br/api/v2/deputados/73808</t>
  </si>
  <si>
    <t>Sérgio Brito</t>
  </si>
  <si>
    <t>SÉRGIO LUÍS LACERDA BRITO</t>
  </si>
  <si>
    <t>Vitória da Conquista</t>
  </si>
  <si>
    <t>https://dadosabertos.camara.leg.br/api/v2/deputados/178933</t>
  </si>
  <si>
    <t>Sergio Souza</t>
  </si>
  <si>
    <t>SERGIO DE SOUZA</t>
  </si>
  <si>
    <t>https://www.facebook.com/sergiosouzaPR, https://twitter.com/_sergiosouza, https://www.instagram.com/sergiosouzapr, https://youtube.com/deputadofederalsergiosouza</t>
  </si>
  <si>
    <t>Ivaiporã</t>
  </si>
  <si>
    <t>https://dadosabertos.camara.leg.br/api/v2/deputados/204557</t>
  </si>
  <si>
    <t>Sidney Leite</t>
  </si>
  <si>
    <t>SIDNEY RICARDO DE OLIVEIRA LEITE</t>
  </si>
  <si>
    <t>https://dadosabertos.camara.leg.br/api/v2/deputados/74356</t>
  </si>
  <si>
    <t>Silas Câmara</t>
  </si>
  <si>
    <t>SILAS CÂMARA</t>
  </si>
  <si>
    <t>https://dadosabertos.camara.leg.br/api/v2/deputados/204360</t>
  </si>
  <si>
    <t>Silvia Cristina</t>
  </si>
  <si>
    <t>SILVIA CRISTINA AMANCIO CHAGAS</t>
  </si>
  <si>
    <t>https://dadosabertos.camara.leg.br/api/v2/deputados/220579</t>
  </si>
  <si>
    <t>Silvia Waiãpi</t>
  </si>
  <si>
    <t>SILVIA NOBRE LOPES</t>
  </si>
  <si>
    <t>https://www.instagram.com/silviawaiapi, https://twitter.com/silviawaiapi</t>
  </si>
  <si>
    <t>https://dadosabertos.camara.leg.br/api/v2/deputados/227310</t>
  </si>
  <si>
    <t>Silvio Antonio</t>
  </si>
  <si>
    <t>SILVIO ANTONIO GUIMARAES MACHADO</t>
  </si>
  <si>
    <t>https://dadosabertos.camara.leg.br/api/v2/deputados/204425</t>
  </si>
  <si>
    <t>Silvio Costa Filho</t>
  </si>
  <si>
    <t>SILVIO SERAFIM COSTA FILHO</t>
  </si>
  <si>
    <t>https://www.facebook.com/silvio.costafilhoi, https://twitter.com/Silvio_CFilho, https://www.instagram.com/silviocostafilho, https://youtube.com/SilvioCostaFilhooficial</t>
  </si>
  <si>
    <t>https://dadosabertos.camara.leg.br/api/v2/deputados/220569</t>
  </si>
  <si>
    <t>Silvye Alves</t>
  </si>
  <si>
    <t>SILVYE ALVES DA SILVA</t>
  </si>
  <si>
    <t>https://www.instagram.com/silvyealves, https://www.facebook.com/SilvyeeAlves, https://twitter.com/silvyealves</t>
  </si>
  <si>
    <t>https://dadosabertos.camara.leg.br/api/v2/deputados/220651</t>
  </si>
  <si>
    <t>Simone Marquetto</t>
  </si>
  <si>
    <t>SIMONE APARECIDA CURRALADAS DOS SANTOS</t>
  </si>
  <si>
    <t>https://www.facebook.com/simonemarquetto</t>
  </si>
  <si>
    <t>https://dadosabertos.camara.leg.br/api/v2/deputados/104552</t>
  </si>
  <si>
    <t>Socorro Neri</t>
  </si>
  <si>
    <t>MARIA DO SOCORRO NERI MEDEIROS DE SOUZA</t>
  </si>
  <si>
    <t>https://twitter.com/SocorroNeriAC, https://www.facebook.com/SocorroNeri.Ac, https://www.instagram.com/socorroneri</t>
  </si>
  <si>
    <t>Tarauacá</t>
  </si>
  <si>
    <t>https://dadosabertos.camara.leg.br/api/v2/deputados/220643</t>
  </si>
  <si>
    <t>Sônia Guajajara</t>
  </si>
  <si>
    <t>SONIA BONE DE SOUSA SILVA SANTOS</t>
  </si>
  <si>
    <t>https://dadosabertos.camara.leg.br/api/v2/deputados/220575</t>
  </si>
  <si>
    <t>Sonize Barbosa</t>
  </si>
  <si>
    <t>SONIZE PIMENTEL DOS SANTOS BARBOSA</t>
  </si>
  <si>
    <t>https://www.facebook.com/DeputadaSonize, https://twitter.com/depsonizesantos</t>
  </si>
  <si>
    <t>https://dadosabertos.camara.leg.br/api/v2/deputados/178946</t>
  </si>
  <si>
    <t>Soraya Santos</t>
  </si>
  <si>
    <t>SORAYA ALENCAR DOS SANTOS</t>
  </si>
  <si>
    <t>https://twitter.com/sorayasantos, https://www.youtube.com/channel/UCYJ_VrjZS7ISX0Ut0bU_AMA, https://www.instagram.com/dep.sorayasantos/</t>
  </si>
  <si>
    <t>Site: http://www.franciscoflorianorj.com.br</t>
  </si>
  <si>
    <t>https://dadosabertos.camara.leg.br/api/v2/deputados/178947</t>
  </si>
  <si>
    <t>Sóstenes Cavalcante</t>
  </si>
  <si>
    <t>SOSTENES SILVA CAVALCANTE</t>
  </si>
  <si>
    <t>https://twitter.com/DepSostenes, https://www.facebook.com/sostenescavalcante, https://www.instagram.com/sostenescavalcante, https://youtube.com/channel/UCI2j76o7JyLVSmooEcSvLxA</t>
  </si>
  <si>
    <t>https://dadosabertos.camara.leg.br/api/v2/deputados/92776</t>
  </si>
  <si>
    <t>Stefano Aguiar</t>
  </si>
  <si>
    <t>STEFANO AGUIAR DOS SANTOS</t>
  </si>
  <si>
    <t>https://www.facebook.com/PastorStefanoAguiar, https://twitter.com/depstefano, https://www.instagram.com/depstefano</t>
  </si>
  <si>
    <t>https://dadosabertos.camara.leg.br/api/v2/deputados/204534</t>
  </si>
  <si>
    <t>Tabata Amaral</t>
  </si>
  <si>
    <t>TABATA CLAUDIA AMARAL DE PONTES</t>
  </si>
  <si>
    <t>https://www.facebook.com/tabataamaralSP, https://www.instagram.com/tabataamaralsp, https://twitter.com/tabataamaralsp, https://youtube.com/channel/UCWcx5M5negY_kqSawo2bjZQ</t>
  </si>
  <si>
    <t>https://dadosabertos.camara.leg.br/api/v2/deputados/230177</t>
  </si>
  <si>
    <t>Tadeu Oliveira</t>
  </si>
  <si>
    <t>TADEU MAGELA DE OLIVEIRA</t>
  </si>
  <si>
    <t>São Benedito</t>
  </si>
  <si>
    <t>https://dadosabertos.camara.leg.br/api/v2/deputados/220682</t>
  </si>
  <si>
    <t>Tadeu Veneri</t>
  </si>
  <si>
    <t>ANTONIO TADEU VENERI</t>
  </si>
  <si>
    <t>União da Vitória</t>
  </si>
  <si>
    <t>https://dadosabertos.camara.leg.br/api/v2/deputados/204464</t>
  </si>
  <si>
    <t>Talíria Petrone</t>
  </si>
  <si>
    <t>TALIRIA PETRONE SOARES</t>
  </si>
  <si>
    <t>https://dadosabertos.camara.leg.br/api/v2/deputados/220598</t>
  </si>
  <si>
    <t>Tarcísio Motta</t>
  </si>
  <si>
    <t>TARCISIO MOTTA DE CARVALHO</t>
  </si>
  <si>
    <t>https://www.facebook.com/TarcisioMottaPSOL, https://twitter.com/MottaTarcisio, https://www.instagram.com/tarcisiomottapsol, https://youtube.com/tarcisiomottapsol</t>
  </si>
  <si>
    <t>https://dadosabertos.camara.leg.br/api/v2/deputados/220560</t>
  </si>
  <si>
    <t>Thiago de Joaldo</t>
  </si>
  <si>
    <t>JOSE THIAGO ALVES DE CARVALHO</t>
  </si>
  <si>
    <t>https://www.instagram.com/thiagodejoaldo</t>
  </si>
  <si>
    <t>https://dadosabertos.camara.leg.br/api/v2/deputados/220597</t>
  </si>
  <si>
    <t>Thiago Flores</t>
  </si>
  <si>
    <t>THIAGO LEITE FLORES PEREIRA</t>
  </si>
  <si>
    <t>https://www.instagram.com/deputadothiagoflores, https://www.youtube.com/channel/UCF6Ks4RTqfjqxPMqUTotKkg, https://www.facebook.com/depthiagoflores, https://twitter.com/depthiagoflores</t>
  </si>
  <si>
    <t>https://dadosabertos.camara.leg.br/api/v2/deputados/143084</t>
  </si>
  <si>
    <t>Tiago Dimas</t>
  </si>
  <si>
    <t>Tiago Dimas Braga Pereira</t>
  </si>
  <si>
    <t>https://www.facebook.com/tiagodimas7788</t>
  </si>
  <si>
    <t>Uberaba</t>
  </si>
  <si>
    <t>https://dadosabertos.camara.leg.br/api/v2/deputados/220684</t>
  </si>
  <si>
    <t>Tião Medeiros</t>
  </si>
  <si>
    <t>SEBASTIÃO HENRIQUE DE MEDEIROS</t>
  </si>
  <si>
    <t>Paranavaí</t>
  </si>
  <si>
    <t>https://dadosabertos.camara.leg.br/api/v2/deputados/160976</t>
  </si>
  <si>
    <t>Tiririca</t>
  </si>
  <si>
    <t>FRANCISCO EVERARDO TIRIRICA OLIVEIRA SILVA</t>
  </si>
  <si>
    <t>Itapipoca</t>
  </si>
  <si>
    <t>https://dadosabertos.camara.leg.br/api/v2/deputados/178934</t>
  </si>
  <si>
    <t>Toninho Wandscheer</t>
  </si>
  <si>
    <t>ANTONIO WANDSCHEER</t>
  </si>
  <si>
    <t>Foz do Iguaçu</t>
  </si>
  <si>
    <t>https://dadosabertos.camara.leg.br/api/v2/deputados/157130</t>
  </si>
  <si>
    <t>Túlio Gadêlha</t>
  </si>
  <si>
    <t>TÚLIO GADÊLHA SALES DE MELO</t>
  </si>
  <si>
    <t>https://www.facebook.com/TulioGadelhaOficial, https://www.instagram.com/tulio.gadelha, https://twitter.com/tuliogadelha</t>
  </si>
  <si>
    <t>https://dadosabertos.camara.leg.br/api/v2/deputados/223398</t>
  </si>
  <si>
    <t>Ulisses Guimarães</t>
  </si>
  <si>
    <t>ULISSES SUAID PORTO GUIMARÃES BORGES</t>
  </si>
  <si>
    <t>Poços de Caldas</t>
  </si>
  <si>
    <t>https://dadosabertos.camara.leg.br/api/v2/deputados/160610</t>
  </si>
  <si>
    <t>Valmir Assunção</t>
  </si>
  <si>
    <t>VALMIR CARLOS DA ASSUNÇÃO</t>
  </si>
  <si>
    <t>Itamaraju</t>
  </si>
  <si>
    <t>https://dadosabertos.camara.leg.br/api/v2/deputados/74376</t>
  </si>
  <si>
    <t>Vander Loubet</t>
  </si>
  <si>
    <t>VANDER LUIZ DOS SANTOS LOUBET</t>
  </si>
  <si>
    <t>https://twitter.com/vanderloubet, https://www.instagram.com/vanderloubet</t>
  </si>
  <si>
    <t>Porto Murtinho</t>
  </si>
  <si>
    <t>https://dadosabertos.camara.leg.br/api/v2/deputados/204396</t>
  </si>
  <si>
    <t>Vermelho</t>
  </si>
  <si>
    <t>NELSI COGUETTO MARIA</t>
  </si>
  <si>
    <t>https://www.instagram.com/deputado_vermelho, https://twitter.com/depvermelho, https://www.facebook.com/vermelhodeputadofederal</t>
  </si>
  <si>
    <t>Francisco Beltrão</t>
  </si>
  <si>
    <t>https://dadosabertos.camara.leg.br/api/v2/deputados/74283</t>
  </si>
  <si>
    <t>Vicentinho</t>
  </si>
  <si>
    <t>VICENTE PAULO DA SILVA</t>
  </si>
  <si>
    <t>https://twitter.com/Vicentinhopt, https://www.facebook.com/DeputadoFederalVicentinho, https://www.instagram.com/vicentinho_pt, https://youtube.com/DeputadoFederalVicentinhoPTSP</t>
  </si>
  <si>
    <t>Santa Cruz</t>
  </si>
  <si>
    <t>https://dadosabertos.camara.leg.br/api/v2/deputados/137070</t>
  </si>
  <si>
    <t>Vicentinho Júnior</t>
  </si>
  <si>
    <t>VICENTE ALVES DE OLIVEIRA JUNIOR</t>
  </si>
  <si>
    <t>https://dadosabertos.camara.leg.br/api/v2/deputados/141555</t>
  </si>
  <si>
    <t>Vinicius Carvalho</t>
  </si>
  <si>
    <t>VINICIUS RAPOZO DE CARVALHO</t>
  </si>
  <si>
    <t>https://www.facebook.com/ViniciusCarvalhoOficial, https://www.instagram.com/viniciuscarvalhooficial, https://twitter.com/falecomvinicius, https://youtube.com/channel/UC0jfgVGfyujPS4YeBjTdJpw</t>
  </si>
  <si>
    <t>viniciuscarvalho.com.br, viniciuscarvalho.com/blog</t>
  </si>
  <si>
    <t>https://dadosabertos.camara.leg.br/api/v2/deputados/160591</t>
  </si>
  <si>
    <t>Vinicius Gurgel</t>
  </si>
  <si>
    <t>VINICIUS DE AZEVEDO GURGEL</t>
  </si>
  <si>
    <t>https://dadosabertos.camara.leg.br/api/v2/deputados/178992</t>
  </si>
  <si>
    <t>Vitor Lippi</t>
  </si>
  <si>
    <t>VITOR LIPPI</t>
  </si>
  <si>
    <t>https://www.facebook.com/vitorlippi, https://www.instagram.com/vitorlippi, https://twitter.com/DepVitorLippi</t>
  </si>
  <si>
    <t>https://dadosabertos.camara.leg.br/api/v2/deputados/91228</t>
  </si>
  <si>
    <t>Waldemar Oliveira</t>
  </si>
  <si>
    <t>WALDEMAR DE ANDRADA IGNÁCIO DE OLIVEIRA</t>
  </si>
  <si>
    <t>https://www.instagram.com/waldemaroliveiraoficial, https://www.facebook.com/waldemaroliveiraoficial, https://twitter.com/waldemarolivei</t>
  </si>
  <si>
    <t>https://dadosabertos.camara.leg.br/api/v2/deputados/160569</t>
  </si>
  <si>
    <t>Waldenor Pereira</t>
  </si>
  <si>
    <t>WALDENOR ALVES PEREIRA FILHO</t>
  </si>
  <si>
    <t>Caculé</t>
  </si>
  <si>
    <t>https://dadosabertos.camara.leg.br/api/v2/deputados/220601</t>
  </si>
  <si>
    <t>Washington Quaquá</t>
  </si>
  <si>
    <t>WASHINGTON LUIZ CARDOSO SIQUEIRA</t>
  </si>
  <si>
    <t>https://www.instagram.com/washington.quaqua.5, https://twitter.com/quaqua1313, https://www.facebook.com/Washington.Quaqua.13</t>
  </si>
  <si>
    <t>São Gonçalo</t>
  </si>
  <si>
    <t>https://dadosabertos.camara.leg.br/api/v2/deputados/160518</t>
  </si>
  <si>
    <t>Weliton Prado</t>
  </si>
  <si>
    <t>WELITON FERNANDES PRADO</t>
  </si>
  <si>
    <t>https://www.instagram.com/weliton.prado</t>
  </si>
  <si>
    <t>https://dadosabertos.camara.leg.br/api/v2/deputados/74043</t>
  </si>
  <si>
    <t>Wellington Roberto</t>
  </si>
  <si>
    <t>JOSÉ WELLINGTON ROBERTO</t>
  </si>
  <si>
    <t>https://www.instagram.com/wellingtonroberto.pb</t>
  </si>
  <si>
    <t>São José de Piranhas</t>
  </si>
  <si>
    <t>https://dadosabertos.camara.leg.br/api/v2/deputados/224333</t>
  </si>
  <si>
    <t>Welter</t>
  </si>
  <si>
    <t>ELTON CARLOS WELTER</t>
  </si>
  <si>
    <t>https://twitter.com/DeputadoWelter, https://www.instagram.com/eltonwelter, https://www.facebook.com/deputadowelter</t>
  </si>
  <si>
    <t>Toledo</t>
  </si>
  <si>
    <t>https://dadosabertos.camara.leg.br/api/v2/deputados/74044</t>
  </si>
  <si>
    <t>Wilson Santiago</t>
  </si>
  <si>
    <t>JOSÉ WILSON SANTIAGO</t>
  </si>
  <si>
    <t>https://www.instagram.com/wilsonsantiago, https://www.facebook.com/wilsonsantiagopb, https://twitter.com/Wilsonsantiago_</t>
  </si>
  <si>
    <t>https://dadosabertos.camara.leg.br/api/v2/deputados/182146</t>
  </si>
  <si>
    <t>Wolmer Araújo</t>
  </si>
  <si>
    <t>WOLMER DE AZEVEDO ARAUJO</t>
  </si>
  <si>
    <t>https://dadosabertos.camara.leg.br/api/v2/deputados/220564</t>
  </si>
  <si>
    <t>Yandra Moura</t>
  </si>
  <si>
    <t>YANDRA BARRETO FERREIRA</t>
  </si>
  <si>
    <t>https://www.instagram.com/yandramourase, https://www.facebook.com/yandramourase, https://twitter.com/yandramourase, https://youtube.com/Yandramourase</t>
  </si>
  <si>
    <t>https://dadosabertos.camara.leg.br/api/v2/deputados/220660</t>
  </si>
  <si>
    <t>Yury do Paredão</t>
  </si>
  <si>
    <t>YURY BRUNO ALENCAR ARAUJO</t>
  </si>
  <si>
    <t>https://www.instagram.com/yurydoparedao, https://twitter.com/yurydoparedao</t>
  </si>
  <si>
    <t>Juazeiro do Norte</t>
  </si>
  <si>
    <t>https://dadosabertos.camara.leg.br/api/v2/deputados/230768</t>
  </si>
  <si>
    <t>Zé Adriano</t>
  </si>
  <si>
    <t>JOSE ADRIANO RIBEIRO DA SILVA</t>
  </si>
  <si>
    <t>https://dadosabertos.camara.leg.br/api/v2/deputados/220536</t>
  </si>
  <si>
    <t>Zé Haroldo Cathedral</t>
  </si>
  <si>
    <t>JOSÉ HAROLDO FIGUEIREDO CAMPOS</t>
  </si>
  <si>
    <t>https://dadosabertos.camara.leg.br/api/v2/deputados/204559</t>
  </si>
  <si>
    <t>Zé Neto</t>
  </si>
  <si>
    <t>JOSÉ CERQUEIRA DE SANTANA NETO</t>
  </si>
  <si>
    <t>Feira de Santana</t>
  </si>
  <si>
    <t>https://dadosabertos.camara.leg.br/api/v2/deputados/160632</t>
  </si>
  <si>
    <t>Zé Silva</t>
  </si>
  <si>
    <t>JOSÉ SILVA SOARES</t>
  </si>
  <si>
    <t>https://www.facebook.com/deputadofederalzesilva, https://twitter.com/ZeSilva_?t=FMvtU0UvtQUawDXz6Bp3kA&amp;s=08, https://www.instagram.com/depzesilva, https://youtube.com/deputadozesilva</t>
  </si>
  <si>
    <t>https://dadosabertos.camara.leg.br/api/v2/deputados/220558</t>
  </si>
  <si>
    <t>Zé Trovão</t>
  </si>
  <si>
    <t>MARCOS ANTONIO PEREIRA GOMES</t>
  </si>
  <si>
    <t>https://dadosabertos.camara.leg.br/api/v2/deputados/204517</t>
  </si>
  <si>
    <t>Zé Vitor</t>
  </si>
  <si>
    <t>JOSE VITOR DE RESENDE AGUIAR</t>
  </si>
  <si>
    <t>https://www.facebook.com/zevitorMG, https://www.instagram.com/zevitormg</t>
  </si>
  <si>
    <t>Araguari</t>
  </si>
  <si>
    <t>https://dadosabertos.camara.leg.br/api/v2/deputados/160592</t>
  </si>
  <si>
    <t>Zeca Dirceu</t>
  </si>
  <si>
    <t>JOSÉ CARLOS BECKER DE OLIVEIRA E SILVA</t>
  </si>
  <si>
    <t>http://www.twitter.com/zeca_dirceu, https://www.facebook.com/deputadofederalzecadirceu/, https://www.instagram.com/zecadirceuoficial</t>
  </si>
  <si>
    <t>www.zecadirceu.com.br</t>
  </si>
  <si>
    <t>https://dadosabertos.camara.leg.br/api/v2/deputados/220592</t>
  </si>
  <si>
    <t>Zezinho Barbary</t>
  </si>
  <si>
    <t>JOSÉ ESTEPHAN AMORIM BARBARY FILHO</t>
  </si>
  <si>
    <t>https://www.facebook.com/ZezinhoBarbary</t>
  </si>
  <si>
    <t>Porto Walter</t>
  </si>
  <si>
    <t>https://dadosabertos.camara.leg.br/api/v2/deputados/220552</t>
  </si>
  <si>
    <t>Zucco</t>
  </si>
  <si>
    <t>LUCIANO LORENZINI ZUCCO</t>
  </si>
  <si>
    <t>https://dadosabertos.camara.leg.br/api/v2/deputados/204554</t>
  </si>
  <si>
    <t>Abílio Santana</t>
  </si>
  <si>
    <t>JOSE ABILIO SILVA DE SANTANA</t>
  </si>
  <si>
    <t>https://dadosabertos.camara.leg.br/api/v2/deputados/204521</t>
  </si>
  <si>
    <t>Abou Anni</t>
  </si>
  <si>
    <t>PAULO SERGIO ABOU ANNI</t>
  </si>
  <si>
    <t>https://www.facebook.com/DeputadoFederalAbouAnni, https://www.instagram.com/abouanni</t>
  </si>
  <si>
    <t>http://www.abouanni.com.br</t>
  </si>
  <si>
    <t>https://dadosabertos.camara.leg.br/api/v2/deputados/141372</t>
  </si>
  <si>
    <t>Aelton Freitas</t>
  </si>
  <si>
    <t>AELTON JOSÉ DE FREITAS</t>
  </si>
  <si>
    <t>www.aeltonfreitas.com.br</t>
  </si>
  <si>
    <t>https://dadosabertos.camara.leg.br/api/v2/deputados/178836</t>
  </si>
  <si>
    <t>Alan Rick</t>
  </si>
  <si>
    <t>ALAN RICK MIRANDA</t>
  </si>
  <si>
    <t>https://www.facebook.com/deputadoalanrick, https://www.instagram.com/alanrickm</t>
  </si>
  <si>
    <t>https://dadosabertos.camara.leg.br/api/v2/deputados/204413</t>
  </si>
  <si>
    <t>Alcides Rodrigues</t>
  </si>
  <si>
    <t>ALCIDES RODRIGUES FILHO</t>
  </si>
  <si>
    <t>Santa Helena de Goiás</t>
  </si>
  <si>
    <t>https://dadosabertos.camara.leg.br/api/v2/deputados/204545</t>
  </si>
  <si>
    <t>Alê Silva</t>
  </si>
  <si>
    <t>ALESSANDRA SILVA RIBEIRO</t>
  </si>
  <si>
    <t>https://twitter.com/alesilva_38, https://www.instagram.com/alesilva.oficial, https://youtube.com/channel/UCWGscB8R2ecnNrdr_UCmaRA, https://www.facebook.com/AleSilvaOficial</t>
  </si>
  <si>
    <t>https://dadosabertos.camara.leg.br/api/v2/deputados/160511</t>
  </si>
  <si>
    <t>Alessandro Molon</t>
  </si>
  <si>
    <t>ALESSANDRO LUCCIOLA MOLON</t>
  </si>
  <si>
    <t>http://www.twitter.com/alessandromolon, http://www.facebook.com/deputadomolon</t>
  </si>
  <si>
    <t>https://dadosabertos.camara.leg.br/api/v2/deputados/105534</t>
  </si>
  <si>
    <t>Alexandre Figueiredo</t>
  </si>
  <si>
    <t>ALEXANDRE BRITO DE FIGUEIREDO</t>
  </si>
  <si>
    <t>https://dadosabertos.camara.leg.br/api/v2/deputados/204544</t>
  </si>
  <si>
    <t>Alexandre Frota</t>
  </si>
  <si>
    <t>ALEXANDRE FROTA DE ANDRADE</t>
  </si>
  <si>
    <t>https://dadosabertos.camara.leg.br/api/v2/deputados/178833</t>
  </si>
  <si>
    <t>Alexandre Serfiotis</t>
  </si>
  <si>
    <t>ALEXANDRE AUGUSTUS SERFIOTIS</t>
  </si>
  <si>
    <t>Porto Real</t>
  </si>
  <si>
    <t>https://dadosabertos.camara.leg.br/api/v2/deputados/204516</t>
  </si>
  <si>
    <t>Alexis Fonteyne</t>
  </si>
  <si>
    <t>Alexis Joseph Steverlynck Fonteyne</t>
  </si>
  <si>
    <t>https://www.facebook.com/alexisfonteyne30, https://www.instagram.com/alexisfonteyne30, https://twitter.com/AlexisFonteyne, https://youtube.com/Alexisfonteyne</t>
  </si>
  <si>
    <t>https://dadosabertos.camara.leg.br/api/v2/deputados/204400</t>
  </si>
  <si>
    <t>Aline Sleutjes</t>
  </si>
  <si>
    <t>ALINE SLEUTJES</t>
  </si>
  <si>
    <t>https://www.facebook.com/alinesleutjes, https://twitter.com/AlineSleutjes, https://youtube.com/channel/UCcryiDLj86mGK2kPc4idoGg, https://www.instagram.com/alinesleutjes</t>
  </si>
  <si>
    <t>Castro</t>
  </si>
  <si>
    <t>https://dadosabertos.camara.leg.br/api/v2/deputados/74471</t>
  </si>
  <si>
    <t>André de Paula</t>
  </si>
  <si>
    <t>ANDRÉ CARLOS ALVES DE PAULA FILHO</t>
  </si>
  <si>
    <t>https://dadosabertos.camara.leg.br/api/v2/deputados/141379</t>
  </si>
  <si>
    <t>Andreia Zito</t>
  </si>
  <si>
    <t>ANDREIA ALMEIDA ZITO DOS SANTOS</t>
  </si>
  <si>
    <t>https://dadosabertos.camara.leg.br/api/v2/deputados/73696</t>
  </si>
  <si>
    <t>Angela Amin</t>
  </si>
  <si>
    <t>ANGELA REGINA HEINZEN AMIN HELOU</t>
  </si>
  <si>
    <t>https://twitter.com/DeputadaAngela, https://www.facebook.com/AngelaAmin11, https://www.instagram.com/angelaaminoficial</t>
  </si>
  <si>
    <t>Indaial</t>
  </si>
  <si>
    <t>https://dadosabertos.camara.leg.br/api/v2/deputados/74212</t>
  </si>
  <si>
    <t>Aníbal Gomes</t>
  </si>
  <si>
    <t>ANÍBAL FERREIRA GOMES</t>
  </si>
  <si>
    <t>https://dadosabertos.camara.leg.br/api/v2/deputados/204414</t>
  </si>
  <si>
    <t>Aroldo Martins</t>
  </si>
  <si>
    <t>JOSE AROLDO SOUZA MARTINS</t>
  </si>
  <si>
    <t>https://dadosabertos.camara.leg.br/api/v2/deputados/159237</t>
  </si>
  <si>
    <t>Assis Carvalho</t>
  </si>
  <si>
    <t>FRANCISCO DE ASSIS CARVALHO GONÇALVES</t>
  </si>
  <si>
    <t>https://dadosabertos.camara.leg.br/api/v2/deputados/74459</t>
  </si>
  <si>
    <t>ÁTILA FREITAS LIRA</t>
  </si>
  <si>
    <t>http://twitter.com/atilalira, https://www.facebook.com/@atilalira4040, https://www.instagram.com/atilaliraoficial</t>
  </si>
  <si>
    <t>Piripiri</t>
  </si>
  <si>
    <t>https://dadosabertos.camara.leg.br/api/v2/deputados/204509</t>
  </si>
  <si>
    <t>Áurea Carolina</t>
  </si>
  <si>
    <t>ÁUREA CAROLINA DE FREITAS E SILVA</t>
  </si>
  <si>
    <t>https://www.facebook.com/aureacarolina, https://www.instagram.com/aureacarolina, https://twitter.com/aureacarolinax, https://youtube.com/channel/UC239_uqJp21Cymi5abxJdrw</t>
  </si>
  <si>
    <t>https://aureacarolina.com.br/, https://gabinetona.org/</t>
  </si>
  <si>
    <t>https://dadosabertos.camara.leg.br/api/v2/deputados/141335</t>
  </si>
  <si>
    <t>Beto Faro</t>
  </si>
  <si>
    <t>JOSÉ ROBERTO OLIVEIRA FARO</t>
  </si>
  <si>
    <t>https://dadosabertos.camara.leg.br/api/v2/deputados/178948</t>
  </si>
  <si>
    <t>Beto Rosado</t>
  </si>
  <si>
    <t>CARLOS ALBERTO DE SOUSA ROSADO SEGUNDO</t>
  </si>
  <si>
    <t>Mossoró</t>
  </si>
  <si>
    <t>https://dadosabertos.camara.leg.br/api/v2/deputados/207176</t>
  </si>
  <si>
    <t>Bia Cavassa</t>
  </si>
  <si>
    <t>BEATRIZ ROSALIA RIBEIRO CAVASSA DE OLIVEIRA</t>
  </si>
  <si>
    <t>https://dadosabertos.camara.leg.br/api/v2/deputados/141513</t>
  </si>
  <si>
    <t>Bilac Pinto</t>
  </si>
  <si>
    <t>OLAVO BILAC PINTO NETO</t>
  </si>
  <si>
    <t>https://dadosabertos.camara.leg.br/api/v2/deputados/204561</t>
  </si>
  <si>
    <t>Bira do Pindaré</t>
  </si>
  <si>
    <t>UBIRAJARA DO PINDARÉ ALMEIDA SOUSA</t>
  </si>
  <si>
    <t>https://youtube.com/depbiradopindare, https://www.instagram.com/biradopindare, https://twitter.com/BiradoPindare, https://www.facebook.com/bira.dopindare</t>
  </si>
  <si>
    <t>Pindaré Mirim</t>
  </si>
  <si>
    <t>https://dadosabertos.camara.leg.br/api/v2/deputados/204397</t>
  </si>
  <si>
    <t>Boca Aberta</t>
  </si>
  <si>
    <t>EMERSON MIGUEL PETRIV</t>
  </si>
  <si>
    <t>https://dadosabertos.camara.leg.br/api/v2/deputados/204551</t>
  </si>
  <si>
    <t>Bosco Saraiva</t>
  </si>
  <si>
    <t>JOÃO BOSCO GOMES SARAIVA</t>
  </si>
  <si>
    <t>https://dadosabertos.camara.leg.br/api/v2/deputados/204502</t>
  </si>
  <si>
    <t>Bozzella</t>
  </si>
  <si>
    <t>NICOLINO BOZZELLA JUNIOR</t>
  </si>
  <si>
    <t>https://dadosabertos.camara.leg.br/api/v2/deputados/160589</t>
  </si>
  <si>
    <t>Bruna Furlan</t>
  </si>
  <si>
    <t>BRUNA DIAS FURLAN VICENTE</t>
  </si>
  <si>
    <t>Barueri</t>
  </si>
  <si>
    <t>https://dadosabertos.camara.leg.br/api/v2/deputados/93083</t>
  </si>
  <si>
    <t>Cacá Leão</t>
  </si>
  <si>
    <t>CARLOS FELIPE VAZQUEZ DE SOUZA LEÃO</t>
  </si>
  <si>
    <t>https://dadosabertos.camara.leg.br/api/v2/deputados/204352</t>
  </si>
  <si>
    <t>Camilo Capiberibe</t>
  </si>
  <si>
    <t>CARLOS CAMILO GÓES CAPIBERIBE</t>
  </si>
  <si>
    <t>Santiago</t>
  </si>
  <si>
    <t>https://dadosabertos.camara.leg.br/api/v2/deputados/178924</t>
  </si>
  <si>
    <t>Capitão Fábio Abreu</t>
  </si>
  <si>
    <t>FABIO ABREU COSTA</t>
  </si>
  <si>
    <t>https://www.instagram.com/fabioabreu.oficial/</t>
  </si>
  <si>
    <t>https://dadosabertos.camara.leg.br/api/v2/deputados/204487</t>
  </si>
  <si>
    <t>Capitão Wagner</t>
  </si>
  <si>
    <t>WAGNER SOUSA GOMES</t>
  </si>
  <si>
    <t>https://twitter.com/capitao_wagner?s=21, https://www.instagram.com/capitaowagnersousa?igshid=1tdf0417b3cp3, https://www.facebook.com/capitaowagnersousa, https://youtube.com/DEPCAPWAGNER</t>
  </si>
  <si>
    <t>https://dadosabertos.camara.leg.br/api/v2/deputados/141401</t>
  </si>
  <si>
    <t>Carlos Bezerra</t>
  </si>
  <si>
    <t>CARLOS GOMES BEZERRA</t>
  </si>
  <si>
    <t>Chapada dos Guimarães</t>
  </si>
  <si>
    <t>https://dadosabertos.camara.leg.br/api/v2/deputados/204499</t>
  </si>
  <si>
    <t>Cássio Andrade</t>
  </si>
  <si>
    <t>CASSIO COELHO ANDRADE</t>
  </si>
  <si>
    <t>https://dadosabertos.camara.leg.br/api/v2/deputados/204380</t>
  </si>
  <si>
    <t>Celina Leão</t>
  </si>
  <si>
    <t>CELINA LEAO HIZIM FERREIRA</t>
  </si>
  <si>
    <t>https://www.instagram.com/celinaleao/, https://www.facebook.com/DepCelinaLeao/, https://twitter.com/celinaleao</t>
  </si>
  <si>
    <t>http://celinaleao.com.br/</t>
  </si>
  <si>
    <t>https://dadosabertos.camara.leg.br/api/v2/deputados/204370</t>
  </si>
  <si>
    <t>Célio Moura</t>
  </si>
  <si>
    <t>CELIO ALVES DE MOURA</t>
  </si>
  <si>
    <t>Arapuá</t>
  </si>
  <si>
    <t>https://dadosabertos.camara.leg.br/api/v2/deputados/141405</t>
  </si>
  <si>
    <t>Celso Maldaner</t>
  </si>
  <si>
    <t>CELSO MALDANER</t>
  </si>
  <si>
    <t>https://dadosabertos.camara.leg.br/api/v2/deputados/204490</t>
  </si>
  <si>
    <t>Charlles Evangelista</t>
  </si>
  <si>
    <t>CHARLLES THOMACELLI EVANGELISTA</t>
  </si>
  <si>
    <t>https://www.facebook.com/charlles.evangelista, https://www.instagram.com/charlles.evangelista, https://twitter.com/charllesevg, https://youtube.com/channel/UCV7BXa77tGklAsuSx9DuZOQ</t>
  </si>
  <si>
    <t>https://www.charllesevangelista.com.br/</t>
  </si>
  <si>
    <t>https://dadosabertos.camara.leg.br/api/v2/deputados/141439</t>
  </si>
  <si>
    <t>Chico D'Angelo</t>
  </si>
  <si>
    <t>FRANCISCO JOSÉ D'ANGELO PINTO</t>
  </si>
  <si>
    <t>https://twitter.com/CHICO_DANGELO, https://www.facebook.com/chicodangelo, https://www.instagram.com/chicodangelo</t>
  </si>
  <si>
    <t>https://dadosabertos.camara.leg.br/api/v2/deputados/178928</t>
  </si>
  <si>
    <t>Christiane de Souza Yared</t>
  </si>
  <si>
    <t>CHRISTIANE DE SOUZA YARED</t>
  </si>
  <si>
    <t>https://www.facebook.com/ChristianeYared, https://www.instagram.com/christianeyared</t>
  </si>
  <si>
    <t>https://dadosabertos.camara.leg.br/api/v2/deputados/204440</t>
  </si>
  <si>
    <t>Christino Aureo</t>
  </si>
  <si>
    <t>CHRISTINO AUREO DA SILVA</t>
  </si>
  <si>
    <t>https://dadosabertos.camara.leg.br/api/v2/deputados/178939</t>
  </si>
  <si>
    <t>Clarissa Garotinho</t>
  </si>
  <si>
    <t>CLARISSA BARROS ASSED MATHEUS DE OLIVEIRA</t>
  </si>
  <si>
    <t>https://dadosabertos.camara.leg.br/api/v2/deputados/135054</t>
  </si>
  <si>
    <t>Cristiano Vale</t>
  </si>
  <si>
    <t>CRISTIANO DUTRA VALE</t>
  </si>
  <si>
    <t>Manhuaçu</t>
  </si>
  <si>
    <t>https://dadosabertos.camara.leg.br/api/v2/deputados/178916</t>
  </si>
  <si>
    <t>Daniel Coelho</t>
  </si>
  <si>
    <t>DANIEL PIRES COELHO</t>
  </si>
  <si>
    <t>https://dadosabertos.camara.leg.br/api/v2/deputados/204454</t>
  </si>
  <si>
    <t>Daniel Silveira</t>
  </si>
  <si>
    <t>DANIEL LUCIO DA SILVEIRA</t>
  </si>
  <si>
    <t>https://dadosabertos.camara.leg.br/api/v2/deputados/160528</t>
  </si>
  <si>
    <t>Danilo Cabral</t>
  </si>
  <si>
    <t>DANILO JORGE DE BARROS CABRAL</t>
  </si>
  <si>
    <t>Surubim</t>
  </si>
  <si>
    <t>https://dadosabertos.camara.leg.br/api/v2/deputados/73891</t>
  </si>
  <si>
    <t>Darcísio Perondi</t>
  </si>
  <si>
    <t>DARCÍSIO PAULO PERONDI</t>
  </si>
  <si>
    <t>https://dadosabertos.camara.leg.br/api/v2/deputados/205548</t>
  </si>
  <si>
    <t>David Miranda</t>
  </si>
  <si>
    <t>DAVID MICHAEL DOS SANTOS MIRANDA</t>
  </si>
  <si>
    <t>https://www.instagram.com/davidmirandario, https://twitter.com/davidmirandario, https://www.facebook.com/davmichael.mir</t>
  </si>
  <si>
    <t>https://dadosabertos.camara.leg.br/api/v2/deputados/204451</t>
  </si>
  <si>
    <t>Delegado Antônio Furtado</t>
  </si>
  <si>
    <t>ANTÔNIO DA LUZ FURTADO</t>
  </si>
  <si>
    <t>https://www.instagram.com/DEPDELANTONIOFURTADO, https://www.facebook.com/DelegadoAntonioFurtado, https://youtube.com/channel/UC8Y-pKCl3hv3qNLKzsCo51g, https://twitter.com/delegadofurtado</t>
  </si>
  <si>
    <t>https://dadosabertos.camara.leg.br/api/v2/deputados/204569</t>
  </si>
  <si>
    <t>Delegado Pablo</t>
  </si>
  <si>
    <t>PABLO OLIVA SOUZA</t>
  </si>
  <si>
    <t>https://www.instagram.com/delegadopablo, https://www.facebook.com/delegadopablo, https://twitter.com/DelegadoPablo_</t>
  </si>
  <si>
    <t>https://dadosabertos.camara.leg.br/api/v2/deputados/164359</t>
  </si>
  <si>
    <t>Delegado Waldir</t>
  </si>
  <si>
    <t>WALDIR SOARES DE OLIVEIRA</t>
  </si>
  <si>
    <t>Jacarezinho</t>
  </si>
  <si>
    <t>https://dadosabertos.camara.leg.br/api/v2/deputados/204542</t>
  </si>
  <si>
    <t>Denis Bezerra</t>
  </si>
  <si>
    <t>DENIS ANDERSON DA ROCHA BEZERRA</t>
  </si>
  <si>
    <t>https://www.instagram.com/denisbezerra, https://www.facebook.com/Drdenisbezerra, https://twitter.com/denisbezerra</t>
  </si>
  <si>
    <t>https://dadosabertos.camara.leg.br/api/v2/deputados/213856</t>
  </si>
  <si>
    <t>Deuzinho Filho</t>
  </si>
  <si>
    <t>FRANCISCO DEUZINHO DE OLIVEIRA FILHO</t>
  </si>
  <si>
    <t>https://www.facebook.com/deuzinhofilho.oficial, https://twitter.com/deuzinhofilho, https://www.instagram.com/deuzinhofilho.oficial, https://youtube.com/deuzinhofilho</t>
  </si>
  <si>
    <t>Caucaia</t>
  </si>
  <si>
    <t>https://dadosabertos.camara.leg.br/api/v2/deputados/213854</t>
  </si>
  <si>
    <t>Dr. Agripino Magalhães</t>
  </si>
  <si>
    <t>AGRIPINO RODRIGUES GOMES MAGALHÃES</t>
  </si>
  <si>
    <t>Boa Viagem</t>
  </si>
  <si>
    <t>https://dadosabertos.camara.leg.br/api/v2/deputados/213679</t>
  </si>
  <si>
    <t>Dr. João</t>
  </si>
  <si>
    <t>JOÃO ANTONIO HOLANDA CALDAS</t>
  </si>
  <si>
    <t>https://dadosabertos.camara.leg.br/api/v2/deputados/204439</t>
  </si>
  <si>
    <t>Dr. Leonardo</t>
  </si>
  <si>
    <t>LEONARDO RIBEIRO ALBUQUERQUE</t>
  </si>
  <si>
    <t>https://dadosabertos.camara.leg.br/api/v2/deputados/178830</t>
  </si>
  <si>
    <t>Dr. Sinval Malheiros</t>
  </si>
  <si>
    <t>SINVAL MALHEIROS PINTO JÚNIOR</t>
  </si>
  <si>
    <t>https://dadosabertos.camara.leg.br/api/v2/deputados/81297</t>
  </si>
  <si>
    <t>Dra. Soraya Manato</t>
  </si>
  <si>
    <t>SORAYA DE SOUZA MANNATO</t>
  </si>
  <si>
    <t>https://dadosabertos.camara.leg.br/api/v2/deputados/204434</t>
  </si>
  <si>
    <t>Dra. Vanda Milani</t>
  </si>
  <si>
    <t>VANDA DENIR MILANI NOGUEIRA</t>
  </si>
  <si>
    <t>Cedral</t>
  </si>
  <si>
    <t>https://dadosabertos.camara.leg.br/api/v2/deputados/178994</t>
  </si>
  <si>
    <t>Dulce Miranda</t>
  </si>
  <si>
    <t>DULCE FERREIRA PAGANI MIRANDA</t>
  </si>
  <si>
    <t>https://www.facebook.com/dulcepaganimiranda, https://www.instagram.com/dulcemirandato</t>
  </si>
  <si>
    <t>Pocrane</t>
  </si>
  <si>
    <t>https://dadosabertos.camara.leg.br/api/v2/deputados/204562</t>
  </si>
  <si>
    <t>Edilázio Júnior</t>
  </si>
  <si>
    <t>EDILAZIO GOMES DA SILVA JUNIOR</t>
  </si>
  <si>
    <t>https://www.instagram.com/edilaziojunior_, https://www.facebook.com/edilaziojunior, https://twitter.com/edilaziojunior_</t>
  </si>
  <si>
    <t>https://dadosabertos.camara.leg.br/api/v2/deputados/141417</t>
  </si>
  <si>
    <t>Edio Lopes</t>
  </si>
  <si>
    <t>ÉDIO VIEIRA LOPES</t>
  </si>
  <si>
    <t>https://facebook.com/deputadoediolopes, https://www.instagram.com/deputadoediolopes, https://twitter.com/ediolopes</t>
  </si>
  <si>
    <t>www.ediolopes.com</t>
  </si>
  <si>
    <t>Presidente Epitácio</t>
  </si>
  <si>
    <t>https://dadosabertos.camara.leg.br/api/v2/deputados/134812</t>
  </si>
  <si>
    <t>Edmilson Rodrigues</t>
  </si>
  <si>
    <t>EDMILSON BRITO RODRIGUES</t>
  </si>
  <si>
    <t>https://dadosabertos.camara.leg.br/api/v2/deputados/204421</t>
  </si>
  <si>
    <t>Edna Henrique</t>
  </si>
  <si>
    <t>EDNACE ALVES SILVESTRE HENRIQUE</t>
  </si>
  <si>
    <t>https://www.instagram.com/ednahenriqueoficial, https://twitter.com/ednahenriquedep, https://www.facebook.com/ednahenriqueoficial</t>
  </si>
  <si>
    <t>Xique-Xique</t>
  </si>
  <si>
    <t>https://dadosabertos.camara.leg.br/api/v2/deputados/74655</t>
  </si>
  <si>
    <t>Eduardo Barbosa</t>
  </si>
  <si>
    <t>EDUARDO LUIZ BARROS BARBOSA</t>
  </si>
  <si>
    <t>https://www.facebook.com/deputadofederaleduardobarbosa/, https://www.instagram.com/eduardobarbosamg/</t>
  </si>
  <si>
    <t>http://eduardobarbosa.com/</t>
  </si>
  <si>
    <t>Pará de Minas</t>
  </si>
  <si>
    <t>https://dadosabertos.camara.leg.br/api/v2/deputados/204552</t>
  </si>
  <si>
    <t>Eduardo Braide</t>
  </si>
  <si>
    <t>EDUARDO SALIM BRAIDE</t>
  </si>
  <si>
    <t>https://dadosabertos.camara.leg.br/api/v2/deputados/204500</t>
  </si>
  <si>
    <t>Eduardo Costa</t>
  </si>
  <si>
    <t>JOSE EDUARDO PEREIRA DA COSTA</t>
  </si>
  <si>
    <t>https://www.facebook.com/dep.eduardocosta, https://www.instagram.com/dep.eduardocosta, https://twitter.com/dep_eduardo, https://youtube.com/deputadoeducosta</t>
  </si>
  <si>
    <t>https://dadosabertos.camara.leg.br/api/v2/deputados/178977</t>
  </si>
  <si>
    <t>Eduardo Cury</t>
  </si>
  <si>
    <t>EDUARDO PEDROSA CURY</t>
  </si>
  <si>
    <t>https://twitter.com/Eduardo_Cury, https://www.facebook.com/EduardoCuryOficial, https://www.instagram.com/eduardocuryoficial</t>
  </si>
  <si>
    <t>São José dos Campos</t>
  </si>
  <si>
    <t>https://dadosabertos.camara.leg.br/api/v2/deputados/141422</t>
  </si>
  <si>
    <t>Efraim Filho</t>
  </si>
  <si>
    <t>EFRAIM DE ARAÚJO MORAIS FILHO</t>
  </si>
  <si>
    <t>http://www.twitter.com/efraimfilho</t>
  </si>
  <si>
    <t>https://dadosabertos.camara.leg.br/api/v2/deputados/154919</t>
  </si>
  <si>
    <t>Eleuses Paiva</t>
  </si>
  <si>
    <t>ELEUSES VIEIRA DE PAIVA</t>
  </si>
  <si>
    <t>https://dadosabertos.camara.leg.br/api/v2/deputados/160532</t>
  </si>
  <si>
    <t>Eli Corrêa Filho</t>
  </si>
  <si>
    <t>ADRIANO ELI CORRÊA</t>
  </si>
  <si>
    <t>http://www.twitter.com/elicorreafilho, https://www.facebook.com.br/elicorreafilho, https://instagram.com/elicorreafilho</t>
  </si>
  <si>
    <t>https://dadosabertos.camara.leg.br/api/v2/deputados/204389</t>
  </si>
  <si>
    <t>Elias Vaz</t>
  </si>
  <si>
    <t>ELIAS VAZ DE ANDRADE</t>
  </si>
  <si>
    <t>https://www.facebook.com/DeputadoEliasVaz, https://youtube.com/PoliticoEliasVaz, https://twitter.com/EliasVazGyn, https://www.instagram.com/deputadoeliasvaz</t>
  </si>
  <si>
    <t>www.eliasvaz.com</t>
  </si>
  <si>
    <t>https://dadosabertos.camara.leg.br/api/v2/deputados/221149</t>
  </si>
  <si>
    <t>Elói Pietá</t>
  </si>
  <si>
    <t>ELOI ALFREDO PIETA</t>
  </si>
  <si>
    <t>Gaurama</t>
  </si>
  <si>
    <t>https://dadosabertos.camara.leg.br/api/v2/deputados/207309</t>
  </si>
  <si>
    <t>Enéias Reis</t>
  </si>
  <si>
    <t>ENEIAS JOSÉ DOS REIS</t>
  </si>
  <si>
    <t>https://www.instagram.com/deputadoeneiasreis, https://www.facebook.com/eneiasreisoficial, https://twitter.com/depeneiasreis</t>
  </si>
  <si>
    <t>Coronel Fabriciano</t>
  </si>
  <si>
    <t>https://dadosabertos.camara.leg.br/api/v2/deputados/204537</t>
  </si>
  <si>
    <t>Enrico Misasi</t>
  </si>
  <si>
    <t>ENRICO VAN BLARCUM DE GRAAFF MISASI</t>
  </si>
  <si>
    <t>https://dadosabertos.camara.leg.br/api/v2/deputados/178953</t>
  </si>
  <si>
    <t>Expedito Netto</t>
  </si>
  <si>
    <t>EXPEDITO GONCALVES FERREIRA NETTO</t>
  </si>
  <si>
    <t>https://dadosabertos.camara.leg.br/api/v2/deputados/211866</t>
  </si>
  <si>
    <t>Fabiano Tolentino</t>
  </si>
  <si>
    <t>FABIANO GALLETTI TOLENTINO</t>
  </si>
  <si>
    <t>https://dadosabertos.camara.leg.br/api/v2/deputados/219920</t>
  </si>
  <si>
    <t>Fabio Barros</t>
  </si>
  <si>
    <t>FABIO BARROS E SILVA</t>
  </si>
  <si>
    <t>https://dadosabertos.camara.leg.br/api/v2/deputados/141428</t>
  </si>
  <si>
    <t>Fábio Faria</t>
  </si>
  <si>
    <t>FÁBIO SALUSTINO MESQUITA DE FARIA</t>
  </si>
  <si>
    <t>https://dadosabertos.camara.leg.br/api/v2/deputados/178969</t>
  </si>
  <si>
    <t>Fábio Mitidieri</t>
  </si>
  <si>
    <t>FABIO CRUZ MITIDIERI</t>
  </si>
  <si>
    <t>https://twitter.com/depfmitidieri, https://www.facebook.com/depfmitidieri, https://www.instagram.com/depfmitidieri</t>
  </si>
  <si>
    <t>https://dadosabertos.camara.leg.br/api/v2/deputados/141427</t>
  </si>
  <si>
    <t>Fábio Ramalho</t>
  </si>
  <si>
    <t>FÁBIO AUGUSTO RAMALHO DOS SANTOS</t>
  </si>
  <si>
    <t>https://dadosabertos.camara.leg.br/api/v2/deputados/160587</t>
  </si>
  <si>
    <t>Fábio Trad</t>
  </si>
  <si>
    <t>FÁBIO RICARDO TRAD</t>
  </si>
  <si>
    <t>https://dadosabertos.camara.leg.br/api/v2/deputados/204477</t>
  </si>
  <si>
    <t>Felício Laterça</t>
  </si>
  <si>
    <t>FELÍCIO LATERÇA DE ALMEIDA</t>
  </si>
  <si>
    <t>https://www.facebook.com/delegadofeliciolaterca, https://www.instagram.com/deputadofederalfeliciolaterca, https://twitter.com/federalfelicio, https://youtube.com/channel/UCCPfdSafEwA51seEx9CIWcg</t>
  </si>
  <si>
    <t>https://dadosabertos.camara.leg.br/api/v2/deputados/204371</t>
  </si>
  <si>
    <t>Felipe Rigoni</t>
  </si>
  <si>
    <t>FELIPE RIGONI LOPES</t>
  </si>
  <si>
    <t>https://twitter.com/rigoni_felipe, https://www.facebook.com/rigonifelipe, https://www.instagram.com/rigonifelipe, https://youtube.com/rigonifelipe</t>
  </si>
  <si>
    <t>https://dadosabertos.camara.leg.br/api/v2/deputados/212504</t>
  </si>
  <si>
    <t>Fernando Borja</t>
  </si>
  <si>
    <t>FERNANDO BORJA PINTO</t>
  </si>
  <si>
    <t>https://dadosabertos.camara.leg.br/api/v2/deputados/204354</t>
  </si>
  <si>
    <t>Flávia Arruda</t>
  </si>
  <si>
    <t>FLÁVIA CAROLINA PÉRES</t>
  </si>
  <si>
    <t>https://www.facebook.com/flaviaarrudadf, https://www.instagram.com/flaviaarrudadf, https://twitter.com/FlaviaArrudaDF</t>
  </si>
  <si>
    <t>https://flaviaarrudadf.com.br/</t>
  </si>
  <si>
    <t>https://dadosabertos.camara.leg.br/api/v2/deputados/141434</t>
  </si>
  <si>
    <t>Flaviano Melo</t>
  </si>
  <si>
    <t>FLAVIANO FLÁVIO BAPTISTA DE MELO</t>
  </si>
  <si>
    <t>https://www.facebook.com/flavianomelooficial/, https://www.instagram.com/instadoflaviano/</t>
  </si>
  <si>
    <t>www.deputadoflavianomelo.com.br</t>
  </si>
  <si>
    <t>https://dadosabertos.camara.leg.br/api/v2/deputados/204447</t>
  </si>
  <si>
    <t>Flordelis</t>
  </si>
  <si>
    <t>FLORDELIS DOS SANTOS DE SOUZA</t>
  </si>
  <si>
    <t>https://www.instagram.com/flordeliscantora, https://www.facebook.com/flordeliscantora, https://youtube.com/flordelis</t>
  </si>
  <si>
    <t>https://dadosabertos.camara.leg.br/api/v2/deputados/204392</t>
  </si>
  <si>
    <t>Francisco Jr.</t>
  </si>
  <si>
    <t>FRANCISCO RODRIGUES VALE JUNIOR</t>
  </si>
  <si>
    <t>https://twitter.com/franciscojr_go, https://www.facebook.com/franciscojrgo, https://www.instagram.com/franciscojr_go</t>
  </si>
  <si>
    <t>https://dadosabertos.camara.leg.br/api/v2/deputados/204510</t>
  </si>
  <si>
    <t>Franco Cartafina</t>
  </si>
  <si>
    <t>FRANCO CARTAFINA GOMES</t>
  </si>
  <si>
    <t>https://twitter.com/francocartafina, https://www.instagram.com/francocartafina, https://www.facebook.com/franco.cartafina.75, https://youtube.com/results?search_query=francocartafina</t>
  </si>
  <si>
    <t>https://dadosabertos.camara.leg.br/api/v2/deputados/204393</t>
  </si>
  <si>
    <t>Frei Anastacio Ribeiro</t>
  </si>
  <si>
    <t>ANTONIO RIBEIRO</t>
  </si>
  <si>
    <t>Esperança</t>
  </si>
  <si>
    <t>https://dadosabertos.camara.leg.br/api/v2/deputados/74200</t>
  </si>
  <si>
    <t>Gastão Vieira</t>
  </si>
  <si>
    <t>GASTÃO DIAS VIEIRA</t>
  </si>
  <si>
    <t>https://dadosabertos.camara.leg.br/api/v2/deputados/115746</t>
  </si>
  <si>
    <t>Gelson Azevedo</t>
  </si>
  <si>
    <t>GELSON DE AZEVEDO ALMEIDA</t>
  </si>
  <si>
    <t>https://dadosabertos.camara.leg.br/api/v2/deputados/160669</t>
  </si>
  <si>
    <t>Genecias Noronha</t>
  </si>
  <si>
    <t>GENECIAS MATEUS NORONHA</t>
  </si>
  <si>
    <t>https://dadosabertos.camara.leg.br/api/v2/deputados/204484</t>
  </si>
  <si>
    <t>General Peternelli</t>
  </si>
  <si>
    <t>ROBERTO SEBASTIÃO PETERNELLI JUNIOR</t>
  </si>
  <si>
    <t>https://www.facebook.com/generalpeternelli, https://www.instagram.com/generalpeternelli, https://twitter.com/GenPeternelli, https://www.youtube.com/channel/UC_Tb0S_vKiHV_wl9wpJkBPg</t>
  </si>
  <si>
    <t>https://dadosabertos.camara.leg.br/api/v2/deputados/204527</t>
  </si>
  <si>
    <t>Geninho Zuliani</t>
  </si>
  <si>
    <t>EUGENIO JOSÉ ZULIANI</t>
  </si>
  <si>
    <t>https://www.instagram.com/geninhozuliani, https://twitter.com/geninhozuliani, https://www.facebook.com/geninhozuliani, https://youtube.com/geninhozuliani</t>
  </si>
  <si>
    <t>Ribeirão Pires</t>
  </si>
  <si>
    <t>https://dadosabertos.camara.leg.br/api/v2/deputados/204575</t>
  </si>
  <si>
    <t>Gil Cutrim</t>
  </si>
  <si>
    <t>GILLIANO FRED NASCIMENTO CUTRIM</t>
  </si>
  <si>
    <t>https://dadosabertos.camara.leg.br/api/v2/deputados/178996</t>
  </si>
  <si>
    <t>Giovani Feltes</t>
  </si>
  <si>
    <t>GIOVANI BATISTA FELTES</t>
  </si>
  <si>
    <t>https://dadosabertos.camara.leg.br/api/v2/deputados/74419</t>
  </si>
  <si>
    <t>Gonzaga Patriota</t>
  </si>
  <si>
    <t>LUIZ GONZAGA PATRIOTA</t>
  </si>
  <si>
    <t>Sertânia</t>
  </si>
  <si>
    <t>https://dadosabertos.camara.leg.br/api/v2/deputados/129618</t>
  </si>
  <si>
    <t>Gorete Pereira</t>
  </si>
  <si>
    <t>MARIA GORETE PEREIRA</t>
  </si>
  <si>
    <t>https://dadosabertos.camara.leg.br/api/v2/deputados/204513</t>
  </si>
  <si>
    <t>Guiga Peixoto</t>
  </si>
  <si>
    <t>JOSÉ GUILHERME NEGRÃO PEIXOTO</t>
  </si>
  <si>
    <t>Tatuí</t>
  </si>
  <si>
    <t>https://dadosabertos.camara.leg.br/api/v2/deputados/160667</t>
  </si>
  <si>
    <t>Guilherme Mussi</t>
  </si>
  <si>
    <t>GUILHERME MUSSI FERREIRA</t>
  </si>
  <si>
    <t>https://dadosabertos.camara.leg.br/api/v2/deputados/204442</t>
  </si>
  <si>
    <t>Gurgel</t>
  </si>
  <si>
    <t>JOÃO CARLOS SOARES GURGEL</t>
  </si>
  <si>
    <t>https://dadosabertos.camara.leg.br/api/v2/deputados/73460</t>
  </si>
  <si>
    <t>Gustavo Fruet</t>
  </si>
  <si>
    <t>GUSTAVO BONATO FRUET</t>
  </si>
  <si>
    <t>https://dadosabertos.camara.leg.br/api/v2/deputados/204465</t>
  </si>
  <si>
    <t>Haroldo Cathedral</t>
  </si>
  <si>
    <t>HAROLDO ALVES CAMPOS</t>
  </si>
  <si>
    <t>Itabira</t>
  </si>
  <si>
    <t>https://dadosabertos.camara.leg.br/api/v2/deputados/204548</t>
  </si>
  <si>
    <t>Heitor Freire</t>
  </si>
  <si>
    <t>HEITOR RODRIGO PEREIRA FREIRE</t>
  </si>
  <si>
    <t>https://www.facebook.com/heitorfreire, https://www.instagram.com/heitorfreire, https://twitter.com/HeitorFreireCE, https://youtube.com/channel/UCaXXMIj0Y_d4BJC0efhkFtA</t>
  </si>
  <si>
    <t>https://dadosabertos.camara.leg.br/api/v2/deputados/204373</t>
  </si>
  <si>
    <t>Hélio Costa</t>
  </si>
  <si>
    <t>HÉLIO FRANCISCO DA COSTA</t>
  </si>
  <si>
    <t>https://www.facebook.com/heliocostasc, https://www.instagram.com/heliocostasc</t>
  </si>
  <si>
    <t>Florianópolis</t>
  </si>
  <si>
    <t>https://dadosabertos.camara.leg.br/api/v2/deputados/217036</t>
  </si>
  <si>
    <t>Henrique do Paraíso</t>
  </si>
  <si>
    <t>HENRIQUE STEIN SCIASCIO</t>
  </si>
  <si>
    <t>Sumaré</t>
  </si>
  <si>
    <t>https://dadosabertos.camara.leg.br/api/v2/deputados/73482</t>
  </si>
  <si>
    <t>Henrique Fontana</t>
  </si>
  <si>
    <t>HENRIQUE FONTANA JÚNIOR</t>
  </si>
  <si>
    <t>https://dadosabertos.camara.leg.br/api/v2/deputados/178981</t>
  </si>
  <si>
    <t>Herculano Passos</t>
  </si>
  <si>
    <t>HERCULANO CASTILHO PASSOS JUNIOR</t>
  </si>
  <si>
    <t>https://twitter.com/herculanopassos, https://www.youtube.com/user/herculanopassos, https://www.facebook.com/HerculanoPassos/, https://https://www.instagram.com/herculanopassosoficial/?hl=pt-br</t>
  </si>
  <si>
    <t>http://www.herculanopassos.com.br/</t>
  </si>
  <si>
    <t>https://dadosabertos.camara.leg.br/api/v2/deputados/73772</t>
  </si>
  <si>
    <t>Hermes Parcianello</t>
  </si>
  <si>
    <t>HERMES PARCIANELLO</t>
  </si>
  <si>
    <t>Goioerê</t>
  </si>
  <si>
    <t>https://dadosabertos.camara.leg.br/api/v2/deputados/178959</t>
  </si>
  <si>
    <t>Hiran Gonçalves</t>
  </si>
  <si>
    <t>HIRAN MANUEL GONCALVES DA SILVA</t>
  </si>
  <si>
    <t>https://www.facebook.com/drhirangoncalves, https://www.instagram.com/dr.hiran, https://twitter.com/drhiran_, https://youtube.com/channel/UCfUhURQXWoyyK384VXxMNSw</t>
  </si>
  <si>
    <t>http://deputadohirangoncalves.com.br/</t>
  </si>
  <si>
    <t>https://dadosabertos.camara.leg.br/api/v2/deputados/204564</t>
  </si>
  <si>
    <t>Igor Kannário</t>
  </si>
  <si>
    <t>ANDERSON MACHADO DE JESUS</t>
  </si>
  <si>
    <t>https://www.instagram.com/deputadokannario, https://www.facebook.com/deputadoigorkannario</t>
  </si>
  <si>
    <t>https://dadosabertos.camara.leg.br/api/v2/deputados/67138</t>
  </si>
  <si>
    <t>Iracema Portella</t>
  </si>
  <si>
    <t>IRACEMA MARIA PORTELLA NUNES NOGUEIRA LIMA</t>
  </si>
  <si>
    <t>http://twitter.com/iracemaportela, http://www.facebook.com/iracemaportella</t>
  </si>
  <si>
    <t>https://dadosabertos.camara.leg.br/api/v2/deputados/108338</t>
  </si>
  <si>
    <t>Jaqueline Cassol</t>
  </si>
  <si>
    <t>DIRLAINE JAQUELINE CASSOL</t>
  </si>
  <si>
    <t>https://www.facebook.com/jaquelinecassoloficial, https://twitter.com/jqcassol, https://www.instagram.com/jaquelinecassol</t>
  </si>
  <si>
    <t>São Miguel do Oeste</t>
  </si>
  <si>
    <t>https://dadosabertos.camara.leg.br/api/v2/deputados/160570</t>
  </si>
  <si>
    <t>Jerônimo Goergen</t>
  </si>
  <si>
    <t>JERÔNIMO PIZZOLOTTO GOERGEN</t>
  </si>
  <si>
    <t>Palmeira das Missões</t>
  </si>
  <si>
    <t>https://dadosabertos.camara.leg.br/api/v2/deputados/178839</t>
  </si>
  <si>
    <t>Jéssica Sales</t>
  </si>
  <si>
    <t>JESSICA ROJAS SALES</t>
  </si>
  <si>
    <t>https://dadosabertos.camara.leg.br/api/v2/deputados/204435</t>
  </si>
  <si>
    <t>Jesus Sérgio</t>
  </si>
  <si>
    <t>JESUS SERGIO DE MENEZES</t>
  </si>
  <si>
    <t>https://dadosabertos.camara.leg.br/api/v2/deputados/178842</t>
  </si>
  <si>
    <t>Jhc</t>
  </si>
  <si>
    <t>JOAO HENRIQUE HOLANDA  CALDAS</t>
  </si>
  <si>
    <t>https://twitter.com/JHC_40, https://www.instagram.com/jhc4040, https://www.facebook.com/jhc</t>
  </si>
  <si>
    <t>https://dadosabertos.camara.leg.br/api/v2/deputados/74366</t>
  </si>
  <si>
    <t>João Campos</t>
  </si>
  <si>
    <t>JOÃO CAMPOS DE ARAÚJO</t>
  </si>
  <si>
    <t>https://twitter.com/depjoaocampos, https://www.facebook.com/deputadojoaocampos, https://www.instagram.com/deputadojoaocampos</t>
  </si>
  <si>
    <t>Peixe</t>
  </si>
  <si>
    <t>https://dadosabertos.camara.leg.br/api/v2/deputados/204429</t>
  </si>
  <si>
    <t>João H. Campos</t>
  </si>
  <si>
    <t>JOÃO HENRIQUE DE ANDRADE LIMA CAMPOS</t>
  </si>
  <si>
    <t>https://dadosabertos.camara.leg.br/api/v2/deputados/112437</t>
  </si>
  <si>
    <t>João Marcelo Souza</t>
  </si>
  <si>
    <t>JOÃO MARCELO SANTOS SOUZA</t>
  </si>
  <si>
    <t>https://www.instagram.com/deputadojoaomarcelo, https://www.facebook.com/deputadojoaomarcelo, https://twitter.com/dep_joaomarcelo</t>
  </si>
  <si>
    <t>https://dadosabertos.camara.leg.br/api/v2/deputados/204576</t>
  </si>
  <si>
    <t>João Roma</t>
  </si>
  <si>
    <t>JOÃO INÁCIO RIBEIRO ROMA NETO</t>
  </si>
  <si>
    <t>https://dadosabertos.camara.leg.br/api/v2/deputados/214865</t>
  </si>
  <si>
    <t>Joceval Rodrigues</t>
  </si>
  <si>
    <t>JOCEVAL RODRIGUES DOS SANTOS</t>
  </si>
  <si>
    <t>https://dadosabertos.camara.leg.br/api/v2/deputados/204468</t>
  </si>
  <si>
    <t>Joenia Wapichana</t>
  </si>
  <si>
    <t>JOENIA BATISTA DE CARVALHO</t>
  </si>
  <si>
    <t>https://www.facebook.com/Dep.Joeniawapichana/, https://www.instagram.com/joeniawapichana/, https://twitter.com/JoeniaWapichana</t>
  </si>
  <si>
    <t>https://dadosabertos.camara.leg.br/api/v2/deputados/204546</t>
  </si>
  <si>
    <t>Joice Hasselmann</t>
  </si>
  <si>
    <t>JOICE CRISTINA HASSELMANN</t>
  </si>
  <si>
    <t>https://www.instagram.com/joiehasselmannoficial, https://twitter.com/joicehasselmann, https://www.facebook.com/joicehasselmann</t>
  </si>
  <si>
    <t>https://dadosabertos.camara.leg.br/api/v2/deputados/218245</t>
  </si>
  <si>
    <t>Jorielson</t>
  </si>
  <si>
    <t>JORIELSON BRITO NASCIMENTO</t>
  </si>
  <si>
    <t>https://www.facebook.com/Jorielson.Sandra, https://www.instagram.com/jorielsonjbn</t>
  </si>
  <si>
    <t>https://dadosabertos.camara.leg.br/api/v2/deputados/204386</t>
  </si>
  <si>
    <t>Jose Mario Schreiner</t>
  </si>
  <si>
    <t>JOSE MARIO SCHREINER</t>
  </si>
  <si>
    <t>https://twitter.com/ZeMarioGo, https://www.instagram.com/zemariogo, https://www.facebook.com/zemariogo</t>
  </si>
  <si>
    <t>Porto União</t>
  </si>
  <si>
    <t>https://dadosabertos.camara.leg.br/api/v2/deputados/160619</t>
  </si>
  <si>
    <t>José Nunes</t>
  </si>
  <si>
    <t>JOSÉ NUNES SOARES</t>
  </si>
  <si>
    <t>Belém de São Francisco</t>
  </si>
  <si>
    <t>https://dadosabertos.camara.leg.br/api/v2/deputados/204555</t>
  </si>
  <si>
    <t>José Ricardo</t>
  </si>
  <si>
    <t>JOSÉ RICARDO WENDLING</t>
  </si>
  <si>
    <t>Montenegro</t>
  </si>
  <si>
    <t>https://dadosabertos.camara.leg.br/api/v2/deputados/204420</t>
  </si>
  <si>
    <t>Julian Lemos</t>
  </si>
  <si>
    <t>GULLIEM CHARLES BEZERRA LEMOS</t>
  </si>
  <si>
    <t>https://dadosabertos.camara.leg.br/api/v2/deputados/73586</t>
  </si>
  <si>
    <t>Júlio Delgado</t>
  </si>
  <si>
    <t>JÚLIO CÉSAR DELGADO</t>
  </si>
  <si>
    <t>https://twitter.com/depjuliodelgado, https://www.instagram.com/depjuliodelgado, https://www.facebook.com/depjuliodelgado, https://youtube.com/depjuliodelgado</t>
  </si>
  <si>
    <t>https://dadosabertos.camara.leg.br/api/v2/deputados/151208</t>
  </si>
  <si>
    <t>Laercio Oliveira</t>
  </si>
  <si>
    <t>LAERCIO JOSÉ DE OLIVEIRA</t>
  </si>
  <si>
    <t>https://dadosabertos.camara.leg.br/api/v2/deputados/141478</t>
  </si>
  <si>
    <t>Laerte Bessa</t>
  </si>
  <si>
    <t>LAERTE RODRIGUES DE BESSA</t>
  </si>
  <si>
    <t>https://dadosabertos.camara.leg.br/api/v2/deputados/160534</t>
  </si>
  <si>
    <t>Lauriete</t>
  </si>
  <si>
    <t>LAURIETE RODRIGUES DE JESUS</t>
  </si>
  <si>
    <t>Vila Velha</t>
  </si>
  <si>
    <t>https://dadosabertos.camara.leg.br/api/v2/deputados/204375</t>
  </si>
  <si>
    <t>Leda Sadala</t>
  </si>
  <si>
    <t>LEDA MARIA SADALA BRITO</t>
  </si>
  <si>
    <t>https://www.facebook.com/dep.ledasadala, https://www.instagram.com/dep_ledasadala</t>
  </si>
  <si>
    <t>Almeirim</t>
  </si>
  <si>
    <t>https://dadosabertos.camara.leg.br/api/v2/deputados/178825</t>
  </si>
  <si>
    <t>Leo de Brito</t>
  </si>
  <si>
    <t>LEONARDO CUNHA DE BRITO</t>
  </si>
  <si>
    <t>https://www.facebook.com/leodopt1331</t>
  </si>
  <si>
    <t>https://dadosabertos.camara.leg.br/api/v2/deputados/204359</t>
  </si>
  <si>
    <t>Léo Moraes</t>
  </si>
  <si>
    <t>LEONARDO BARRETO DE MORAES</t>
  </si>
  <si>
    <t>https://dadosabertos.camara.leg.br/api/v2/deputados/204547</t>
  </si>
  <si>
    <t>Léo Motta</t>
  </si>
  <si>
    <t>ELIEL MÁRCIO DO CARMO</t>
  </si>
  <si>
    <t>https://twitter.com/leomotta_ofc, https://www.facebook.com/leomottafederal, https://www.instagram.com/leomottaoficial</t>
  </si>
  <si>
    <t>https://dadosabertos.camara.leg.br/api/v2/deputados/74254</t>
  </si>
  <si>
    <t>Leonardo Picciani</t>
  </si>
  <si>
    <t>LEONARDO CARNEIRO MONTEIRO PICCIANI</t>
  </si>
  <si>
    <t>Nilópolis</t>
  </si>
  <si>
    <t>https://dadosabertos.camara.leg.br/api/v2/deputados/204405</t>
  </si>
  <si>
    <t>Liziane Bayer</t>
  </si>
  <si>
    <t>LIZIANE BAYER DA COSTA</t>
  </si>
  <si>
    <t>São Pedro do Sul</t>
  </si>
  <si>
    <t>https://dadosabertos.camara.leg.br/api/v2/deputados/204382</t>
  </si>
  <si>
    <t>Loester Trutis</t>
  </si>
  <si>
    <t>LOESTER CARLOS GOMES DE SOUZA</t>
  </si>
  <si>
    <t>https://www.facebook.com/tiotrutis, https://www.instagram.com/tiotrutis</t>
  </si>
  <si>
    <t>https://dadosabertos.camara.leg.br/api/v2/deputados/196358</t>
  </si>
  <si>
    <t>Lourival Gomes</t>
  </si>
  <si>
    <t>LOURIVAL GOMES DE ALMEIDA</t>
  </si>
  <si>
    <t>https://dadosabertos.camara.leg.br/api/v2/deputados/219592</t>
  </si>
  <si>
    <t>Lucas Follador</t>
  </si>
  <si>
    <t>LUCAS FOLLADOR</t>
  </si>
  <si>
    <t>https://dadosabertos.camara.leg.br/api/v2/deputados/204523</t>
  </si>
  <si>
    <t>Lucas Gonzalez</t>
  </si>
  <si>
    <t>LUCAS DE VASCONCELOS GONZALEZ</t>
  </si>
  <si>
    <t>https://www.facebook.com/lucasvgonzalez, https://www.instagram.com/lucasvgonzalez, https://twitter.com/lucasvgonzalez, https://youtube.com/lucasvgonzalez</t>
  </si>
  <si>
    <t>www.lucasgonzalez.com.br</t>
  </si>
  <si>
    <t>https://dadosabertos.camara.leg.br/api/v2/deputados/178879</t>
  </si>
  <si>
    <t>Lucas Vergilio</t>
  </si>
  <si>
    <t>LUCAS DE CASTRO SANTOS</t>
  </si>
  <si>
    <t>https://dadosabertos.camara.leg.br/api/v2/deputados/204381</t>
  </si>
  <si>
    <t>Luis Miranda</t>
  </si>
  <si>
    <t>LUIS CLAUDIO FERNANDES MIRANDA</t>
  </si>
  <si>
    <t>https://twitter.com/LuisMirandaUSA?s=08, https://www.instagram.com/luismirandausa, https://www.facebook.com/luismirandausa, https://youtube.com/luismirandausa</t>
  </si>
  <si>
    <t>https://dadosabertos.camara.leg.br/api/v2/deputados/160645</t>
  </si>
  <si>
    <t>Luiz Carlos</t>
  </si>
  <si>
    <t>LUIZ CARLOS GOMES DOS SANTOS JUNIOR</t>
  </si>
  <si>
    <t>Amapá</t>
  </si>
  <si>
    <t>https://dadosabertos.camara.leg.br/api/v2/deputados/204543</t>
  </si>
  <si>
    <t>Luiz Flávio Gomes</t>
  </si>
  <si>
    <t>LUIZ FLAVIO GOMES</t>
  </si>
  <si>
    <t>https://www.facebook.com/luizflaviogomesoficial, https://www.instagram.com/professorlfg, https://twitter.com/professorLFG, https://youtube.com/ProfessorLFG</t>
  </si>
  <si>
    <t>Sud Menucci</t>
  </si>
  <si>
    <t>https://dadosabertos.camara.leg.br/api/v2/deputados/178982</t>
  </si>
  <si>
    <t>Luiz Lauro Filho</t>
  </si>
  <si>
    <t>LUIZ LAURO FERREIRA FILHO</t>
  </si>
  <si>
    <t>https://dadosabertos.camara.leg.br/api/v2/deputados/204418</t>
  </si>
  <si>
    <t>Luizão Goulart</t>
  </si>
  <si>
    <t>LUIZ GOULARTE ALVES</t>
  </si>
  <si>
    <t>Jandaia do Sul</t>
  </si>
  <si>
    <t>https://dadosabertos.camara.leg.br/api/v2/deputados/151965</t>
  </si>
  <si>
    <t>Maia Filho</t>
  </si>
  <si>
    <t>JOSÉ DE ANDRADE MAIA FILHO</t>
  </si>
  <si>
    <t>Picos</t>
  </si>
  <si>
    <t>https://dadosabertos.camara.leg.br/api/v2/deputados/204458</t>
  </si>
  <si>
    <t>Major Fabiana</t>
  </si>
  <si>
    <t>FABIANA SILVA DE SOUZA</t>
  </si>
  <si>
    <t>https://dadosabertos.camara.leg.br/api/v2/deputados/179587</t>
  </si>
  <si>
    <t>Major Vitor Hugo</t>
  </si>
  <si>
    <t>VITOR HUGO DE ARAUJO ALMEIDA</t>
  </si>
  <si>
    <t>https://twitter.com/majorvitorhugo, https://www.instagram.com/majorvitorhugo, https://www.facebook.com/Majorvitorhugo, https://youtube.com/channel/UCvECxUkg9Fm9_F9Bn9rdt3g</t>
  </si>
  <si>
    <t>https://dadosabertos.camara.leg.br/api/v2/deputados/204469</t>
  </si>
  <si>
    <t>Manuel Marcos</t>
  </si>
  <si>
    <t>MANUEL MARCOS CARVALHO DE MESQUITA</t>
  </si>
  <si>
    <t>Tianguá</t>
  </si>
  <si>
    <t>https://dadosabertos.camara.leg.br/api/v2/deputados/204471</t>
  </si>
  <si>
    <t>Mara Rocha</t>
  </si>
  <si>
    <t>CYLMARA FERNANDES DA ROCHA GRIPP</t>
  </si>
  <si>
    <t>https://dadosabertos.camara.leg.br/api/v2/deputados/212749</t>
  </si>
  <si>
    <t>Marcão Gomes</t>
  </si>
  <si>
    <t>MARCUS WELBER GOMES DA SILVA</t>
  </si>
  <si>
    <t>https://www.instagram.com/dep.marcaogomes, https://www.facebook.com/sigamarcaogomes</t>
  </si>
  <si>
    <t>https://dadosabertos.camara.leg.br/api/v2/deputados/146788</t>
  </si>
  <si>
    <t>Marcelo Aro</t>
  </si>
  <si>
    <t>MARCELO GUILHERME DE ARO FERREIRA</t>
  </si>
  <si>
    <t>https://dadosabertos.camara.leg.br/api/v2/deputados/205863</t>
  </si>
  <si>
    <t>Marcelo Brum</t>
  </si>
  <si>
    <t>MARCELO DE BRUM DA COSTA</t>
  </si>
  <si>
    <t>https://dadosabertos.camara.leg.br/api/v2/deputados/76874</t>
  </si>
  <si>
    <t>Marcelo Freixo</t>
  </si>
  <si>
    <t>MARCELO RIBEIRO FREIXO</t>
  </si>
  <si>
    <t>https://dadosabertos.camara.leg.br/api/v2/deputados/204558</t>
  </si>
  <si>
    <t>Marcelo Nilo</t>
  </si>
  <si>
    <t>JOSÉ MARCELO DO NASCIMENTO NILO</t>
  </si>
  <si>
    <t>Antas</t>
  </si>
  <si>
    <t>https://dadosabertos.camara.leg.br/api/v2/deputados/204556</t>
  </si>
  <si>
    <t>Marcelo Ramos</t>
  </si>
  <si>
    <t>MARCELO RAMOS RODRIGUES</t>
  </si>
  <si>
    <t>https://dadosabertos.camara.leg.br/api/v2/deputados/118594</t>
  </si>
  <si>
    <t>Marcelo Squassoni</t>
  </si>
  <si>
    <t>MARCELO SQUASSONI</t>
  </si>
  <si>
    <t>https://dadosabertos.camara.leg.br/api/v2/deputados/221147</t>
  </si>
  <si>
    <t>Marcia Scherer</t>
  </si>
  <si>
    <t>MARCIA SCHERER</t>
  </si>
  <si>
    <t>Arroio do Meio</t>
  </si>
  <si>
    <t>https://dadosabertos.camara.leg.br/api/v2/deputados/221183</t>
  </si>
  <si>
    <t>Márcio Dória</t>
  </si>
  <si>
    <t>MARCIO SANTANA DORIA</t>
  </si>
  <si>
    <t>Propriá</t>
  </si>
  <si>
    <t>https://dadosabertos.camara.leg.br/api/v2/deputados/204452</t>
  </si>
  <si>
    <t>Márcio Labre</t>
  </si>
  <si>
    <t>MÁRCIO DA SILVEIRA LABRE</t>
  </si>
  <si>
    <t>https://twitter.com/marciolabre</t>
  </si>
  <si>
    <t>https://dadosabertos.camara.leg.br/api/v2/deputados/160542</t>
  </si>
  <si>
    <t>Márcio Macêdo</t>
  </si>
  <si>
    <t>MÁRCIO COSTA MACÊDO</t>
  </si>
  <si>
    <t>https://dadosabertos.camara.leg.br/api/v2/deputados/133373</t>
  </si>
  <si>
    <t>Marco Maia</t>
  </si>
  <si>
    <t>MARCO AURÉLIO SPALL MAIA</t>
  </si>
  <si>
    <t>http://www.twitter.com/DepMarcoMaia, http://www.facebook.com/DepMarcoMaia</t>
  </si>
  <si>
    <t>https://dadosabertos.camara.leg.br/api/v2/deputados/204011</t>
  </si>
  <si>
    <t>Marcos Pacco</t>
  </si>
  <si>
    <t>MARCOS PACCO RIBEIRO COELHO</t>
  </si>
  <si>
    <t>https://dadosabertos.camara.leg.br/api/v2/deputados/204430</t>
  </si>
  <si>
    <t>Margarete Coelho</t>
  </si>
  <si>
    <t>MARGARETE DE CASTRO COELHO</t>
  </si>
  <si>
    <t>https://www.instagram.com/margaretecoelho, https://twitter.com/MargaretCoelho, https://www.facebook.com/margaretecoelho.castro</t>
  </si>
  <si>
    <t>São Raimundo Nonato</t>
  </si>
  <si>
    <t>https://dadosabertos.camara.leg.br/api/v2/deputados/171619</t>
  </si>
  <si>
    <t>Margarida Salomão</t>
  </si>
  <si>
    <t>MARIA MARGARIDA MARTINS SALOMÃO</t>
  </si>
  <si>
    <t>https://www.facebook.com/jfmargarida, https://twitter.com/JFMargarida, https://www.instagram.com/jfmargarida/</t>
  </si>
  <si>
    <t>http://margaridasalomao.com.br/</t>
  </si>
  <si>
    <t>https://dadosabertos.camara.leg.br/api/v2/deputados/178956</t>
  </si>
  <si>
    <t>MARIANA FONSECA RIBEIRO CARVALHO DE MORAES</t>
  </si>
  <si>
    <t>https://twitter.com/deputadamariana, https://www.facebook.com/marianacarvalho4545, https://www.instagram.com/marianacarvalho4545</t>
  </si>
  <si>
    <t>https://dadosabertos.camara.leg.br/api/v2/deputados/204428</t>
  </si>
  <si>
    <t>Marília Arraes</t>
  </si>
  <si>
    <t>MARÍLIA VALENÇA ROCHA ARRAES DE ALENCAR</t>
  </si>
  <si>
    <t>https://www.instagram.com/mariliaarraes, https://twitter.com/MariliaArraes, https://www.facebook.com/arraes, https://youtube.com/channel/UCMygck8SGte9ZtudThgwxDQ</t>
  </si>
  <si>
    <t>https://dadosabertos.camara.leg.br/api/v2/deputados/204432</t>
  </si>
  <si>
    <t>Marina Santos</t>
  </si>
  <si>
    <t>MARINA SANTOS BATISTA DIAS</t>
  </si>
  <si>
    <t>https://dadosabertos.camara.leg.br/api/v2/deputados/204403</t>
  </si>
  <si>
    <t>Marlon Santos</t>
  </si>
  <si>
    <t>MARLON ARATOR SANTOS DA ROSA</t>
  </si>
  <si>
    <t>Cachoeira do Sul</t>
  </si>
  <si>
    <t>https://dadosabertos.camara.leg.br/api/v2/deputados/75431</t>
  </si>
  <si>
    <t>Maurício Dziedricki</t>
  </si>
  <si>
    <t>MAURÍCIO ALEXANDRE DZIEDRICKI</t>
  </si>
  <si>
    <t>https://dadosabertos.camara.leg.br/api/v2/deputados/74749</t>
  </si>
  <si>
    <t>Mauro Lopes</t>
  </si>
  <si>
    <t>MAURO RIBEIRO LOPES</t>
  </si>
  <si>
    <t>Entre Folhas</t>
  </si>
  <si>
    <t>https://dadosabertos.camara.leg.br/api/v2/deputados/141508</t>
  </si>
  <si>
    <t>Mauro Nazif</t>
  </si>
  <si>
    <t>MAURO NAZIF RASUL</t>
  </si>
  <si>
    <t>https://www.facebook.com/DrMauroPVH/, https://www.instagram.com/depmauronazif/, https://twitter.com/nazif_dr, https://www.youtube.com/channel/UC15p8GVh7lRhPRoQaXVz5yQ</t>
  </si>
  <si>
    <t>Barra do Piraí</t>
  </si>
  <si>
    <t>https://dadosabertos.camara.leg.br/api/v2/deputados/178984</t>
  </si>
  <si>
    <t>Miguel Haddad</t>
  </si>
  <si>
    <t>MIGUEL MOUBADDA HADDAD</t>
  </si>
  <si>
    <t>Jundiaí</t>
  </si>
  <si>
    <t>https://dadosabertos.camara.leg.br/api/v2/deputados/92172</t>
  </si>
  <si>
    <t>Milton Coelho</t>
  </si>
  <si>
    <t>MILTON COELHO DA SILVA NETO</t>
  </si>
  <si>
    <t>https://www.instagram.com/MiltonCoelhoOficial, https://www.facebook.com/MiltonCoelhooficial, https://youtube.com/MiltonCoelhoOficial</t>
  </si>
  <si>
    <t>Codó</t>
  </si>
  <si>
    <t>https://dadosabertos.camara.leg.br/api/v2/deputados/218879</t>
  </si>
  <si>
    <t>Nelho Bezerra</t>
  </si>
  <si>
    <t>FRANCISCO NELHO BEZERRA</t>
  </si>
  <si>
    <t>https://dadosabertos.camara.leg.br/api/v2/deputados/74571</t>
  </si>
  <si>
    <t>Nelson Pellegrino</t>
  </si>
  <si>
    <t>NELSON VICENTE PORTELA PELLEGRINO</t>
  </si>
  <si>
    <t>https://dadosabertos.camara.leg.br/api/v2/deputados/204415</t>
  </si>
  <si>
    <t>Nereu Crispim</t>
  </si>
  <si>
    <t>NEREU CRISPIM</t>
  </si>
  <si>
    <t>https://twitter.com/nereucrispim, https://www.facebook.com/nereucrispim, https://www.instagram.com/nereucrispim, https://youtube.com/channel/UCeorlh2XnpPoLkRlNWUauyg</t>
  </si>
  <si>
    <t>https://dadosabertos.camara.leg.br/api/v2/deputados/146307</t>
  </si>
  <si>
    <t>Neri Geller</t>
  </si>
  <si>
    <t>NERI GELLER</t>
  </si>
  <si>
    <t>Selbach</t>
  </si>
  <si>
    <t>https://dadosabertos.camara.leg.br/api/v2/deputados/74165</t>
  </si>
  <si>
    <t>Neucimar Fraga</t>
  </si>
  <si>
    <t>NEUCIMAR FERREIRA FRAGA</t>
  </si>
  <si>
    <t>https://www.instagram.com/neucimarfraga55, https://www.facebook.com/neucimar.fraga</t>
  </si>
  <si>
    <t>Itanhém</t>
  </si>
  <si>
    <t>https://dadosabertos.camara.leg.br/api/v2/deputados/204384</t>
  </si>
  <si>
    <t>Ney Leprevost</t>
  </si>
  <si>
    <t>NEY LEPREVOST NETO</t>
  </si>
  <si>
    <t>https://dadosabertos.camara.leg.br/api/v2/deputados/214445</t>
  </si>
  <si>
    <t>Nilson F. Stainsack</t>
  </si>
  <si>
    <t>NILSON FRANCISCO STAINSACK</t>
  </si>
  <si>
    <t>https://youtube.com/qJb14pEOkPh5OyFM_cGNbw, https://www.instagram.com/nilsonfranciscostainsack, https://twitter.com/nilsonfranciscostainsack, https://www.facebook.com/nilsonfranciscostainsack</t>
  </si>
  <si>
    <t>Presidente Getúlio</t>
  </si>
  <si>
    <t>https://dadosabertos.camara.leg.br/api/v2/deputados/74352</t>
  </si>
  <si>
    <t>Nilson Pinto</t>
  </si>
  <si>
    <t>NILSON PINTO DE OLIVEIRA</t>
  </si>
  <si>
    <t>https://dadosabertos.camara.leg.br/api/v2/deputados/194260</t>
  </si>
  <si>
    <t>Nivaldo Albuquerque</t>
  </si>
  <si>
    <t>NIVALDO FERREIRA DE ALBUQUERQUE NETO</t>
  </si>
  <si>
    <t>https://www.facebook.com/DeputadoNivaldoAlbuquerque, https://www.instagram.com/nivaldoalbuquerque, https://twitter.com/NivaldoAlbuq</t>
  </si>
  <si>
    <t>https://dadosabertos.camara.leg.br/api/v2/deputados/66179</t>
  </si>
  <si>
    <t>Norma Ayub</t>
  </si>
  <si>
    <t>NORMA AYUB ALVES</t>
  </si>
  <si>
    <t>https://dadosabertos.camara.leg.br/api/v2/deputados/216198</t>
  </si>
  <si>
    <t>Norma Pereira</t>
  </si>
  <si>
    <t>NORMA PETERMANN PEREIRA</t>
  </si>
  <si>
    <t>Brusque</t>
  </si>
  <si>
    <t>https://dadosabertos.camara.leg.br/api/v2/deputados/178868</t>
  </si>
  <si>
    <t>Odorico Monteiro</t>
  </si>
  <si>
    <t>LUIZ ODORICO MONTEIRO DE ANDRADE</t>
  </si>
  <si>
    <t>https://www.instagram.com/odoricomonteiro, https://www.facebook.com/odoricoamonteiro, https://twitter.com/odoricomonteiro</t>
  </si>
  <si>
    <t>Arneiroz</t>
  </si>
  <si>
    <t>https://dadosabertos.camara.leg.br/api/v2/deputados/74399</t>
  </si>
  <si>
    <t>Onyx Lorenzoni</t>
  </si>
  <si>
    <t>ONYX DORNELLES LORENZONI</t>
  </si>
  <si>
    <t>https://dadosabertos.camara.leg.br/api/v2/deputados/204363</t>
  </si>
  <si>
    <t>Osires Damaso</t>
  </si>
  <si>
    <t>OSIRES RODRIGUES DAMASO</t>
  </si>
  <si>
    <t>https://www.instagram.com/deputadoosiresdamaso, https://www.facebook.com/DeputadoOsiresDamaso</t>
  </si>
  <si>
    <t>Campinorte</t>
  </si>
  <si>
    <t>https://dadosabertos.camara.leg.br/api/v2/deputados/73463</t>
  </si>
  <si>
    <t>Osmar Serraglio</t>
  </si>
  <si>
    <t>OSMAR JOSÉ SERRAGLIO</t>
  </si>
  <si>
    <t>https://dadosabertos.camara.leg.br/api/v2/deputados/141515</t>
  </si>
  <si>
    <t>Otavio Leite</t>
  </si>
  <si>
    <t>OTAVIO SANTOS SILVA LEITE</t>
  </si>
  <si>
    <t>https://twitter.com/otavioleite, https://www.facebook.com/OtavioLeiteRJ</t>
  </si>
  <si>
    <t>https://dadosabertos.camara.leg.br/api/v2/deputados/204475</t>
  </si>
  <si>
    <t>Ottaci Nascimento</t>
  </si>
  <si>
    <t>JOSE OTACI BARROSO DO NASCIMENTO</t>
  </si>
  <si>
    <t>https://twitter.com/ottaciRR, https://www.instagram.com/ottaci, https://www.facebook.com/ottacinascimento</t>
  </si>
  <si>
    <t>https://dadosabertos.camara.leg.br/api/v2/deputados/74319</t>
  </si>
  <si>
    <t>Paes Landim</t>
  </si>
  <si>
    <t>JOSÉ FRANCISCO PAES LANDIM</t>
  </si>
  <si>
    <t>São João do Piauí</t>
  </si>
  <si>
    <t>https://dadosabertos.camara.leg.br/api/v2/deputados/205535</t>
  </si>
  <si>
    <t>Patricia Ferraz</t>
  </si>
  <si>
    <t>PATRICIA LIMA FERRAZ</t>
  </si>
  <si>
    <t>https://www.instagram.com/drapatricialferraz, https://www.facebook.com/drapatricialferraz, https://twitter.com/patricialferraz</t>
  </si>
  <si>
    <t>https://dadosabertos.camara.leg.br/api/v2/deputados/218741</t>
  </si>
  <si>
    <t>Patrick Dorneles</t>
  </si>
  <si>
    <t>PATRICK TEIXEIRA DORNELES PIRES</t>
  </si>
  <si>
    <t>https://dadosabertos.camara.leg.br/api/v2/deputados/204377</t>
  </si>
  <si>
    <t>Paula Belmonte</t>
  </si>
  <si>
    <t>PAULA MORENO PARO BELMONTE</t>
  </si>
  <si>
    <t>https://www.facebook.com/paulabelmonteoficial, https://www.instagram.com/paulabelmonteoficial, https://www.twitter.com/paulambelmonte, https://www.youtube.com/channel/UCVw8ykZEHdvNCu0JLsvpfIA</t>
  </si>
  <si>
    <t>https://paulabelmonte.com.br/</t>
  </si>
  <si>
    <t>https://dadosabertos.camara.leg.br/api/v2/deputados/204538</t>
  </si>
  <si>
    <t>Paulo Bengtson</t>
  </si>
  <si>
    <t>PAULO EDUARDO MAESTRI BENGTSON</t>
  </si>
  <si>
    <t>https://dadosabertos.camara.leg.br/api/v2/deputados/193726</t>
  </si>
  <si>
    <t>Paulo Eduardo Martins</t>
  </si>
  <si>
    <t>PAULO EDUARDO LIMA MARTINS</t>
  </si>
  <si>
    <t>https://www.facebook.com/PauloEduardoOficial, https://twitter.com/paulomartins10, https://www.instagram.com/deputadopaulomartins, https://youtube.com/burke880</t>
  </si>
  <si>
    <t>Presidente Venceslau</t>
  </si>
  <si>
    <t>https://dadosabertos.camara.leg.br/api/v2/deputados/204461</t>
  </si>
  <si>
    <t>Paulo Ganime</t>
  </si>
  <si>
    <t>PAULO GUSTAVO GANIME ALVES TEIXEIRA</t>
  </si>
  <si>
    <t>https://twitter.com/pauloganime, https://www.facebook.com/pauloganime, https://www.instagram.com/pauloganime, https://youtube.com/paulogganime</t>
  </si>
  <si>
    <t>https://dadosabertos.camara.leg.br/api/v2/deputados/133968</t>
  </si>
  <si>
    <t>Paulo Ramos</t>
  </si>
  <si>
    <t>Paulo Sérgio Ramos Barboza</t>
  </si>
  <si>
    <t>https://twitter.com/deppauloramosrj, https://www.facebook.com/deputadopauloramosrj, https://www.instagram.com/deputadopauloramosrj, https://youtube.com/deputado_pauloramos</t>
  </si>
  <si>
    <t>https://dadosabertos.camara.leg.br/api/v2/deputados/216544</t>
  </si>
  <si>
    <t>Paulo Vicente Caleffi</t>
  </si>
  <si>
    <t>PAULO VICENTE CALEFFI</t>
  </si>
  <si>
    <t>Bento Gonçalves</t>
  </si>
  <si>
    <t>https://dadosabertos.camara.leg.br/api/v2/deputados/90201</t>
  </si>
  <si>
    <t>Pedro Augusto Bezerra</t>
  </si>
  <si>
    <t>PEDRO AUGUSTO GEROMEL BEZERRA DE MENEZES</t>
  </si>
  <si>
    <t>https://twitter.com/PEDROABEZERRA, https://www.facebook.com/pedrobezerradep, https://www.instagram.com/PEDROAUGUSTOBEZERRADEP</t>
  </si>
  <si>
    <t>https://dadosabertos.camara.leg.br/api/v2/deputados/215045</t>
  </si>
  <si>
    <t>Pedro Augusto Palareti</t>
  </si>
  <si>
    <t>PEDRO AUGUSTO PALARETI</t>
  </si>
  <si>
    <t>https://www.facebook.com/pedroaugustoshow, https://www.instagram.com/pedroaugustoshow</t>
  </si>
  <si>
    <t>https://dadosabertos.camara.leg.br/api/v2/deputados/178912</t>
  </si>
  <si>
    <t>Pedro Cunha Lima</t>
  </si>
  <si>
    <t>PEDRO OLIVEIRA CUNHA LIMA</t>
  </si>
  <si>
    <t>https://dadosabertos.camara.leg.br/api/v2/deputados/217330</t>
  </si>
  <si>
    <t>Pedro Dalua</t>
  </si>
  <si>
    <t>PEDRO DOS SANTOS MARTINS</t>
  </si>
  <si>
    <t>https://dadosabertos.camara.leg.br/api/v2/deputados/178844</t>
  </si>
  <si>
    <t>Pedro Vilela</t>
  </si>
  <si>
    <t>PEDRO TORRES BRANDÃO VILELA</t>
  </si>
  <si>
    <t>https://twitter.com/pedrobvilela, https://www.instagram.com/pvilelat</t>
  </si>
  <si>
    <t>https://dadosabertos.camara.leg.br/api/v2/deputados/73943</t>
  </si>
  <si>
    <t>Perpétua Almeida</t>
  </si>
  <si>
    <t>MARIA PERPÉTUA DE ALMEIDA</t>
  </si>
  <si>
    <t>https://twitter.com/depperpetua</t>
  </si>
  <si>
    <t>https://dadosabertos.camara.leg.br/api/v2/deputados/204529</t>
  </si>
  <si>
    <t>Policial Katia Sastre</t>
  </si>
  <si>
    <t>KATIA DA SILVA SASTRE</t>
  </si>
  <si>
    <t>https://dadosabertos.camara.leg.br/api/v2/deputados/204383</t>
  </si>
  <si>
    <t>Professor Israel Batista</t>
  </si>
  <si>
    <t>ISRAEL MATOS BATISTA</t>
  </si>
  <si>
    <t>https://dadosabertos.camara.leg.br/api/v2/deputados/204446</t>
  </si>
  <si>
    <t>Professor Joziel</t>
  </si>
  <si>
    <t>JOZIEL FERREIRA CARLOS</t>
  </si>
  <si>
    <t>https://twitter.com/professorjoziel, https://www.instagram.com/professorjoziel, https://www.facebook.com/professorjoziel</t>
  </si>
  <si>
    <t>https://dadosabertos.camara.leg.br/api/v2/deputados/204565</t>
  </si>
  <si>
    <t>Professora Dayane Pimentel</t>
  </si>
  <si>
    <t>DAYANE JAMILLE CARNEIRO DOS SANTOS PIMENTEL</t>
  </si>
  <si>
    <t>https://twitter.com/deppimentel, https://www.facebook.com/professoradayanepimentel, https://www.instagram.com/professoradayanepimentel, https://youtube.com/channel/UCJfx38MAnPjNihMIECOAczg</t>
  </si>
  <si>
    <t>https://dadosabertos.camara.leg.br/api/v2/deputados/160639</t>
  </si>
  <si>
    <t>Professora Dorinha Seabra Rezende</t>
  </si>
  <si>
    <t>MARIA AUXILIADORA SEABRA REZENDE</t>
  </si>
  <si>
    <t>https://www.facebook.com/ProfessoraDorinha, https://www.instagram.com/profdorinha, https://twitter.com/profdorinha</t>
  </si>
  <si>
    <t>www.professoradorinha.com.br</t>
  </si>
  <si>
    <t>https://dadosabertos.camara.leg.br/api/v2/deputados/204467</t>
  </si>
  <si>
    <t>Professora Rosa Neide</t>
  </si>
  <si>
    <t>ROSA NEIDE SANDES DE ALMEIDA</t>
  </si>
  <si>
    <t>https://twitter.com/prof_rosaneide, https://www.facebook.com/ProfessoraRosaNeide, https://www.instagram.com/prof_rosaneide, https://youtube.com/channel/UC4CfnB9C6PN_RHQJ0gEgXNw</t>
  </si>
  <si>
    <t>https://dadosabertos.camara.leg.br/api/v2/deputados/215361</t>
  </si>
  <si>
    <t>Rachel Marques</t>
  </si>
  <si>
    <t>RACHEL XIMENES MARQUES</t>
  </si>
  <si>
    <t>https://dadosabertos.camara.leg.br/api/v2/deputados/178951</t>
  </si>
  <si>
    <t>Rafael Motta</t>
  </si>
  <si>
    <t>RAFAEL HUETE DA MOTTA</t>
  </si>
  <si>
    <t>https://twitter.com/rafaelmottarn, https://www.instagram.com/rafaelmottarn, https://www.facebook.com/rafaelmottarn, https://youtube.com/Jqh7jhN66-Xa9fqWL2gSIg</t>
  </si>
  <si>
    <t>https://dadosabertos.camara.leg.br/api/v2/deputados/216313</t>
  </si>
  <si>
    <t>Rafafá</t>
  </si>
  <si>
    <t>RAFAEL PEREIRA SOUSA</t>
  </si>
  <si>
    <t>https://dadosabertos.camara.leg.br/api/v2/deputados/141523</t>
  </si>
  <si>
    <t>Raul Henry</t>
  </si>
  <si>
    <t>RAUL JEAN LOUIS HENRY JÚNIOR</t>
  </si>
  <si>
    <t>https://dadosabertos.camara.leg.br/api/v2/deputados/178925</t>
  </si>
  <si>
    <t>Rejane Dias</t>
  </si>
  <si>
    <t>REJANE RIBEIRO SOUSA DIAS</t>
  </si>
  <si>
    <t>https://dadosabertos.camara.leg.br/api/v2/deputados/211498</t>
  </si>
  <si>
    <t>Renato Santana</t>
  </si>
  <si>
    <t>RENATO SANTANA DA SILVA</t>
  </si>
  <si>
    <t>https://dadosabertos.camara.leg.br/api/v2/deputados/215042</t>
  </si>
  <si>
    <t>Ricardo da Karol</t>
  </si>
  <si>
    <t>RICARDO CORREA DE BARROS</t>
  </si>
  <si>
    <t>Magé</t>
  </si>
  <si>
    <t>https://dadosabertos.camara.leg.br/api/v2/deputados/160655</t>
  </si>
  <si>
    <t>Ricardo Izar</t>
  </si>
  <si>
    <t>RICARDO IZAR JUNIOR</t>
  </si>
  <si>
    <t>https://www.instagram.com/deputadoricardoizar/, https://twitter.com/ricardoizar, https://www.youtube.com/user/ricardoizar, https://www.facebook.com/ricardoizaroficial/</t>
  </si>
  <si>
    <t>www.ricardoizar.com.br</t>
  </si>
  <si>
    <t>https://dadosabertos.camara.leg.br/api/v2/deputados/211649</t>
  </si>
  <si>
    <t>Ricardo Pericar</t>
  </si>
  <si>
    <t>RICARDO DE SOUZA COSTA</t>
  </si>
  <si>
    <t>https://dadosabertos.camara.leg.br/api/v2/deputados/178920</t>
  </si>
  <si>
    <t>Ricardo Teobaldo</t>
  </si>
  <si>
    <t>RICARDO TEOBALDO CAVALCANTI</t>
  </si>
  <si>
    <t>Limoeiro</t>
  </si>
  <si>
    <t>https://dadosabertos.camara.leg.br/api/v2/deputados/152610</t>
  </si>
  <si>
    <t>Roberto Alves</t>
  </si>
  <si>
    <t>BENEDITO ROBERTO ALVES FERREIRA</t>
  </si>
  <si>
    <t>https://www.facebook.com/RobertoAlvesRepublicanos, https://www.instagram.com/?hl=pt-br, https://twitter.com/RobertoAlves_10, https://youtube.com/RobertoAlvesPRB10</t>
  </si>
  <si>
    <t>https://dadosabertos.camara.leg.br/api/v2/deputados/160653</t>
  </si>
  <si>
    <t>Roberto de Lucena</t>
  </si>
  <si>
    <t>ROBERTO ALVES DE LUCENA</t>
  </si>
  <si>
    <t>http://twitter.com/Dep_Lucena, http://www.facebook.com/dep.lucena</t>
  </si>
  <si>
    <t>Santa Isabel</t>
  </si>
  <si>
    <t>https://dadosabertos.camara.leg.br/api/v2/deputados/74305</t>
  </si>
  <si>
    <t>Roberto Pessoa</t>
  </si>
  <si>
    <t>ROBERTO SOARES PESSOA</t>
  </si>
  <si>
    <t>https://www.facebook.com/RobertoPessoaOficial, https://www.instagram.com/robertopessoaoficial, https://twitter.com/robertopessoa</t>
  </si>
  <si>
    <t>www.robertopessoa.com.br</t>
  </si>
  <si>
    <t>https://dadosabertos.camara.leg.br/api/v2/deputados/204530</t>
  </si>
  <si>
    <t>Rodrigo Agostinho</t>
  </si>
  <si>
    <t>RODRIGO ANTONIO DE AGOSTINHO MENDONÇA</t>
  </si>
  <si>
    <t>https://www.facebook.com/RodrigoAgostinhoDeputado, https://www.instagram.com/rodrigoagostinho, https://twitter.com/rodrigoagost</t>
  </si>
  <si>
    <t>https://dadosabertos.camara.leg.br/api/v2/deputados/204366</t>
  </si>
  <si>
    <t>Rodrigo Coelho</t>
  </si>
  <si>
    <t>RODRIGO COELHO</t>
  </si>
  <si>
    <t>https://www.instagram.com/coelho_rodrigo, https://www.facebook.com/rodrigocoelhooficial, https://twitter.com/coelho_rodrigo, https://youtube.com/rodrigocoelhojlle</t>
  </si>
  <si>
    <t>www.coelhorodrigo.com.br</t>
  </si>
  <si>
    <t>Joinville</t>
  </si>
  <si>
    <t>https://dadosabertos.camara.leg.br/api/v2/deputados/74693</t>
  </si>
  <si>
    <t>Rodrigo Maia</t>
  </si>
  <si>
    <t>RODRIGO FELINTO IBARRA EPITÁCIO MAIA</t>
  </si>
  <si>
    <t>https://dadosabertos.camara.leg.br/api/v2/deputados/160651</t>
  </si>
  <si>
    <t>Rogério Peninha Mendonça</t>
  </si>
  <si>
    <t>ROGÉRIO MENDONÇA</t>
  </si>
  <si>
    <t>https://twitter.com/deputadopeninha, https://www.facebook.com/deputadopeninha, https://www.instagram.com/deputadopeninha, https://youtube.com/channel/UCN8uAHCDLB75vkKQkcKfaPA</t>
  </si>
  <si>
    <t>Nova Trento</t>
  </si>
  <si>
    <t>https://dadosabertos.camara.leg.br/api/v2/deputados/178930</t>
  </si>
  <si>
    <t>Roman</t>
  </si>
  <si>
    <t>EVANDRO ROGERIO ROMAN</t>
  </si>
  <si>
    <t>https://www.facebook.com/evandrorogerio.roman, https://twitter.com/roman_evandro, https://www.instagram.com/evandroroman, https://youtube.com/videos?view_as=subscriber</t>
  </si>
  <si>
    <t>Erval Grande</t>
  </si>
  <si>
    <t>https://dadosabertos.camara.leg.br/api/v2/deputados/178861</t>
  </si>
  <si>
    <t>Ronaldo Carletto</t>
  </si>
  <si>
    <t>RONALDO CARLETTO</t>
  </si>
  <si>
    <t>Conceição da Barra</t>
  </si>
  <si>
    <t>https://dadosabertos.camara.leg.br/api/v2/deputados/122466</t>
  </si>
  <si>
    <t>Ronaldo Martins</t>
  </si>
  <si>
    <t>RONALDO MANCHADO MARTINS</t>
  </si>
  <si>
    <t>https://dadosabertos.camara.leg.br/api/v2/deputados/204357</t>
  </si>
  <si>
    <t>Rose Modesto</t>
  </si>
  <si>
    <t>ROSIANE MODESTO  DE OLIVEIRA</t>
  </si>
  <si>
    <t>Fátima do Sul</t>
  </si>
  <si>
    <t>https://dadosabertos.camara.leg.br/api/v2/deputados/178935</t>
  </si>
  <si>
    <t>Rossoni</t>
  </si>
  <si>
    <t>VALDIR LUIZ ROSSONI</t>
  </si>
  <si>
    <t>Bituruna</t>
  </si>
  <si>
    <t>https://dadosabertos.camara.leg.br/api/v2/deputados/214477</t>
  </si>
  <si>
    <t>RRenato Queiroz</t>
  </si>
  <si>
    <t>RENATO ANDRADE QUEIROZ</t>
  </si>
  <si>
    <t>https://dadosabertos.camara.leg.br/api/v2/deputados/73466</t>
  </si>
  <si>
    <t>Rubens Bueno</t>
  </si>
  <si>
    <t>RUBENS BUENO</t>
  </si>
  <si>
    <t>Sertanópolis</t>
  </si>
  <si>
    <t>https://dadosabertos.camara.leg.br/api/v2/deputados/221157</t>
  </si>
  <si>
    <t>Rui Godinho</t>
  </si>
  <si>
    <t>RUI GODINHO DA MOTA</t>
  </si>
  <si>
    <t>https://dadosabertos.camara.leg.br/api/v2/deputados/178990</t>
  </si>
  <si>
    <t>Samuel Moreira</t>
  </si>
  <si>
    <t>SAMUEL MOREIRA DA SILVA JUNIOR</t>
  </si>
  <si>
    <t>https://www.facebook.com/DeputadoSamuelMoreira, https://www.instagram.com/depsamuelmoreira/, https://twitter.com/samuelmoreira?s=20, https://www.youtube.com/channel/UCArPc1tvo5DTL5AlwHAVHMw</t>
  </si>
  <si>
    <t>https://dadosabertos.camara.leg.br/api/v2/deputados/90842</t>
  </si>
  <si>
    <t>Santini</t>
  </si>
  <si>
    <t>RONALDO SANTINI</t>
  </si>
  <si>
    <t>Lagoa Vermelha</t>
  </si>
  <si>
    <t>https://dadosabertos.camara.leg.br/api/v2/deputados/219599</t>
  </si>
  <si>
    <t>Sargento Alexandre</t>
  </si>
  <si>
    <t>FRANCISCO ALEXANDRE FILHO</t>
  </si>
  <si>
    <t>https://dadosabertos.camara.leg.br/api/v2/deputados/204399</t>
  </si>
  <si>
    <t>Schiavinato</t>
  </si>
  <si>
    <t>JOSE CARLOS SCHIAVINATO</t>
  </si>
  <si>
    <t>https://www.facebook.com/DeputadoSchiavinato, https://twitter.com/Schiavinato_, https://www.instagram.com/deputadoschiavinato, https://youtube.com/channel/UC9DzKm6lsq0Ezf6ybpIJoWg</t>
  </si>
  <si>
    <t>Iguaraçu</t>
  </si>
  <si>
    <t>https://dadosabertos.camara.leg.br/api/v2/deputados/178921</t>
  </si>
  <si>
    <t>Sebastião Oliveira</t>
  </si>
  <si>
    <t>SEBASTIAO IGNACIO DE OLIVEIRA JUNIOR</t>
  </si>
  <si>
    <t>https://www.instagram.com/deputadosebastiaooliveira, https://www.facebook.com/deputadosebastiaooliveira</t>
  </si>
  <si>
    <t>https://dadosabertos.camara.leg.br/api/v2/deputados/204438</t>
  </si>
  <si>
    <t>Sergio Toledo</t>
  </si>
  <si>
    <t>SERGIO TOLEDO DE ALBUQUERQUE</t>
  </si>
  <si>
    <t>https://dadosabertos.camara.leg.br/api/v2/deputados/178874</t>
  </si>
  <si>
    <t>Sergio Vidigal</t>
  </si>
  <si>
    <t>ANTONIO SERGIO ALVES VIDIGAL</t>
  </si>
  <si>
    <t>https://www.facebook.com/vidigalsergio, https://youtube.com/channel/UCLftbfLn6hzk_lTySm-H8iw?view_as=subscriber, https://www.instagram.com/sergiovidigal</t>
  </si>
  <si>
    <t>https://dadosabertos.camara.leg.br/api/v2/deputados/167614</t>
  </si>
  <si>
    <t>Severino Ninho</t>
  </si>
  <si>
    <t>SEVERINO DE SOUZA SILVA</t>
  </si>
  <si>
    <t>Igarassu</t>
  </si>
  <si>
    <t>https://dadosabertos.camara.leg.br/api/v2/deputados/204437</t>
  </si>
  <si>
    <t>Severino Pessoa</t>
  </si>
  <si>
    <t>SEVERINO DE LIRA PESSÔA</t>
  </si>
  <si>
    <t>Arapiraca</t>
  </si>
  <si>
    <t>https://dadosabertos.camara.leg.br/api/v2/deputados/178961</t>
  </si>
  <si>
    <t>Shéridan</t>
  </si>
  <si>
    <t>SHÉRIDAN ESTÉRFANY OLIVEIRA RAMOS</t>
  </si>
  <si>
    <t>https://dadosabertos.camara.leg.br/api/v2/deputados/168175</t>
  </si>
  <si>
    <t>Simplício Araújo</t>
  </si>
  <si>
    <t>JOSE SIMPLICIO ALVES DE ARAUJO</t>
  </si>
  <si>
    <t>http://www.facebook.com/simplicioaraujo, http://www.twitter.com/simplicioaraujo, https://www.instagram.com/simplicioaraujo/</t>
  </si>
  <si>
    <t>Bacabal</t>
  </si>
  <si>
    <t>https://dadosabertos.camara.leg.br/api/v2/deputados/177282</t>
  </si>
  <si>
    <t>Subtenente Gonzaga</t>
  </si>
  <si>
    <t>LUIZ GONZAGA RIBEIRO</t>
  </si>
  <si>
    <t>https://dadosabertos.camara.leg.br/api/v2/deputados/178922</t>
  </si>
  <si>
    <t>Tadeu Alencar</t>
  </si>
  <si>
    <t>FRANCISCO TADEU BARBOSA DE ALENCAR</t>
  </si>
  <si>
    <t>https://dadosabertos.camara.leg.br/api/v2/deputados/74806</t>
  </si>
  <si>
    <t>Tadeu Filippelli</t>
  </si>
  <si>
    <t>NELSON TADEU FILIPPELLI</t>
  </si>
  <si>
    <t>Catanduva</t>
  </si>
  <si>
    <t>https://dadosabertos.camara.leg.br/api/v2/deputados/206231</t>
  </si>
  <si>
    <t>Ted Conti</t>
  </si>
  <si>
    <t>JOÃO BATISTA CONTI</t>
  </si>
  <si>
    <t>Muqui</t>
  </si>
  <si>
    <t>https://dadosabertos.camara.leg.br/api/v2/deputados/178901</t>
  </si>
  <si>
    <t>Tereza Cristina</t>
  </si>
  <si>
    <t>TEREZA CRISTINA CORREA DA COSTA DIAS</t>
  </si>
  <si>
    <t>https://dadosabertos.camara.leg.br/api/v2/deputados/204466</t>
  </si>
  <si>
    <t>Tereza Nelma</t>
  </si>
  <si>
    <t>TEREZA NELMA DA SILVA PORTO VIANA SOARES</t>
  </si>
  <si>
    <t>https://www.instagram.com/terezanelmaal, https://twitter.com/terezanelmaal?s=21, https://www.facebook.com/TerezaNelmaAL</t>
  </si>
  <si>
    <t>https://dadosabertos.camara.leg.br/api/v2/deputados/180018</t>
  </si>
  <si>
    <t>Thiago Cartaxo</t>
  </si>
  <si>
    <t>ANTHONY THIAGO CARTAXO FERREIRA</t>
  </si>
  <si>
    <t>https://dadosabertos.camara.leg.br/api/v2/deputados/178862</t>
  </si>
  <si>
    <t>Tia Eron</t>
  </si>
  <si>
    <t>ERONILDES VASCONCELOS CARVALHO</t>
  </si>
  <si>
    <t>https://www.instagram.com/TiaEron</t>
  </si>
  <si>
    <t>https://dadosabertos.camara.leg.br/api/v2/deputados/219568</t>
  </si>
  <si>
    <t>Tiago Andrino</t>
  </si>
  <si>
    <t>TIAGO DE PAULA ANDRINO</t>
  </si>
  <si>
    <t>https://www.youtube.com/channel/UCwyBpLKCjesPmYopgdgPbzw, https://www.instagram.com/tiagoandrino/, https://www.facebook.com/AndrinoTiago, https://twitter.com/tiagoandrino</t>
  </si>
  <si>
    <t>Itajubá</t>
  </si>
  <si>
    <t>https://dadosabertos.camara.leg.br/api/v2/deputados/204519</t>
  </si>
  <si>
    <t>Tiago Mitraud</t>
  </si>
  <si>
    <t>TIAGO LIMA MITRAUD DE CASTRO LEITE</t>
  </si>
  <si>
    <t>https://www.facebook.com/tiagomitraud, https://www.instagram.com/tiagomitraud, https://twitter.com/tiagomitraud, https://youtube.com/tiagomitraud30</t>
  </si>
  <si>
    <t>www.tiagomitraud.com.br</t>
  </si>
  <si>
    <t>https://dadosabertos.camara.leg.br/api/v2/deputados/197438</t>
  </si>
  <si>
    <t>Tito</t>
  </si>
  <si>
    <t>CARLOS TITO MARQUES CORDEIRO</t>
  </si>
  <si>
    <t>Santa Maria da Vitória</t>
  </si>
  <si>
    <t>https://dadosabertos.camara.leg.br/api/v2/deputados/216545</t>
  </si>
  <si>
    <t>Totonho Lopes</t>
  </si>
  <si>
    <t>FRANCISCO ANTONIO LOPES DE PAULA BEZERRA</t>
  </si>
  <si>
    <t>https://www.instagram.com/totonho.lopes, https://www.facebook.com/TotonhoLopesOficial</t>
  </si>
  <si>
    <t>Ubajara</t>
  </si>
  <si>
    <t>https://dadosabertos.camara.leg.br/api/v2/deputados/178863</t>
  </si>
  <si>
    <t>Uldurico Junior</t>
  </si>
  <si>
    <t>ULDURICO ALENCAR PINTO</t>
  </si>
  <si>
    <t>https://www.facebook.com/ulduricojunior, https://www.instagram.com/ulduricojr</t>
  </si>
  <si>
    <t>https://dadosabertos.camara.leg.br/api/v2/deputados/195866</t>
  </si>
  <si>
    <t>Vaidon Oliveira</t>
  </si>
  <si>
    <t>FRANCISCO VAIDON OLIVEIRA</t>
  </si>
  <si>
    <t>Acaraú</t>
  </si>
  <si>
    <t>https://dadosabertos.camara.leg.br/api/v2/deputados/204385</t>
  </si>
  <si>
    <t>Valdevan Noventa</t>
  </si>
  <si>
    <t>José Valdevan de Jesus Santos</t>
  </si>
  <si>
    <t>https://twitter.com/ValdevanNoventa, https://www.instagram.com/valdevannoventa, https://www.facebook.com/ValdevanNoventaOficial, https://youtube.com/</t>
  </si>
  <si>
    <t>https://dadosabertos.camara.leg.br/api/v2/deputados/141552</t>
  </si>
  <si>
    <t>Valtenir Pereira</t>
  </si>
  <si>
    <t>VALTENIR LUIZ PEREIRA</t>
  </si>
  <si>
    <t>Jaciara</t>
  </si>
  <si>
    <t>https://dadosabertos.camara.leg.br/api/v2/deputados/141553</t>
  </si>
  <si>
    <t>Vanderlei Macris</t>
  </si>
  <si>
    <t>VANDERLEI MACRIS</t>
  </si>
  <si>
    <t>Americana</t>
  </si>
  <si>
    <t>https://dadosabertos.camara.leg.br/api/v2/deputados/204505</t>
  </si>
  <si>
    <t>Vavá Martins</t>
  </si>
  <si>
    <t>WAGNER BACH MARTINS</t>
  </si>
  <si>
    <t>Pelotas</t>
  </si>
  <si>
    <t>https://dadosabertos.camara.leg.br/api/v2/deputados/178888</t>
  </si>
  <si>
    <t>Victor Mendes</t>
  </si>
  <si>
    <t>CARLOS VICTOR GUTERRES MENDES</t>
  </si>
  <si>
    <t>https://facebook.com/victormendesma, https://twitter.com/depvictormendes, https://www.instagram.com/victormendesma, https://youtube.com/depvictormendes</t>
  </si>
  <si>
    <t>Pinheiro</t>
  </si>
  <si>
    <t>https://dadosabertos.camara.leg.br/api/v2/deputados/204483</t>
  </si>
  <si>
    <t>Vilson da Fetaemg</t>
  </si>
  <si>
    <t>VILSON LUIZ DA SILVA</t>
  </si>
  <si>
    <t>https://www.facebook.com/VilsondaFetaemg, https://www.instagram.com/vilsondafetaemg, https://twitter.com/Vilsondafetaemg</t>
  </si>
  <si>
    <t>Cláudio</t>
  </si>
  <si>
    <t>https://dadosabertos.camara.leg.br/api/v2/deputados/204478</t>
  </si>
  <si>
    <t>Vinicius Farah</t>
  </si>
  <si>
    <t>VINICIUS MEDEIROS FARAH</t>
  </si>
  <si>
    <t>Três Rios</t>
  </si>
  <si>
    <t>https://dadosabertos.camara.leg.br/api/v2/deputados/204532</t>
  </si>
  <si>
    <t>Vinicius Poit</t>
  </si>
  <si>
    <t>VINICIUS LAZZER POIT</t>
  </si>
  <si>
    <t>https://twitter.com/viniciuspoit, https://www.facebook.com/viniciuspoit, https://youtube.com/viniciuspoit, https://www.instagram.com/viniciuspoit</t>
  </si>
  <si>
    <t>https://dadosabertos.camara.leg.br/api/v2/deputados/215044</t>
  </si>
  <si>
    <t>Vivi Reis</t>
  </si>
  <si>
    <t>VIVIANE DA COSTA REIS</t>
  </si>
  <si>
    <t>https://dadosabertos.camara.leg.br/api/v2/deputados/178952</t>
  </si>
  <si>
    <t>Walter Alves</t>
  </si>
  <si>
    <t>WALTER PEREIRA ALVES</t>
  </si>
  <si>
    <t>https://dadosabertos.camara.leg.br/api/v2/deputados/204463</t>
  </si>
  <si>
    <t>Wladimir Garotinho</t>
  </si>
  <si>
    <t>WLADIMIR BARROS ASSED MATHEUS DE OLIVEIRA</t>
  </si>
  <si>
    <t>https://dadosabertos.camara.leg.br/api/v2/deputados/74439</t>
  </si>
  <si>
    <t>Wolney Queiroz</t>
  </si>
  <si>
    <t>WOLNEY QUEIROZ MACIEL</t>
  </si>
  <si>
    <t>Caruaru</t>
  </si>
  <si>
    <t>https://dadosabertos.camara.leg.br/api/v2/deputados/191945</t>
  </si>
  <si>
    <t>Zé Augusto Nalin</t>
  </si>
  <si>
    <t>JOSÉ AUGUSTO NALIN</t>
  </si>
  <si>
    <t>Cachoeiro de Itapemirim</t>
  </si>
  <si>
    <t>https://dadosabertos.camara.leg.br/api/v2/deputados/178889</t>
  </si>
  <si>
    <t>Zé Carlos</t>
  </si>
  <si>
    <t>JOSÉ CARLOS NUNES JÚNIOR</t>
  </si>
  <si>
    <t>https://dadosabertos.camara.leg.br/api/v2/deputados/178923</t>
  </si>
  <si>
    <t>Zeca Cavalcanti</t>
  </si>
  <si>
    <t>JOSE CAVALCANTI ALVES JUNIOR</t>
  </si>
  <si>
    <t>Arcoverde</t>
  </si>
  <si>
    <t>https://dadosabertos.camara.leg.br/api/v2/deputados/178957</t>
  </si>
  <si>
    <t>ABEL MESQUITA JR.</t>
  </si>
  <si>
    <t>ABEL SALVADOR MESQUITA JUNIOR</t>
  </si>
  <si>
    <t>https://dadosabertos.camara.leg.br/api/v2/deputados/178864</t>
  </si>
  <si>
    <t>ADAIL CARNEIRO</t>
  </si>
  <si>
    <t>JOSE ADAIL CARNEIRO SILVA</t>
  </si>
  <si>
    <t>Solonópole</t>
  </si>
  <si>
    <t>https://dadosabertos.camara.leg.br/api/v2/deputados/178914</t>
  </si>
  <si>
    <t>ADALBERTO CAVALCANTI</t>
  </si>
  <si>
    <t>ADALBERTO CAVALCANTI RODRIGUES</t>
  </si>
  <si>
    <t>Juazeiro</t>
  </si>
  <si>
    <t>https://dadosabertos.camara.leg.br/api/v2/deputados/178890</t>
  </si>
  <si>
    <t>ADELMO CARNEIRO LEÃO</t>
  </si>
  <si>
    <t>ADELMO CARNEIRO LEAO</t>
  </si>
  <si>
    <t>Itapagipe</t>
  </si>
  <si>
    <t>https://dadosabertos.camara.leg.br/api/v2/deputados/178968</t>
  </si>
  <si>
    <t>ADELSON BARRETO</t>
  </si>
  <si>
    <t>ADELSON BARRETO DOS SANTOS</t>
  </si>
  <si>
    <t>https://dadosabertos.camara.leg.br/api/v2/deputados/133374</t>
  </si>
  <si>
    <t>ADEMIR CAMILO</t>
  </si>
  <si>
    <t>ADEMIR CAMILO PRATES RODRIGUES</t>
  </si>
  <si>
    <t>https://dadosabertos.camara.leg.br/api/v2/deputados/196359</t>
  </si>
  <si>
    <t>ADÉRMIS MARINI</t>
  </si>
  <si>
    <t>ADERMIS MARINI JUNIOR</t>
  </si>
  <si>
    <t>Franca</t>
  </si>
  <si>
    <t>https://dadosabertos.camara.leg.br/api/v2/deputados/178903</t>
  </si>
  <si>
    <t>ADILTON SACHETTI</t>
  </si>
  <si>
    <t>ADILTON DOMINGOS SACHETTI</t>
  </si>
  <si>
    <t>Nova Veneza</t>
  </si>
  <si>
    <t>https://dadosabertos.camara.leg.br/api/v2/deputados/160582</t>
  </si>
  <si>
    <t>ALBERTO FILHO</t>
  </si>
  <si>
    <t>JOSÉ ALBERTO OLIVEIRA VELOSO FILHO</t>
  </si>
  <si>
    <t>https://dadosabertos.camara.leg.br/api/v2/deputados/73458</t>
  </si>
  <si>
    <t>ALEX CANZIANI</t>
  </si>
  <si>
    <t>ALEX CANZIANI SILVEIRA</t>
  </si>
  <si>
    <t>http://twitter.com/#!/canzianialex, http://www.facebook.com/profile.php?id=100002221512482, http://www.youtube.com/user/AlexCanziani1414?blend=3&amp;ob=5</t>
  </si>
  <si>
    <t>https://dadosabertos.camara.leg.br/api/v2/deputados/178875</t>
  </si>
  <si>
    <t>ALEXANDRE BALDY</t>
  </si>
  <si>
    <t>ALEXANDRE BALDY DE SANT'ANNA BRAGA</t>
  </si>
  <si>
    <t>https://dadosabertos.camara.leg.br/api/v2/deputados/178936</t>
  </si>
  <si>
    <t>ALEXANDRE VALLE</t>
  </si>
  <si>
    <t>ALEXANDRE VALLE CARDOSO</t>
  </si>
  <si>
    <t>https://dadosabertos.camara.leg.br/api/v2/deputados/141454</t>
  </si>
  <si>
    <t>ALFREDO KAEFER</t>
  </si>
  <si>
    <t>JACOB ALFREDO STOFFELS KAEFER</t>
  </si>
  <si>
    <t>Roque Gonzales</t>
  </si>
  <si>
    <t>https://dadosabertos.camara.leg.br/api/v2/deputados/178846</t>
  </si>
  <si>
    <t>ALFREDO NASCIMENTO</t>
  </si>
  <si>
    <t>ALFREDO PEREIRA DO NASCIMENTO</t>
  </si>
  <si>
    <t>Martins</t>
  </si>
  <si>
    <t>https://dadosabertos.camara.leg.br/api/v2/deputados/178973</t>
  </si>
  <si>
    <t>ANA PERUGINI</t>
  </si>
  <si>
    <t>ANA LUCIA LIPPAUS PERUGINI</t>
  </si>
  <si>
    <t>Cariacica</t>
  </si>
  <si>
    <t>https://dadosabertos.camara.leg.br/api/v2/deputados/160551</t>
  </si>
  <si>
    <t>ANDERSON FERREIRA</t>
  </si>
  <si>
    <t>ANDERSON FERREIRA RODRIGUES</t>
  </si>
  <si>
    <t>https://dadosabertos.camara.leg.br/api/v2/deputados/195143</t>
  </si>
  <si>
    <t>ANDRÉ AMARAL</t>
  </si>
  <si>
    <t>ANDRÉ AUGUSTO CASTRO DO AMARAL FILHO</t>
  </si>
  <si>
    <t>https://dadosabertos.camara.leg.br/api/v2/deputados/160543</t>
  </si>
  <si>
    <t>ANDRE MOURA</t>
  </si>
  <si>
    <t>ANDRÉ LUIS DANTAS FERREIRA</t>
  </si>
  <si>
    <t>http://twitter.com/andremourapsc</t>
  </si>
  <si>
    <t>https://dadosabertos.camara.leg.br/api/v2/deputados/178974</t>
  </si>
  <si>
    <t>ANDRES SANCHEZ</t>
  </si>
  <si>
    <t>ANDRES NAVARRO SANCHEZ</t>
  </si>
  <si>
    <t>https://dadosabertos.camara.leg.br/api/v2/deputados/192120</t>
  </si>
  <si>
    <t>ANGELA ALBINO</t>
  </si>
  <si>
    <t>https://dadosabertos.camara.leg.br/api/v2/deputados/178837</t>
  </si>
  <si>
    <t>ANGELIM</t>
  </si>
  <si>
    <t>RAIMUNDO ANGELIM VASCONCELOS</t>
  </si>
  <si>
    <t>https://dadosabertos.camara.leg.br/api/v2/deputados/74213</t>
  </si>
  <si>
    <t>ANTONIO BALHMANN</t>
  </si>
  <si>
    <t>ANTONIO BALHMANN CARDOSO NUNES FILHO</t>
  </si>
  <si>
    <t>http://twitter.com/#!/Dep_Balhmann, http://www.facebook.com/profile.php?id=100002156484492&amp;viewas=100000686899395&amp;returnto=profile</t>
  </si>
  <si>
    <t>https://dadosabertos.camara.leg.br/api/v2/deputados/141383</t>
  </si>
  <si>
    <t>ANTONIO BULHÕES</t>
  </si>
  <si>
    <t>ANTONIO CARLOS MARTINS DE BULHÕES</t>
  </si>
  <si>
    <t>https://dadosabertos.camara.leg.br/api/v2/deputados/73584</t>
  </si>
  <si>
    <t>ANTONIO CARLOS MENDES THAME</t>
  </si>
  <si>
    <t>ANTONIO CARLOS DE MENDES THAME</t>
  </si>
  <si>
    <t>Piracicaba</t>
  </si>
  <si>
    <t>https://dadosabertos.camara.leg.br/api/v2/deputados/160530</t>
  </si>
  <si>
    <t>ANTONIO IMBASSAHY</t>
  </si>
  <si>
    <t>ANTONIO JOSÉ IMBASSAHY DA SILVA</t>
  </si>
  <si>
    <t>https://twitter.com/#!/Dep_Imbassahy, https://www.facebook.com/antonio.imbassahy?sk=wall, http://www.youtube.com/user/DepImbassahy</t>
  </si>
  <si>
    <t>https://dadosabertos.camara.leg.br/api/v2/deputados/178950</t>
  </si>
  <si>
    <t>ANTÔNIO JÁCOME</t>
  </si>
  <si>
    <t>ANTONIO JACOME DE LIMA JUNIOR</t>
  </si>
  <si>
    <t>https://dadosabertos.camara.leg.br/api/v2/deputados/74103</t>
  </si>
  <si>
    <t>ARIOSTO HOLANDA</t>
  </si>
  <si>
    <t>FRANCISCO ARIOSTO HOLANDA</t>
  </si>
  <si>
    <t>Limoeiro do Norte</t>
  </si>
  <si>
    <t>https://dadosabertos.camara.leg.br/api/v2/deputados/73434</t>
  </si>
  <si>
    <t>ARNALDO FARIA DE SÁ</t>
  </si>
  <si>
    <t>https://dadosabertos.camara.leg.br/api/v2/deputados/160602</t>
  </si>
  <si>
    <t>ARNALDO JORDY</t>
  </si>
  <si>
    <t>ARNALDO JORDY FIGUEIREDO</t>
  </si>
  <si>
    <t>https://dadosabertos.camara.leg.br/api/v2/deputados/74291</t>
  </si>
  <si>
    <t>ARNON BEZERRA</t>
  </si>
  <si>
    <t>JOSÉ ARNON CRUZ BEZERRA DE MENEZES</t>
  </si>
  <si>
    <t>https://dadosabertos.camara.leg.br/api/v2/deputados/74833</t>
  </si>
  <si>
    <t>AROLDE DE OLIVEIRA</t>
  </si>
  <si>
    <t>São Luiz Gonzaga</t>
  </si>
  <si>
    <t>https://dadosabertos.camara.leg.br/api/v2/deputados/178847</t>
  </si>
  <si>
    <t>ARTHUR VIRGÍLIO BISNETO</t>
  </si>
  <si>
    <t>ARTHUR VIRGILIO DO CARMO RIBEIRO BISNETO</t>
  </si>
  <si>
    <t>https://dadosabertos.camara.leg.br/api/v2/deputados/74378</t>
  </si>
  <si>
    <t>ASSIS DO COUTO</t>
  </si>
  <si>
    <t>ASSIS MIGUEL DO COUTO</t>
  </si>
  <si>
    <t>Santo Antônio do Sudoeste</t>
  </si>
  <si>
    <t>https://dadosabertos.camara.leg.br/api/v2/deputados/160581</t>
  </si>
  <si>
    <t>ASSIS MELO</t>
  </si>
  <si>
    <t>ASSIS FLÁVIO DA SILVA MELO</t>
  </si>
  <si>
    <t>http://twitter.com/deputadoassis, http://www.facebook.com/profile.php?id=100003197972327</t>
  </si>
  <si>
    <t>Bom Jesus</t>
  </si>
  <si>
    <t>https://dadosabertos.camara.leg.br/api/v2/deputados/193165</t>
  </si>
  <si>
    <t>ÁTILA A. NUNES</t>
  </si>
  <si>
    <t>ATILA ALEXANDRE NUNES PEREIRA</t>
  </si>
  <si>
    <t>https://dadosabertos.camara.leg.br/api/v2/deputados/73655</t>
  </si>
  <si>
    <t>AUGUSTO CARVALHO</t>
  </si>
  <si>
    <t>AUGUSTO SILVEIRA DE CARVALHO</t>
  </si>
  <si>
    <t>Patos de Minas</t>
  </si>
  <si>
    <t>https://dadosabertos.camara.leg.br/api/v2/deputados/178834</t>
  </si>
  <si>
    <t>BEBETO</t>
  </si>
  <si>
    <t>ADALBERTO SOUZA GALVÃO</t>
  </si>
  <si>
    <t>Uruçuca</t>
  </si>
  <si>
    <t>https://dadosabertos.camara.leg.br/api/v2/deputados/74535</t>
  </si>
  <si>
    <t>BENITO GAMA</t>
  </si>
  <si>
    <t>BENITO DA GAMA SANTOS</t>
  </si>
  <si>
    <t>Ituaçu</t>
  </si>
  <si>
    <t>https://dadosabertos.camara.leg.br/api/v2/deputados/74040</t>
  </si>
  <si>
    <t>BENJAMIN MARANHÃO</t>
  </si>
  <si>
    <t>BENJAMIN GOMES MARANHÃO NETO</t>
  </si>
  <si>
    <t>https://dadosabertos.camara.leg.br/api/v2/deputados/178915</t>
  </si>
  <si>
    <t>BETINHO GOMES</t>
  </si>
  <si>
    <t>HEBERTE LAMARCK GOMES DA SILVA</t>
  </si>
  <si>
    <t>https://facebook.com/betinho45, https://twitter.com/betinho45, https://www.instagram.com/intagram.com/betinho45</t>
  </si>
  <si>
    <t>www.betinhogomes.com.br</t>
  </si>
  <si>
    <t>Cabo de Santo Agostinho</t>
  </si>
  <si>
    <t>https://dadosabertos.camara.leg.br/api/v2/deputados/73437</t>
  </si>
  <si>
    <t>BETO MANSUR</t>
  </si>
  <si>
    <t>PAULO ROBERTO GOMES MANSUR</t>
  </si>
  <si>
    <t>São Vicente</t>
  </si>
  <si>
    <t>https://dadosabertos.camara.leg.br/api/v2/deputados/178906</t>
  </si>
  <si>
    <t>BETO SALAME</t>
  </si>
  <si>
    <t>ROBERTO SALAME FILHO</t>
  </si>
  <si>
    <t>Marabá</t>
  </si>
  <si>
    <t>https://dadosabertos.camara.leg.br/api/v2/deputados/74650</t>
  </si>
  <si>
    <t>BONIFÁCIO DE ANDRADA</t>
  </si>
  <si>
    <t>BONIFÁCIO JOSÉ TAMM DE ANDRADA</t>
  </si>
  <si>
    <t>https://dadosabertos.camara.leg.br/api/v2/deputados/178999</t>
  </si>
  <si>
    <t>BRUNNY</t>
  </si>
  <si>
    <t>BRUNIELE FERREIRA GOMES</t>
  </si>
  <si>
    <t>https://dadosabertos.camara.leg.br/api/v2/deputados/141394</t>
  </si>
  <si>
    <t>BRUNO ARAÚJO</t>
  </si>
  <si>
    <t>BRUNO CAVALCANTI DE ARAÚJO</t>
  </si>
  <si>
    <t>https://dadosabertos.camara.leg.br/api/v2/deputados/178976</t>
  </si>
  <si>
    <t>BRUNO COVAS</t>
  </si>
  <si>
    <t>BRUNO COVAS LOPES</t>
  </si>
  <si>
    <t>https://dadosabertos.camara.leg.br/api/v2/deputados/178938</t>
  </si>
  <si>
    <t>CABO DACIOLO</t>
  </si>
  <si>
    <t>BENEVENUTO DACIOLO FONSECA DOS SANTOS</t>
  </si>
  <si>
    <t>https://dadosabertos.camara.leg.br/api/v2/deputados/178865</t>
  </si>
  <si>
    <t>CABO SABINO</t>
  </si>
  <si>
    <t>FLAVIO ALVES SABINO</t>
  </si>
  <si>
    <t>Quixadá</t>
  </si>
  <si>
    <t>https://dadosabertos.camara.leg.br/api/v2/deputados/105112</t>
  </si>
  <si>
    <t>CABUÇU BORGES</t>
  </si>
  <si>
    <t>LUIZ GIONILSON PINHEIRO BORGES</t>
  </si>
  <si>
    <t>https://dadosabertos.camara.leg.br/api/v2/deputados/178853</t>
  </si>
  <si>
    <t>Caetano</t>
  </si>
  <si>
    <t>LUIZ CARLOS CAETANO</t>
  </si>
  <si>
    <t>Central</t>
  </si>
  <si>
    <t>https://dadosabertos.camara.leg.br/api/v2/deputados/178891</t>
  </si>
  <si>
    <t>CAIO NARCIO</t>
  </si>
  <si>
    <t>CAIO NARCIO RODRIGUES DA SILVEIRA</t>
  </si>
  <si>
    <t>https://www.facebook.com/Facebook/CaioNarcio</t>
  </si>
  <si>
    <t>https://dadosabertos.camara.leg.br/api/v2/deputados/194261</t>
  </si>
  <si>
    <t>CAJAR NARDES</t>
  </si>
  <si>
    <t>CAJAR ONESIMO RIBEIRO NARDES</t>
  </si>
  <si>
    <t>Santo Ângelo</t>
  </si>
  <si>
    <t>https://dadosabertos.camara.leg.br/api/v2/deputados/205303</t>
  </si>
  <si>
    <t>CARLA STEPHANINI</t>
  </si>
  <si>
    <t>CARLA CHARBEL STEPHANINI</t>
  </si>
  <si>
    <t>https://dadosabertos.camara.leg.br/api/v2/deputados/178958</t>
  </si>
  <si>
    <t>CARLOS ANDRADE</t>
  </si>
  <si>
    <t>CARLOS AUGUSTO ANDRADE SILVA</t>
  </si>
  <si>
    <t>https://dadosabertos.camara.leg.br/api/v2/deputados/74474</t>
  </si>
  <si>
    <t>CARLOS EDUARDO CADOCA</t>
  </si>
  <si>
    <t>CARLOS EDUARDO CINTRA DA COSTA PEREIRA</t>
  </si>
  <si>
    <t>https://dadosabertos.camara.leg.br/api/v2/deputados/74163</t>
  </si>
  <si>
    <t>CARLOS MANATO</t>
  </si>
  <si>
    <t>CARLOS HUMBERTO MANNATO</t>
  </si>
  <si>
    <t>Alegre</t>
  </si>
  <si>
    <t>https://dadosabertos.camara.leg.br/api/v2/deputados/178900</t>
  </si>
  <si>
    <t>CARLOS MARUN</t>
  </si>
  <si>
    <t>CARLOS EDUARDO XAVIER MARUN</t>
  </si>
  <si>
    <t>https://dadosabertos.camara.leg.br/api/v2/deputados/74651</t>
  </si>
  <si>
    <t>CARLOS MELLES</t>
  </si>
  <si>
    <t>CARLOS DO CARMO ANDRADE MELLES</t>
  </si>
  <si>
    <t>São Sebastião do Paraíso</t>
  </si>
  <si>
    <t>https://dadosabertos.camara.leg.br/api/v2/deputados/73934</t>
  </si>
  <si>
    <t>CARLOS SOUZA</t>
  </si>
  <si>
    <t>CARLOS ALBERTO CAVALCANTE DE SOUZA</t>
  </si>
  <si>
    <t>https://dadosabertos.camara.leg.br/api/v2/deputados/73568</t>
  </si>
  <si>
    <t>CELSO JACOB</t>
  </si>
  <si>
    <t>CELSO ALENCAR RAMOS JACOB</t>
  </si>
  <si>
    <t>https://dadosabertos.camara.leg.br/api/v2/deputados/72912</t>
  </si>
  <si>
    <t>CELSO PANSERA</t>
  </si>
  <si>
    <t>São Valentim</t>
  </si>
  <si>
    <t>https://dadosabertos.camara.leg.br/api/v2/deputados/160576</t>
  </si>
  <si>
    <t>CÉSAR HALUM</t>
  </si>
  <si>
    <t>CESAR HANNA HALUM</t>
  </si>
  <si>
    <t>https://dadosabertos.camara.leg.br/api/v2/deputados/178838</t>
  </si>
  <si>
    <t>CÉSAR MESSIAS</t>
  </si>
  <si>
    <t>CARLOS CESAR CORREIA DE MESSIAS</t>
  </si>
  <si>
    <t>https://dadosabertos.camara.leg.br/api/v2/deputados/73720</t>
  </si>
  <si>
    <t>CESAR SOUZA</t>
  </si>
  <si>
    <t>César Antonio de Souza</t>
  </si>
  <si>
    <t>https://dadosabertos.camara.leg.br/api/v2/deputados/141440</t>
  </si>
  <si>
    <t>CHICO LOPES</t>
  </si>
  <si>
    <t>FRANCISCO LOPES DA SILVA</t>
  </si>
  <si>
    <t>https://dadosabertos.camara.leg.br/api/v2/deputados/178841</t>
  </si>
  <si>
    <t>CÍCERO ALMEIDA</t>
  </si>
  <si>
    <t>JOSÉ CÍCERO SOARES DE ALMEIDA</t>
  </si>
  <si>
    <t>Maribondo</t>
  </si>
  <si>
    <t>https://dadosabertos.camara.leg.br/api/v2/deputados/178848</t>
  </si>
  <si>
    <t>CONCEIÇÃO SAMPAIO</t>
  </si>
  <si>
    <t>MARIA DA CONCEICAO SAMPAIO MOURA</t>
  </si>
  <si>
    <t>Alenquer</t>
  </si>
  <si>
    <t>https://dadosabertos.camara.leg.br/api/v2/deputados/205302</t>
  </si>
  <si>
    <t>CORONEL BITTENCOURT</t>
  </si>
  <si>
    <t>ISAIAS FERREIRA BITTENCOURT</t>
  </si>
  <si>
    <t>Terenos</t>
  </si>
  <si>
    <t>https://dadosabertos.camara.leg.br/api/v2/deputados/194258</t>
  </si>
  <si>
    <t>CREUZA PEREIRA</t>
  </si>
  <si>
    <t>CLEUZA PEREIRA DO NASCIMENTO</t>
  </si>
  <si>
    <t>Salgueiro</t>
  </si>
  <si>
    <t>https://dadosabertos.camara.leg.br/api/v2/deputados/93472</t>
  </si>
  <si>
    <t>CRISTIANE BRASIL</t>
  </si>
  <si>
    <t>CRISTIANE BRASIL FRANCISCO</t>
  </si>
  <si>
    <t>https://dadosabertos.camara.leg.br/api/v2/deputados/178892</t>
  </si>
  <si>
    <t>DÂMINA PEREIRA</t>
  </si>
  <si>
    <t>DAMINA DE CARVALHO PEREIRA</t>
  </si>
  <si>
    <t>Lavras</t>
  </si>
  <si>
    <t>https://dadosabertos.camara.leg.br/api/v2/deputados/144523</t>
  </si>
  <si>
    <t>DANIEL VILELA</t>
  </si>
  <si>
    <t>DANIEL ELIAS CARVALHO VILELA</t>
  </si>
  <si>
    <t>Jataí</t>
  </si>
  <si>
    <t>https://dadosabertos.camara.leg.br/api/v2/deputados/141412</t>
  </si>
  <si>
    <t>DAVI ALVES SILVA JÚNIOR</t>
  </si>
  <si>
    <t>https://dadosabertos.camara.leg.br/api/v2/deputados/101309</t>
  </si>
  <si>
    <t>DAVIDSON MAGALHÃES</t>
  </si>
  <si>
    <t>DAVIDSON DE MAGALHÃES SANTOS</t>
  </si>
  <si>
    <t>https://dadosabertos.camara.leg.br/api/v2/deputados/141413</t>
  </si>
  <si>
    <t>DÉCIO LIMA</t>
  </si>
  <si>
    <t>DÉCIO NERY DE LIMA</t>
  </si>
  <si>
    <t>Itajaí</t>
  </si>
  <si>
    <t>https://dadosabertos.camara.leg.br/api/v2/deputados/196357</t>
  </si>
  <si>
    <t>DEJORGE PATRÍCIO</t>
  </si>
  <si>
    <t>DEJORGE PATRICIO DA SILVA</t>
  </si>
  <si>
    <t>https://dadosabertos.camara.leg.br/api/v2/deputados/178893</t>
  </si>
  <si>
    <t>DELEGADO EDSON MOREIRA</t>
  </si>
  <si>
    <t>EDSON MOREIRA DA SILVA</t>
  </si>
  <si>
    <t>https://www.facebook.com/DelegadoEdsonMoreiraPolítico, https://twitter.com/DelegadoMoreira, https://www.instagram.com/delegadomoreira, https://youtube.com//user/DelegadoEdsonMoreira</t>
  </si>
  <si>
    <t>www.delegadoedsonmoreira.com.br</t>
  </si>
  <si>
    <t>https://dadosabertos.camara.leg.br/api/v2/deputados/160646</t>
  </si>
  <si>
    <t>DELEGADO FRANCISCHINI</t>
  </si>
  <si>
    <t>FERNANDO DESTITO FRANCISCHINI</t>
  </si>
  <si>
    <t>http://www.twitter.com/francischini_</t>
  </si>
  <si>
    <t>https://dadosabertos.camara.leg.br/api/v2/deputados/74172</t>
  </si>
  <si>
    <t>DELEY</t>
  </si>
  <si>
    <t>WANDERLEY ALVES DE OLIVEIRA</t>
  </si>
  <si>
    <t>Volta Redonda</t>
  </si>
  <si>
    <t>https://dadosabertos.camara.leg.br/api/v2/deputados/185500</t>
  </si>
  <si>
    <t>DEOCLIDES MACEDO</t>
  </si>
  <si>
    <t>DEOCLIDES ANTONIO SANTOS NETO MACEDO</t>
  </si>
  <si>
    <t>Porto Franco</t>
  </si>
  <si>
    <t>https://dadosabertos.camara.leg.br/api/v2/deputados/178940</t>
  </si>
  <si>
    <t>DR. JOÃO</t>
  </si>
  <si>
    <t>JOAO FERREIRA NETO</t>
  </si>
  <si>
    <t>https://dadosabertos.camara.leg.br/api/v2/deputados/160643</t>
  </si>
  <si>
    <t>DR. JORGE SILVA</t>
  </si>
  <si>
    <t>JORGE SILVA</t>
  </si>
  <si>
    <t>São Mateus</t>
  </si>
  <si>
    <t>https://dadosabertos.camara.leg.br/api/v2/deputados/141385</t>
  </si>
  <si>
    <t>DUARTE NOGUEIRA</t>
  </si>
  <si>
    <t>ANTONIO DUARTE NOGUEIRA JÚNIOR</t>
  </si>
  <si>
    <t>https://dadosabertos.camara.leg.br/api/v2/deputados/73447</t>
  </si>
  <si>
    <t>EDINHO ARAÚJO</t>
  </si>
  <si>
    <t>EDSON EDINHO COELHO ARAÚJO</t>
  </si>
  <si>
    <t>https://twitter.com/_edinhoaraujo, https://www.facebook.com/pages/Edinho-Ara%C3%Bajo/512478158795235?fref=ts</t>
  </si>
  <si>
    <t>Santa Fé do Sul</t>
  </si>
  <si>
    <t>https://dadosabertos.camara.leg.br/api/v2/deputados/73793</t>
  </si>
  <si>
    <t>EDINHO BEZ</t>
  </si>
  <si>
    <t>EDSON BEZ DE OLIVEIRA</t>
  </si>
  <si>
    <t>Gravatal</t>
  </si>
  <si>
    <t>https://dadosabertos.camara.leg.br/api/v2/deputados/160578</t>
  </si>
  <si>
    <t>EDMAR ARRUDA</t>
  </si>
  <si>
    <t>EDMAR DE SOUZA ARRUDA</t>
  </si>
  <si>
    <t>https://dadosabertos.camara.leg.br/api/v2/deputados/74173</t>
  </si>
  <si>
    <t>EDUARDO CUNHA</t>
  </si>
  <si>
    <t>EDUARDO COSENTINO DA CUNHA</t>
  </si>
  <si>
    <t>https://dadosabertos.camara.leg.br/api/v2/deputados/181316</t>
  </si>
  <si>
    <t>ELIZEU DIONIZIO</t>
  </si>
  <si>
    <t>ELIZEU DIONIZIO SOUZA  DA SILVA</t>
  </si>
  <si>
    <t>https://www.instagram.com/elizeudionizio, https://www.facebook.com/elizeudionizio</t>
  </si>
  <si>
    <t>Santa Teresa</t>
  </si>
  <si>
    <t>https://dadosabertos.camara.leg.br/api/v2/deputados/178883</t>
  </si>
  <si>
    <t>ELIZIANE GAMA</t>
  </si>
  <si>
    <t>ELIZIANE PEREIRA GAMA MELO</t>
  </si>
  <si>
    <t>Monção</t>
  </si>
  <si>
    <t>https://dadosabertos.camara.leg.br/api/v2/deputados/99654</t>
  </si>
  <si>
    <t>ERIVELTON SANTANA</t>
  </si>
  <si>
    <t>ERIVELTON LIMA SANTANA</t>
  </si>
  <si>
    <t>https://dadosabertos.camara.leg.br/api/v2/deputados/171782</t>
  </si>
  <si>
    <t>ERON BEZERRA</t>
  </si>
  <si>
    <t>ERONILDO BRAGA BEZERRA</t>
  </si>
  <si>
    <t>Boca do Acre</t>
  </si>
  <si>
    <t>https://dadosabertos.camara.leg.br/api/v2/deputados/160649</t>
  </si>
  <si>
    <t>ESPERIDIÃO AMIN</t>
  </si>
  <si>
    <t>ESPERIDIÃO AMIN HELOU FILHO</t>
  </si>
  <si>
    <t>https://dadosabertos.camara.leg.br/api/v2/deputados/202915</t>
  </si>
  <si>
    <t>EURICELIA CARDOSO</t>
  </si>
  <si>
    <t>EURICELIA MELO CARDOSO</t>
  </si>
  <si>
    <t>https://dadosabertos.camara.leg.br/api/v2/deputados/178828</t>
  </si>
  <si>
    <t>EVANDRO GUSSI</t>
  </si>
  <si>
    <t>EVANDRO HERRERA BERTONE GUSSI</t>
  </si>
  <si>
    <t>https://dadosabertos.camara.leg.br/api/v2/deputados/178904</t>
  </si>
  <si>
    <t>EZEQUIEL FONSECA</t>
  </si>
  <si>
    <t>EZEQUIEL ANGELO FONSECA</t>
  </si>
  <si>
    <t>Santa Albertina</t>
  </si>
  <si>
    <t>https://dadosabertos.camara.leg.br/api/v2/deputados/178941</t>
  </si>
  <si>
    <t>EZEQUIEL TEIXEIRA</t>
  </si>
  <si>
    <t>EZEQUIEL CORTAZ TEIXEIRA</t>
  </si>
  <si>
    <t>https://dadosabertos.camara.leg.br/api/v2/deputados/146829</t>
  </si>
  <si>
    <t>FABIANO HORTA</t>
  </si>
  <si>
    <t>FABIANO TAQUES HORTA</t>
  </si>
  <si>
    <t>https://dadosabertos.camara.leg.br/api/v2/deputados/178877</t>
  </si>
  <si>
    <t>FÁBIO SOUSA</t>
  </si>
  <si>
    <t>FABIO FERNANDES DE SOUSA</t>
  </si>
  <si>
    <t>https://dadosabertos.camara.leg.br/api/v2/deputados/190149</t>
  </si>
  <si>
    <t>FABRICIO OLIVEIRA</t>
  </si>
  <si>
    <t>FABRICIO JOSÉ SATIRO DE OLIVEIRA</t>
  </si>
  <si>
    <t>https://dadosabertos.camara.leg.br/api/v2/deputados/141430</t>
  </si>
  <si>
    <t>FELIPE BORNIER</t>
  </si>
  <si>
    <t>FELIPE LEONE BORNIER DE OLIVEIRA</t>
  </si>
  <si>
    <t>https://dadosabertos.camara.leg.br/api/v2/deputados/141429</t>
  </si>
  <si>
    <t>FELIPE MAIA</t>
  </si>
  <si>
    <t>FELIPE CATALÃO MAIA</t>
  </si>
  <si>
    <t>https://dadosabertos.camara.leg.br/api/v2/deputados/205234</t>
  </si>
  <si>
    <t>FELIPE SOUZA</t>
  </si>
  <si>
    <t>LUIS FELIPE SILVA DE SOUZA</t>
  </si>
  <si>
    <t>https://dadosabertos.camara.leg.br/api/v2/deputados/163831</t>
  </si>
  <si>
    <t>FERNANDO JORDÃO</t>
  </si>
  <si>
    <t>FERNANDO ANTÔNIO CECILIANO JORDÃO</t>
  </si>
  <si>
    <t>https://dadosabertos.camara.leg.br/api/v2/deputados/73481</t>
  </si>
  <si>
    <t>FERNANDO MARRONI</t>
  </si>
  <si>
    <t>FERNANDO STEPHAN MARRONI</t>
  </si>
  <si>
    <t>https://dadosabertos.camara.leg.br/api/v2/deputados/160676</t>
  </si>
  <si>
    <t>FERNANDO TORRES</t>
  </si>
  <si>
    <t>FERNANDO DANTAS TORRES</t>
  </si>
  <si>
    <t>https://dadosabertos.camara.leg.br/api/v2/deputados/178978</t>
  </si>
  <si>
    <t>FLAVINHO</t>
  </si>
  <si>
    <t>FLAVIO AUGUSTO DA SILVA</t>
  </si>
  <si>
    <t>Guaratinguetá</t>
  </si>
  <si>
    <t>https://dadosabertos.camara.leg.br/api/v2/deputados/178979</t>
  </si>
  <si>
    <t>FLORIANO PESARO</t>
  </si>
  <si>
    <t>ANTONIO FLORIANO PEREIRA PESARO</t>
  </si>
  <si>
    <t>https://dadosabertos.camara.leg.br/api/v2/deputados/178907</t>
  </si>
  <si>
    <t>FRANCISCO CHAPADINHA</t>
  </si>
  <si>
    <t>FRANCISCO ALVES DE AGUIAR</t>
  </si>
  <si>
    <t>Batalha</t>
  </si>
  <si>
    <t>https://dadosabertos.camara.leg.br/api/v2/deputados/160677</t>
  </si>
  <si>
    <t>FRANCISCO FLORIANO</t>
  </si>
  <si>
    <t>FRANCISCO FLORIANO DE SOUSA SILVA</t>
  </si>
  <si>
    <t>https://www.facebook.com/DepFranciscoFloriano, https://www.instagram.com/FranciscoFloriano</t>
  </si>
  <si>
    <t>http://www.franciscoflorianorj.com.br</t>
  </si>
  <si>
    <t>https://dadosabertos.camara.leg.br/api/v2/deputados/186775</t>
  </si>
  <si>
    <t>FRANKLIN</t>
  </si>
  <si>
    <t>FRANKLIN ROBERTO DE LIMA SOUZA</t>
  </si>
  <si>
    <t>Pindamonhangaba</t>
  </si>
  <si>
    <t>https://dadosabertos.camara.leg.br/api/v2/deputados/74189</t>
  </si>
  <si>
    <t>FREIRE JÚNIOR</t>
  </si>
  <si>
    <t>JOSÉ DOS SANTOS FREIRE JÚNIOR</t>
  </si>
  <si>
    <t>https://dadosabertos.camara.leg.br/api/v2/deputados/204651</t>
  </si>
  <si>
    <t>FREITAS DO PT</t>
  </si>
  <si>
    <t>MILNE FREITAS SOUZA</t>
  </si>
  <si>
    <t>Barra do Corda</t>
  </si>
  <si>
    <t>https://dadosabertos.camara.leg.br/api/v2/deputados/129037</t>
  </si>
  <si>
    <t>GABRIEL GUIMARÃES</t>
  </si>
  <si>
    <t>GABRIEL GUIMARÃES DE ANDRADE</t>
  </si>
  <si>
    <t>http://www.twitter.com/gguimaraespt</t>
  </si>
  <si>
    <t>https://dadosabertos.camara.leg.br/api/v2/deputados/141441</t>
  </si>
  <si>
    <t>GEORGE HILTON</t>
  </si>
  <si>
    <t>GEORGE HILTON DOS SANTOS CECÍLIO</t>
  </si>
  <si>
    <t>https://dadosabertos.camara.leg.br/api/v2/deputados/74077</t>
  </si>
  <si>
    <t>GIOVANNI QUEIROZ</t>
  </si>
  <si>
    <t>GIOVANNI CORRÊA QUEIROZ</t>
  </si>
  <si>
    <t>Campina Verde</t>
  </si>
  <si>
    <t>https://dadosabertos.camara.leg.br/api/v2/deputados/178878</t>
  </si>
  <si>
    <t>GIUSEPPE VECCI</t>
  </si>
  <si>
    <t>Itauçu</t>
  </si>
  <si>
    <t>https://dadosabertos.camara.leg.br/api/v2/deputados/74558</t>
  </si>
  <si>
    <t>GIVALDO CARIMBÃO</t>
  </si>
  <si>
    <t>GIVALDO DE SÁ GOUVEIA</t>
  </si>
  <si>
    <t>Itabi</t>
  </si>
  <si>
    <t>https://dadosabertos.camara.leg.br/api/v2/deputados/178872</t>
  </si>
  <si>
    <t>GIVALDO VIEIRA</t>
  </si>
  <si>
    <t>GIVALDO VIEIRA DA SILVA</t>
  </si>
  <si>
    <t>Afonso Cláudio</t>
  </si>
  <si>
    <t>https://dadosabertos.camara.leg.br/api/v2/deputados/178980</t>
  </si>
  <si>
    <t>GOULART</t>
  </si>
  <si>
    <t>ANTONIO GOULART DOS REIS</t>
  </si>
  <si>
    <t>Vargem Bonita</t>
  </si>
  <si>
    <t>https://dadosabertos.camara.leg.br/api/v2/deputados/194259</t>
  </si>
  <si>
    <t>GUILHERME COELHO</t>
  </si>
  <si>
    <t>GUILHERME CRUZ DE SOUZA COELHO</t>
  </si>
  <si>
    <t>https://dadosabertos.camara.leg.br/api/v2/deputados/205298</t>
  </si>
  <si>
    <t>GUSTAVO MITRE</t>
  </si>
  <si>
    <t>GUSTAVO MARQUES CARVALHO MITRE</t>
  </si>
  <si>
    <t>https://dadosabertos.camara.leg.br/api/v2/deputados/97707</t>
  </si>
  <si>
    <t>HERÁCLITO FORTES</t>
  </si>
  <si>
    <t>HERÁCLITO DE SOUSA FORTES</t>
  </si>
  <si>
    <t>https://www.facebook.com/hfortespi/, https://twitter.com/heraclitoPI, https://www.instagram.com/heraclitofortes/</t>
  </si>
  <si>
    <t>www.heraclitofortes.com</t>
  </si>
  <si>
    <t>https://dadosabertos.camara.leg.br/api/v2/deputados/160596</t>
  </si>
  <si>
    <t>HEULER CRUVINEL</t>
  </si>
  <si>
    <t>HEULER ABREU CRUVINEL</t>
  </si>
  <si>
    <t>https://dadosabertos.camara.leg.br/api/v2/deputados/178849</t>
  </si>
  <si>
    <t>HISSA ABRAHÃO</t>
  </si>
  <si>
    <t>HISSA NAGIB ABRAHAO FILHO</t>
  </si>
  <si>
    <t>https://dadosabertos.camara.leg.br/api/v2/deputados/194592</t>
  </si>
  <si>
    <t>ILDON MARQUES</t>
  </si>
  <si>
    <t>ILDON MARQUES DE SOUZA</t>
  </si>
  <si>
    <t>Malta</t>
  </si>
  <si>
    <t>https://dadosabertos.camara.leg.br/api/v2/deputados/141389</t>
  </si>
  <si>
    <t>INDIO DA COSTA</t>
  </si>
  <si>
    <t>ANTONIO PEDRO INDIO DA COSTA</t>
  </si>
  <si>
    <t>https://dadosabertos.camara.leg.br/api/v2/deputados/81232</t>
  </si>
  <si>
    <t>IRAJÁ ABREU</t>
  </si>
  <si>
    <t>IRAJÁ SILVESTRE FILHO</t>
  </si>
  <si>
    <t>https://dadosabertos.camara.leg.br/api/v2/deputados/178855</t>
  </si>
  <si>
    <t>IRMÃO LAZARO</t>
  </si>
  <si>
    <t>ANTONIO LAZARO SILVA</t>
  </si>
  <si>
    <t>https://dadosabertos.camara.leg.br/api/v2/deputados/4931</t>
  </si>
  <si>
    <t>IZALCI LUCAS</t>
  </si>
  <si>
    <t>IZALCI LUCAS FERREIRA</t>
  </si>
  <si>
    <t>Araújos</t>
  </si>
  <si>
    <t>https://dadosabertos.camara.leg.br/api/v2/deputados/196378</t>
  </si>
  <si>
    <t>IZAQUE SILVA</t>
  </si>
  <si>
    <t>IZAQUE JOSE DA SILVA</t>
  </si>
  <si>
    <t>Pirapozinho</t>
  </si>
  <si>
    <t>https://dadosabertos.camara.leg.br/api/v2/deputados/74665</t>
  </si>
  <si>
    <t>JAIME MARTINS</t>
  </si>
  <si>
    <t>JAIME MARTINS FILHO</t>
  </si>
  <si>
    <t>Nova Serrana</t>
  </si>
  <si>
    <t>https://dadosabertos.camara.leg.br/api/v2/deputados/74847</t>
  </si>
  <si>
    <t>JAIR BOLSONARO</t>
  </si>
  <si>
    <t>JAIR MESSIAS BOLSONARO</t>
  </si>
  <si>
    <t>Glicério</t>
  </si>
  <si>
    <t>https://dadosabertos.camara.leg.br/api/v2/deputados/73926</t>
  </si>
  <si>
    <t>JANETE CAPIBERIBE</t>
  </si>
  <si>
    <t>JANETE MARIA GÓES CAPIBERIBE</t>
  </si>
  <si>
    <t>https://dadosabertos.camara.leg.br/api/v2/deputados/131943</t>
  </si>
  <si>
    <t>JARBAS VASCONCELOS</t>
  </si>
  <si>
    <t>Jarbas de Andrade Vasconcelos</t>
  </si>
  <si>
    <t>Vicência</t>
  </si>
  <si>
    <t>https://dadosabertos.camara.leg.br/api/v2/deputados/160672</t>
  </si>
  <si>
    <t>Jean Wyllys</t>
  </si>
  <si>
    <t>JEAN WYLLYS DE MATOS SANTOS</t>
  </si>
  <si>
    <t>https://dadosabertos.camara.leg.br/api/v2/deputados/141503</t>
  </si>
  <si>
    <t>JÔ MORAES</t>
  </si>
  <si>
    <t>MARIA DO SOCORRO JÔ MORAES</t>
  </si>
  <si>
    <t>Cabedelo</t>
  </si>
  <si>
    <t>https://dadosabertos.camara.leg.br/api/v2/deputados/160573</t>
  </si>
  <si>
    <t>JOÃO ARRUDA</t>
  </si>
  <si>
    <t>JOÃO JOSÉ DE ARRUDA JÚNIOR</t>
  </si>
  <si>
    <t>https://dadosabertos.camara.leg.br/api/v2/deputados/74445</t>
  </si>
  <si>
    <t>JOÃO CASTELO</t>
  </si>
  <si>
    <t>JOÃO CASTELO RIBEIRO GONÇALVES</t>
  </si>
  <si>
    <t>https://dadosabertos.camara.leg.br/api/v2/deputados/178965</t>
  </si>
  <si>
    <t>JOÃO DERLY</t>
  </si>
  <si>
    <t>JOAO DERLY DE OLIVEIRA NUNES JUNIOR</t>
  </si>
  <si>
    <t>https://dadosabertos.camara.leg.br/api/v2/deputados/178917</t>
  </si>
  <si>
    <t>JOÃO FERNANDO COUTINHO</t>
  </si>
  <si>
    <t>JOAO FERNANDO PONTUAL COUTINHO</t>
  </si>
  <si>
    <t>https://dadosabertos.camara.leg.br/api/v2/deputados/178856</t>
  </si>
  <si>
    <t>JOÃO GUALBERTO</t>
  </si>
  <si>
    <t>JOAO GUALBERTO VASCONCELOS</t>
  </si>
  <si>
    <t>https://dadosabertos.camara.leg.br/api/v2/deputados/178967</t>
  </si>
  <si>
    <t>JOÃO PAULO KLEINÜBING</t>
  </si>
  <si>
    <t>JOAO PAULO KARAM KLEINUBING</t>
  </si>
  <si>
    <t>https://dadosabertos.camara.leg.br/api/v2/deputados/178988</t>
  </si>
  <si>
    <t>JOÃO PAULO PAPA</t>
  </si>
  <si>
    <t>JOAO PAULO TAVARES PAPA</t>
  </si>
  <si>
    <t>https://dadosabertos.camara.leg.br/api/v2/deputados/160571</t>
  </si>
  <si>
    <t>JOÃO RODRIGUES</t>
  </si>
  <si>
    <t>http://www.twitter.com/joaoverdade</t>
  </si>
  <si>
    <t>https://dadosabertos.camara.leg.br/api/v2/deputados/194262</t>
  </si>
  <si>
    <t>JONES MARTINS</t>
  </si>
  <si>
    <t>JONES ALEXANDRE MARTINS</t>
  </si>
  <si>
    <t>Meleiro</t>
  </si>
  <si>
    <t>https://dadosabertos.camara.leg.br/api/v2/deputados/178971</t>
  </si>
  <si>
    <t>JONY MARCOS</t>
  </si>
  <si>
    <t>JONY MARCOS DE SOUZA ARAUJO</t>
  </si>
  <si>
    <t>Ponta Porã</t>
  </si>
  <si>
    <t>https://dadosabertos.camara.leg.br/api/v2/deputados/74388</t>
  </si>
  <si>
    <t>JORGE BOEIRA</t>
  </si>
  <si>
    <t>JORGE CATARINO LEONARDELI BOEIRA</t>
  </si>
  <si>
    <t>Vacaria</t>
  </si>
  <si>
    <t>https://dadosabertos.camara.leg.br/api/v2/deputados/160572</t>
  </si>
  <si>
    <t>JORGE CÔRTE REAL</t>
  </si>
  <si>
    <t>JORGE WICKS CÔRTE REAL</t>
  </si>
  <si>
    <t>https://dadosabertos.camara.leg.br/api/v2/deputados/73535</t>
  </si>
  <si>
    <t>JORGE TADEU MUDALEN</t>
  </si>
  <si>
    <t>https://dadosabertos.camara.leg.br/api/v2/deputados/160509</t>
  </si>
  <si>
    <t>JORGINHO MELLO</t>
  </si>
  <si>
    <t>JORGINHO DOS SANTOS MELLO</t>
  </si>
  <si>
    <t>Ibicaré</t>
  </si>
  <si>
    <t>https://dadosabertos.camara.leg.br/api/v2/deputados/74553</t>
  </si>
  <si>
    <t>JOSÉ CARLOS ALELUIA</t>
  </si>
  <si>
    <t>JOSÉ CARLOS ALELUIA COSTA</t>
  </si>
  <si>
    <t>https://dadosabertos.camara.leg.br/api/v2/deputados/74140</t>
  </si>
  <si>
    <t>JOSÉ CARLOS ARAÚJO</t>
  </si>
  <si>
    <t>JOSÉ CARLOS LEÃO DE ARAÚJO</t>
  </si>
  <si>
    <t>https://dadosabertos.camara.leg.br/api/v2/deputados/131966</t>
  </si>
  <si>
    <t>JOSÉ FOGAÇA</t>
  </si>
  <si>
    <t>José Alberto Fogaça de Medeiros</t>
  </si>
  <si>
    <t>https://dadosabertos.camara.leg.br/api/v2/deputados/74275</t>
  </si>
  <si>
    <t>JOSÉ MENTOR</t>
  </si>
  <si>
    <t>JOSÉ MENTOR GUILHERME DE MELLO NETTO</t>
  </si>
  <si>
    <t>https://dadosabertos.camara.leg.br/api/v2/deputados/74395</t>
  </si>
  <si>
    <t>JOSÉ OTÁVIO GERMANO</t>
  </si>
  <si>
    <t>https://dadosabertos.camara.leg.br/api/v2/deputados/73714</t>
  </si>
  <si>
    <t>JOSÉ REINALDO</t>
  </si>
  <si>
    <t>José Reinaldo Carneiro Tavares</t>
  </si>
  <si>
    <t>https://dadosabertos.camara.leg.br/api/v2/deputados/160607</t>
  </si>
  <si>
    <t>JOSE STÉDILE</t>
  </si>
  <si>
    <t>JOSE LUIZ STÉDILE</t>
  </si>
  <si>
    <t>Nova Prata</t>
  </si>
  <si>
    <t>https://dadosabertos.camara.leg.br/api/v2/deputados/114941</t>
  </si>
  <si>
    <t>JOSI NUNES</t>
  </si>
  <si>
    <t>JOSINIANE BRAGA NUNES</t>
  </si>
  <si>
    <t>https://facebook.com/josinunesto, https://www.instagram.com/instagran.com/josinunesto, https://twitter.com/josinunesto, https://youtube.com/josinunesto</t>
  </si>
  <si>
    <t>www.josinunes, com.br</t>
  </si>
  <si>
    <t>https://dadosabertos.camara.leg.br/api/v2/deputados/74351</t>
  </si>
  <si>
    <t>JOSUÉ BENGTSON</t>
  </si>
  <si>
    <t>http://twitter.com/JosueBengtson, http://www.facebook.com/JosueBengtson, https://www.instagram.com/prjosuebengtson</t>
  </si>
  <si>
    <t>Getulina</t>
  </si>
  <si>
    <t>https://dadosabertos.camara.leg.br/api/v2/deputados/73666</t>
  </si>
  <si>
    <t>JOVAIR ARANTES</t>
  </si>
  <si>
    <t>JOVAIR DE OLIVEIRA ARANTES</t>
  </si>
  <si>
    <t>Buriti Alegre</t>
  </si>
  <si>
    <t>https://dadosabertos.camara.leg.br/api/v2/deputados/178851</t>
  </si>
  <si>
    <t>JOZI ARAÚJO</t>
  </si>
  <si>
    <t>JOZIANE ARAÚJO NASCIMENTO</t>
  </si>
  <si>
    <t>Itaituba</t>
  </si>
  <si>
    <t>https://dadosabertos.camara.leg.br/api/v2/deputados/67312</t>
  </si>
  <si>
    <t>JÚLIA MARINHO</t>
  </si>
  <si>
    <t>JULIA MARIA GODINHO DA CRUZ MARINHO</t>
  </si>
  <si>
    <t>Itapirapuã</t>
  </si>
  <si>
    <t>https://dadosabertos.camara.leg.br/api/v2/deputados/141474</t>
  </si>
  <si>
    <t>JULIÃO AMIN</t>
  </si>
  <si>
    <t>JULIÃO AMIN CASTRO</t>
  </si>
  <si>
    <t>https://dadosabertos.camara.leg.br/api/v2/deputados/201357</t>
  </si>
  <si>
    <t>JUNIOR CORINGA</t>
  </si>
  <si>
    <t>ADEMAR VIEIRA JUNIOR</t>
  </si>
  <si>
    <t>https://dadosabertos.camara.leg.br/api/v2/deputados/178885</t>
  </si>
  <si>
    <t>JUNIOR MARRECA</t>
  </si>
  <si>
    <t>ANTONIO DA CRUZ FILGUEIRA JUNIOR</t>
  </si>
  <si>
    <t>https://dadosabertos.camara.leg.br/api/v2/deputados/160544</t>
  </si>
  <si>
    <t>JUNJI ABE</t>
  </si>
  <si>
    <t>https://dadosabertos.camara.leg.br/api/v2/deputados/74570</t>
  </si>
  <si>
    <t>JUTAHY JUNIOR</t>
  </si>
  <si>
    <t>JUTAHY MAGALHÃES JÚNIOR</t>
  </si>
  <si>
    <t>https://dadosabertos.camara.leg.br/api/v2/deputados/178918</t>
  </si>
  <si>
    <t>KAIO MANIÇOBA</t>
  </si>
  <si>
    <t>KAIO CESAR DE MOURA MANICOBA NOVAES FERRAZ</t>
  </si>
  <si>
    <t>https://dadosabertos.camara.leg.br/api/v2/deputados/160659</t>
  </si>
  <si>
    <t>KEIKO OTA</t>
  </si>
  <si>
    <t>IOLANDA KEIKO MIASHIRO OTA</t>
  </si>
  <si>
    <t>Olímpia</t>
  </si>
  <si>
    <t>https://dadosabertos.camara.leg.br/api/v2/deputados/178894</t>
  </si>
  <si>
    <t>LAUDIVIO CARVALHO</t>
  </si>
  <si>
    <t>LAUDIVIO ALVARENGA CARVALHO</t>
  </si>
  <si>
    <t>https://dadosabertos.camara.leg.br/api/v2/deputados/141562</t>
  </si>
  <si>
    <t>LELO COIMBRA</t>
  </si>
  <si>
    <t>WELINGTON COIMBRA</t>
  </si>
  <si>
    <t>https://dadosabertos.camara.leg.br/api/v2/deputados/141482</t>
  </si>
  <si>
    <t>LEONARDO QUINTÃO</t>
  </si>
  <si>
    <t>LEONARDO LEMOS BARROS QUINTÃO</t>
  </si>
  <si>
    <t>https://dadosabertos.camara.leg.br/api/v2/deputados/160663</t>
  </si>
  <si>
    <t>LEOPOLDO MEYER</t>
  </si>
  <si>
    <t>LEOPOLDO COSTA MEYER</t>
  </si>
  <si>
    <t>https://dadosabertos.camara.leg.br/api/v2/deputados/141483</t>
  </si>
  <si>
    <t>LINDOMAR GARÇON</t>
  </si>
  <si>
    <t>LINDOMAR BARBOSA ALVES</t>
  </si>
  <si>
    <t>www.lindomargarcon.com.br</t>
  </si>
  <si>
    <t>https://dadosabertos.camara.leg.br/api/v2/deputados/74277</t>
  </si>
  <si>
    <t>LOBBE NETO</t>
  </si>
  <si>
    <t>ANTONIO ADOLPHO LOBBE NETO</t>
  </si>
  <si>
    <t>https://dadosabertos.camara.leg.br/api/v2/deputados/81366</t>
  </si>
  <si>
    <t>LUANA COSTA</t>
  </si>
  <si>
    <t>LUANA MARIA DA SILVA COSTA</t>
  </si>
  <si>
    <t>Peri Mirim</t>
  </si>
  <si>
    <t>https://dadosabertos.camara.leg.br/api/v2/deputados/160628</t>
  </si>
  <si>
    <t>LUCIANA SANTOS</t>
  </si>
  <si>
    <t>LUCIANA BARBOSA DE OLIVEIRA SANTOS</t>
  </si>
  <si>
    <t>https://dadosabertos.camara.leg.br/api/v2/deputados/141484</t>
  </si>
  <si>
    <t>LÚCIO VALE</t>
  </si>
  <si>
    <t>LÚCIO DUTRA VALE</t>
  </si>
  <si>
    <t>https://dadosabertos.camara.leg.br/api/v2/deputados/94931</t>
  </si>
  <si>
    <t>LUCIO VIEIRA LIMA</t>
  </si>
  <si>
    <t>LÚCIO QUADROS VIEIRA LIMA</t>
  </si>
  <si>
    <t>https://dadosabertos.camara.leg.br/api/v2/deputados/73483</t>
  </si>
  <si>
    <t>LUIS CARLOS HEINZE</t>
  </si>
  <si>
    <t>https://www.facebook.com/deputadoheinze/</t>
  </si>
  <si>
    <t>http://www.deputadoheinze.com.br</t>
  </si>
  <si>
    <t>Candelária</t>
  </si>
  <si>
    <t>https://dadosabertos.camara.leg.br/api/v2/deputados/178802</t>
  </si>
  <si>
    <t>LUIZ CARLOS RAMOS</t>
  </si>
  <si>
    <t>https://www.facebook.com/luizcarlosramos, https://twitter.com/lcrbr</t>
  </si>
  <si>
    <t>www.luizcarlosramos.com.br</t>
  </si>
  <si>
    <t>https://dadosabertos.camara.leg.br/api/v2/deputados/178955</t>
  </si>
  <si>
    <t>LUIZ CLÁUDIO</t>
  </si>
  <si>
    <t>LUIZ CLAUDIO PEREIRA ALVES</t>
  </si>
  <si>
    <t>Bom Conselho</t>
  </si>
  <si>
    <t>https://dadosabertos.camara.leg.br/api/v2/deputados/74688</t>
  </si>
  <si>
    <t>LUIZ SÉRGIO</t>
  </si>
  <si>
    <t>LUIZ SÉRGIO NÓBREGA DE OLIVEIRA</t>
  </si>
  <si>
    <t>https://dadosabertos.camara.leg.br/api/v2/deputados/198198</t>
  </si>
  <si>
    <t>LUZIA FERREIRA</t>
  </si>
  <si>
    <t>LUZIA MARIA FERREIRA</t>
  </si>
  <si>
    <t>Perdigão</t>
  </si>
  <si>
    <t>https://dadosabertos.camara.leg.br/api/v2/deputados/178867</t>
  </si>
  <si>
    <t>MACEDO</t>
  </si>
  <si>
    <t>JOSE MARIA MACEDO JUNIOR</t>
  </si>
  <si>
    <t>https://dadosabertos.camara.leg.br/api/v2/deputados/178826</t>
  </si>
  <si>
    <t>MAJOR OLIMPIO</t>
  </si>
  <si>
    <t>SERGIO OLIMPIO GOMES</t>
  </si>
  <si>
    <t>https://dadosabertos.camara.leg.br/api/v2/deputados/160633</t>
  </si>
  <si>
    <t>MANDETTA</t>
  </si>
  <si>
    <t>LUIZ HENRIQUE MANDETTA</t>
  </si>
  <si>
    <t>https://dadosabertos.camara.leg.br/api/v2/deputados/141490</t>
  </si>
  <si>
    <t>MANOEL JUNIOR</t>
  </si>
  <si>
    <t>MANOEL ALVES DA SILVA JUNIOR</t>
  </si>
  <si>
    <t>http://twitter.com/depmanoeljunior, http://www.facebook.com/pages/Deputado-Manoel-Junior/304776446238762</t>
  </si>
  <si>
    <t>Pedras de Fogo</t>
  </si>
  <si>
    <t>https://dadosabertos.camara.leg.br/api/v2/deputados/160565</t>
  </si>
  <si>
    <t>MARA GABRILLI</t>
  </si>
  <si>
    <t>MARA CRISTINA GABRILLI</t>
  </si>
  <si>
    <t>http://www.twitter.com/maragabrilli, http://www.facebook.com/maragabrilli</t>
  </si>
  <si>
    <t>https://dadosabertos.camara.leg.br/api/v2/deputados/160660</t>
  </si>
  <si>
    <t>MARCELO AGUIAR</t>
  </si>
  <si>
    <t>MARCELO THEODORO DE AGUIAR</t>
  </si>
  <si>
    <t>https://dadosabertos.camara.leg.br/api/v2/deputados/178932</t>
  </si>
  <si>
    <t>MARCELO BELINATI</t>
  </si>
  <si>
    <t>MARCELO BELINATI MARTINS</t>
  </si>
  <si>
    <t>https://dadosabertos.camara.leg.br/api/v2/deputados/74460</t>
  </si>
  <si>
    <t>MARCELO CASTRO</t>
  </si>
  <si>
    <t>MARCELO COSTA E CASTRO</t>
  </si>
  <si>
    <t>https://dadosabertos.camara.leg.br/api/v2/deputados/195826</t>
  </si>
  <si>
    <t>MARCELO DELAROLI</t>
  </si>
  <si>
    <t>MARCELO JANDRE DELAROLI</t>
  </si>
  <si>
    <t>https://dadosabertos.camara.leg.br/api/v2/deputados/76287</t>
  </si>
  <si>
    <t>MARCELO MATOS</t>
  </si>
  <si>
    <t>MARCELO VIVIANI GONÇALVES</t>
  </si>
  <si>
    <t>http://twitter.com/#!/marcelomatos_rj, http://facebook.com/deputadomarcelomatos</t>
  </si>
  <si>
    <t>São João de Meriti</t>
  </si>
  <si>
    <t>https://dadosabertos.camara.leg.br/api/v2/deputados/74278</t>
  </si>
  <si>
    <t>MARCELO ORTIZ</t>
  </si>
  <si>
    <t>FRANCISCO MARCELO ORTIZ FILHO</t>
  </si>
  <si>
    <t>Penápolis</t>
  </si>
  <si>
    <t>https://dadosabertos.camara.leg.br/api/v2/deputados/178899</t>
  </si>
  <si>
    <t>MARCIO MONTEIRO</t>
  </si>
  <si>
    <t>MARCIO CAMPOS MONTEIRO</t>
  </si>
  <si>
    <t>https://dadosabertos.camara.leg.br/api/v2/deputados/178942</t>
  </si>
  <si>
    <t>MARCO ANTÔNIO CABRAL</t>
  </si>
  <si>
    <t>MARCO ANTONIO NEVES CABRAL</t>
  </si>
  <si>
    <t>https://dadosabertos.camara.leg.br/api/v2/deputados/160536</t>
  </si>
  <si>
    <t>MARCO TEBALDI</t>
  </si>
  <si>
    <t>MARCO ANTONIO TEBALDI</t>
  </si>
  <si>
    <t>http://www.twitter.com/mtebaldi</t>
  </si>
  <si>
    <t>http://blogdotebaldi.blogspot.com/</t>
  </si>
  <si>
    <t>https://dadosabertos.camara.leg.br/api/v2/deputados/74470</t>
  </si>
  <si>
    <t>MARCONDES GADELHA</t>
  </si>
  <si>
    <t>MARCONDES IRAN BENEVIDES GADELHA</t>
  </si>
  <si>
    <t>https://dadosabertos.camara.leg.br/api/v2/deputados/178880</t>
  </si>
  <si>
    <t>MARCOS ABRÃO</t>
  </si>
  <si>
    <t>MARCOS ABRAO RORIZ SOARES DE CARVALHO</t>
  </si>
  <si>
    <t>https://dadosabertos.camara.leg.br/api/v2/deputados/74634</t>
  </si>
  <si>
    <t>MARCOS MEDRADO</t>
  </si>
  <si>
    <t>MARCOS ANTONIO MEDRADO</t>
  </si>
  <si>
    <t>https://dadosabertos.camara.leg.br/api/v2/deputados/141500</t>
  </si>
  <si>
    <t>MARCOS MONTES</t>
  </si>
  <si>
    <t>MARCOS MONTES CORDEIRO</t>
  </si>
  <si>
    <t>Sacramento</t>
  </si>
  <si>
    <t>https://dadosabertos.camara.leg.br/api/v2/deputados/178852</t>
  </si>
  <si>
    <t>MARCOS REATEGUI</t>
  </si>
  <si>
    <t>MARCOS JOSE REATEGUI SOUZA</t>
  </si>
  <si>
    <t>https://dadosabertos.camara.leg.br/api/v2/deputados/167722</t>
  </si>
  <si>
    <t>MARCOS ROGÉRIO</t>
  </si>
  <si>
    <t>MARCOS ROGÉRIO DA SILVA BRITO</t>
  </si>
  <si>
    <t>https://pt-br.facebook.com/depmarcosrogerio</t>
  </si>
  <si>
    <t>https://dadosabertos.camara.leg.br/api/v2/deputados/178850</t>
  </si>
  <si>
    <t>MARCOS ROTTA</t>
  </si>
  <si>
    <t>MARCOS SERGIO ROTTA</t>
  </si>
  <si>
    <t>Cianorte</t>
  </si>
  <si>
    <t>https://dadosabertos.camara.leg.br/api/v2/deputados/159238</t>
  </si>
  <si>
    <t>Marcus Pestana</t>
  </si>
  <si>
    <t>MARCUS VINÍCIUS CAETANO PESTANA DA SILVA</t>
  </si>
  <si>
    <t>https://dadosabertos.camara.leg.br/api/v2/deputados/74235</t>
  </si>
  <si>
    <t>MARCUS VICENTE</t>
  </si>
  <si>
    <t>MARCUS ANTÔNIO VICENTE</t>
  </si>
  <si>
    <t>Ibiraçu</t>
  </si>
  <si>
    <t>https://dadosabertos.camara.leg.br/api/v2/deputados/205297</t>
  </si>
  <si>
    <t>MARFIZA GALVÃO</t>
  </si>
  <si>
    <t>MARFIZA DE LIMA GALVÃO</t>
  </si>
  <si>
    <t>https://dadosabertos.camara.leg.br/api/v2/deputados/64960</t>
  </si>
  <si>
    <t>MARIA HELENA</t>
  </si>
  <si>
    <t>MARIA HELENA VERONESE RODRIGUES</t>
  </si>
  <si>
    <t>https://dadosabertos.camara.leg.br/api/v2/deputados/178919</t>
  </si>
  <si>
    <t>MARINALDO ROSENDO</t>
  </si>
  <si>
    <t>MARINALDO ROSENDO DE ALBUQUERQUE</t>
  </si>
  <si>
    <t>https://www.facebook.com/marinaldorosendo</t>
  </si>
  <si>
    <t>Timbaúba</t>
  </si>
  <si>
    <t>https://dadosabertos.camara.leg.br/api/v2/deputados/74177</t>
  </si>
  <si>
    <t>MARINHA RAUPP</t>
  </si>
  <si>
    <t>MARINHA CÉLIA ROCHA RAUPP DE MATOS</t>
  </si>
  <si>
    <t>Maracaí</t>
  </si>
  <si>
    <t>https://dadosabertos.camara.leg.br/api/v2/deputados/181315</t>
  </si>
  <si>
    <t>MARQUINHO MENDES</t>
  </si>
  <si>
    <t>MARCOS DA ROCHA MENDES</t>
  </si>
  <si>
    <t>https://dadosabertos.camara.leg.br/api/v2/deputados/74050</t>
  </si>
  <si>
    <t>MAURÍCIO QUINTELLA LESSA</t>
  </si>
  <si>
    <t>MAURÍCIO QUINTELLA MALTA LESSA</t>
  </si>
  <si>
    <t>http://www.twitter.com/DepQuintella, http://www.facebook.com/mauricioquintella.lessa</t>
  </si>
  <si>
    <t>https://dadosabertos.camara.leg.br/api/v2/deputados/73588</t>
  </si>
  <si>
    <t>MAURO BENEVIDES</t>
  </si>
  <si>
    <t>CARLOS MAURO CABRAL BENEVIDES</t>
  </si>
  <si>
    <t>https://dadosabertos.camara.leg.br/api/v2/deputados/141507</t>
  </si>
  <si>
    <t>MAURO MARIANI</t>
  </si>
  <si>
    <t>https://dadosabertos.camara.leg.br/api/v2/deputados/124411</t>
  </si>
  <si>
    <t>MAURO PEREIRA</t>
  </si>
  <si>
    <t>https://dadosabertos.camara.leg.br/api/v2/deputados/178827</t>
  </si>
  <si>
    <t>MAX FILHO</t>
  </si>
  <si>
    <t>MAX FREITAS MAURO FILHO</t>
  </si>
  <si>
    <t>https://https//www.facebook.com/max.maurofilho, https://twitter.com/MaxMauroFilho</t>
  </si>
  <si>
    <t>https://dadosabertos.camara.leg.br/api/v2/deputados/141509</t>
  </si>
  <si>
    <t>MIGUEL CORRÊA</t>
  </si>
  <si>
    <t>MIGUEL CORRÊA DA SILVA JÚNIOR</t>
  </si>
  <si>
    <t>https://dadosabertos.camara.leg.br/api/v2/deputados/74787</t>
  </si>
  <si>
    <t>MILTON MONTI</t>
  </si>
  <si>
    <t>MILTON ANTONIO CASQUEL MONTI</t>
  </si>
  <si>
    <t>São Manuel</t>
  </si>
  <si>
    <t>https://dadosabertos.camara.leg.br/api/v2/deputados/74862</t>
  </si>
  <si>
    <t>MIRO TEIXEIRA</t>
  </si>
  <si>
    <t>https://dadosabertos.camara.leg.br/api/v2/deputados/178859</t>
  </si>
  <si>
    <t>MOEMA GRAMACHO</t>
  </si>
  <si>
    <t>MOEMA ISABEL PASSOS GRAMACHO</t>
  </si>
  <si>
    <t>https://dadosabertos.camara.leg.br/api/v2/deputados/195278</t>
  </si>
  <si>
    <t>MOISÉS DINIZ</t>
  </si>
  <si>
    <t>MOISES DINIZ LIMA</t>
  </si>
  <si>
    <t>https://dadosabertos.camara.leg.br/api/v2/deputados/74457</t>
  </si>
  <si>
    <t>MORONI TORGAN</t>
  </si>
  <si>
    <t>MORONI BING TORGAN</t>
  </si>
  <si>
    <t>https://dadosabertos.camara.leg.br/api/v2/deputados/160567</t>
  </si>
  <si>
    <t>NELSON MARCHEZAN JUNIOR</t>
  </si>
  <si>
    <t>NELSON MARCHEZAN JÚNIOR</t>
  </si>
  <si>
    <t>https://dadosabertos.camara.leg.br/api/v2/deputados/73553</t>
  </si>
  <si>
    <t>NELSON MARQUEZELLI</t>
  </si>
  <si>
    <t>Pirassununga</t>
  </si>
  <si>
    <t>https://dadosabertos.camara.leg.br/api/v2/deputados/73781</t>
  </si>
  <si>
    <t>NELSON MEURER</t>
  </si>
  <si>
    <t>Bom Retiro</t>
  </si>
  <si>
    <t>https://dadosabertos.camara.leg.br/api/v2/deputados/193069</t>
  </si>
  <si>
    <t>NELSON NAHIM</t>
  </si>
  <si>
    <t>NELSON NAHIM MATHEUS DE OLIVEIRA</t>
  </si>
  <si>
    <t>https://dadosabertos.camara.leg.br/api/v2/deputados/160566</t>
  </si>
  <si>
    <t>NELSON PADOVANI</t>
  </si>
  <si>
    <t>https://dadosabertos.camara.leg.br/api/v2/deputados/74751</t>
  </si>
  <si>
    <t>NILMÁRIO MIRANDA</t>
  </si>
  <si>
    <t>NILMÁRIO DE MIRANDA</t>
  </si>
  <si>
    <t>https://dadosabertos.camara.leg.br/api/v2/deputados/166401</t>
  </si>
  <si>
    <t>NILSON LEITÃO</t>
  </si>
  <si>
    <t>NILSON APARECIDO LEITÃO</t>
  </si>
  <si>
    <t>Cassilândia</t>
  </si>
  <si>
    <t>https://dadosabertos.camara.leg.br/api/v2/deputados/74359</t>
  </si>
  <si>
    <t>NILTON CAPIXABA</t>
  </si>
  <si>
    <t>NILTON BALBINO</t>
  </si>
  <si>
    <t>Cuparaque</t>
  </si>
  <si>
    <t>https://dadosabertos.camara.leg.br/api/v2/deputados/74752</t>
  </si>
  <si>
    <t>ODELMO LEÃO</t>
  </si>
  <si>
    <t>ODELMO LEÃO CARNEIRO SOBRINHO</t>
  </si>
  <si>
    <t>https://www.facebook.com/odelmoleao, https://www.twitter.com/odelmoleao, https://www.instagram.com/odelmoleao, https://www.youtube.com/odelmoleaouberlandia</t>
  </si>
  <si>
    <t>www.odelmoleao.com.br</t>
  </si>
  <si>
    <t>https://dadosabertos.camara.leg.br/api/v2/deputados/180545</t>
  </si>
  <si>
    <t>OSMAR BERTOLDI</t>
  </si>
  <si>
    <t>OSMAR STUART BERTOLDI</t>
  </si>
  <si>
    <t>https://dadosabertos.camara.leg.br/api/v2/deputados/202063</t>
  </si>
  <si>
    <t>OSVALDO MAFRA</t>
  </si>
  <si>
    <t>OSVALDO OLAVIO MAFRA</t>
  </si>
  <si>
    <t>https://dadosabertos.camara.leg.br/api/v2/deputados/193982</t>
  </si>
  <si>
    <t>PASTOR LUCIANO BRAGA</t>
  </si>
  <si>
    <t>LUCIANO FRED BRAGA PENHA</t>
  </si>
  <si>
    <t>https://dadosabertos.camara.leg.br/api/v2/deputados/74017</t>
  </si>
  <si>
    <t>PAULO FEIJÓ</t>
  </si>
  <si>
    <t>PAULO FERNANDO FEIJO TORRES</t>
  </si>
  <si>
    <t>Santa Maria Madalena</t>
  </si>
  <si>
    <t>https://dadosabertos.camara.leg.br/api/v2/deputados/141517</t>
  </si>
  <si>
    <t>PAULO HENRIQUE LUSTOSA</t>
  </si>
  <si>
    <t>PAULO HENRIQUE ELLERY LUSTOSA DA COSTA</t>
  </si>
  <si>
    <t>https://dadosabertos.camara.leg.br/api/v2/deputados/132056</t>
  </si>
  <si>
    <t>PAULO MALUF</t>
  </si>
  <si>
    <t>PAULO SALIM MALUF</t>
  </si>
  <si>
    <t>https://dadosabertos.camara.leg.br/api/v2/deputados/74812</t>
  </si>
  <si>
    <t>PEDRO CHAVES</t>
  </si>
  <si>
    <t>PEDRO PINHEIRO CHAVES</t>
  </si>
  <si>
    <t>São Domingos</t>
  </si>
  <si>
    <t>https://dadosabertos.camara.leg.br/api/v2/deputados/74449</t>
  </si>
  <si>
    <t>PEDRO FERNANDES</t>
  </si>
  <si>
    <t>PEDRO FERNANDES RIBEIRO</t>
  </si>
  <si>
    <t>https://dadosabertos.camara.leg.br/api/v2/deputados/80920</t>
  </si>
  <si>
    <t>PENNA</t>
  </si>
  <si>
    <t>JOSÉ LUIZ DE FRANÇA PENNA</t>
  </si>
  <si>
    <t>http://twitter.com/deputado_penna, http://www.facebook.com/profile.php?id=100002343750959</t>
  </si>
  <si>
    <t>https://dadosabertos.camara.leg.br/api/v2/deputados/141445</t>
  </si>
  <si>
    <t>PEPE VARGAS</t>
  </si>
  <si>
    <t>GILBERTO JOSÉ SPIER VARGAS</t>
  </si>
  <si>
    <t>Nova Petrópolis</t>
  </si>
  <si>
    <t>https://dadosabertos.camara.leg.br/api/v2/deputados/195997</t>
  </si>
  <si>
    <t>POLLYANA GAMA</t>
  </si>
  <si>
    <t>POLLYANA FATIMA GAMA SANTOS</t>
  </si>
  <si>
    <t>https://dadosabertos.camara.leg.br/api/v2/deputados/200153</t>
  </si>
  <si>
    <t>PROF. GEDEÃO AMORIM</t>
  </si>
  <si>
    <t>GEDEAO TIMOTEO AMORIM</t>
  </si>
  <si>
    <t>Icó</t>
  </si>
  <si>
    <t>https://dadosabertos.camara.leg.br/api/v2/deputados/170673</t>
  </si>
  <si>
    <t>PROFESSOR SÉRGIO DE OLIVEIRA</t>
  </si>
  <si>
    <t>SERGIO PAULO DE OLIVEIRA</t>
  </si>
  <si>
    <t>Medianeira</t>
  </si>
  <si>
    <t>https://dadosabertos.camara.leg.br/api/v2/deputados/148134</t>
  </si>
  <si>
    <t>PROFESSOR VICTÓRIO GALLI</t>
  </si>
  <si>
    <t>VICTORIO GALLI FILHO</t>
  </si>
  <si>
    <t>Rosana</t>
  </si>
  <si>
    <t>https://dadosabertos.camara.leg.br/api/v2/deputados/74216</t>
  </si>
  <si>
    <t>RAIMUNDO GOMES DE MATOS</t>
  </si>
  <si>
    <t>https://dadosabertos.camara.leg.br/api/v2/deputados/178998</t>
  </si>
  <si>
    <t>RAQUEL MUNIZ</t>
  </si>
  <si>
    <t>TANIA RAQUEL DE QUEIROZ MUNIZ</t>
  </si>
  <si>
    <t>https://dadosabertos.camara.leg.br/api/v2/deputados/74048</t>
  </si>
  <si>
    <t>RAUL JUNGMANN</t>
  </si>
  <si>
    <t>RAUL BELENS JUNGMANN PINTO</t>
  </si>
  <si>
    <t>https://dadosabertos.camara.leg.br/api/v2/deputados/73786</t>
  </si>
  <si>
    <t>REINHOLD STEPHANES</t>
  </si>
  <si>
    <t>https://dadosabertos.camara.leg.br/api/v2/deputados/178960</t>
  </si>
  <si>
    <t>REMÍDIO MONAI</t>
  </si>
  <si>
    <t>REMIDIO MONAI MONTESSI</t>
  </si>
  <si>
    <t>Iporã</t>
  </si>
  <si>
    <t>https://dadosabertos.camara.leg.br/api/v2/deputados/171620</t>
  </si>
  <si>
    <t>RENATO ANDRADE</t>
  </si>
  <si>
    <t>RENATO BARBOSA DE ANDRADE</t>
  </si>
  <si>
    <t>https://dadosabertos.camara.leg.br/api/v2/deputados/141527</t>
  </si>
  <si>
    <t>RENATO MOLLING</t>
  </si>
  <si>
    <t>RENATO DELMAR MOLLING</t>
  </si>
  <si>
    <t>Dois Irmãos</t>
  </si>
  <si>
    <t>https://dadosabertos.camara.leg.br/api/v2/deputados/160654</t>
  </si>
  <si>
    <t>RENZO BRAZ</t>
  </si>
  <si>
    <t>RENZO DO AMARAL BRAZ</t>
  </si>
  <si>
    <t>www.renzobraz.com.br</t>
  </si>
  <si>
    <t>https://dadosabertos.camara.leg.br/api/v2/deputados/195581</t>
  </si>
  <si>
    <t>RICARDO BENTINHO</t>
  </si>
  <si>
    <t>RICARDO ANTONIO BUAINAIN DIAS</t>
  </si>
  <si>
    <t>Adamantina</t>
  </si>
  <si>
    <t>https://dadosabertos.camara.leg.br/api/v2/deputados/141472</t>
  </si>
  <si>
    <t>RICARDO TRIPOLI</t>
  </si>
  <si>
    <t>JOSÉ RICARDO ALVARENGA TRIPOLI</t>
  </si>
  <si>
    <t>http://twitter.com/ricardotripoli, https://https://www.facebook.com/ricardotripoli/, https://www.instagram.com/tripolioficial/</t>
  </si>
  <si>
    <t>http://www.ricardotripoli.com.br/</t>
  </si>
  <si>
    <t>https://dadosabertos.camara.leg.br/api/v2/deputados/73674</t>
  </si>
  <si>
    <t>ROBERTO BALESTRA</t>
  </si>
  <si>
    <t>ROBERTO EGÍDIO BALESTRA</t>
  </si>
  <si>
    <t>Inhumas</t>
  </si>
  <si>
    <t>https://dadosabertos.camara.leg.br/api/v2/deputados/141529</t>
  </si>
  <si>
    <t>ROBERTO BRITTO</t>
  </si>
  <si>
    <t>ROBERTO PEREIRA DE BRITTO</t>
  </si>
  <si>
    <t>Jequié</t>
  </si>
  <si>
    <t>https://dadosabertos.camara.leg.br/api/v2/deputados/73805</t>
  </si>
  <si>
    <t>ROBERTO FREIRE</t>
  </si>
  <si>
    <t>ROBERTO JOÃO PEREIRA FREIRE</t>
  </si>
  <si>
    <t>http://www.twitter.com/freire_roberto, https://www.facebook.com/DepRobertoFreire, https://www.youtube.com/user/robertofreire2010</t>
  </si>
  <si>
    <t>https://dadosabertos.camara.leg.br/api/v2/deputados/178995</t>
  </si>
  <si>
    <t>ROBERTO GÓES</t>
  </si>
  <si>
    <t>ANTONIO ROBERTO RODRIGUES GÓES DA SILVA</t>
  </si>
  <si>
    <t>https://www.instagram.com/federalroberto, https://www.facebook.com/robertogoesfacebook</t>
  </si>
  <si>
    <t>Porto Grande</t>
  </si>
  <si>
    <t>https://dadosabertos.camara.leg.br/api/v2/deputados/178944</t>
  </si>
  <si>
    <t>ROBERTO SALES</t>
  </si>
  <si>
    <t>ROBERTO DA SILVA SALES</t>
  </si>
  <si>
    <t>https://dadosabertos.camara.leg.br/api/v2/deputados/160652</t>
  </si>
  <si>
    <t>ROBERTO TEIXEIRA</t>
  </si>
  <si>
    <t>ROBERTO SÉRGIO RIBEIRO COUTINHO TEIXEIRA</t>
  </si>
  <si>
    <t>https://dadosabertos.camara.leg.br/api/v2/deputados/91208</t>
  </si>
  <si>
    <t>ROBINSON ALMEIDA</t>
  </si>
  <si>
    <t>ROBINSON SANTOS ALMEIDA</t>
  </si>
  <si>
    <t>https://dadosabertos.camara.leg.br/api/v2/deputados/178840</t>
  </si>
  <si>
    <t>ROCHA</t>
  </si>
  <si>
    <t>WHERLES FERNANDES DA ROCHA</t>
  </si>
  <si>
    <t>https://dadosabertos.camara.leg.br/api/v2/deputados/141532</t>
  </si>
  <si>
    <t>ROCHA LOURES</t>
  </si>
  <si>
    <t>RODRIGO SANTOS DA ROCHA LOURES</t>
  </si>
  <si>
    <t>https://dadosabertos.camara.leg.br/api/v2/deputados/88950</t>
  </si>
  <si>
    <t>RODRIGO GARCIA</t>
  </si>
  <si>
    <t>https://dadosabertos.camara.leg.br/api/v2/deputados/178926</t>
  </si>
  <si>
    <t>RODRIGO MARTINS</t>
  </si>
  <si>
    <t>RODRIGO RODRIGUES DE SOUZA MARTINS</t>
  </si>
  <si>
    <t>https://dadosabertos.camara.leg.br/api/v2/deputados/178897</t>
  </si>
  <si>
    <t>RODRIGO PACHECO</t>
  </si>
  <si>
    <t>RODRIGO OTAVIO SOARES PACHECO</t>
  </si>
  <si>
    <t>https://dadosabertos.camara.leg.br/api/v2/deputados/141535</t>
  </si>
  <si>
    <t>ROGÉRIO MARINHO</t>
  </si>
  <si>
    <t>ROGÉRIO SIMONETTI MARINHO</t>
  </si>
  <si>
    <t>https://dadosabertos.camara.leg.br/api/v2/deputados/160426</t>
  </si>
  <si>
    <t>ROGÉRIO ROSSO</t>
  </si>
  <si>
    <t>ROGÉRIO SCHUMANN ROSSO</t>
  </si>
  <si>
    <t>https://dadosabertos.camara.leg.br/api/v2/deputados/198963</t>
  </si>
  <si>
    <t>ROGÉRIO SILVA</t>
  </si>
  <si>
    <t>ROGÉRIO SILVA SANTOS</t>
  </si>
  <si>
    <t>Tangará da Serra</t>
  </si>
  <si>
    <t>https://dadosabertos.camara.leg.br/api/v2/deputados/141536</t>
  </si>
  <si>
    <t>RÔMULO GOUVEIA</t>
  </si>
  <si>
    <t>RÔMULO JOSÉ DE GOUVEIA</t>
  </si>
  <si>
    <t>https://dadosabertos.camara.leg.br/api/v2/deputados/160515</t>
  </si>
  <si>
    <t>RONALDO BENEDET</t>
  </si>
  <si>
    <t>RONALDO JOSÉ BENEDET</t>
  </si>
  <si>
    <t>http://www.twitter.com/ronaldo_benedet</t>
  </si>
  <si>
    <t>https://dadosabertos.camara.leg.br/api/v2/deputados/160637</t>
  </si>
  <si>
    <t>RONALDO FONSECA</t>
  </si>
  <si>
    <t>RONALDO FONSECA DE SOUZA</t>
  </si>
  <si>
    <t>https://dadosabertos.camara.leg.br/api/v2/deputados/178845</t>
  </si>
  <si>
    <t>RONALDO LESSA</t>
  </si>
  <si>
    <t>RONALDO AUGUSTO LESSA SANTOS</t>
  </si>
  <si>
    <t>https://dadosabertos.camara.leg.br/api/v2/deputados/178870</t>
  </si>
  <si>
    <t>RÔNEY NEMER</t>
  </si>
  <si>
    <t>RÔNEY TANIOS NEMER</t>
  </si>
  <si>
    <t>https://dadosabertos.camara.leg.br/api/v2/deputados/191684</t>
  </si>
  <si>
    <t>ROSÂNGELA CURADO</t>
  </si>
  <si>
    <t>ROSANGELA APARECIDA DA SILVA BARROS</t>
  </si>
  <si>
    <t>https://dadosabertos.camara.leg.br/api/v2/deputados/146949</t>
  </si>
  <si>
    <t>ROSINHA DA ADEFAL</t>
  </si>
  <si>
    <t>ROSEANE CAVALCANTE DE FREITAS ESTRELA</t>
  </si>
  <si>
    <t>https://dadosabertos.camara.leg.br/api/v2/deputados/141522</t>
  </si>
  <si>
    <t>SABINO CASTELO BRANCO</t>
  </si>
  <si>
    <t>RAIMUNDO SABINO CASTELO BRANCO MAUÉS</t>
  </si>
  <si>
    <t>https://dadosabertos.camara.leg.br/api/v2/deputados/160630</t>
  </si>
  <si>
    <t>SÁGUAS MORAES</t>
  </si>
  <si>
    <t>SÁGUAS MORAES SOUSA</t>
  </si>
  <si>
    <t>Mineiros</t>
  </si>
  <si>
    <t>https://dadosabertos.camara.leg.br/api/v2/deputados/74372</t>
  </si>
  <si>
    <t>SANDES JÚNIOR</t>
  </si>
  <si>
    <t>JOÃO SANDES JÚNIOR</t>
  </si>
  <si>
    <t>https://dadosabertos.camara.leg.br/api/v2/deputados/74762</t>
  </si>
  <si>
    <t>SARAIVA FELIPE</t>
  </si>
  <si>
    <t>JOSÉ SARAIVA FELIPE</t>
  </si>
  <si>
    <t>https://dadosabertos.camara.leg.br/api/v2/deputados/74210</t>
  </si>
  <si>
    <t>SARNEY FILHO</t>
  </si>
  <si>
    <t>JOSÉ SARNEY FILHO</t>
  </si>
  <si>
    <t>https://dadosabertos.camara.leg.br/api/v2/deputados/141542</t>
  </si>
  <si>
    <t>SÉRGIO MORAES</t>
  </si>
  <si>
    <t>SÉRGIO IVAN MORAES</t>
  </si>
  <si>
    <t>https://dadosabertos.camara.leg.br/api/v2/deputados/178991</t>
  </si>
  <si>
    <t>SÉRGIO REIS</t>
  </si>
  <si>
    <t>SERGIO BAVINI</t>
  </si>
  <si>
    <t>https://dadosabertos.camara.leg.br/api/v2/deputados/160612</t>
  </si>
  <si>
    <t>SERGIO ZVEITER</t>
  </si>
  <si>
    <t>https://twitter.com/zveitersergio, http://www.facebook.com/sergio.zveiter</t>
  </si>
  <si>
    <t>https://dadosabertos.camara.leg.br/api/v2/deputados/160613</t>
  </si>
  <si>
    <t>SIBÁ MACHADO</t>
  </si>
  <si>
    <t>SEBASTIÃO SIBÁ MACHADO OLIVEIRA</t>
  </si>
  <si>
    <t>União</t>
  </si>
  <si>
    <t>https://dadosabertos.camara.leg.br/api/v2/deputados/74765</t>
  </si>
  <si>
    <t>SILAS BRASILEIRO</t>
  </si>
  <si>
    <t>https://dadosabertos.camara.leg.br/api/v2/deputados/187008</t>
  </si>
  <si>
    <t>SILAS FREIRE</t>
  </si>
  <si>
    <t>SILAS FREIRE PEREIRA E SILVA</t>
  </si>
  <si>
    <t>Campo Maior</t>
  </si>
  <si>
    <t>https://dadosabertos.camara.leg.br/api/v2/deputados/4930</t>
  </si>
  <si>
    <t>SILVIO COSTA</t>
  </si>
  <si>
    <t>SÍLVIO SERAFIM COSTA</t>
  </si>
  <si>
    <t>Rio Formoso</t>
  </si>
  <si>
    <t>https://dadosabertos.camara.leg.br/api/v2/deputados/73560</t>
  </si>
  <si>
    <t>SILVIO TORRES</t>
  </si>
  <si>
    <t>SILVIO FRANÇA TORRES</t>
  </si>
  <si>
    <t>www.silviotorres.com.br</t>
  </si>
  <si>
    <t>São José do Rio Pardo</t>
  </si>
  <si>
    <t>https://dadosabertos.camara.leg.br/api/v2/deputados/73424</t>
  </si>
  <si>
    <t>SIMÃO SESSIM</t>
  </si>
  <si>
    <t>https://dadosabertos.camara.leg.br/api/v2/deputados/178911</t>
  </si>
  <si>
    <t>SIMONE MORGADO</t>
  </si>
  <si>
    <t>SIMONE MARIA MORGADO FERREIRA</t>
  </si>
  <si>
    <t>https://www.facebook.com/pages/Simone-Morgado, https://twitter.com/simone_morgado</t>
  </si>
  <si>
    <t>http://simonemorgado.com.br/</t>
  </si>
  <si>
    <t>https://dadosabertos.camara.leg.br/api/v2/deputados/74385</t>
  </si>
  <si>
    <t>TAKAYAMA</t>
  </si>
  <si>
    <t>HIDEKAZU TAKAYAMA</t>
  </si>
  <si>
    <t>Rolândia</t>
  </si>
  <si>
    <t>https://dadosabertos.camara.leg.br/api/v2/deputados/73831</t>
  </si>
  <si>
    <t>TAMPINHA</t>
  </si>
  <si>
    <t>José Augusto da Silva Curvo</t>
  </si>
  <si>
    <t>https://dadosabertos.camara.leg.br/api/v2/deputados/178898</t>
  </si>
  <si>
    <t>TENENTE LÚCIO</t>
  </si>
  <si>
    <t>SERGIO LUCIO DE ALMEIDA</t>
  </si>
  <si>
    <t>https://dadosabertos.camara.leg.br/api/v2/deputados/160617</t>
  </si>
  <si>
    <t>THIAGO PEIXOTO</t>
  </si>
  <si>
    <t>THIAGO MELLO PEIXOTO DA SILVEIRA</t>
  </si>
  <si>
    <t>https://dadosabertos.camara.leg.br/api/v2/deputados/160611</t>
  </si>
  <si>
    <t>TONINHO PINHEIRO</t>
  </si>
  <si>
    <t>ANTÔNIO PINHEIRO JÚNIOR</t>
  </si>
  <si>
    <t>Ibirité</t>
  </si>
  <si>
    <t>https://dadosabertos.camara.leg.br/api/v2/deputados/194340</t>
  </si>
  <si>
    <t>VAL AMÉLIO</t>
  </si>
  <si>
    <t>AUDIVAL AMÉLIO DA SILVA NETO</t>
  </si>
  <si>
    <t>https://dadosabertos.camara.leg.br/api/v2/deputados/141384</t>
  </si>
  <si>
    <t>VALADARES FILHO</t>
  </si>
  <si>
    <t>ANTÔNIO CARLOS VALADARES FILHO</t>
  </si>
  <si>
    <t>https://dadosabertos.camara.leg.br/api/v2/deputados/74010</t>
  </si>
  <si>
    <t>VALDIR COLATTO</t>
  </si>
  <si>
    <t>https://dadosabertos.camara.leg.br/api/v2/deputados/113247</t>
  </si>
  <si>
    <t>VALMIR PRASCIDELLI</t>
  </si>
  <si>
    <t>https://dadosabertos.camara.leg.br/api/v2/deputados/178913</t>
  </si>
  <si>
    <t>VENEZIANO VITAL DO RÊGO</t>
  </si>
  <si>
    <t>VENEZIANO VITAL DO RÊGO SEGUNDO NETO</t>
  </si>
  <si>
    <t>https://dadosabertos.camara.leg.br/api/v2/deputados/74308</t>
  </si>
  <si>
    <t>VICENTE ARRUDA</t>
  </si>
  <si>
    <t>VICENTE FERREIRA DE ARRUDA COELHO</t>
  </si>
  <si>
    <t>Granja</t>
  </si>
  <si>
    <t>https://dadosabertos.camara.leg.br/api/v2/deputados/160622</t>
  </si>
  <si>
    <t>VICENTE CANDIDO</t>
  </si>
  <si>
    <t>VICENTE CÂNDIDO DA SILVA</t>
  </si>
  <si>
    <t>https://twitter.com/vicente_candido, https://www.facebook.com/deputadovicentecandido?fref=ts</t>
  </si>
  <si>
    <t>Bom Jesus do Galho</t>
  </si>
  <si>
    <t>https://dadosabertos.camara.leg.br/api/v2/deputados/92355</t>
  </si>
  <si>
    <t>VITOR PAULO</t>
  </si>
  <si>
    <t>VITOR PAULO ARAÚJO DOS SANTOS</t>
  </si>
  <si>
    <t>http://blogdovitorpaulo.blogspot.com/</t>
  </si>
  <si>
    <t>https://dadosabertos.camara.leg.br/api/v2/deputados/178869</t>
  </si>
  <si>
    <t>VITOR VALIM</t>
  </si>
  <si>
    <t>VITOR PEREIRA VALIM</t>
  </si>
  <si>
    <t>https://dadosabertos.camara.leg.br/api/v2/deputados/189593</t>
  </si>
  <si>
    <t>WADIH DAMOUS</t>
  </si>
  <si>
    <t>WADIH NEMER DAMOUS FILHO</t>
  </si>
  <si>
    <t>https://dadosabertos.camara.leg.br/api/v2/deputados/137853</t>
  </si>
  <si>
    <t>WADSON RIBEIRO</t>
  </si>
  <si>
    <t>WADSON NATHANIEL RIBEIRO</t>
  </si>
  <si>
    <t>https://dadosabertos.camara.leg.br/api/v2/deputados/141558</t>
  </si>
  <si>
    <t>WALDIR MARANHÃO</t>
  </si>
  <si>
    <t>WALDIR MARANHÃO CARDOSO</t>
  </si>
  <si>
    <t>https://dadosabertos.camara.leg.br/api/v2/deputados/160631</t>
  </si>
  <si>
    <t>WALNEY ROCHA</t>
  </si>
  <si>
    <t>WALNEY DA ROCHA CARVALHO</t>
  </si>
  <si>
    <t>https://dadosabertos.camara.leg.br/api/v2/deputados/141560</t>
  </si>
  <si>
    <t>WALTER IHOSHI</t>
  </si>
  <si>
    <t>WALTER SHINDI IIHOSHI</t>
  </si>
  <si>
    <t>https://dadosabertos.camara.leg.br/api/v2/deputados/204760</t>
  </si>
  <si>
    <t>WASHINGTON CORAÇÃO VALENTE</t>
  </si>
  <si>
    <t>WASHINGTON STECANELA CERQUEIRA</t>
  </si>
  <si>
    <t>https://dadosabertos.camara.leg.br/api/v2/deputados/160620</t>
  </si>
  <si>
    <t>WASHINGTON REIS</t>
  </si>
  <si>
    <t>WASHINGTON REIS DE OLIVEIRA</t>
  </si>
  <si>
    <t>https://dadosabertos.camara.leg.br/api/v2/deputados/167493</t>
  </si>
  <si>
    <t>WEVERTON ROCHA</t>
  </si>
  <si>
    <t>WEVERTON ROCHA MARQUES DE SOUSA</t>
  </si>
  <si>
    <t>https://dadosabertos.camara.leg.br/api/v2/deputados/141563</t>
  </si>
  <si>
    <t>WILLIAM WOO</t>
  </si>
  <si>
    <t>WILLIAM BOSS WOO</t>
  </si>
  <si>
    <t>www.williamwoo.com.br</t>
  </si>
  <si>
    <t>https://dadosabertos.camara.leg.br/api/v2/deputados/193066</t>
  </si>
  <si>
    <t>WILSON BESERRA</t>
  </si>
  <si>
    <t>WILSON SILVA BESERRA</t>
  </si>
  <si>
    <t>https://dadosabertos.camara.leg.br/api/v2/deputados/160636</t>
  </si>
  <si>
    <t>WILSON FILHO</t>
  </si>
  <si>
    <t>JOSÉ WILSON SANTIAGO FILHO</t>
  </si>
  <si>
    <t>https://dadosabertos.camara.leg.br/api/v2/deputados/73930</t>
  </si>
  <si>
    <t>WLADIMIR COSTA</t>
  </si>
  <si>
    <t>WLADIMIR AFONSO DA COSTA RABELO</t>
  </si>
  <si>
    <t>https://dadosabertos.camara.leg.br/api/v2/deputados/199809</t>
  </si>
  <si>
    <t>XUXU DAL MOLIN</t>
  </si>
  <si>
    <t>EDERSON DAL MOLIN</t>
  </si>
  <si>
    <t>Realeza</t>
  </si>
  <si>
    <t>https://dadosabertos.camara.leg.br/api/v2/deputados/73992</t>
  </si>
  <si>
    <t>YEDA CRUSIUS</t>
  </si>
  <si>
    <t>YEDA RORATO CRUSIUS</t>
  </si>
  <si>
    <t>https://dadosabertos.camara.leg.br/api/v2/deputados/73931</t>
  </si>
  <si>
    <t>ZÉ GERALDO</t>
  </si>
  <si>
    <t>JOSÉ GERALDO TORRES DA SILVA</t>
  </si>
  <si>
    <t>São Gabriel da Palha</t>
  </si>
  <si>
    <t>https://dadosabertos.camara.leg.br/api/v2/deputados/178902</t>
  </si>
  <si>
    <t>ZECA DO PT</t>
  </si>
  <si>
    <t>JOSE ORCIRIO MIRANDA DOS SANTOS</t>
  </si>
  <si>
    <t>https://dadosabertos.camara.leg.br/api/v2/deputados/178949</t>
  </si>
  <si>
    <t>ZENAIDE MAIA</t>
  </si>
  <si>
    <t>ZENAIDE MAIA CALADO PEREIRA DOS SANTOS</t>
  </si>
  <si>
    <t>https://dadosabertos.camara.leg.br/api/v2/deputados/141463</t>
  </si>
  <si>
    <t>ABELARDO CAMARINHA</t>
  </si>
  <si>
    <t>JOSÉ ABELARDO GUIMARÃES CAMARINHA</t>
  </si>
  <si>
    <t>https://dadosabertos.camara.leg.br/api/v2/deputados/73764</t>
  </si>
  <si>
    <t>ABELARDO LUPION</t>
  </si>
  <si>
    <t>ABELARDO LUIZ LUPION MELLO</t>
  </si>
  <si>
    <t>https://dadosabertos.camara.leg.br/api/v2/deputados/161907</t>
  </si>
  <si>
    <t>ACELINO POPÓ</t>
  </si>
  <si>
    <t>ACELINO FREITAS</t>
  </si>
  <si>
    <t>http://facebook.com/deputadopopo, http://www.instagram.com/popofreitas, http://www.twitter.com/popofreitas</t>
  </si>
  <si>
    <t>http://www.popo.com.br</t>
  </si>
  <si>
    <t>https://dadosabertos.camara.leg.br/api/v2/deputados/160577</t>
  </si>
  <si>
    <t>ADRIAN</t>
  </si>
  <si>
    <t>ADRIAN MUSSI RAMOS</t>
  </si>
  <si>
    <t>https://dadosabertos.camara.leg.br/api/v2/deputados/173269</t>
  </si>
  <si>
    <t>AKIRA OTSUBO</t>
  </si>
  <si>
    <t>Mirandópolis</t>
  </si>
  <si>
    <t>https://dadosabertos.camara.leg.br/api/v2/deputados/73428</t>
  </si>
  <si>
    <t>ALDO REBELO</t>
  </si>
  <si>
    <t>JOSÉ ALDO REBELO FIGUEIREDO</t>
  </si>
  <si>
    <t>https://dadosabertos.camara.leg.br/api/v2/deputados/74829</t>
  </si>
  <si>
    <t>ALEXANDRE CARDOSO</t>
  </si>
  <si>
    <t>ALEXANDRE AGUIAR CARDOSO</t>
  </si>
  <si>
    <t>https://dadosabertos.camara.leg.br/api/v2/deputados/160579</t>
  </si>
  <si>
    <t>ALEXANDRE ROSO</t>
  </si>
  <si>
    <t>ALEXANDRE RUBIO ROSO</t>
  </si>
  <si>
    <t>https://dadosabertos.camara.leg.br/api/v2/deputados/74830</t>
  </si>
  <si>
    <t>ALEXANDRE SANTOS</t>
  </si>
  <si>
    <t>ALEXANDRE JOSÉ DOS SANTOS</t>
  </si>
  <si>
    <t>https://dadosabertos.camara.leg.br/api/v2/deputados/141374</t>
  </si>
  <si>
    <t>ALEXANDRE SILVEIRA</t>
  </si>
  <si>
    <t>ALEXANDRE SILVEIRA DE OLIVEIRA</t>
  </si>
  <si>
    <t>https://dadosabertos.camara.leg.br/api/v2/deputados/169712</t>
  </si>
  <si>
    <t>ALEXANDRE TOLEDO</t>
  </si>
  <si>
    <t>ALEXANDRE DE MELO TOLEDO</t>
  </si>
  <si>
    <t>https://dadosabertos.camara.leg.br/api/v2/deputados/116663</t>
  </si>
  <si>
    <t>ALFREDO SIRKIS</t>
  </si>
  <si>
    <t>ALFREDO HELIO SYRKIS</t>
  </si>
  <si>
    <t>https://dadosabertos.camara.leg.br/api/v2/deputados/141375</t>
  </si>
  <si>
    <t>ALINE CORRÊA</t>
  </si>
  <si>
    <t>ALINE LEMOS CORRÊA DE OLIVEIRA ANDRADE</t>
  </si>
  <si>
    <t>http://twitter.com/dep_alinecorrea</t>
  </si>
  <si>
    <t>https://dadosabertos.camara.leg.br/api/v2/deputados/160626</t>
  </si>
  <si>
    <t>ALMEIDA LIMA</t>
  </si>
  <si>
    <t>JOSÉ ALMEIDA LIMA</t>
  </si>
  <si>
    <t>Santa Rosa de Lima</t>
  </si>
  <si>
    <t>https://dadosabertos.camara.leg.br/api/v2/deputados/160603</t>
  </si>
  <si>
    <t>AMAURI TEIXEIRA</t>
  </si>
  <si>
    <t>AMAURI SANTOS TEIXEIRA</t>
  </si>
  <si>
    <t>Jacobina</t>
  </si>
  <si>
    <t>https://dadosabertos.camara.leg.br/api/v2/deputados/174861</t>
  </si>
  <si>
    <t>AMIR LANDO</t>
  </si>
  <si>
    <t>AMIR FRANCISCO LANDO</t>
  </si>
  <si>
    <t>http://www.facebook.com/deputadoamirlando</t>
  </si>
  <si>
    <t>Concórdia</t>
  </si>
  <si>
    <t>https://dadosabertos.camara.leg.br/api/v2/deputados/141377</t>
  </si>
  <si>
    <t>ANA ARRAES</t>
  </si>
  <si>
    <t>ANA LÚCIA ARRAES DE ALENCAR</t>
  </si>
  <si>
    <t>https://dadosabertos.camara.leg.br/api/v2/deputados/161905</t>
  </si>
  <si>
    <t>ANDRÉ DIAS</t>
  </si>
  <si>
    <t>ANDRÉ TEIXEIRA DIAS</t>
  </si>
  <si>
    <t>https://dadosabertos.camara.leg.br/api/v2/deputados/141378</t>
  </si>
  <si>
    <t>ANDRE VARGAS</t>
  </si>
  <si>
    <t>ANDRÉ LUIZ VARGAS ILÁRIO</t>
  </si>
  <si>
    <t>Assaí</t>
  </si>
  <si>
    <t>https://dadosabertos.camara.leg.br/api/v2/deputados/74377</t>
  </si>
  <si>
    <t>ANDRÉ ZACHAROW</t>
  </si>
  <si>
    <t>Jaguariaíva</t>
  </si>
  <si>
    <t>https://dadosabertos.camara.leg.br/api/v2/deputados/160638</t>
  </si>
  <si>
    <t>ÂNGELO AGNOLIN</t>
  </si>
  <si>
    <t>JOSELI ÂNGELO AGNOLIN</t>
  </si>
  <si>
    <t>https://dadosabertos.camara.leg.br/api/v2/deputados/141381</t>
  </si>
  <si>
    <t>ANGELO VANHONI</t>
  </si>
  <si>
    <t>ANGELO CARLOS VANHONI</t>
  </si>
  <si>
    <t>Paranaguá</t>
  </si>
  <si>
    <t>https://dadosabertos.camara.leg.br/api/v2/deputados/73937</t>
  </si>
  <si>
    <t>ANSELMO DE JESUS</t>
  </si>
  <si>
    <t>ANSELMO DE JESUS ABREU</t>
  </si>
  <si>
    <t>Mandaguari</t>
  </si>
  <si>
    <t>https://dadosabertos.camara.leg.br/api/v2/deputados/160539</t>
  </si>
  <si>
    <t>ANTHONY GAROTINHO</t>
  </si>
  <si>
    <t>ANTHONY WILLIAM GAROTINHO MATHEUS DE OLIVEIRA</t>
  </si>
  <si>
    <t>http://www.blogdogarotinho.com.br</t>
  </si>
  <si>
    <t>https://dadosabertos.camara.leg.br/api/v2/deputados/141387</t>
  </si>
  <si>
    <t>ANTÔNIO ANDRADE</t>
  </si>
  <si>
    <t>ANTÔNIO EUSTÁQUIO ANDRADE FERREIRA</t>
  </si>
  <si>
    <t>https://dadosabertos.camara.leg.br/api/v2/deputados/74058</t>
  </si>
  <si>
    <t>ANTONIO CARLOS MAGALHÃES NETO</t>
  </si>
  <si>
    <t>ANTÔNIO CARLOS PEIXOTO DE MAGALHÃES NETO</t>
  </si>
  <si>
    <t>https://dadosabertos.camara.leg.br/api/v2/deputados/141390</t>
  </si>
  <si>
    <t>ANTÔNIO ROBERTO</t>
  </si>
  <si>
    <t>ANTÔNIO ROBERTO SOARES</t>
  </si>
  <si>
    <t>https://dadosabertos.camara.leg.br/api/v2/deputados/74648</t>
  </si>
  <si>
    <t>ARACELY DE PAULA</t>
  </si>
  <si>
    <t>Ibiá</t>
  </si>
  <si>
    <t>https://dadosabertos.camara.leg.br/api/v2/deputados/74405</t>
  </si>
  <si>
    <t>ARMANDO ABÍLIO</t>
  </si>
  <si>
    <t>ARMANDO ABILIO VIEIRA</t>
  </si>
  <si>
    <t>Itaporanga</t>
  </si>
  <si>
    <t>https://dadosabertos.camara.leg.br/api/v2/deputados/160546</t>
  </si>
  <si>
    <t>ARMANDO VERGÍLIO</t>
  </si>
  <si>
    <t>ARMANDO VERGÍLIO DOS SANTOS JÚNIOR</t>
  </si>
  <si>
    <t>https://dadosabertos.camara.leg.br/api/v2/deputados/160678</t>
  </si>
  <si>
    <t>ARTUR BRUNO</t>
  </si>
  <si>
    <t>ARTUR JOSÉ VIEIRA BRUNO</t>
  </si>
  <si>
    <t>https://dadosabertos.camara.leg.br/api/v2/deputados/74222</t>
  </si>
  <si>
    <t>ASDRUBAL BENTES</t>
  </si>
  <si>
    <t>ASDRÚBAL MENDES BENTES</t>
  </si>
  <si>
    <t>Humaitá</t>
  </si>
  <si>
    <t>https://dadosabertos.camara.leg.br/api/v2/deputados/160680</t>
  </si>
  <si>
    <t>AUDIFAX</t>
  </si>
  <si>
    <t>AUDIFAX CHARLES PIMENTEL BARCELOS</t>
  </si>
  <si>
    <t>https://dadosabertos.camara.leg.br/api/v2/deputados/160554</t>
  </si>
  <si>
    <t>BERINHO BANTIM</t>
  </si>
  <si>
    <t>HERBSON JAIRO RIBEIRO BANTIM</t>
  </si>
  <si>
    <t>https://dadosabertos.camara.leg.br/api/v2/deputados/109152</t>
  </si>
  <si>
    <t>BERNARDO SANTANA DE VASCONCELLOS</t>
  </si>
  <si>
    <t>BERNARDO DE VASCONCELLOS MOREIRA</t>
  </si>
  <si>
    <t>http://facebook.com/bernardosantana1, http://twitter.com/santanabernardo, http://www.youtube.com/depbernardosantana</t>
  </si>
  <si>
    <t>https://dadosabertos.camara.leg.br/api/v2/deputados/74321</t>
  </si>
  <si>
    <t>BETINHO ROSADO</t>
  </si>
  <si>
    <t>CARLOS ALBERTO DE SOUSA ROSADO</t>
  </si>
  <si>
    <t>https://dadosabertos.camara.leg.br/api/v2/deputados/73478</t>
  </si>
  <si>
    <t>BETO ALBUQUERQUE</t>
  </si>
  <si>
    <t>LUIZ ROBERTO DE ALBUQUERQUE</t>
  </si>
  <si>
    <t>https://dadosabertos.camara.leg.br/api/v2/deputados/74373</t>
  </si>
  <si>
    <t>BIFFI</t>
  </si>
  <si>
    <t>ANTONIO CARLOS BIFFI</t>
  </si>
  <si>
    <t>Tupã</t>
  </si>
  <si>
    <t>https://dadosabertos.camara.leg.br/api/v2/deputados/141399</t>
  </si>
  <si>
    <t>BRIZOLA NETO</t>
  </si>
  <si>
    <t>CARLOS DAUDT BRIZOLA</t>
  </si>
  <si>
    <t>https://dadosabertos.camara.leg.br/api/v2/deputados/141393</t>
  </si>
  <si>
    <t>BRUNO RODRIGUES</t>
  </si>
  <si>
    <t>BRUNO CAMPELO RODRIGUES DE SOUZA</t>
  </si>
  <si>
    <t>https://dadosabertos.camara.leg.br/api/v2/deputados/168034</t>
  </si>
  <si>
    <t>CABO JULIANO RABELO</t>
  </si>
  <si>
    <t>JULIANO DE SOUZA RABELO</t>
  </si>
  <si>
    <t>Itumbiara</t>
  </si>
  <si>
    <t>https://dadosabertos.camara.leg.br/api/v2/deputados/141395</t>
  </si>
  <si>
    <t>CAMILO COLA</t>
  </si>
  <si>
    <t>https://dadosabertos.camara.leg.br/api/v2/deputados/141396</t>
  </si>
  <si>
    <t>CÂNDIDO VACCAREZZA</t>
  </si>
  <si>
    <t>CÂNDIDO ELPÍDIO DE SOUZA VACCAREZZA</t>
  </si>
  <si>
    <t>http://twitter.com/vaccarezza</t>
  </si>
  <si>
    <t>https://dadosabertos.camara.leg.br/api/v2/deputados/160585</t>
  </si>
  <si>
    <t>CARLAILE PEDROSA</t>
  </si>
  <si>
    <t>CARLAILE JESUS PEDROSA</t>
  </si>
  <si>
    <t>Itatiaiuçu</t>
  </si>
  <si>
    <t>https://dadosabertos.camara.leg.br/api/v2/deputados/160584</t>
  </si>
  <si>
    <t>CARLINHOS ALMEIDA</t>
  </si>
  <si>
    <t>CARLOS JOSE DE ALMEIDA</t>
  </si>
  <si>
    <t>Santa Rita de Jacutinga</t>
  </si>
  <si>
    <t>https://dadosabertos.camara.leg.br/api/v2/deputados/74290</t>
  </si>
  <si>
    <t>CARLOS ALBERTO LERÉIA</t>
  </si>
  <si>
    <t>CARLOS ALBERTO LERÉIA DA SILVA</t>
  </si>
  <si>
    <t>Bambuí</t>
  </si>
  <si>
    <t>https://dadosabertos.camara.leg.br/api/v2/deputados/141402</t>
  </si>
  <si>
    <t>CARLOS BRANDÃO</t>
  </si>
  <si>
    <t>CARLOS ORLEANS BRANDÃO JUNIOR</t>
  </si>
  <si>
    <t>https://dadosabertos.camara.leg.br/api/v2/deputados/160605</t>
  </si>
  <si>
    <t>CARLOS MAGNO</t>
  </si>
  <si>
    <t>CARLOS MAGNO RAMOS</t>
  </si>
  <si>
    <t>Coromandel</t>
  </si>
  <si>
    <t>https://dadosabertos.camara.leg.br/api/v2/deputados/179381</t>
  </si>
  <si>
    <t>CARLOS MARTINS</t>
  </si>
  <si>
    <t>CARLOS EDUARDO CARDOSO MARTINS</t>
  </si>
  <si>
    <t>https://dadosabertos.camara.leg.br/api/v2/deputados/165583</t>
  </si>
  <si>
    <t>CARLOS ROBERTO</t>
  </si>
  <si>
    <t>CARLOS ROBERTO DE CAMPOS</t>
  </si>
  <si>
    <t>https://dadosabertos.camara.leg.br/api/v2/deputados/160624</t>
  </si>
  <si>
    <t>CELIA ROCHA</t>
  </si>
  <si>
    <t>CÉLIA MARIA BARBOSA ROCHA</t>
  </si>
  <si>
    <t>https://dadosabertos.camara.leg.br/api/v2/deputados/160664</t>
  </si>
  <si>
    <t>CESAR COLNAGO</t>
  </si>
  <si>
    <t>CÉSAR ROBERTO COLNAGHI</t>
  </si>
  <si>
    <t>Itarana</t>
  </si>
  <si>
    <t>https://dadosabertos.camara.leg.br/api/v2/deputados/74379</t>
  </si>
  <si>
    <t>CEZAR SILVESTRI</t>
  </si>
  <si>
    <t>CEZAR AUGUSTO CAROLLO SILVESTRI</t>
  </si>
  <si>
    <t>https://dadosabertos.camara.leg.br/api/v2/deputados/160634</t>
  </si>
  <si>
    <t>CHICO DAS VERDURAS</t>
  </si>
  <si>
    <t>FRANCISCO VIEIRA SAMPAIO</t>
  </si>
  <si>
    <t>Pio XII</t>
  </si>
  <si>
    <t>https://dadosabertos.camara.leg.br/api/v2/deputados/160580</t>
  </si>
  <si>
    <t>CIDA BORGHETTI</t>
  </si>
  <si>
    <t>MARIA APARECIDA BORGHETTI</t>
  </si>
  <si>
    <t>http://www.twitter.com/cidaborghetti_</t>
  </si>
  <si>
    <t>https://dadosabertos.camara.leg.br/api/v2/deputados/160557</t>
  </si>
  <si>
    <t>CLÁUDIO PUTY</t>
  </si>
  <si>
    <t>CLAUDIO ALBERTO CASTELO BRANCO PUTY</t>
  </si>
  <si>
    <t>https://dadosabertos.camara.leg.br/api/v2/deputados/74230</t>
  </si>
  <si>
    <t>COLBERT MARTINS</t>
  </si>
  <si>
    <t>COLBERT MARTINS DA SILVA FILHO</t>
  </si>
  <si>
    <t>https://dadosabertos.camara.leg.br/api/v2/deputados/74016</t>
  </si>
  <si>
    <t>COSTA FERREIRA</t>
  </si>
  <si>
    <t>ANTONIO DA CONCEIÇÃO COSTA FERREIRA</t>
  </si>
  <si>
    <t>Guimarães</t>
  </si>
  <si>
    <t>https://dadosabertos.camara.leg.br/api/v2/deputados/114586</t>
  </si>
  <si>
    <t>CRISTIANO</t>
  </si>
  <si>
    <t>CRISTIANO JOSÉ RODRIGUES DE SOUZA</t>
  </si>
  <si>
    <t>https://dadosabertos.camara.leg.br/api/v2/deputados/141502</t>
  </si>
  <si>
    <t>DALVA FIGUEIREDO</t>
  </si>
  <si>
    <t>MARIA DALVA DE SOUZA FIGUEIREDO</t>
  </si>
  <si>
    <t>Oiapoque</t>
  </si>
  <si>
    <t>https://dadosabertos.camara.leg.br/api/v2/deputados/73924</t>
  </si>
  <si>
    <t>DAVI ALCOLUMBRE</t>
  </si>
  <si>
    <t>DAVID SAMUEL ALCOLUMBRE TOBELEM</t>
  </si>
  <si>
    <t>https://dadosabertos.camara.leg.br/api/v2/deputados/160606</t>
  </si>
  <si>
    <t>DELEGADO PROTÓGENES</t>
  </si>
  <si>
    <t>PROTÓGENES PINHEIRO DE QUEIROZ</t>
  </si>
  <si>
    <t>http://www.facebook.com/protogenesq, http://www.twitter.com/protogenesq, http://www.youtube.com/user/depprotogenes</t>
  </si>
  <si>
    <t>http://protogenes.blog.uol.com.br/</t>
  </si>
  <si>
    <t>https://dadosabertos.camara.leg.br/api/v2/deputados/174854</t>
  </si>
  <si>
    <t>DENILSON TEIXEIRA</t>
  </si>
  <si>
    <t>DENÍLSON FRANCISCO TEIXEIRA</t>
  </si>
  <si>
    <t>Arcos</t>
  </si>
  <si>
    <t>https://dadosabertos.camara.leg.br/api/v2/deputados/74264</t>
  </si>
  <si>
    <t>DEVANIR RIBEIRO</t>
  </si>
  <si>
    <t>https://dadosabertos.camara.leg.br/api/v2/deputados/74265</t>
  </si>
  <si>
    <t>DIMAS RAMALHO</t>
  </si>
  <si>
    <t>DIMAS EDUARDO RAMALHO</t>
  </si>
  <si>
    <t>Taquaritinga</t>
  </si>
  <si>
    <t>https://dadosabertos.camara.leg.br/api/v2/deputados/74197</t>
  </si>
  <si>
    <t>DOMINGOS DUTRA</t>
  </si>
  <si>
    <t>DOMINGOS FRANCISCO DUTRA FILHO</t>
  </si>
  <si>
    <t>Buriti</t>
  </si>
  <si>
    <t>https://dadosabertos.camara.leg.br/api/v2/deputados/141371</t>
  </si>
  <si>
    <t>DR. ADILSON SOARES</t>
  </si>
  <si>
    <t>ADILSON SOARES</t>
  </si>
  <si>
    <t>Muniz Freire</t>
  </si>
  <si>
    <t>https://dadosabertos.camara.leg.br/api/v2/deputados/160529</t>
  </si>
  <si>
    <t>DR. ALUIZIO</t>
  </si>
  <si>
    <t>ALUIZIO DOS SANTOS JUNIOR</t>
  </si>
  <si>
    <t>https://dadosabertos.camara.leg.br/api/v2/deputados/118384</t>
  </si>
  <si>
    <t>DR. CARLOS ALBERTO</t>
  </si>
  <si>
    <t>CARLOS ALBERTO LOPES</t>
  </si>
  <si>
    <t>https://dadosabertos.camara.leg.br/api/v2/deputados/170489</t>
  </si>
  <si>
    <t>DR. DILSON DRUMOND</t>
  </si>
  <si>
    <t>DILSON MALHEIROS DRUMOND</t>
  </si>
  <si>
    <t>https://dadosabertos.camara.leg.br/api/v2/deputados/160514</t>
  </si>
  <si>
    <t>DR. GRILO</t>
  </si>
  <si>
    <t>RODRIGO MOREIRA LADEIRA GRILO</t>
  </si>
  <si>
    <t>https://dadosabertos.camara.leg.br/api/v2/deputados/74094</t>
  </si>
  <si>
    <t>DR. LUIZ FERNANDO</t>
  </si>
  <si>
    <t>LUIZ FERNANDO SARMENTO NICOLAU</t>
  </si>
  <si>
    <t>Paraíba do Sul</t>
  </si>
  <si>
    <t>https://dadosabertos.camara.leg.br/api/v2/deputados/147975</t>
  </si>
  <si>
    <t>DR. PAULO CÉSAR</t>
  </si>
  <si>
    <t>PAULO CÉSAR DA GUIA ALMEIDA</t>
  </si>
  <si>
    <t>https://dadosabertos.camara.leg.br/api/v2/deputados/73459</t>
  </si>
  <si>
    <t>DR. ROSINHA</t>
  </si>
  <si>
    <t>FLORISVALDO FIER</t>
  </si>
  <si>
    <t>https://dadosabertos.camara.leg.br/api/v2/deputados/141498</t>
  </si>
  <si>
    <t>DR. UBIALI</t>
  </si>
  <si>
    <t>MARCO AURÉLIO UBIALI</t>
  </si>
  <si>
    <t>https://dadosabertos.camara.leg.br/api/v2/deputados/166727</t>
  </si>
  <si>
    <t>DRA. ELAINE ABISSAMRA</t>
  </si>
  <si>
    <t>ELAINE APARECIDA BELLONI ABISSAMRA</t>
  </si>
  <si>
    <t>https://dadosabertos.camara.leg.br/api/v2/deputados/161904</t>
  </si>
  <si>
    <t>DUDIMAR PAXIUBA</t>
  </si>
  <si>
    <t>JOÃO DUDIMAR DE AZEVEDO PAXIÚBA</t>
  </si>
  <si>
    <t>https://dadosabertos.camara.leg.br/api/v2/deputados/177118</t>
  </si>
  <si>
    <t>DUDU LUIZ EDUARDO</t>
  </si>
  <si>
    <t>LUIZ EDUARDO FRANCISCO DA SILVA</t>
  </si>
  <si>
    <t>https://dadosabertos.camara.leg.br/api/v2/deputados/160616</t>
  </si>
  <si>
    <t>EDIVALDO HOLANDA JUNIOR</t>
  </si>
  <si>
    <t>EDIVALDO DE HOLANDA BRAGA JUNIOR</t>
  </si>
  <si>
    <t>https://dadosabertos.camara.leg.br/api/v2/deputados/74580</t>
  </si>
  <si>
    <t>EDMAR MOREIRA</t>
  </si>
  <si>
    <t>EDMAR BATISTA MOREIRA</t>
  </si>
  <si>
    <t>São João Nepomuceno</t>
  </si>
  <si>
    <t>https://dadosabertos.camara.leg.br/api/v2/deputados/141418</t>
  </si>
  <si>
    <t>EDSON APARECIDO</t>
  </si>
  <si>
    <t>EDSON APARECIDO DOS SANTOS</t>
  </si>
  <si>
    <t>https://dadosabertos.camara.leg.br/api/v2/deputados/74838</t>
  </si>
  <si>
    <t>EDSON EZEQUIEL</t>
  </si>
  <si>
    <t>EDSON EZEQUIEL DE MATOS</t>
  </si>
  <si>
    <t>https://dadosabertos.camara.leg.br/api/v2/deputados/160618</t>
  </si>
  <si>
    <t>EDSON PIMENTA</t>
  </si>
  <si>
    <t>EDSON SAMPAIO PIMENTA</t>
  </si>
  <si>
    <t>https://dadosabertos.camara.leg.br/api/v2/deputados/141419</t>
  </si>
  <si>
    <t>EDSON SANTOS</t>
  </si>
  <si>
    <t>EDSON SANTOS DE SOUZA</t>
  </si>
  <si>
    <t>https://dadosabertos.camara.leg.br/api/v2/deputados/74106</t>
  </si>
  <si>
    <t>EDSON SILVA</t>
  </si>
  <si>
    <t>https://dadosabertos.camara.leg.br/api/v2/deputados/160647</t>
  </si>
  <si>
    <t>EDUARDO AZEREDO</t>
  </si>
  <si>
    <t>EDUARDO BRANDÃO DE AZEREDO</t>
  </si>
  <si>
    <t>https://dadosabertos.camara.leg.br/api/v2/deputados/73945</t>
  </si>
  <si>
    <t>EDUARDO GOMES</t>
  </si>
  <si>
    <t>CARLOS EDUARDO TORRES GOMES</t>
  </si>
  <si>
    <t>https://dadosabertos.camara.leg.br/api/v2/deputados/74382</t>
  </si>
  <si>
    <t>EDUARDO SCIARRA</t>
  </si>
  <si>
    <t>EDUARDO FRANCISCO SCIARRA</t>
  </si>
  <si>
    <t>https://dadosabertos.camara.leg.br/api/v2/deputados/162175</t>
  </si>
  <si>
    <t>ELIANE ROLIM</t>
  </si>
  <si>
    <t>ELIANE PONTES ROLIM</t>
  </si>
  <si>
    <t>https://dadosabertos.camara.leg.br/api/v2/deputados/141423</t>
  </si>
  <si>
    <t>ELIENE LIMA</t>
  </si>
  <si>
    <t>ELIENE JOSÉ DE LIMA</t>
  </si>
  <si>
    <t>https://dadosabertos.camara.leg.br/api/v2/deputados/73892</t>
  </si>
  <si>
    <t>ELISEU PADILHA</t>
  </si>
  <si>
    <t>ELISEU LEMOS PADILHA</t>
  </si>
  <si>
    <t>Canela</t>
  </si>
  <si>
    <t>https://dadosabertos.camara.leg.br/api/v2/deputados/74119</t>
  </si>
  <si>
    <t>EMANUEL FERNANDES</t>
  </si>
  <si>
    <t>Valentim Gentil</t>
  </si>
  <si>
    <t>https://dadosabertos.camara.leg.br/api/v2/deputados/154997</t>
  </si>
  <si>
    <t>EMILIANO JOSÉ</t>
  </si>
  <si>
    <t>EMILIANO JOSÉ DA SILVA FILHO</t>
  </si>
  <si>
    <t>Jacareí</t>
  </si>
  <si>
    <t>https://dadosabertos.camara.leg.br/api/v2/deputados/73893</t>
  </si>
  <si>
    <t>ENIO BACCI</t>
  </si>
  <si>
    <t>ENIO EGON BERGMANN BACCI</t>
  </si>
  <si>
    <t>Lajeado</t>
  </si>
  <si>
    <t>https://dadosabertos.camara.leg.br/api/v2/deputados/141386</t>
  </si>
  <si>
    <t>EUDES XAVIER</t>
  </si>
  <si>
    <t>ANTÔNIO EUDES XAVIER</t>
  </si>
  <si>
    <t>https://dadosabertos.camara.leg.br/api/v2/deputados/171621</t>
  </si>
  <si>
    <t>EURICO JÚNIOR</t>
  </si>
  <si>
    <t>EURICO PINHEIRO BERNARDES JUNIOR</t>
  </si>
  <si>
    <t>https://dadosabertos.camara.leg.br/api/v2/deputados/74345</t>
  </si>
  <si>
    <t>EVANDRO MILHOMEN</t>
  </si>
  <si>
    <t>EVANDRO COSTA MILHOMEN</t>
  </si>
  <si>
    <t>https://dadosabertos.camara.leg.br/api/v2/deputados/74062</t>
  </si>
  <si>
    <t>FÁBIO SOUTO</t>
  </si>
  <si>
    <t>FÁBIO LOUREIRO SOUTO</t>
  </si>
  <si>
    <t>https://dadosabertos.camara.leg.br/api/v2/deputados/74037</t>
  </si>
  <si>
    <t>FÁTIMA BEZERRA</t>
  </si>
  <si>
    <t>MARIA DE FÁTIMA BEZERRA</t>
  </si>
  <si>
    <t>Nova Palmeira</t>
  </si>
  <si>
    <t>https://dadosabertos.camara.leg.br/api/v2/deputados/74065</t>
  </si>
  <si>
    <t>FÁTIMA PELAES</t>
  </si>
  <si>
    <t>FÁTIMA LÚCIA PELAES</t>
  </si>
  <si>
    <t>https://dadosabertos.camara.leg.br/api/v2/deputados/74417</t>
  </si>
  <si>
    <t>FERNANDO FERRO</t>
  </si>
  <si>
    <t>FERNANDO DANTAS FERRO</t>
  </si>
  <si>
    <t>https://dadosabertos.camara.leg.br/api/v2/deputados/74843</t>
  </si>
  <si>
    <t>FERNANDO LOPES</t>
  </si>
  <si>
    <t>FERNANDO LOPES DE ALMEIDA</t>
  </si>
  <si>
    <t>https://dadosabertos.camara.leg.br/api/v2/deputados/179383</t>
  </si>
  <si>
    <t>FERNANDO ZACHIA</t>
  </si>
  <si>
    <t>LUIZ FERNANDO SALVADORI ZÁCHIA</t>
  </si>
  <si>
    <t>https://dadosabertos.camara.leg.br/api/v2/deputados/141433</t>
  </si>
  <si>
    <t>FILIPE PEREIRA</t>
  </si>
  <si>
    <t>FILIPE DE ALMEIDA PEREIRA</t>
  </si>
  <si>
    <t>https://dadosabertos.camara.leg.br/api/v2/deputados/165675</t>
  </si>
  <si>
    <t>FRANCISCO ARAÚJO</t>
  </si>
  <si>
    <t>FRANCISCO EVANGELISTA DOS SANTOS DE ARAUJO</t>
  </si>
  <si>
    <t>https://dadosabertos.camara.leg.br/api/v2/deputados/172029</t>
  </si>
  <si>
    <t>FRANCISCO CHAGAS</t>
  </si>
  <si>
    <t>FRANCISCO DAS CHAGAS FRANCILINO</t>
  </si>
  <si>
    <t>Riachuelo</t>
  </si>
  <si>
    <t>https://dadosabertos.camara.leg.br/api/v2/deputados/178387</t>
  </si>
  <si>
    <t>FRANCISCO DE ASSIS</t>
  </si>
  <si>
    <t>FRANCISCO DE ASSIS NUNES</t>
  </si>
  <si>
    <t>Imaruí</t>
  </si>
  <si>
    <t>https://dadosabertos.camara.leg.br/api/v2/deputados/137983</t>
  </si>
  <si>
    <t>FRANCISCO ESCÓRCIO</t>
  </si>
  <si>
    <t>FRANCISCO LUIZ ESCÓRCIO LIMA</t>
  </si>
  <si>
    <t>https://dadosabertos.camara.leg.br/api/v2/deputados/141438</t>
  </si>
  <si>
    <t>FRANCISCO PRACIANO</t>
  </si>
  <si>
    <t>FRANCISCO EDNALDO PRACIANO</t>
  </si>
  <si>
    <t>https://dadosabertos.camara.leg.br/api/v2/deputados/141467</t>
  </si>
  <si>
    <t>FRANCISCO TENÓRIO</t>
  </si>
  <si>
    <t>JOSÉ FRANCISCO CERQUEIRA TENÓRIO</t>
  </si>
  <si>
    <t>Chã Preta</t>
  </si>
  <si>
    <t>https://dadosabertos.camara.leg.br/api/v2/deputados/160537</t>
  </si>
  <si>
    <t>GABRIEL CHALITA</t>
  </si>
  <si>
    <t>GABRIEL BENEDITO ISSAAC CHALITA</t>
  </si>
  <si>
    <t>Cachoeira Paulista</t>
  </si>
  <si>
    <t>https://dadosabertos.camara.leg.br/api/v2/deputados/165429</t>
  </si>
  <si>
    <t>GEAN LOUREIRO</t>
  </si>
  <si>
    <t>GEAN MARQUES LOUREIRO</t>
  </si>
  <si>
    <t>https://dadosabertos.camara.leg.br/api/v2/deputados/145895</t>
  </si>
  <si>
    <t>GERA ARRUDA</t>
  </si>
  <si>
    <t>JOSÉ GERARDO CORRÊA DE ARRUDA</t>
  </si>
  <si>
    <t>https://dadosabertos.camara.leg.br/api/v2/deputados/74566</t>
  </si>
  <si>
    <t>GERALDO SIMÕES</t>
  </si>
  <si>
    <t>GERALDO SIMÕES DE OLIVEIRA</t>
  </si>
  <si>
    <t>https://dadosabertos.camara.leg.br/api/v2/deputados/74151</t>
  </si>
  <si>
    <t>GERALDO THADEU</t>
  </si>
  <si>
    <t>GERALDO THADEU PEDREIRA DOS SANTOS</t>
  </si>
  <si>
    <t>Jacuí</t>
  </si>
  <si>
    <t>https://dadosabertos.camara.leg.br/api/v2/deputados/179380</t>
  </si>
  <si>
    <t>GILBERTO COUTINHO</t>
  </si>
  <si>
    <t>GILBERTO COUTINHO FREIRE</t>
  </si>
  <si>
    <t>https://dadosabertos.camara.leg.br/api/v2/deputados/74581</t>
  </si>
  <si>
    <t>GILMAR MACHADO</t>
  </si>
  <si>
    <t>GILMAR ALVES MACHADO</t>
  </si>
  <si>
    <t>Cascalho Rico</t>
  </si>
  <si>
    <t>https://dadosabertos.camara.leg.br/api/v2/deputados/160562</t>
  </si>
  <si>
    <t>GIROTO</t>
  </si>
  <si>
    <t>EDSON GIROTO</t>
  </si>
  <si>
    <t>Oscar Bressane</t>
  </si>
  <si>
    <t>https://dadosabertos.camara.leg.br/api/v2/deputados/141446</t>
  </si>
  <si>
    <t>GLADSON CAMELI</t>
  </si>
  <si>
    <t>GLADSON DE LIMA CAMELI</t>
  </si>
  <si>
    <t>https://dadosabertos.camara.leg.br/api/v2/deputados/173802</t>
  </si>
  <si>
    <t>GOIACIARA CRUZ</t>
  </si>
  <si>
    <t>GOIACIARA TAVARES CRUZ</t>
  </si>
  <si>
    <t>Cristalândia</t>
  </si>
  <si>
    <t>https://dadosabertos.camara.leg.br/api/v2/deputados/141447</t>
  </si>
  <si>
    <t>GUILHERME CAMPOS</t>
  </si>
  <si>
    <t>GUILHERME CAMPOS JÚNIOR</t>
  </si>
  <si>
    <t>http://www.facebook.com.br/depguilherme, http://www.twitter.com/depguilherme</t>
  </si>
  <si>
    <t>https://dadosabertos.camara.leg.br/api/v2/deputados/176120</t>
  </si>
  <si>
    <t>GUSTAVO PETTA</t>
  </si>
  <si>
    <t>GUSTAVO LEMOS PETTA</t>
  </si>
  <si>
    <t>https://dadosabertos.camara.leg.br/api/v2/deputados/175737</t>
  </si>
  <si>
    <t>HELCIO SILVA</t>
  </si>
  <si>
    <t>HELCIO ANTONIO DA SILVA</t>
  </si>
  <si>
    <t>Ubá</t>
  </si>
  <si>
    <t>https://dadosabertos.camara.leg.br/api/v2/deputados/74053</t>
  </si>
  <si>
    <t>HELENO SILVA</t>
  </si>
  <si>
    <t>JOSÉ HELENO DA SILVA</t>
  </si>
  <si>
    <t>Monte Alegre de Sergipe</t>
  </si>
  <si>
    <t>https://dadosabertos.camara.leg.br/api/v2/deputados/160590</t>
  </si>
  <si>
    <t>HÉLIO SANTOS</t>
  </si>
  <si>
    <t>HÉLIO BATISTA DOS SANTOS</t>
  </si>
  <si>
    <t>Carlos Chagas</t>
  </si>
  <si>
    <t>https://dadosabertos.camara.leg.br/api/v2/deputados/73940</t>
  </si>
  <si>
    <t>HENRIQUE AFONSO</t>
  </si>
  <si>
    <t>HENRIQUE AFONSO SOARES LIMA</t>
  </si>
  <si>
    <t>https://dadosabertos.camara.leg.br/api/v2/deputados/74324</t>
  </si>
  <si>
    <t>HENRIQUE EDUARDO ALVES</t>
  </si>
  <si>
    <t>HENRIQUE EDUARDO LYRA ALVES</t>
  </si>
  <si>
    <t>https://dadosabertos.camara.leg.br/api/v2/deputados/68731</t>
  </si>
  <si>
    <t>HENRIQUE OLIVEIRA</t>
  </si>
  <si>
    <t>JOSÉ HENRIQUE OLIVEIRA</t>
  </si>
  <si>
    <t>https://dadosabertos.camara.leg.br/api/v2/deputados/141448</t>
  </si>
  <si>
    <t>HOMERO PEREIRA</t>
  </si>
  <si>
    <t>HOMERO ALVES PEREIRA</t>
  </si>
  <si>
    <t>https://dadosabertos.camara.leg.br/api/v2/deputados/160974</t>
  </si>
  <si>
    <t>HUGO NAPOLEÃO</t>
  </si>
  <si>
    <t>HUGO NAPOLEÃO DO REGO NETO</t>
  </si>
  <si>
    <t>Portland, OR</t>
  </si>
  <si>
    <t>https://dadosabertos.camara.leg.br/api/v2/deputados/73935</t>
  </si>
  <si>
    <t>HUMBERTO MICHILES</t>
  </si>
  <si>
    <t>DARCY HUMBERTO MICHILES</t>
  </si>
  <si>
    <t>https://dadosabertos.camara.leg.br/api/v2/deputados/74662</t>
  </si>
  <si>
    <t>HUMBERTO SOUTO</t>
  </si>
  <si>
    <t>HUMBERTO GUIMARÃES SOUTO</t>
  </si>
  <si>
    <t>https://dadosabertos.camara.leg.br/api/v2/deputados/74780</t>
  </si>
  <si>
    <t>IARA BERNARDI</t>
  </si>
  <si>
    <t>https://dadosabertos.camara.leg.br/api/v2/deputados/173262</t>
  </si>
  <si>
    <t>ILÁRIO MARQUES</t>
  </si>
  <si>
    <t>JOSÉ ILÁRIO GONÇALVES MARQUES</t>
  </si>
  <si>
    <t>https://dadosabertos.camara.leg.br/api/v2/deputados/74421</t>
  </si>
  <si>
    <t>INOCÊNCIO OLIVEIRA</t>
  </si>
  <si>
    <t>INOCÊNCIO GOMES DE OLIVEIRA</t>
  </si>
  <si>
    <t>Serra Talhada</t>
  </si>
  <si>
    <t>https://dadosabertos.camara.leg.br/api/v2/deputados/74162</t>
  </si>
  <si>
    <t>IRINY LOPES</t>
  </si>
  <si>
    <t>IRINY NICOLAU CORRES LOPES</t>
  </si>
  <si>
    <t>https://dadosabertos.camara.leg.br/api/v2/deputados/141453</t>
  </si>
  <si>
    <t>ÍRIS DE ARAÚJO</t>
  </si>
  <si>
    <t>ÍRIS DE ARAÚJO REZENDE MACHADO</t>
  </si>
  <si>
    <t>Três Lagoas</t>
  </si>
  <si>
    <t>https://dadosabertos.camara.leg.br/api/v2/deputados/74152</t>
  </si>
  <si>
    <t>ISAIAS SILVESTRE</t>
  </si>
  <si>
    <t>https://dadosabertos.camara.leg.br/api/v2/deputados/3151</t>
  </si>
  <si>
    <t>JAIRO ATAÍDE</t>
  </si>
  <si>
    <t>JAIRO ATAÍDE VIEIRA</t>
  </si>
  <si>
    <t>https://dadosabertos.camara.leg.br/api/v2/deputados/141455</t>
  </si>
  <si>
    <t>JANETE ROCHA PIETÁ</t>
  </si>
  <si>
    <t>https://dadosabertos.camara.leg.br/api/v2/deputados/160675</t>
  </si>
  <si>
    <t>JÂNIO NATAL</t>
  </si>
  <si>
    <t>JÂNIO NATAL ANDRADE BORGES</t>
  </si>
  <si>
    <t>https://dadosabertos.camara.leg.br/api/v2/deputados/97822</t>
  </si>
  <si>
    <t>JAQUELINE RORIZ</t>
  </si>
  <si>
    <t>JAQUELINE MARIA RORIZ</t>
  </si>
  <si>
    <t>https://dadosabertos.camara.leg.br/api/v2/deputados/160671</t>
  </si>
  <si>
    <t>JESUS RODRIGUES</t>
  </si>
  <si>
    <t>JESUS RODRIGUES ALVES</t>
  </si>
  <si>
    <t>https://dadosabertos.camara.leg.br/api/v2/deputados/160574</t>
  </si>
  <si>
    <t>JOÃO ANANIAS</t>
  </si>
  <si>
    <t>JOÃO ANANIAS VASCONCÉLOS NETO</t>
  </si>
  <si>
    <t>Santana do Acaraú</t>
  </si>
  <si>
    <t>https://dadosabertos.camara.leg.br/api/v2/deputados/141457</t>
  </si>
  <si>
    <t>JOÃO BITTAR</t>
  </si>
  <si>
    <t>JOÃO BITTAR JÚNIOR</t>
  </si>
  <si>
    <t>https://dadosabertos.camara.leg.br/api/v2/deputados/74559</t>
  </si>
  <si>
    <t>JOÃO CALDAS</t>
  </si>
  <si>
    <t>JOÃO CALDAS DA SILVA</t>
  </si>
  <si>
    <t>Ibateguara</t>
  </si>
  <si>
    <t>https://dadosabertos.camara.leg.br/api/v2/deputados/73682</t>
  </si>
  <si>
    <t>JOÃO DADO</t>
  </si>
  <si>
    <t>JOÃO EDUARDO DADO LEITE DE CARVALHO</t>
  </si>
  <si>
    <t>https://dadosabertos.camara.leg.br/api/v2/deputados/74049</t>
  </si>
  <si>
    <t>JOÃO LYRA</t>
  </si>
  <si>
    <t>JOÃO JOSÉ PEREIRA DE LYRA</t>
  </si>
  <si>
    <t>https://dadosabertos.camara.leg.br/api/v2/deputados/74120</t>
  </si>
  <si>
    <t>JOÃO MAGALHÃES</t>
  </si>
  <si>
    <t>JOÃO LÚCIO MAGALHÃES BIFANO</t>
  </si>
  <si>
    <t>Matipó</t>
  </si>
  <si>
    <t>https://dadosabertos.camara.leg.br/api/v2/deputados/73534</t>
  </si>
  <si>
    <t>JOÃO PAULO CUNHA</t>
  </si>
  <si>
    <t>Caraguatatuba</t>
  </si>
  <si>
    <t>https://dadosabertos.camara.leg.br/api/v2/deputados/160549</t>
  </si>
  <si>
    <t>JOÃO PAULO LIMA</t>
  </si>
  <si>
    <t>JOÃO PAULO LIMA E SILVA</t>
  </si>
  <si>
    <t>Olinda</t>
  </si>
  <si>
    <t>https://dadosabertos.camara.leg.br/api/v2/deputados/73874</t>
  </si>
  <si>
    <t>JOÃO PIZZOLATTI</t>
  </si>
  <si>
    <t>JOÃO ALBERTO PIZZOLATTI JÚNIOR</t>
  </si>
  <si>
    <t>https://dadosabertos.camara.leg.br/api/v2/deputados/141461</t>
  </si>
  <si>
    <t>JOAQUIM BELTRÃO</t>
  </si>
  <si>
    <t>JOAQUIM BELTRÃO SIQUEIRA</t>
  </si>
  <si>
    <t>https://dadosabertos.camara.leg.br/api/v2/deputados/74686</t>
  </si>
  <si>
    <t>JORGE BITTAR</t>
  </si>
  <si>
    <t>JORGE RICARDO BITTAR</t>
  </si>
  <si>
    <t>https://dadosabertos.camara.leg.br/api/v2/deputados/73569</t>
  </si>
  <si>
    <t>JORGE PINHEIRO</t>
  </si>
  <si>
    <t>JORGE DOS REIS PINHEIRO</t>
  </si>
  <si>
    <t>https://dadosabertos.camara.leg.br/api/v2/deputados/73536</t>
  </si>
  <si>
    <t>JOSÉ ANÍBAL</t>
  </si>
  <si>
    <t>JOSÉ ANÍBAL PERES DE PONTES</t>
  </si>
  <si>
    <t>Guajará-Mirim</t>
  </si>
  <si>
    <t>https://dadosabertos.camara.leg.br/api/v2/deputados/160661</t>
  </si>
  <si>
    <t>JOSÉ AUGUSTO MAIA</t>
  </si>
  <si>
    <t>Santa Cruz do Capibaribe</t>
  </si>
  <si>
    <t>https://dadosabertos.camara.leg.br/api/v2/deputados/73875</t>
  </si>
  <si>
    <t>JOSÉ CARLOS VIEIRA</t>
  </si>
  <si>
    <t>https://dadosabertos.camara.leg.br/api/v2/deputados/74423</t>
  </si>
  <si>
    <t>JOSÉ CHAVES</t>
  </si>
  <si>
    <t>JOSÉ SEVERIANO CHAVES</t>
  </si>
  <si>
    <t>https://dadosabertos.camara.leg.br/api/v2/deputados/160560</t>
  </si>
  <si>
    <t>JOSÉ DE FILIPPI</t>
  </si>
  <si>
    <t>JOSÉ DE FILIPPI JÚNIOR</t>
  </si>
  <si>
    <t>Espírito Santo do Pinhal</t>
  </si>
  <si>
    <t>https://dadosabertos.camara.leg.br/api/v2/deputados/73540</t>
  </si>
  <si>
    <t>JOSÉ GENOÍNO</t>
  </si>
  <si>
    <t>JOSÉ GENOÍNO NETO</t>
  </si>
  <si>
    <t>https://dadosabertos.camara.leg.br/api/v2/deputados/160396</t>
  </si>
  <si>
    <t>JOSÉ HUMBERTO</t>
  </si>
  <si>
    <t>JOSÉ HUMBERTO SOARES</t>
  </si>
  <si>
    <t>http://www.facebook.com/deputadojosehumberto</t>
  </si>
  <si>
    <t>https://dadosabertos.camara.leg.br/api/v2/deputados/74297</t>
  </si>
  <si>
    <t>JOSÉ LINHARES</t>
  </si>
  <si>
    <t>JOSÉ LINHARES PONTE</t>
  </si>
  <si>
    <t>https://dadosabertos.camara.leg.br/api/v2/deputados/4929</t>
  </si>
  <si>
    <t>JOSEPH BANDEIRA</t>
  </si>
  <si>
    <t>JOSEPH WALLACE FARIA BANDEIRA</t>
  </si>
  <si>
    <t>https://dadosabertos.camara.leg.br/api/v2/deputados/160519</t>
  </si>
  <si>
    <t>JÚLIO CAMPOS</t>
  </si>
  <si>
    <t>JÚLIO JOSÉ DE CAMPOS</t>
  </si>
  <si>
    <t>Várzea Grande</t>
  </si>
  <si>
    <t>https://dadosabertos.camara.leg.br/api/v2/deputados/74783</t>
  </si>
  <si>
    <t>JULIO SEMEGHINI</t>
  </si>
  <si>
    <t>JULIO FRANCISCO SEMEGHINI NETO</t>
  </si>
  <si>
    <t>https://dadosabertos.camara.leg.br/api/v2/deputados/160648</t>
  </si>
  <si>
    <t>JÚNIOR COIMBRA</t>
  </si>
  <si>
    <t>RAIMUNDO COIMBRA JÚNIOR</t>
  </si>
  <si>
    <t>Filadélfia</t>
  </si>
  <si>
    <t>https://dadosabertos.camara.leg.br/api/v2/deputados/74742</t>
  </si>
  <si>
    <t>LAEL VARELLA</t>
  </si>
  <si>
    <t>LAEL VIEIRA VARELLA</t>
  </si>
  <si>
    <t>https://dadosabertos.camara.leg.br/api/v2/deputados/141479</t>
  </si>
  <si>
    <t>LAUREZ MOREIRA</t>
  </si>
  <si>
    <t>LAUREZ DA ROCHA MOREIRA</t>
  </si>
  <si>
    <t>http://www.twitter.com/laurezmoreira</t>
  </si>
  <si>
    <t>Duerê</t>
  </si>
  <si>
    <t>https://dadosabertos.camara.leg.br/api/v2/deputados/74367</t>
  </si>
  <si>
    <t>LEANDRO VILELA</t>
  </si>
  <si>
    <t>LEANDRO VILELA VELLOSO</t>
  </si>
  <si>
    <t>https://dadosabertos.camara.leg.br/api/v2/deputados/179385</t>
  </si>
  <si>
    <t>LÉO OLIVEIRA</t>
  </si>
  <si>
    <t>OCIMAR DONIZETI LEO OLIVEIRA</t>
  </si>
  <si>
    <t>Barrinha</t>
  </si>
  <si>
    <t>https://dadosabertos.camara.leg.br/api/v2/deputados/73716</t>
  </si>
  <si>
    <t>LEOMAR QUINTANILHA</t>
  </si>
  <si>
    <t>LEOMAR DE MELO QUINTANILHA</t>
  </si>
  <si>
    <t>https://dadosabertos.camara.leg.br/api/v2/deputados/74368</t>
  </si>
  <si>
    <t>LEONARDO VILELA</t>
  </si>
  <si>
    <t>LEONARDO MOURA VILELA</t>
  </si>
  <si>
    <t>https://dadosabertos.camara.leg.br/api/v2/deputados/160533</t>
  </si>
  <si>
    <t>LILIAM SÁ</t>
  </si>
  <si>
    <t>LILIAM SÁ DE PAULA</t>
  </si>
  <si>
    <t>https://dadosabertos.camara.leg.br/api/v2/deputados/141462</t>
  </si>
  <si>
    <t>LIRA MAIA</t>
  </si>
  <si>
    <t>JOAQUIM DE LIRA MAIA</t>
  </si>
  <si>
    <t>https://dadosabertos.camara.leg.br/api/v2/deputados/160555</t>
  </si>
  <si>
    <t>LOURIVAL MENDES</t>
  </si>
  <si>
    <t>LOURIVAL MENDES DA FONSECA FILHO</t>
  </si>
  <si>
    <t>https://dadosabertos.camara.leg.br/api/v2/deputados/73474</t>
  </si>
  <si>
    <t>LUCI CHOINACKI</t>
  </si>
  <si>
    <t>LUCI TERESINHA KOSWOSKI CHOINACKI</t>
  </si>
  <si>
    <t>https://dadosabertos.camara.leg.br/api/v2/deputados/73982</t>
  </si>
  <si>
    <t>LUCIANO CASTRO</t>
  </si>
  <si>
    <t>LUCIANO DE SOUZA CASTRO</t>
  </si>
  <si>
    <t>https://dadosabertos.camara.leg.br/api/v2/deputados/160513</t>
  </si>
  <si>
    <t>LUCIANO MOREIRA</t>
  </si>
  <si>
    <t>LUCIANO FERNANDES MOREIRA</t>
  </si>
  <si>
    <t>Uruoca</t>
  </si>
  <si>
    <t>https://dadosabertos.camara.leg.br/api/v2/deputados/73777</t>
  </si>
  <si>
    <t>LUCIANO PIZZATTO</t>
  </si>
  <si>
    <t>https://dadosabertos.camara.leg.br/api/v2/deputados/74133</t>
  </si>
  <si>
    <t>LUIZ ALBERTO</t>
  </si>
  <si>
    <t>LUIZ ALBERTO SILVA DOS SANTOS</t>
  </si>
  <si>
    <t>Maragogipe</t>
  </si>
  <si>
    <t>https://dadosabertos.camara.leg.br/api/v2/deputados/160547</t>
  </si>
  <si>
    <t>LUIZ ARGÔLO</t>
  </si>
  <si>
    <t>JOÃO LUIZ CORREIA ARGÔLO DOS SANTOS</t>
  </si>
  <si>
    <t>http://www.twitter.com/luizargolo_1133</t>
  </si>
  <si>
    <t>Entre Rios</t>
  </si>
  <si>
    <t>https://dadosabertos.camara.leg.br/api/v2/deputados/141486</t>
  </si>
  <si>
    <t>LUIZ CARLOS SETIM</t>
  </si>
  <si>
    <t>São José dos Pinhais</t>
  </si>
  <si>
    <t>https://dadosabertos.camara.leg.br/api/v2/deputados/171618</t>
  </si>
  <si>
    <t>LUIZ DE DEUS</t>
  </si>
  <si>
    <t>LUIZ BARBOSA DE DEUS</t>
  </si>
  <si>
    <t>Brejo Grande</t>
  </si>
  <si>
    <t>https://dadosabertos.camara.leg.br/api/v2/deputados/160662</t>
  </si>
  <si>
    <t>LUIZ FERNANDO MACHADO</t>
  </si>
  <si>
    <t>LUIZ FERNANDO ARANTES MACHADO</t>
  </si>
  <si>
    <t>https://dadosabertos.camara.leg.br/api/v2/deputados/161962</t>
  </si>
  <si>
    <t>LUIZ NOÉ</t>
  </si>
  <si>
    <t>LUIZ NOÉ SOUZA SOARES</t>
  </si>
  <si>
    <t>https://dadosabertos.camara.leg.br/api/v2/deputados/161906</t>
  </si>
  <si>
    <t>LUIZ OTAVIO</t>
  </si>
  <si>
    <t>LUIZ OTAVIO OLIVEIRA CAMPOS</t>
  </si>
  <si>
    <t>https://dadosabertos.camara.leg.br/api/v2/deputados/160550</t>
  </si>
  <si>
    <t>LUIZ PITIMAN</t>
  </si>
  <si>
    <t>LUIZ CARLOS PIETSCHMANN</t>
  </si>
  <si>
    <t>https://dadosabertos.camara.leg.br/api/v2/deputados/74802</t>
  </si>
  <si>
    <t>MAGELA</t>
  </si>
  <si>
    <t>GERALDO MAGELA PEREIRA</t>
  </si>
  <si>
    <t>https://dadosabertos.camara.leg.br/api/v2/deputados/149327</t>
  </si>
  <si>
    <t>MAJOR FÁBIO</t>
  </si>
  <si>
    <t>FÁBIO RODRIGUES DE OLIVEIRA</t>
  </si>
  <si>
    <t>https://dadosabertos.camara.leg.br/api/v2/deputados/179382</t>
  </si>
  <si>
    <t>MANOEL ANTUNES</t>
  </si>
  <si>
    <t>https://dadosabertos.camara.leg.br/api/v2/deputados/74456</t>
  </si>
  <si>
    <t>MANOEL SALVIANO</t>
  </si>
  <si>
    <t>MANOEL SALVIANO SOBRINHO</t>
  </si>
  <si>
    <t>https://dadosabertos.camara.leg.br/api/v2/deputados/171622</t>
  </si>
  <si>
    <t>MANUEL ROSA NECA</t>
  </si>
  <si>
    <t>MANUEL ROSA DA SILVA</t>
  </si>
  <si>
    <t>https://dadosabertos.camara.leg.br/api/v2/deputados/141492</t>
  </si>
  <si>
    <t>MANUELA D'ÁVILA</t>
  </si>
  <si>
    <t>MANUELA PINTO VIEIRA D'ÁVILA</t>
  </si>
  <si>
    <t>https://dadosabertos.camara.leg.br/api/v2/deputados/74124</t>
  </si>
  <si>
    <t>MARÇAL FILHO</t>
  </si>
  <si>
    <t>MARÇAL GONÇALVES LEITE FILHO</t>
  </si>
  <si>
    <t>https://dadosabertos.camara.leg.br/api/v2/deputados/178821</t>
  </si>
  <si>
    <t>MARCELINHO CARIOCA</t>
  </si>
  <si>
    <t>MARCELO PEREIRA SURCIN</t>
  </si>
  <si>
    <t>https://dadosabertos.camara.leg.br/api/v2/deputados/146613</t>
  </si>
  <si>
    <t>MARCELO ALMEIDA</t>
  </si>
  <si>
    <t>MARCELO BELTRÃO DE ALMEIDA</t>
  </si>
  <si>
    <t>https://dadosabertos.camara.leg.br/api/v2/deputados/74143</t>
  </si>
  <si>
    <t>MARCELO GUIMARÃES FILHO</t>
  </si>
  <si>
    <t>MARCELO DE OLIVEIRA GUIMARÃES FILHO</t>
  </si>
  <si>
    <t>http://twitter.com/marceloguima</t>
  </si>
  <si>
    <t>https://dadosabertos.camara.leg.br/api/v2/deputados/74363</t>
  </si>
  <si>
    <t>MARCIO BITTAR</t>
  </si>
  <si>
    <t>MÁRCIO MIGUEL BITTAR</t>
  </si>
  <si>
    <t>https://dadosabertos.camara.leg.br/api/v2/deputados/141497</t>
  </si>
  <si>
    <t>MÁRCIO FRANÇA</t>
  </si>
  <si>
    <t>MÁRCIO LUIZ FRANÇA GOMES</t>
  </si>
  <si>
    <t>https://dadosabertos.camara.leg.br/api/v2/deputados/141496</t>
  </si>
  <si>
    <t>MARCIO JUNQUEIRA</t>
  </si>
  <si>
    <t>MÁRCIO HENRIQUE JUNQUEIRA PEREIRA</t>
  </si>
  <si>
    <t>https://dadosabertos.camara.leg.br/api/v2/deputados/74744</t>
  </si>
  <si>
    <t>MARCIO REINALDO MOREIRA</t>
  </si>
  <si>
    <t>MÁRCIO REINALDO DIAS MOREIRA</t>
  </si>
  <si>
    <t>Sete Lagoas</t>
  </si>
  <si>
    <t>https://dadosabertos.camara.leg.br/api/v2/deputados/74745</t>
  </si>
  <si>
    <t>MARCOS LIMA</t>
  </si>
  <si>
    <t>MARCOS GUIMARAES DE CERQUEIRA LIMA</t>
  </si>
  <si>
    <t>https://dadosabertos.camara.leg.br/api/v2/deputados/176794</t>
  </si>
  <si>
    <t>MARIA LUCIA PRANDI</t>
  </si>
  <si>
    <t>MARIA LUCIA PRANDI GOMES</t>
  </si>
  <si>
    <t>Potirendaba</t>
  </si>
  <si>
    <t>https://dadosabertos.camara.leg.br/api/v2/deputados/164361</t>
  </si>
  <si>
    <t>MARINA SANTANNA</t>
  </si>
  <si>
    <t>MARINA PIGNATARO SANT'ANNA</t>
  </si>
  <si>
    <t>https://dadosabertos.camara.leg.br/api/v2/deputados/74747</t>
  </si>
  <si>
    <t>MÁRIO DE OLIVEIRA</t>
  </si>
  <si>
    <t>Júlio Mesquita</t>
  </si>
  <si>
    <t>https://dadosabertos.camara.leg.br/api/v2/deputados/168447</t>
  </si>
  <si>
    <t>MÁRIO FEITOZA</t>
  </si>
  <si>
    <t>MARIO FEITOZA DE CARVALHO FREITAS</t>
  </si>
  <si>
    <t>https://dadosabertos.camara.leg.br/api/v2/deputados/74635</t>
  </si>
  <si>
    <t>MÁRIO NEGROMONTE</t>
  </si>
  <si>
    <t>MÁRIO SÍLVIO MENDES NEGROMONTE</t>
  </si>
  <si>
    <t>https://dadosabertos.camara.leg.br/api/v2/deputados/121759</t>
  </si>
  <si>
    <t>MARLLOS SAMPAIO</t>
  </si>
  <si>
    <t>MARLLOS ROSSANO RIBEIRO GONÇALVES DE SAMPAIO</t>
  </si>
  <si>
    <t>https://dadosabertos.camara.leg.br/api/v2/deputados/179880</t>
  </si>
  <si>
    <t>MASSAMI MIKI</t>
  </si>
  <si>
    <t>https://dadosabertos.camara.leg.br/api/v2/deputados/179386</t>
  </si>
  <si>
    <t>MAURÍCIO ALMEIDA</t>
  </si>
  <si>
    <t>MAURICIO LUITGARDS MOURA DE ALMEIDA SILVA</t>
  </si>
  <si>
    <t>https://dadosabertos.camara.leg.br/api/v2/deputados/74045</t>
  </si>
  <si>
    <t>MAURÍCIO RANDS</t>
  </si>
  <si>
    <t>MAURÍCIO RANDS COELHO BARROS</t>
  </si>
  <si>
    <t>https://dadosabertos.camara.leg.br/api/v2/deputados/141506</t>
  </si>
  <si>
    <t>MAURÍCIO TRINDADE</t>
  </si>
  <si>
    <t>MAURÍCIO GONÇALVES TRINDADE</t>
  </si>
  <si>
    <t>https://dadosabertos.camara.leg.br/api/v2/deputados/73904</t>
  </si>
  <si>
    <t>MENDES RIBEIRO FILHO</t>
  </si>
  <si>
    <t>JORGE ALBERTO PORTANOVA MENDES RIBEIRO FILHO</t>
  </si>
  <si>
    <t>https://dadosabertos.camara.leg.br/api/v2/deputados/74056</t>
  </si>
  <si>
    <t>MENDONÇA PRADO</t>
  </si>
  <si>
    <t>JOSÉ DE ARAÚJO MENDONÇA SOBRINHO</t>
  </si>
  <si>
    <t>https://dadosabertos.camara.leg.br/api/v2/deputados/160644</t>
  </si>
  <si>
    <t>MIRIQUINHO BATISTA</t>
  </si>
  <si>
    <t>ESMERINO NERI BATISTA FILHO</t>
  </si>
  <si>
    <t>http://miriquinho.blogspot.com/</t>
  </si>
  <si>
    <t>https://dadosabertos.camara.leg.br/api/v2/deputados/74238</t>
  </si>
  <si>
    <t>MOACIR MICHELETTO</t>
  </si>
  <si>
    <t>Xanxerê</t>
  </si>
  <si>
    <t>https://dadosabertos.camara.leg.br/api/v2/deputados/141537</t>
  </si>
  <si>
    <t>MOREIRA MENDES</t>
  </si>
  <si>
    <t>RUBENS MOREIRA MENDES FILHO</t>
  </si>
  <si>
    <t>http://instagram.com/moreiramendes55, http://twitter.com/@moreiramendes55, https://www.facebook.com/MoreiraMendesRondonia</t>
  </si>
  <si>
    <t>http://www.moreiramendes.com.br</t>
  </si>
  <si>
    <t>https://dadosabertos.camara.leg.br/api/v2/deputados/74108</t>
  </si>
  <si>
    <t>NARCIO RODRIGUES</t>
  </si>
  <si>
    <t>NÁRCIO RODRIGUES DA SILVEIRA</t>
  </si>
  <si>
    <t>Frutal</t>
  </si>
  <si>
    <t>https://dadosabertos.camara.leg.br/api/v2/deputados/133372</t>
  </si>
  <si>
    <t>NATAN DONADON</t>
  </si>
  <si>
    <t>https://dadosabertos.camara.leg.br/api/v2/deputados/74491</t>
  </si>
  <si>
    <t>NAZARENO FONTELES</t>
  </si>
  <si>
    <t>JOSÉ NAZARENO CARDEAL FONTELES</t>
  </si>
  <si>
    <t>https://dadosabertos.camara.leg.br/api/v2/deputados/141510</t>
  </si>
  <si>
    <t>NEILTON MULIM</t>
  </si>
  <si>
    <t>NEILTON MULIM DA COSTA</t>
  </si>
  <si>
    <t>https://dadosabertos.camara.leg.br/api/v2/deputados/73416</t>
  </si>
  <si>
    <t>NELSON BORNIER</t>
  </si>
  <si>
    <t>NELSON ROBERTO BORNIER DE OLIVEIRA</t>
  </si>
  <si>
    <t>https://dadosabertos.camara.leg.br/api/v2/deputados/74750</t>
  </si>
  <si>
    <t>NEWTON CARDOSO</t>
  </si>
  <si>
    <t>Brumado</t>
  </si>
  <si>
    <t>https://dadosabertos.camara.leg.br/api/v2/deputados/160657</t>
  </si>
  <si>
    <t>NEWTON LIMA</t>
  </si>
  <si>
    <t>NEWTON LIMA NETO</t>
  </si>
  <si>
    <t>http://twitter.com/profnewtonlima, http://twitter.com/redenewton, https://www.facebook.com/redenewtonlima, https://www.youtube.com/redenewtonlima</t>
  </si>
  <si>
    <t>https://dadosabertos.camara.leg.br/api/v2/deputados/74447</t>
  </si>
  <si>
    <t>NICE LOBÃO</t>
  </si>
  <si>
    <t>https://dadosabertos.camara.leg.br/api/v2/deputados/160564</t>
  </si>
  <si>
    <t>NILDA GONDIM</t>
  </si>
  <si>
    <t>OZANILDA GONDIM VITAL DO REGO</t>
  </si>
  <si>
    <t>https://dadosabertos.camara.leg.br/api/v2/deputados/73594</t>
  </si>
  <si>
    <t>NILMAR RUIZ</t>
  </si>
  <si>
    <t>NILMAR GAVINO RUIZ</t>
  </si>
  <si>
    <t>https://dadosabertos.camara.leg.br/api/v2/deputados/73782</t>
  </si>
  <si>
    <t>ODÍLIO BALBINOTTI</t>
  </si>
  <si>
    <t>ODILIO BALBINOTTI</t>
  </si>
  <si>
    <t>https://dadosabertos.camara.leg.br/api/v2/deputados/73464</t>
  </si>
  <si>
    <t>OLIVEIRA FILHO</t>
  </si>
  <si>
    <t>BERNARDINO BARRETO DE OLIVEIRA</t>
  </si>
  <si>
    <t>https://dadosabertos.camara.leg.br/api/v2/deputados/160563</t>
  </si>
  <si>
    <t>ONOFRE SANTO AGOSTINI</t>
  </si>
  <si>
    <t>ONOFRE SANTO AGUSTINI</t>
  </si>
  <si>
    <t>http://www.facebook.com/deputadoonofre</t>
  </si>
  <si>
    <t>https://dadosabertos.camara.leg.br/api/v2/deputados/141514</t>
  </si>
  <si>
    <t>OSMAR JÚNIOR</t>
  </si>
  <si>
    <t>OSMAR RIBEIRO DE ALMEIDA JÚNIOR</t>
  </si>
  <si>
    <t>https://dadosabertos.camara.leg.br/api/v2/deputados/74430</t>
  </si>
  <si>
    <t>OSVALDO COELHO</t>
  </si>
  <si>
    <t>OSVALDO DE SOUZA COELHO</t>
  </si>
  <si>
    <t>https://dadosabertos.camara.leg.br/api/v2/deputados/74191</t>
  </si>
  <si>
    <t>OSVALDO REIS</t>
  </si>
  <si>
    <t>OSVALDO DE SOUZA REIS</t>
  </si>
  <si>
    <t>Floriano</t>
  </si>
  <si>
    <t>https://dadosabertos.camara.leg.br/api/v2/deputados/160540</t>
  </si>
  <si>
    <t>OTONIEL LIMA</t>
  </si>
  <si>
    <t>OTONIEL CARLOS DE LIMA</t>
  </si>
  <si>
    <t>https://dadosabertos.camara.leg.br/api/v2/deputados/160650</t>
  </si>
  <si>
    <t>OZIEL OLIVEIRA</t>
  </si>
  <si>
    <t>OZIEL ALVES DE OLIVEIRA</t>
  </si>
  <si>
    <t>https://dadosabertos.camara.leg.br/api/v2/deputados/160670</t>
  </si>
  <si>
    <t>PADRE TON</t>
  </si>
  <si>
    <t>MÁRITON BENEDITO DE HOLANDA</t>
  </si>
  <si>
    <t>https://dadosabertos.camara.leg.br/api/v2/deputados/73883</t>
  </si>
  <si>
    <t>PAULO BORNHAUSEN</t>
  </si>
  <si>
    <t>PAULO ROBERTO BARRETO BORNHAUSEN</t>
  </si>
  <si>
    <t>https://dadosabertos.camara.leg.br/api/v2/deputados/160668</t>
  </si>
  <si>
    <t>PAULO CESAR QUARTIERO</t>
  </si>
  <si>
    <t>PAULO CESAR JUSTO QUARTIERO</t>
  </si>
  <si>
    <t>Torres</t>
  </si>
  <si>
    <t>https://dadosabertos.camara.leg.br/api/v2/deputados/109372</t>
  </si>
  <si>
    <t>PAULO FERREIRA</t>
  </si>
  <si>
    <t>PAULO ADALBERTO ALVES FERREIRA</t>
  </si>
  <si>
    <t>https://dadosabertos.camara.leg.br/api/v2/deputados/141519</t>
  </si>
  <si>
    <t>PAULO PIAU</t>
  </si>
  <si>
    <t>PAULO PIAU NOGUEIRA</t>
  </si>
  <si>
    <t>https://dadosabertos.camara.leg.br/api/v2/deputados/74047</t>
  </si>
  <si>
    <t>PAULO RUBEM SANTIAGO</t>
  </si>
  <si>
    <t>PAULO RUBEM SANTIAGO FERREIRA</t>
  </si>
  <si>
    <t>https://dadosabertos.camara.leg.br/api/v2/deputados/160658</t>
  </si>
  <si>
    <t>PAULO TADEU</t>
  </si>
  <si>
    <t>PAULO TADEU VALE DA SILVA</t>
  </si>
  <si>
    <t>https://dadosabertos.camara.leg.br/api/v2/deputados/160593</t>
  </si>
  <si>
    <t>PAULO WAGNER</t>
  </si>
  <si>
    <t>PAULO WAGNER LEITE DANTAS</t>
  </si>
  <si>
    <t>https://dadosabertos.camara.leg.br/api/v2/deputados/74556</t>
  </si>
  <si>
    <t>PEDRO EUGÊNIO</t>
  </si>
  <si>
    <t>PEDRO EUGÊNIO DE CASTRO TOLEDO CABRAL</t>
  </si>
  <si>
    <t>https://dadosabertos.camara.leg.br/api/v2/deputados/174314</t>
  </si>
  <si>
    <t>PEDRO GUERRA</t>
  </si>
  <si>
    <t>PEDRO DOS SANTOS LIMA GUERRA</t>
  </si>
  <si>
    <t>https://dadosabertos.camara.leg.br/api/v2/deputados/74111</t>
  </si>
  <si>
    <t>PEDRO HENRY</t>
  </si>
  <si>
    <t>PEDRO HENRY NETO</t>
  </si>
  <si>
    <t>Santo André</t>
  </si>
  <si>
    <t>https://dadosabertos.camara.leg.br/api/v2/deputados/74207</t>
  </si>
  <si>
    <t>PEDRO NOVAIS</t>
  </si>
  <si>
    <t>PEDRO NOVAIS LIMA</t>
  </si>
  <si>
    <t>Coelho Neto</t>
  </si>
  <si>
    <t>https://dadosabertos.camara.leg.br/api/v2/deputados/179384</t>
  </si>
  <si>
    <t>PINTO DE LUNA</t>
  </si>
  <si>
    <t>JOSÉ PINTO DE LUNA</t>
  </si>
  <si>
    <t>Aurora</t>
  </si>
  <si>
    <t>https://dadosabertos.camara.leg.br/api/v2/deputados/141465</t>
  </si>
  <si>
    <t>PINTO ITAMARATY</t>
  </si>
  <si>
    <t>JOSÉ ELEONILDO SOARES</t>
  </si>
  <si>
    <t>https://dadosabertos.camara.leg.br/api/v2/deputados/172711</t>
  </si>
  <si>
    <t>PLÍNIO VALÉRIO</t>
  </si>
  <si>
    <t>FRANCISCO PLÍNIO VALÉRIO TOMAZ</t>
  </si>
  <si>
    <t>https://dadosabertos.camara.leg.br/api/v2/deputados/162174</t>
  </si>
  <si>
    <t>POLICARPO</t>
  </si>
  <si>
    <t>ROBERTO POLICARPO FAGUNDES</t>
  </si>
  <si>
    <t>http://twitter.com/#!/Policarpo_PTDF, http://www.facebook.com/Policarpo1322</t>
  </si>
  <si>
    <t>http://www.blogdopolicarpo.com.br/</t>
  </si>
  <si>
    <t>Passagem</t>
  </si>
  <si>
    <t>https://dadosabertos.camara.leg.br/api/v2/deputados/141543</t>
  </si>
  <si>
    <t>PROFESSOR SETIMO</t>
  </si>
  <si>
    <t>SÉTIMO WAQUIM</t>
  </si>
  <si>
    <t>Timon</t>
  </si>
  <si>
    <t>https://dadosabertos.camara.leg.br/api/v2/deputados/160516</t>
  </si>
  <si>
    <t>RAIMUNDÃO</t>
  </si>
  <si>
    <t>RAIMUNDO ANTONIO DE MACEDO</t>
  </si>
  <si>
    <t>https://dadosabertos.camara.leg.br/api/v2/deputados/141403</t>
  </si>
  <si>
    <t>RATINHO JUNIOR</t>
  </si>
  <si>
    <t>CARLOS ROBERTO MASSA JÚNIOR</t>
  </si>
  <si>
    <t>https://dadosabertos.camara.leg.br/api/v2/deputados/160656</t>
  </si>
  <si>
    <t>RAUL LIMA</t>
  </si>
  <si>
    <t>RAUL DA SILVA LIMA SOBRINHO</t>
  </si>
  <si>
    <t>https://dadosabertos.camara.leg.br/api/v2/deputados/141525</t>
  </si>
  <si>
    <t>REBECCA GARCIA</t>
  </si>
  <si>
    <t>REBECCA MARTINS GARCIA</t>
  </si>
  <si>
    <t>https://dadosabertos.camara.leg.br/api/v2/deputados/89282</t>
  </si>
  <si>
    <t>REGUFFE</t>
  </si>
  <si>
    <t>JOSÉ ANTÔNIO MACHADO REGUFFE</t>
  </si>
  <si>
    <t>https://dadosabertos.camara.leg.br/api/v2/deputados/160615</t>
  </si>
  <si>
    <t>REINALDO AZAMBUJA</t>
  </si>
  <si>
    <t>REINALDO AZAMBUJA SILVA</t>
  </si>
  <si>
    <t>https://dadosabertos.camara.leg.br/api/v2/deputados/160623</t>
  </si>
  <si>
    <t>RENAN FILHO</t>
  </si>
  <si>
    <t>JOSÉ RENAN VASCONCELOS CALHEIROS FILHO</t>
  </si>
  <si>
    <t>https://dadosabertos.camara.leg.br/api/v2/deputados/175212</t>
  </si>
  <si>
    <t>RENATO SIMÕES</t>
  </si>
  <si>
    <t>https://dadosabertos.camara.leg.br/api/v2/deputados/74027</t>
  </si>
  <si>
    <t>RIBAMAR ALVES</t>
  </si>
  <si>
    <t>JOSÉ DE RIBAMAR COSTA ALVES</t>
  </si>
  <si>
    <t>https://dadosabertos.camara.leg.br/api/v2/deputados/169553</t>
  </si>
  <si>
    <t>RICARDO ARCHER</t>
  </si>
  <si>
    <t>RICARDO CEPPAS ARCHER</t>
  </si>
  <si>
    <t>https://dadosabertos.camara.leg.br/api/v2/deputados/172945</t>
  </si>
  <si>
    <t>RICARDO ARRUDA</t>
  </si>
  <si>
    <t>RICARDO ARRUDA NUNES</t>
  </si>
  <si>
    <t>https://dadosabertos.camara.leg.br/api/v2/deputados/74793</t>
  </si>
  <si>
    <t>RICARDO BERZOINI</t>
  </si>
  <si>
    <t>RICARDO JOSÉ RIBEIRO BERZOINI</t>
  </si>
  <si>
    <t>https://dadosabertos.camara.leg.br/api/v2/deputados/150634</t>
  </si>
  <si>
    <t>RICARDO QUIRINO</t>
  </si>
  <si>
    <t>RICARDO QUIRINO DOS SANTOS</t>
  </si>
  <si>
    <t>https://dadosabertos.camara.leg.br/api/v2/deputados/161903</t>
  </si>
  <si>
    <t>ROBERTO DORNER</t>
  </si>
  <si>
    <t>https://dadosabertos.camara.leg.br/api/v2/deputados/141473</t>
  </si>
  <si>
    <t>ROBERTO SANTIAGO</t>
  </si>
  <si>
    <t>JOSÉ ROBERTO SANTIAGO GOMES</t>
  </si>
  <si>
    <t>https://dadosabertos.camara.leg.br/api/v2/deputados/152865</t>
  </si>
  <si>
    <t>RODRIGO BETHLEM</t>
  </si>
  <si>
    <t>RODRIGO BETHLEM FERNANDES</t>
  </si>
  <si>
    <t>https://dadosabertos.camara.leg.br/api/v2/deputados/160568</t>
  </si>
  <si>
    <t>ROGÉRIO CARVALHO</t>
  </si>
  <si>
    <t>ROGÉRIO CARVALHO SANTOS</t>
  </si>
  <si>
    <t>https://dadosabertos.camara.leg.br/api/v2/deputados/167707</t>
  </si>
  <si>
    <t>ROMANNA REMOR</t>
  </si>
  <si>
    <t>ROMANNA GIULIA CECCON LEANDRO REMOR MARCELINO</t>
  </si>
  <si>
    <t>https://dadosabertos.camara.leg.br/api/v2/deputados/160597</t>
  </si>
  <si>
    <t>ROMÁRIO</t>
  </si>
  <si>
    <t>ROMARIO DE SOUZA FARIA</t>
  </si>
  <si>
    <t>http://pt-br.facebook.com/romariodesouzafaria, http://twitter.com/RomarioOnze</t>
  </si>
  <si>
    <t>https://dadosabertos.camara.leg.br/api/v2/deputados/74813</t>
  </si>
  <si>
    <t>RONALDO CAIADO</t>
  </si>
  <si>
    <t>RONALDO RAMOS CAIADO</t>
  </si>
  <si>
    <t>https://dadosabertos.camara.leg.br/api/v2/deputados/160594</t>
  </si>
  <si>
    <t>RONALDO ZULKE</t>
  </si>
  <si>
    <t>RONALDO MIRO ZÜLKE</t>
  </si>
  <si>
    <t>https://dadosabertos.camara.leg.br/api/v2/deputados/160614</t>
  </si>
  <si>
    <t>ROSANE FERREIRA</t>
  </si>
  <si>
    <t>CLEUSA ROSANE RIBAS FERREIRA</t>
  </si>
  <si>
    <t>http://www.facebook.com/pages/Rosane-Ferreira-Fanpage/254904331260199?ref=ts&amp;fref=ts, http://www.twitter.com/rosanedopv</t>
  </si>
  <si>
    <t>Clevelândia</t>
  </si>
  <si>
    <t>https://dadosabertos.camara.leg.br/api/v2/deputados/73507</t>
  </si>
  <si>
    <t>ROSE DE FREITAS</t>
  </si>
  <si>
    <t>ROSILDA DE FREITAS</t>
  </si>
  <si>
    <t>Caratinga</t>
  </si>
  <si>
    <t>https://dadosabertos.camara.leg.br/api/v2/deputados/179379</t>
  </si>
  <si>
    <t>ROSY DE SOUSA</t>
  </si>
  <si>
    <t>CARLA ROSYMAR ARAUJO DE SOUSA BARRETO</t>
  </si>
  <si>
    <t>https://dadosabertos.camara.leg.br/api/v2/deputados/104254</t>
  </si>
  <si>
    <t>RUI COSTA</t>
  </si>
  <si>
    <t>RUI COSTA DOS SANTOS</t>
  </si>
  <si>
    <t>https://dadosabertos.camara.leg.br/api/v2/deputados/76420</t>
  </si>
  <si>
    <t>RUI PALMEIRA</t>
  </si>
  <si>
    <t>RUI SOARES PALMEIRA</t>
  </si>
  <si>
    <t>https://dadosabertos.camara.leg.br/api/v2/deputados/73559</t>
  </si>
  <si>
    <t>SALVADOR ZIMBALDI</t>
  </si>
  <si>
    <t>SALVADOR ZIMBALDI FILHO</t>
  </si>
  <si>
    <t>https://dadosabertos.camara.leg.br/api/v2/deputados/74039</t>
  </si>
  <si>
    <t>SANDRA ROSADO</t>
  </si>
  <si>
    <t>SANDRA MARIA DA ESCÓSSIA ROSADO</t>
  </si>
  <si>
    <t>https://dadosabertos.camara.leg.br/api/v2/deputados/73676</t>
  </si>
  <si>
    <t>SANDRO MABEL</t>
  </si>
  <si>
    <t>SANDRO ANTONIO SCODRO</t>
  </si>
  <si>
    <t>https://dadosabertos.camara.leg.br/api/v2/deputados/141539</t>
  </si>
  <si>
    <t>SEBASTIÃO BALA ROCHA</t>
  </si>
  <si>
    <t>SEBASTIÃO FERREIRA DA ROCHA</t>
  </si>
  <si>
    <t>Gurupá</t>
  </si>
  <si>
    <t>https://dadosabertos.camara.leg.br/api/v2/deputados/74533</t>
  </si>
  <si>
    <t>SÉRGIO BARRADAS CARNEIRO</t>
  </si>
  <si>
    <t>https://dadosabertos.camara.leg.br/api/v2/deputados/74435</t>
  </si>
  <si>
    <t>SERGIO GUERRA</t>
  </si>
  <si>
    <t>SEVERINO SÉRGIO ESTELITA GUERRA</t>
  </si>
  <si>
    <t>https://dadosabertos.camara.leg.br/api/v2/deputados/141547</t>
  </si>
  <si>
    <t>SOLANGE ALMEIDA</t>
  </si>
  <si>
    <t>SOLANGE PEREIRA DE ALMEIDA</t>
  </si>
  <si>
    <t>https://dadosabertos.camara.leg.br/api/v2/deputados/160627</t>
  </si>
  <si>
    <t>STEPAN NERCESSIAN</t>
  </si>
  <si>
    <t>Cristalina</t>
  </si>
  <si>
    <t>https://dadosabertos.camara.leg.br/api/v2/deputados/141548</t>
  </si>
  <si>
    <t>SUELI VIDIGAL</t>
  </si>
  <si>
    <t>SUELI RANGEL SILVA VIDIGAL</t>
  </si>
  <si>
    <t>https://dadosabertos.camara.leg.br/api/v2/deputados/160679</t>
  </si>
  <si>
    <t>TAUMATURGO LIMA</t>
  </si>
  <si>
    <t>TAUMATURGO LIMA CORDEIRO</t>
  </si>
  <si>
    <t>https://dadosabertos.camara.leg.br/api/v2/deputados/169711</t>
  </si>
  <si>
    <t>TELMA PINHEIRO</t>
  </si>
  <si>
    <t>TELMA PINHEIRO RIBEIRO</t>
  </si>
  <si>
    <t>https://dadosabertos.camara.leg.br/api/v2/deputados/160608</t>
  </si>
  <si>
    <t>TERESA SURITA</t>
  </si>
  <si>
    <t>MARIA TERESA SAENZ SURITA JUCÁ</t>
  </si>
  <si>
    <t>http://www.twitter.com/teresasurita</t>
  </si>
  <si>
    <t>https://dadosabertos.camara.leg.br/api/v2/deputados/141551</t>
  </si>
  <si>
    <t>URZENI ROCHA</t>
  </si>
  <si>
    <t>URZENI DA ROCHA FREITAS FILHO</t>
  </si>
  <si>
    <t>https://dadosabertos.camara.leg.br/api/v2/deputados/73565</t>
  </si>
  <si>
    <t>VALDEMAR COSTA NETO</t>
  </si>
  <si>
    <t>https://dadosabertos.camara.leg.br/api/v2/deputados/162490</t>
  </si>
  <si>
    <t>VALDIVINO DE OLIVEIRA</t>
  </si>
  <si>
    <t>VALDIVINO JOSE DE OLIVEIRA</t>
  </si>
  <si>
    <t>https://dadosabertos.camara.leg.br/api/v2/deputados/169868</t>
  </si>
  <si>
    <t>VALRY MORAIS</t>
  </si>
  <si>
    <t>RAIMUNDO VALRY DE MORAIS</t>
  </si>
  <si>
    <t>Santa Maria do Pará</t>
  </si>
  <si>
    <t>https://dadosabertos.camara.leg.br/api/v2/deputados/167617</t>
  </si>
  <si>
    <t>VANDERLEI SIRAQUE</t>
  </si>
  <si>
    <t>Santa Cruz do Rio Pardo</t>
  </si>
  <si>
    <t>https://dadosabertos.camara.leg.br/api/v2/deputados/160595</t>
  </si>
  <si>
    <t>VAZ DE LIMA</t>
  </si>
  <si>
    <t>JOSÉ CARLOS VAZ DE LIMA</t>
  </si>
  <si>
    <t>https://dadosabertos.camara.leg.br/api/v2/deputados/159258</t>
  </si>
  <si>
    <t>VICENTE SELISTRE</t>
  </si>
  <si>
    <t>VICENTE PAULO DE OLIVEIRA SELISTRE</t>
  </si>
  <si>
    <t>https://dadosabertos.camara.leg.br/api/v2/deputados/141400</t>
  </si>
  <si>
    <t>VIEIRA DA CUNHA</t>
  </si>
  <si>
    <t>CARLOS EDUARDO VIEIRA DA CUNHA</t>
  </si>
  <si>
    <t>https://dadosabertos.camara.leg.br/api/v2/deputados/163322</t>
  </si>
  <si>
    <t>VILALBA</t>
  </si>
  <si>
    <t>ZACARIAS VILHARBA</t>
  </si>
  <si>
    <t>https://dadosabertos.camara.leg.br/api/v2/deputados/73677</t>
  </si>
  <si>
    <t>VILMAR ROCHA</t>
  </si>
  <si>
    <t>VILMAR DA SILVA ROCHA</t>
  </si>
  <si>
    <t>Niquelândia</t>
  </si>
  <si>
    <t>https://dadosabertos.camara.leg.br/api/v2/deputados/141870</t>
  </si>
  <si>
    <t>VILSON COVATTI</t>
  </si>
  <si>
    <t>VILSON LUIZ COVATTI</t>
  </si>
  <si>
    <t>Palmitinho</t>
  </si>
  <si>
    <t>https://dadosabertos.camara.leg.br/api/v2/deputados/141557</t>
  </si>
  <si>
    <t>VITOR PENIDO</t>
  </si>
  <si>
    <t>VITOR PENIDO DE BARROS</t>
  </si>
  <si>
    <t>Nova Lima</t>
  </si>
  <si>
    <t>https://dadosabertos.camara.leg.br/api/v2/deputados/74284</t>
  </si>
  <si>
    <t>WALTER FELDMAN</t>
  </si>
  <si>
    <t>WALTER MEYER FELDMAN</t>
  </si>
  <si>
    <t>https://dadosabertos.camara.leg.br/api/v2/deputados/160609</t>
  </si>
  <si>
    <t>WALTER TOSTA</t>
  </si>
  <si>
    <t>WALTER DA ROCHA TOSTA</t>
  </si>
  <si>
    <t>http://www.facebook.com/home.php#!/profile.php?id=100001252616480</t>
  </si>
  <si>
    <t>https://dadosabertos.camara.leg.br/api/v2/deputados/141561</t>
  </si>
  <si>
    <t>WANDENKOLK GONÇALVES</t>
  </si>
  <si>
    <t>WANDENKOLK PASTEUR GONÇALVES</t>
  </si>
  <si>
    <t>Itupiranga</t>
  </si>
  <si>
    <t>https://dadosabertos.camara.leg.br/api/v2/deputados/73653</t>
  </si>
  <si>
    <t>WELLINGTON FAGUNDES</t>
  </si>
  <si>
    <t>WELLINGTON ANTONIO FAGUNDES</t>
  </si>
  <si>
    <t>https://dadosabertos.camara.leg.br/api/v2/deputados/179387</t>
  </si>
  <si>
    <t>WELLINGTON SALGADO</t>
  </si>
  <si>
    <t>WELLINGTON SALGADO DE OLIVEIRA</t>
  </si>
  <si>
    <t>https://dadosabertos.camara.leg.br/api/v2/deputados/160586</t>
  </si>
  <si>
    <t>WILLIAM DIB</t>
  </si>
  <si>
    <t>Garça</t>
  </si>
  <si>
    <t>https://dadosabertos.camara.leg.br/api/v2/deputados/168253</t>
  </si>
  <si>
    <t>ZE CARLOS DA PESCA</t>
  </si>
  <si>
    <t>JOSE CARLOS DE JESUS RODRIGUES</t>
  </si>
  <si>
    <t>Saubara</t>
  </si>
  <si>
    <t>https://dadosabertos.camara.leg.br/api/v2/deputados/152607</t>
  </si>
  <si>
    <t>ZÉ VIEIRA</t>
  </si>
  <si>
    <t>JOSÉ VIEIRA LINS</t>
  </si>
  <si>
    <t>https://dadosabertos.camara.leg.br/api/v2/deputados/74354</t>
  </si>
  <si>
    <t>ZENALDO COUTINHO</t>
  </si>
  <si>
    <t>ZENALDO RODRIGUES COUTINHO JÚNIOR</t>
  </si>
  <si>
    <t>https://dadosabertos.camara.leg.br/api/v2/deputados/73933</t>
  </si>
  <si>
    <t>ZEQUINHA MARINHO</t>
  </si>
  <si>
    <t>JOSÉ DA CRUZ MARINHO</t>
  </si>
  <si>
    <t>Araguacema</t>
  </si>
  <si>
    <t>https://dadosabertos.camara.leg.br/api/v2/deputados/74145</t>
  </si>
  <si>
    <t>ZEZÉU RIBEIRO</t>
  </si>
  <si>
    <t>JOSÉ EDUARDO VIEIRA RIBEIRO</t>
  </si>
  <si>
    <t>https://dadosabertos.camara.leg.br/api/v2/deputados/160625</t>
  </si>
  <si>
    <t>ZOINHO</t>
  </si>
  <si>
    <t>JORGE DE OLIVEIRA</t>
  </si>
  <si>
    <t>https://dadosabertos.camara.leg.br/api/v2/deputados/74392</t>
  </si>
  <si>
    <t>ZONTA</t>
  </si>
  <si>
    <t>ODACIR ZONTA</t>
  </si>
  <si>
    <t>Encantado</t>
  </si>
  <si>
    <t>https://dadosabertos.camara.leg.br/api/v2/deputados/131711</t>
  </si>
  <si>
    <t>ACÁCIO JÚNIOR</t>
  </si>
  <si>
    <t>LUIS ACACIO SOUSA JUNIOR</t>
  </si>
  <si>
    <t>https://dadosabertos.camara.leg.br/api/v2/deputados/143254</t>
  </si>
  <si>
    <t>ACÉLIO CASAGRANDE</t>
  </si>
  <si>
    <t>https://dadosabertos.camara.leg.br/api/v2/deputados/73886</t>
  </si>
  <si>
    <t>ADÃO PRETTO</t>
  </si>
  <si>
    <t>Redentora</t>
  </si>
  <si>
    <t>https://dadosabertos.camara.leg.br/api/v2/deputados/73765</t>
  </si>
  <si>
    <t>AFFONSO CAMARGO</t>
  </si>
  <si>
    <t>AFFONSO ALVES DE CAMARGO NETO</t>
  </si>
  <si>
    <t>https://dadosabertos.camara.leg.br/api/v2/deputados/74358</t>
  </si>
  <si>
    <t>AGNALDO MUNIZ</t>
  </si>
  <si>
    <t>Assis Chateaubriand</t>
  </si>
  <si>
    <t>https://dadosabertos.camara.leg.br/api/v2/deputados/73457</t>
  </si>
  <si>
    <t>AIRTON ROVEDA</t>
  </si>
  <si>
    <t>AIRTON BERNARDO ROVEDA</t>
  </si>
  <si>
    <t>https://dadosabertos.camara.leg.br/api/v2/deputados/141373</t>
  </si>
  <si>
    <t>ALBANO FRANCO</t>
  </si>
  <si>
    <t>ALBANO DO PRADO PIMENTEL FRANCO</t>
  </si>
  <si>
    <t>https://dadosabertos.camara.leg.br/api/v2/deputados/74018</t>
  </si>
  <si>
    <t>ALBÉRICO FILHO</t>
  </si>
  <si>
    <t>ALBERICO DE FRANÇA FERREIRA FILHO</t>
  </si>
  <si>
    <t>Goiana</t>
  </si>
  <si>
    <t>https://dadosabertos.camara.leg.br/api/v2/deputados/74310</t>
  </si>
  <si>
    <t>ALBERTO SILVA</t>
  </si>
  <si>
    <t>ALBERTO TAVARES SILVA</t>
  </si>
  <si>
    <t>Parnaíba</t>
  </si>
  <si>
    <t>https://dadosabertos.camara.leg.br/api/v2/deputados/139133</t>
  </si>
  <si>
    <t>ALCENI GUERRA</t>
  </si>
  <si>
    <t>ALCENI ANGELO GUERRA</t>
  </si>
  <si>
    <t>https://dadosabertos.camara.leg.br/api/v2/deputados/150635</t>
  </si>
  <si>
    <t>ALESSANDRO SABINO</t>
  </si>
  <si>
    <t>MÁRCIO ALESSANDRO FLEXA DE OLIVEIRA</t>
  </si>
  <si>
    <t>https://dadosabertos.camara.leg.br/api/v2/deputados/159261</t>
  </si>
  <si>
    <t>ANDRE MONTORO</t>
  </si>
  <si>
    <t>ANDRE FRANCO MONTORO FILHO</t>
  </si>
  <si>
    <t>https://dadosabertos.camara.leg.br/api/v2/deputados/141380</t>
  </si>
  <si>
    <t>ANGELA PORTELA</t>
  </si>
  <si>
    <t>ANGELA MARIA GOMES PORTELA</t>
  </si>
  <si>
    <t>https://dadosabertos.camara.leg.br/api/v2/deputados/73928</t>
  </si>
  <si>
    <t>ANN PONTES</t>
  </si>
  <si>
    <t>ANN CLÉLIA DE BARROS PONTES</t>
  </si>
  <si>
    <t>https://dadosabertos.camara.leg.br/api/v2/deputados/159262</t>
  </si>
  <si>
    <t>ANTONIO CARLOS</t>
  </si>
  <si>
    <t>ANTONIO CARLOS DE MORAIS</t>
  </si>
  <si>
    <t>Belo Vale</t>
  </si>
  <si>
    <t>https://dadosabertos.camara.leg.br/api/v2/deputados/73492</t>
  </si>
  <si>
    <t>ANTONIO CARLOS BISCAIA</t>
  </si>
  <si>
    <t>ANTONIO CARLOS SILVA BISCAIA</t>
  </si>
  <si>
    <t>https://dadosabertos.camara.leg.br/api/v2/deputados/152611</t>
  </si>
  <si>
    <t>ANTONIO CARLOS CHAMARIZ</t>
  </si>
  <si>
    <t>ANTONIO CARLOS RAMOS</t>
  </si>
  <si>
    <t>Porto Real do Colégio</t>
  </si>
  <si>
    <t>https://dadosabertos.camara.leg.br/api/v2/deputados/73431</t>
  </si>
  <si>
    <t>ANTONIO CARLOS PANNUNZIO</t>
  </si>
  <si>
    <t>https://dadosabertos.camara.leg.br/api/v2/deputados/73817</t>
  </si>
  <si>
    <t>ANTONIO CRUZ</t>
  </si>
  <si>
    <t>ANTONIO FERREIRA DA CRUZ FILHO</t>
  </si>
  <si>
    <t>https://dadosabertos.camara.leg.br/api/v2/deputados/73987</t>
  </si>
  <si>
    <t>ANTONIO FEIJÃO</t>
  </si>
  <si>
    <t>ANTONIO DA JUSTA FEIJAO</t>
  </si>
  <si>
    <t>https://dadosabertos.camara.leg.br/api/v2/deputados/141388</t>
  </si>
  <si>
    <t>ANTONIO JOSÉ MEDEIROS</t>
  </si>
  <si>
    <t>ANTONIO JOSÉ CASTELO BRANCO MEDEIROS</t>
  </si>
  <si>
    <t>https://dadosabertos.camara.leg.br/api/v2/deputados/74701</t>
  </si>
  <si>
    <t>ANTONIO PALOCCI</t>
  </si>
  <si>
    <t>ANTONIO PALOCCI FILHO</t>
  </si>
  <si>
    <t>https://dadosabertos.camara.leg.br/api/v2/deputados/74472</t>
  </si>
  <si>
    <t>ARMANDO MONTEIRO</t>
  </si>
  <si>
    <t>ARMANDO DE QUEIROZ MONTEIRO NETO</t>
  </si>
  <si>
    <t>https://dadosabertos.camara.leg.br/api/v2/deputados/73993</t>
  </si>
  <si>
    <t>ARNALDO MADEIRA</t>
  </si>
  <si>
    <t>ARNALDO DE ABREU MADEIRA</t>
  </si>
  <si>
    <t>https://dadosabertos.camara.leg.br/api/v2/deputados/141392</t>
  </si>
  <si>
    <t>ARNALDO VIANNA</t>
  </si>
  <si>
    <t>ARNALDO FRANÇA VIANNA</t>
  </si>
  <si>
    <t>https://dadosabertos.camara.leg.br/api/v2/deputados/74441</t>
  </si>
  <si>
    <t>AUGUSTO FARIAS</t>
  </si>
  <si>
    <t>AUGUSTO CESAR CAVALCANTE FARIAS</t>
  </si>
  <si>
    <t>Passo de Camaragibe</t>
  </si>
  <si>
    <t>https://dadosabertos.camara.leg.br/api/v2/deputados/74024</t>
  </si>
  <si>
    <t>AYRTON XEREZ</t>
  </si>
  <si>
    <t>AYRTON ALVARENGA XEREZ</t>
  </si>
  <si>
    <t>https://dadosabertos.camara.leg.br/api/v2/deputados/74312</t>
  </si>
  <si>
    <t>B. SÁ</t>
  </si>
  <si>
    <t>BENEDITO DE CARVALHO SÁ</t>
  </si>
  <si>
    <t>https://dadosabertos.camara.leg.br/api/v2/deputados/141449</t>
  </si>
  <si>
    <t>BARBOSA NETO</t>
  </si>
  <si>
    <t>HOMERO BARBOSA NETO</t>
  </si>
  <si>
    <t>Santa Rita do Passa Quatro</t>
  </si>
  <si>
    <t>https://dadosabertos.camara.leg.br/api/v2/deputados/141376</t>
  </si>
  <si>
    <t>BEL MESQUITA</t>
  </si>
  <si>
    <t>Ana Isabel Mesquita de Oliveira</t>
  </si>
  <si>
    <t>https://dadosabertos.camara.leg.br/api/v2/deputados/156634</t>
  </si>
  <si>
    <t>BENE CAMACHO</t>
  </si>
  <si>
    <t>BENE ANDRÉ CAMACHO ARAÚJO</t>
  </si>
  <si>
    <t>https://dadosabertos.camara.leg.br/api/v2/deputados/74517</t>
  </si>
  <si>
    <t>BENEDITO DE LIRA</t>
  </si>
  <si>
    <t>Junqueiro</t>
  </si>
  <si>
    <t>https://dadosabertos.camara.leg.br/api/v2/deputados/74169</t>
  </si>
  <si>
    <t>BERNARDO ARISTON</t>
  </si>
  <si>
    <t>BERNARDO RAMOS ARISTON</t>
  </si>
  <si>
    <t>https://dadosabertos.camara.leg.br/api/v2/deputados/3155</t>
  </si>
  <si>
    <t>BISPO GÊ TENUTA</t>
  </si>
  <si>
    <t>GERALDO TENUTA FILHO</t>
  </si>
  <si>
    <t>https://dadosabertos.camara.leg.br/api/v2/deputados/152606</t>
  </si>
  <si>
    <t>CAPITÃO ASSUMÇÃO</t>
  </si>
  <si>
    <t>LUCÍNIO CASTELO DE ASSUMÇÃO</t>
  </si>
  <si>
    <t>https://dadosabertos.camara.leg.br/api/v2/deputados/73469</t>
  </si>
  <si>
    <t>CARLITO MERSS</t>
  </si>
  <si>
    <t>https://dadosabertos.camara.leg.br/api/v2/deputados/74285</t>
  </si>
  <si>
    <t>CARLOS ABICALIL</t>
  </si>
  <si>
    <t>CARLOS AUGUSTO ABICALIL</t>
  </si>
  <si>
    <t>https://dadosabertos.camara.leg.br/api/v2/deputados/160318</t>
  </si>
  <si>
    <t>CARLOS ALBERTO</t>
  </si>
  <si>
    <t>CARLOS ALBERTO PEREIRA</t>
  </si>
  <si>
    <t>Santo Antônio do Amparo</t>
  </si>
  <si>
    <t>https://dadosabertos.camara.leg.br/api/v2/deputados/141397</t>
  </si>
  <si>
    <t>CARLOS ALBERTO CANUTO</t>
  </si>
  <si>
    <t>CARLOS ALBERTO MOREIRA DE MENDONÇA CANUTO</t>
  </si>
  <si>
    <t>https://dadosabertos.camara.leg.br/api/v2/deputados/74835</t>
  </si>
  <si>
    <t>CARLOS SANTANA</t>
  </si>
  <si>
    <t>CARLOS AUGUSTO ALVES SANTANA</t>
  </si>
  <si>
    <t>https://dadosabertos.camara.leg.br/api/v2/deputados/74148</t>
  </si>
  <si>
    <t>CARLOS WILLIAN</t>
  </si>
  <si>
    <t>CARLOS WILLIAN DE SOUZA</t>
  </si>
  <si>
    <t>https://dadosabertos.camara.leg.br/api/v2/deputados/131873</t>
  </si>
  <si>
    <t>CARLOS WILSON</t>
  </si>
  <si>
    <t>CARLOS WILSON ROCHA DE QUEIROZ CAMPOS</t>
  </si>
  <si>
    <t>https://dadosabertos.camara.leg.br/api/v2/deputados/141404</t>
  </si>
  <si>
    <t>CASSIO TANIGUCHI</t>
  </si>
  <si>
    <t>CÁSSIO TANIGUCHI</t>
  </si>
  <si>
    <t>Paraguaçu Paulista</t>
  </si>
  <si>
    <t>https://dadosabertos.camara.leg.br/api/v2/deputados/74799</t>
  </si>
  <si>
    <t>CELCITA PINHEIRO</t>
  </si>
  <si>
    <t>CELCITA ROSA PINHEIRO DA SILVA</t>
  </si>
  <si>
    <t>Santo Antônio do Leverger</t>
  </si>
  <si>
    <t>https://dadosabertos.camara.leg.br/api/v2/deputados/73480</t>
  </si>
  <si>
    <t>CEZAR SCHIRMER</t>
  </si>
  <si>
    <t>CEZAR AUGUSTO SCHIRMER</t>
  </si>
  <si>
    <t>https://dadosabertos.camara.leg.br/api/v2/deputados/157225</t>
  </si>
  <si>
    <t>CHARLES COZZOLINO</t>
  </si>
  <si>
    <t>https://dadosabertos.camara.leg.br/api/v2/deputados/141336</t>
  </si>
  <si>
    <t>CHARLES LUCENA</t>
  </si>
  <si>
    <t>ANTONIO CHARLES LUCENA DE OLIVEIRA MELLO</t>
  </si>
  <si>
    <t>https://dadosabertos.camara.leg.br/api/v2/deputados/146308</t>
  </si>
  <si>
    <t>CHICO ABREU</t>
  </si>
  <si>
    <t>FRANCISCO GOMES DE ABREU</t>
  </si>
  <si>
    <t>https://dadosabertos.camara.leg.br/api/v2/deputados/74000</t>
  </si>
  <si>
    <t>CHICO DA PRINCESA</t>
  </si>
  <si>
    <t>FRANCISCO OCTAVIO BECKERT</t>
  </si>
  <si>
    <t>Três Barras</t>
  </si>
  <si>
    <t>https://dadosabertos.camara.leg.br/api/v2/deputados/158328</t>
  </si>
  <si>
    <t>CHICO DALTRO</t>
  </si>
  <si>
    <t>FRANCISCO TARQUINIO DALTRO</t>
  </si>
  <si>
    <t>https://dadosabertos.camara.leg.br/api/v2/deputados/160365</t>
  </si>
  <si>
    <t>CHICO NETO</t>
  </si>
  <si>
    <t>FRANCISCO FERREIRA FREITAS NETO</t>
  </si>
  <si>
    <t>Capanema</t>
  </si>
  <si>
    <t>https://dadosabertos.camara.leg.br/api/v2/deputados/141501</t>
  </si>
  <si>
    <t>CIDA DIOGO</t>
  </si>
  <si>
    <t>MARIA APARECIDA DIOGO BRAGA</t>
  </si>
  <si>
    <t>https://dadosabertos.camara.leg.br/api/v2/deputados/141406</t>
  </si>
  <si>
    <t>CIRO GOMES</t>
  </si>
  <si>
    <t>CIRO FERREIRA GOMES</t>
  </si>
  <si>
    <t>https://dadosabertos.camara.leg.br/api/v2/deputados/74313</t>
  </si>
  <si>
    <t>CIRO NOGUEIRA</t>
  </si>
  <si>
    <t>CIRO NOGUEIRA LIMA FILHO</t>
  </si>
  <si>
    <t>https://dadosabertos.camara.leg.br/api/v2/deputados/141407</t>
  </si>
  <si>
    <t>CIRO PEDROSA</t>
  </si>
  <si>
    <t>CIRO FRANCISCO PEDROSA</t>
  </si>
  <si>
    <t>https://dadosabertos.camara.leg.br/api/v2/deputados/141057</t>
  </si>
  <si>
    <t>CLÁUDIO DIAZ</t>
  </si>
  <si>
    <t>CLÁUDIO CASTANHEIRA DIAZ</t>
  </si>
  <si>
    <t>https://dadosabertos.camara.leg.br/api/v2/deputados/74263</t>
  </si>
  <si>
    <t>CLÁUDIO MAGRÃO</t>
  </si>
  <si>
    <t>CLÁUDIO MAGRÃO DE CAMARGO CRE</t>
  </si>
  <si>
    <t>https://dadosabertos.camara.leg.br/api/v2/deputados/141409</t>
  </si>
  <si>
    <t>CLODOVIL HERNANDES</t>
  </si>
  <si>
    <t>Elisiário</t>
  </si>
  <si>
    <t>https://dadosabertos.camara.leg.br/api/v2/deputados/74026</t>
  </si>
  <si>
    <t>CLÓVIS FECURY</t>
  </si>
  <si>
    <t>CLÓVIS ANTÔNIO CHAVES FECURY</t>
  </si>
  <si>
    <t>https://dadosabertos.camara.leg.br/api/v2/deputados/141410</t>
  </si>
  <si>
    <t>CRISTIANO MATHEUS</t>
  </si>
  <si>
    <t>CRISTIANO MATHEUS DA SILVA E SOUSA</t>
  </si>
  <si>
    <t>Ubatuba</t>
  </si>
  <si>
    <t>https://dadosabertos.camara.leg.br/api/v2/deputados/74579</t>
  </si>
  <si>
    <t>CUSTÓDIO MATTOS</t>
  </si>
  <si>
    <t>CUSTÓDIO ANTÔNIO DE MATTOS</t>
  </si>
  <si>
    <t>Bicas</t>
  </si>
  <si>
    <t>https://dadosabertos.camara.leg.br/api/v2/deputados/159263</t>
  </si>
  <si>
    <t>DANIEL FONTANA</t>
  </si>
  <si>
    <t>DANIEL PAULO FONTANA</t>
  </si>
  <si>
    <t>https://dadosabertos.camara.leg.br/api/v2/deputados/141415</t>
  </si>
  <si>
    <t>DJALMA BERGER</t>
  </si>
  <si>
    <t>DJALMA VANDO BERGER</t>
  </si>
  <si>
    <t>https://dadosabertos.camara.leg.br/api/v2/deputados/141414</t>
  </si>
  <si>
    <t>DR. BASEGIO</t>
  </si>
  <si>
    <t>DIÓGENES LUIZ BASEGIO</t>
  </si>
  <si>
    <t>https://dadosabertos.camara.leg.br/api/v2/deputados/141540</t>
  </si>
  <si>
    <t>DR. NECHAR</t>
  </si>
  <si>
    <t>SERGIO ANTONIO NECHAR</t>
  </si>
  <si>
    <t>https://dadosabertos.camara.leg.br/api/v2/deputados/73542</t>
  </si>
  <si>
    <t>DR. PINOTTI</t>
  </si>
  <si>
    <t>JOSÉ ARISTODEMO PINOTTI</t>
  </si>
  <si>
    <t>https://dadosabertos.camara.leg.br/api/v2/deputados/141550</t>
  </si>
  <si>
    <t>DR. TALMIR</t>
  </si>
  <si>
    <t>TALMIR RODRIGUES</t>
  </si>
  <si>
    <t>Muzambinho</t>
  </si>
  <si>
    <t>https://dadosabertos.camara.leg.br/api/v2/deputados/141416</t>
  </si>
  <si>
    <t>EDGAR MOURY</t>
  </si>
  <si>
    <t>EDGAR MOURY FERNANDES SOBRINHO</t>
  </si>
  <si>
    <t>https://dadosabertos.camara.leg.br/api/v2/deputados/143253</t>
  </si>
  <si>
    <t>EDIGAR MÃO BRANCA</t>
  </si>
  <si>
    <t>EDIGAR EVANGELISTA DOS ANJOS</t>
  </si>
  <si>
    <t>Macarani</t>
  </si>
  <si>
    <t>https://dadosabertos.camara.leg.br/api/v2/deputados/133375</t>
  </si>
  <si>
    <t>EDINHO MONTEMOR</t>
  </si>
  <si>
    <t>EDGARD MONTEMOR FERNANDES</t>
  </si>
  <si>
    <t>Mirassol</t>
  </si>
  <si>
    <t>https://dadosabertos.camara.leg.br/api/v2/deputados/73599</t>
  </si>
  <si>
    <t>EDIR OLIVEIRA</t>
  </si>
  <si>
    <t>EDIR PEDRO DE OLIVEIRA</t>
  </si>
  <si>
    <t>Rolante</t>
  </si>
  <si>
    <t>https://dadosabertos.camara.leg.br/api/v2/deputados/139187</t>
  </si>
  <si>
    <t>EDMILSON VALENTIM</t>
  </si>
  <si>
    <t>EDMILSON JOSE VALENTIM DOS SANTOS</t>
  </si>
  <si>
    <t>https://dadosabertos.camara.leg.br/api/v2/deputados/74061</t>
  </si>
  <si>
    <t>EDSON DUARTE</t>
  </si>
  <si>
    <t>EDSON GONÇALVES DUARTE</t>
  </si>
  <si>
    <t>https://dadosabertos.camara.leg.br/api/v2/deputados/141420</t>
  </si>
  <si>
    <t>EDUARDO AMORIM</t>
  </si>
  <si>
    <t>EDUARDO ALVES DO AMORIM</t>
  </si>
  <si>
    <t>https://dadosabertos.camara.leg.br/api/v2/deputados/4928</t>
  </si>
  <si>
    <t>EDUARDO LOPES</t>
  </si>
  <si>
    <t>EDUARDO BENEDITO LOPES</t>
  </si>
  <si>
    <t>https://dadosabertos.camara.leg.br/api/v2/deputados/150876</t>
  </si>
  <si>
    <t>EDUARDO MOURA</t>
  </si>
  <si>
    <t>EDUARDO ALVES DE MOURA</t>
  </si>
  <si>
    <t>https://dadosabertos.camara.leg.br/api/v2/deputados/73938</t>
  </si>
  <si>
    <t>EDUARDO VALVERDE</t>
  </si>
  <si>
    <t>EDUARDO VALVERDE ARAÚJO ALVES</t>
  </si>
  <si>
    <t>https://dadosabertos.camara.leg.br/api/v2/deputados/141424</t>
  </si>
  <si>
    <t>ELISMAR PRADO</t>
  </si>
  <si>
    <t>ELISMAR FERNANDES PRADO</t>
  </si>
  <si>
    <t>https://dadosabertos.camara.leg.br/api/v2/deputados/152609</t>
  </si>
  <si>
    <t>ELIZEU AGUIAR</t>
  </si>
  <si>
    <t>ELIZEU MORAIS DE AGUIAR</t>
  </si>
  <si>
    <t>https://dadosabertos.camara.leg.br/api/v2/deputados/153384</t>
  </si>
  <si>
    <t>EMILIA FERNANDES</t>
  </si>
  <si>
    <t>EMILIA THEREZINHA XAVIER FERNANDES</t>
  </si>
  <si>
    <t>Dom Pedrito</t>
  </si>
  <si>
    <t>https://dadosabertos.camara.leg.br/api/v2/deputados/74269</t>
  </si>
  <si>
    <t>ENÉAS</t>
  </si>
  <si>
    <t>ENÉAS FERREIRA CARNEIRO</t>
  </si>
  <si>
    <t>https://dadosabertos.camara.leg.br/api/v2/deputados/141425</t>
  </si>
  <si>
    <t>ERNANDES AMORIM</t>
  </si>
  <si>
    <t>ERNANDES SANTOS AMORIM</t>
  </si>
  <si>
    <t>Itagibá</t>
  </si>
  <si>
    <t>https://dadosabertos.camara.leg.br/api/v2/deputados/141426</t>
  </si>
  <si>
    <t>EUGÊNIO RABELO</t>
  </si>
  <si>
    <t>Morada Nova</t>
  </si>
  <si>
    <t>https://dadosabertos.camara.leg.br/api/v2/deputados/74099</t>
  </si>
  <si>
    <t>EURIPEDES MIRANDA</t>
  </si>
  <si>
    <t>EURIPEDES MIRANDA BOTELHO</t>
  </si>
  <si>
    <t>Cardoso</t>
  </si>
  <si>
    <t>https://dadosabertos.camara.leg.br/api/v2/deputados/74542</t>
  </si>
  <si>
    <t>FÉLIX MENDONÇA</t>
  </si>
  <si>
    <t>FELIX DE ALMEIDA MENDONÇA</t>
  </si>
  <si>
    <t>Conceição do Almeida</t>
  </si>
  <si>
    <t>https://dadosabertos.camara.leg.br/api/v2/deputados/154734</t>
  </si>
  <si>
    <t>FERNANDO CHIARELLI</t>
  </si>
  <si>
    <t>https://dadosabertos.camara.leg.br/api/v2/deputados/141344</t>
  </si>
  <si>
    <t>FERNANDO CHUCRE</t>
  </si>
  <si>
    <t>FERNANDO BARRANCOS CHUCRE</t>
  </si>
  <si>
    <t>https://dadosabertos.camara.leg.br/api/v2/deputados/73471</t>
  </si>
  <si>
    <t>FERNANDO CORUJA</t>
  </si>
  <si>
    <t>CARLOS FERNANDO CORUJA AGUSTINI</t>
  </si>
  <si>
    <t>https://dadosabertos.camara.leg.br/api/v2/deputados/74063</t>
  </si>
  <si>
    <t>FERNANDO DE FABINHO</t>
  </si>
  <si>
    <t>LUIZ FERNANDO DE FABINHO ARAÚJO LIMA</t>
  </si>
  <si>
    <t>https://dadosabertos.camara.leg.br/api/v2/deputados/74658</t>
  </si>
  <si>
    <t>FERNANDO DINIZ</t>
  </si>
  <si>
    <t>FERNANDO ALBERTO DINIZ</t>
  </si>
  <si>
    <t>https://dadosabertos.camara.leg.br/api/v2/deputados/74841</t>
  </si>
  <si>
    <t>FERNANDO GABEIRA</t>
  </si>
  <si>
    <t>FERNANDO PAULO NAGLE GABEIRA</t>
  </si>
  <si>
    <t>https://dadosabertos.camara.leg.br/api/v2/deputados/74842</t>
  </si>
  <si>
    <t>FERNANDO GONÇALVES</t>
  </si>
  <si>
    <t>FERNANDO ANTONIO FOLGADO GONÇALVES</t>
  </si>
  <si>
    <t>https://dadosabertos.camara.leg.br/api/v2/deputados/141432</t>
  </si>
  <si>
    <t>FERNANDO MELO</t>
  </si>
  <si>
    <t>FERNANDO MELO DA COSTA</t>
  </si>
  <si>
    <t>https://dadosabertos.camara.leg.br/api/v2/deputados/152608</t>
  </si>
  <si>
    <t>FERNANDO NASCIMENTO</t>
  </si>
  <si>
    <t>FERNANDO ANTÔNIO DO NASCIMENTO</t>
  </si>
  <si>
    <t>Glória do Goitá</t>
  </si>
  <si>
    <t>https://dadosabertos.camara.leg.br/api/v2/deputados/159260</t>
  </si>
  <si>
    <t>FLAVIO ANTUNES</t>
  </si>
  <si>
    <t>FLAVIO LUIS MOREIRA ANTUNES</t>
  </si>
  <si>
    <t>https://dadosabertos.camara.leg.br/api/v2/deputados/141435</t>
  </si>
  <si>
    <t>FLÁVIO BEZERRA</t>
  </si>
  <si>
    <t>FLÁVIO BEZERRA DA SILVA</t>
  </si>
  <si>
    <t>https://dadosabertos.camara.leg.br/api/v2/deputados/141436</t>
  </si>
  <si>
    <t>FLÁVIO DINO</t>
  </si>
  <si>
    <t>FLÁVIO DINO DE CASTRO E COSTA</t>
  </si>
  <si>
    <t>https://dadosabertos.camara.leg.br/api/v2/deputados/73981</t>
  </si>
  <si>
    <t>FRANCISCO RODRIGUES</t>
  </si>
  <si>
    <t>FRANCISCO DE ASSIS RODRIGUES</t>
  </si>
  <si>
    <t>https://dadosabertos.camara.leg.br/api/v2/deputados/139212</t>
  </si>
  <si>
    <t>FRANCISCO ROSSI</t>
  </si>
  <si>
    <t>FRANCISCO ROSSI DE ALMEIDA</t>
  </si>
  <si>
    <t>Caçapava</t>
  </si>
  <si>
    <t>https://dadosabertos.camara.leg.br/api/v2/deputados/141437</t>
  </si>
  <si>
    <t>FRANK AGUIAR</t>
  </si>
  <si>
    <t>FRANCINETO LUZ DE AGUIAR</t>
  </si>
  <si>
    <t>Itainópolis</t>
  </si>
  <si>
    <t>https://dadosabertos.camara.leg.br/api/v2/deputados/86634</t>
  </si>
  <si>
    <t>FREDO JUNIOR</t>
  </si>
  <si>
    <t>FREDO EBLING JUNIOR</t>
  </si>
  <si>
    <t>https://dadosabertos.camara.leg.br/api/v2/deputados/74544</t>
  </si>
  <si>
    <t>GEDDEL VIEIRA LIMA</t>
  </si>
  <si>
    <t>GEDDEL QUADROS VIEIRA LIMA</t>
  </si>
  <si>
    <t>https://dadosabertos.camara.leg.br/api/v2/deputados/155920</t>
  </si>
  <si>
    <t>GERALDINHO</t>
  </si>
  <si>
    <t>ANTONIO GERALDO DE SOUZA HENRIQUES FILHO</t>
  </si>
  <si>
    <t>https://dadosabertos.camara.leg.br/api/v2/deputados/141442</t>
  </si>
  <si>
    <t>GERALDO PUDIM</t>
  </si>
  <si>
    <t>GERALDO ROBERTO SIQUEIRA DE SOUZA</t>
  </si>
  <si>
    <t>https://dadosabertos.camara.leg.br/api/v2/deputados/141443</t>
  </si>
  <si>
    <t>GERMANO BONOW</t>
  </si>
  <si>
    <t>GERMANO MOSTARDEIRO BONOW</t>
  </si>
  <si>
    <t>https://dadosabertos.camara.leg.br/api/v2/deputados/141444</t>
  </si>
  <si>
    <t>GERÔNIMO DA ADEFAL</t>
  </si>
  <si>
    <t>GERÔNIMO CIQUEIRA DA SILVA</t>
  </si>
  <si>
    <t>Mar Vermelho</t>
  </si>
  <si>
    <t>https://dadosabertos.camara.leg.br/api/v2/deputados/74076</t>
  </si>
  <si>
    <t>GERSON PERES</t>
  </si>
  <si>
    <t>GERSON DOS SANTOS PERES</t>
  </si>
  <si>
    <t>Cametá</t>
  </si>
  <si>
    <t>https://dadosabertos.camara.leg.br/api/v2/deputados/73472</t>
  </si>
  <si>
    <t>GERVÁSIO SILVA</t>
  </si>
  <si>
    <t>GERVÁSIO JOSÉ DA SILVA</t>
  </si>
  <si>
    <t>São José</t>
  </si>
  <si>
    <t>https://dadosabertos.camara.leg.br/api/v2/deputados/159265</t>
  </si>
  <si>
    <t>GISELA SEQUEIRA</t>
  </si>
  <si>
    <t>GISELA ROMARIZ SEQUEIRA</t>
  </si>
  <si>
    <t>https://dadosabertos.camara.leg.br/api/v2/deputados/74139</t>
  </si>
  <si>
    <t>GUILHERME MENEZES</t>
  </si>
  <si>
    <t>GUILHERME MENEZES DE ANDRADE</t>
  </si>
  <si>
    <t>Iguaí</t>
  </si>
  <si>
    <t>https://dadosabertos.camara.leg.br/api/v2/deputados/133853</t>
  </si>
  <si>
    <t>IBSEN PINHEIRO</t>
  </si>
  <si>
    <t>IBSEN VALLS PINHEIRO</t>
  </si>
  <si>
    <t>São Borja</t>
  </si>
  <si>
    <t>https://dadosabertos.camara.leg.br/api/v2/deputados/141451</t>
  </si>
  <si>
    <t>ILDERLEI CORDEIRO</t>
  </si>
  <si>
    <t>ILDERLEI SOUZA RODRIGUES CORDEIRO</t>
  </si>
  <si>
    <t>https://dadosabertos.camara.leg.br/api/v2/deputados/141468</t>
  </si>
  <si>
    <t>IRAN BARBOSA</t>
  </si>
  <si>
    <t>JOSÉ IRAN BARBOSA FILHO</t>
  </si>
  <si>
    <t>https://dadosabertos.camara.leg.br/api/v2/deputados/73461</t>
  </si>
  <si>
    <t>ÍRIS SIMÕES</t>
  </si>
  <si>
    <t>ÍRIS XAVIER SIMÕES</t>
  </si>
  <si>
    <t>https://dadosabertos.camara.leg.br/api/v2/deputados/159264</t>
  </si>
  <si>
    <t>ITAMAR ROCHA</t>
  </si>
  <si>
    <t>ITAMAR DE PAIVA ROCHA</t>
  </si>
  <si>
    <t>https://dadosabertos.camara.leg.br/api/v2/deputados/77701</t>
  </si>
  <si>
    <t>JACKSON BARRETO</t>
  </si>
  <si>
    <t>JACKSON BARRETO DE LIMA</t>
  </si>
  <si>
    <t>https://dadosabertos.camara.leg.br/api/v2/deputados/73929</t>
  </si>
  <si>
    <t>JADER BARBALHO</t>
  </si>
  <si>
    <t>JADER FONTENELLE BARBALHO</t>
  </si>
  <si>
    <t>https://dadosabertos.camara.leg.br/api/v2/deputados/74547</t>
  </si>
  <si>
    <t>JAIRO CARNEIRO</t>
  </si>
  <si>
    <t>JAIRO ALFREDO OLIVEIRA CARNEIRO</t>
  </si>
  <si>
    <t>https://dadosabertos.camara.leg.br/api/v2/deputados/74528</t>
  </si>
  <si>
    <t>JERÔNIMO REIS</t>
  </si>
  <si>
    <t>JERÔNIMO DE OLIVEIRA REIS</t>
  </si>
  <si>
    <t>https://dadosabertos.camara.leg.br/api/v2/deputados/74549</t>
  </si>
  <si>
    <t>JOÃO ALMEIDA</t>
  </si>
  <si>
    <t>JOÃO ALMEIDA DOS SANTOS</t>
  </si>
  <si>
    <t>Brejões</t>
  </si>
  <si>
    <t>https://dadosabertos.camara.leg.br/api/v2/deputados/160317</t>
  </si>
  <si>
    <t>JOÃO BATISTA</t>
  </si>
  <si>
    <t>JOÃO BATISTA DOS SANTOS</t>
  </si>
  <si>
    <t>https://dadosabertos.camara.leg.br/api/v2/deputados/74781</t>
  </si>
  <si>
    <t>JOÃO HERRMANN</t>
  </si>
  <si>
    <t>JOÃO HERRMANN NETO</t>
  </si>
  <si>
    <t>https://dadosabertos.camara.leg.br/api/v2/deputados/73873</t>
  </si>
  <si>
    <t>JOÃO MATOS</t>
  </si>
  <si>
    <t>JOÃO BATISTA MATOS</t>
  </si>
  <si>
    <t>Ituporanga</t>
  </si>
  <si>
    <t>https://dadosabertos.camara.leg.br/api/v2/deputados/141460</t>
  </si>
  <si>
    <t>JOÃO OLIVEIRA</t>
  </si>
  <si>
    <t>JOÃO OLIVEIRA DE SOUSA</t>
  </si>
  <si>
    <t>https://dadosabertos.camara.leg.br/api/v2/deputados/73658</t>
  </si>
  <si>
    <t>JOFRAN FREJAT</t>
  </si>
  <si>
    <t>https://dadosabertos.camara.leg.br/api/v2/deputados/74563</t>
  </si>
  <si>
    <t>JORGE ALBERTO</t>
  </si>
  <si>
    <t>JORGE ALBERTO TELES PRADO</t>
  </si>
  <si>
    <t>https://dadosabertos.camara.leg.br/api/v2/deputados/74552</t>
  </si>
  <si>
    <t>JORGE KHOURY</t>
  </si>
  <si>
    <t>JORGE KHOURY HEDAYE</t>
  </si>
  <si>
    <t>https://dadosabertos.camara.leg.br/api/v2/deputados/4927</t>
  </si>
  <si>
    <t>JORGINHO MALULY</t>
  </si>
  <si>
    <t>JORGE DE FARIA MALULY</t>
  </si>
  <si>
    <t>https://dadosabertos.camara.leg.br/api/v2/deputados/154739</t>
  </si>
  <si>
    <t>JOSÉ C. STANGARLINI</t>
  </si>
  <si>
    <t>JOSE CARLOS STANGARLINI</t>
  </si>
  <si>
    <t>https://dadosabertos.camara.leg.br/api/v2/deputados/74055</t>
  </si>
  <si>
    <t>JOSÉ CARLOS MACHADO</t>
  </si>
  <si>
    <t>JOSE CARLOS MACHADO</t>
  </si>
  <si>
    <t>https://dadosabertos.camara.leg.br/api/v2/deputados/151249</t>
  </si>
  <si>
    <t>JOSÉ EDMAR</t>
  </si>
  <si>
    <t>JOSÉ EDMAR DE CASTRO CORDEIRO</t>
  </si>
  <si>
    <t>Formosa</t>
  </si>
  <si>
    <t>https://dadosabertos.camara.leg.br/api/v2/deputados/74274</t>
  </si>
  <si>
    <t>JOSÉ EDUARDO CARDOZO</t>
  </si>
  <si>
    <t>JOSÉ EDUARDO MARTINS CARDOZO</t>
  </si>
  <si>
    <t>https://dadosabertos.camara.leg.br/api/v2/deputados/141466</t>
  </si>
  <si>
    <t>JOSÉ FERNANDO APARECIDO DE OLIVEIRA</t>
  </si>
  <si>
    <t>https://dadosabertos.camara.leg.br/api/v2/deputados/74425</t>
  </si>
  <si>
    <t>JOSÉ MENDONÇA BEZERRA</t>
  </si>
  <si>
    <t>Belo Jardim</t>
  </si>
  <si>
    <t>https://dadosabertos.camara.leg.br/api/v2/deputados/74426</t>
  </si>
  <si>
    <t>JOSÉ MÚCIO MONTEIRO</t>
  </si>
  <si>
    <t>JOSÉ MÚCIO MONTEIRO FILHO</t>
  </si>
  <si>
    <t>https://dadosabertos.camara.leg.br/api/v2/deputados/141471</t>
  </si>
  <si>
    <t>JOSÉ PAULO TÓFFANO</t>
  </si>
  <si>
    <t>JOSÉ PAULO TOFFANO</t>
  </si>
  <si>
    <t>Jaú</t>
  </si>
  <si>
    <t>https://dadosabertos.camara.leg.br/api/v2/deputados/74298</t>
  </si>
  <si>
    <t>JOSÉ PIMENTEL</t>
  </si>
  <si>
    <t>JOSÉ BARROSO PIMENTEL</t>
  </si>
  <si>
    <t>https://dadosabertos.camara.leg.br/api/v2/deputados/71921</t>
  </si>
  <si>
    <t>JOSÉ ROBERTO DUDÉ</t>
  </si>
  <si>
    <t>JOSÉ ROBERTO CORREA DO NASCIMENTO</t>
  </si>
  <si>
    <t>https://dadosabertos.camara.leg.br/api/v2/deputados/74741</t>
  </si>
  <si>
    <t>JOSÉ SANTANA DE VASCONCELLOS</t>
  </si>
  <si>
    <t>JOSÉ SANTANA DE VASCONCELLOS MOREIRA</t>
  </si>
  <si>
    <t>Alvinópolis</t>
  </si>
  <si>
    <t>https://dadosabertos.camara.leg.br/api/v2/deputados/73994</t>
  </si>
  <si>
    <t>JÚLIO REDECKER</t>
  </si>
  <si>
    <t>JULIO CESAR REDECKER</t>
  </si>
  <si>
    <t>Taquari</t>
  </si>
  <si>
    <t>https://dadosabertos.camara.leg.br/api/v2/deputados/159058</t>
  </si>
  <si>
    <t>JUNIOR MARZOLA</t>
  </si>
  <si>
    <t>ANGELO CREMA MARZOLA JUNIOR</t>
  </si>
  <si>
    <t>https://dadosabertos.camara.leg.br/api/v2/deputados/74346</t>
  </si>
  <si>
    <t>JURANDIL JUAREZ</t>
  </si>
  <si>
    <t>JURANDIL DOS SANTOS JUAREZ</t>
  </si>
  <si>
    <t>Afuá</t>
  </si>
  <si>
    <t>https://dadosabertos.camara.leg.br/api/v2/deputados/141475</t>
  </si>
  <si>
    <t>JURANDY LOUREIRO</t>
  </si>
  <si>
    <t>JURANDY LOUREIRO BARROSO</t>
  </si>
  <si>
    <t>Aracruz</t>
  </si>
  <si>
    <t>https://dadosabertos.camara.leg.br/api/v2/deputados/141476</t>
  </si>
  <si>
    <t>JUSMARI OLIVEIRA</t>
  </si>
  <si>
    <t>JUSMARI TEREZINHA DE SOUZA OLIVEIRA</t>
  </si>
  <si>
    <t>Pérola d'Oeste</t>
  </si>
  <si>
    <t>https://dadosabertos.camara.leg.br/api/v2/deputados/141477</t>
  </si>
  <si>
    <t>JUVENIL</t>
  </si>
  <si>
    <t>JUVENIL ALVES FERREIRA FILHO</t>
  </si>
  <si>
    <t>Abaeté</t>
  </si>
  <si>
    <t>https://dadosabertos.camara.leg.br/api/v2/deputados/141481</t>
  </si>
  <si>
    <t>LEANDRO SAMPAIO</t>
  </si>
  <si>
    <t>LEANDRO JOSÉ MENDES SAMPAIO FERNANDES</t>
  </si>
  <si>
    <t>https://dadosabertos.camara.leg.br/api/v2/deputados/74455</t>
  </si>
  <si>
    <t>LEO ALCÂNTARA</t>
  </si>
  <si>
    <t>LEONARDO ROSARIO DE ALCÂNTARA</t>
  </si>
  <si>
    <t>https://dadosabertos.camara.leg.br/api/v2/deputados/141452</t>
  </si>
  <si>
    <t>LÉO VIVAS</t>
  </si>
  <si>
    <t>ILIOBALDO VIVAS DA SILVA</t>
  </si>
  <si>
    <t>Maraú</t>
  </si>
  <si>
    <t>https://dadosabertos.camara.leg.br/api/v2/deputados/141504</t>
  </si>
  <si>
    <t>LUCENIRA PIMENTEL</t>
  </si>
  <si>
    <t>MARIA LUCENIRA FERREIRA OLIVEIRA PIMENTEL</t>
  </si>
  <si>
    <t>https://dadosabertos.camara.leg.br/api/v2/deputados/81512</t>
  </si>
  <si>
    <t>LUCIANA COSTA</t>
  </si>
  <si>
    <t>LUCIANA DE ALMEIDA COSTA</t>
  </si>
  <si>
    <t>Barretos</t>
  </si>
  <si>
    <t>https://dadosabertos.camara.leg.br/api/v2/deputados/74397</t>
  </si>
  <si>
    <t>LUCIANA GENRO</t>
  </si>
  <si>
    <t>LUCIANA KREBS GENRO</t>
  </si>
  <si>
    <t>https://dadosabertos.camara.leg.br/api/v2/deputados/74059</t>
  </si>
  <si>
    <t>LUIZ BASSUMA</t>
  </si>
  <si>
    <t>LUIZ CARLOS BASSUMA</t>
  </si>
  <si>
    <t>https://dadosabertos.camara.leg.br/api/v2/deputados/74810</t>
  </si>
  <si>
    <t>LUIZ BITTENCOURT</t>
  </si>
  <si>
    <t>LUIZ JOSÉ BITTENCOURT</t>
  </si>
  <si>
    <t>https://dadosabertos.camara.leg.br/api/v2/deputados/74142</t>
  </si>
  <si>
    <t>LUIZ CARREIRA</t>
  </si>
  <si>
    <t>LUIZ ANTÔNIO VASCONCELLOS CARREIRA</t>
  </si>
  <si>
    <t>https://dadosabertos.camara.leg.br/api/v2/deputados/141489</t>
  </si>
  <si>
    <t>LUIZ PAULO VELLOZO LUCAS</t>
  </si>
  <si>
    <t>https://dadosabertos.camara.leg.br/api/v2/deputados/73936</t>
  </si>
  <si>
    <t>LUPÉRCIO RAMOS</t>
  </si>
  <si>
    <t>JOSÉ LUPÉRCIO RAMOS DE OLIVEIRA</t>
  </si>
  <si>
    <t>http://www.twitter.com/deplupercio</t>
  </si>
  <si>
    <t>Tonantins</t>
  </si>
  <si>
    <t>https://dadosabertos.camara.leg.br/api/v2/deputados/141495</t>
  </si>
  <si>
    <t>MARCELO ITAGIBA</t>
  </si>
  <si>
    <t>MARCELO ZATURANSKY NOGUEIRA ITAGIBA</t>
  </si>
  <si>
    <t>https://dadosabertos.camara.leg.br/api/v2/deputados/141494</t>
  </si>
  <si>
    <t>MARCELO MELO</t>
  </si>
  <si>
    <t>MARCELO DE ARAÚJO MELO</t>
  </si>
  <si>
    <t>https://dadosabertos.camara.leg.br/api/v2/deputados/141493</t>
  </si>
  <si>
    <t>MARCELO SERAFIM</t>
  </si>
  <si>
    <t>MARCELO AUGUSTO DA EIRA CORREA</t>
  </si>
  <si>
    <t>https://dadosabertos.camara.leg.br/api/v2/deputados/74300</t>
  </si>
  <si>
    <t>MARCELO TEIXEIRA</t>
  </si>
  <si>
    <t>ANTONIO MARCELO TEIXEIRA SOUSA</t>
  </si>
  <si>
    <t>https://dadosabertos.camara.leg.br/api/v2/deputados/115899</t>
  </si>
  <si>
    <t>MARCIO PASSOS</t>
  </si>
  <si>
    <t>MARCIO ALMEIDA PASSOS</t>
  </si>
  <si>
    <t>https://dadosabertos.camara.leg.br/api/v2/deputados/141499</t>
  </si>
  <si>
    <t>MARCOS ANTONIO</t>
  </si>
  <si>
    <t>MARCOS ANTÔNIO RAMOS DA HORA</t>
  </si>
  <si>
    <t>São Lourenço da Mata</t>
  </si>
  <si>
    <t>https://dadosabertos.camara.leg.br/api/v2/deputados/74586</t>
  </si>
  <si>
    <t>MARIA DO CARMO LARA</t>
  </si>
  <si>
    <t>MARIA DO CARMO LARA PERPÉTUO</t>
  </si>
  <si>
    <t>Esmeraldas</t>
  </si>
  <si>
    <t>https://dadosabertos.camara.leg.br/api/v2/deputados/74587</t>
  </si>
  <si>
    <t>MARIA LÚCIA CARDOSO</t>
  </si>
  <si>
    <t>Japaraíba</t>
  </si>
  <si>
    <t>https://dadosabertos.camara.leg.br/api/v2/deputados/141505</t>
  </si>
  <si>
    <t>MARINA MAGGESSI</t>
  </si>
  <si>
    <t>MARINA TERRA MAGGESSI DE SOUZA</t>
  </si>
  <si>
    <t>https://dadosabertos.camara.leg.br/api/v2/deputados/147653</t>
  </si>
  <si>
    <t>MATTEO CHIARELLI</t>
  </si>
  <si>
    <t>MATTEO ROTA CHIARELLI</t>
  </si>
  <si>
    <t>https://dadosabertos.camara.leg.br/api/v2/deputados/73780</t>
  </si>
  <si>
    <t>MAX ROSENMANN</t>
  </si>
  <si>
    <t>https://dadosabertos.camara.leg.br/api/v2/deputados/73552</t>
  </si>
  <si>
    <t>MICHEL TEMER</t>
  </si>
  <si>
    <t>MICHEL MIGUEL ELIAS TEMER LULIA</t>
  </si>
  <si>
    <t>Tietê</t>
  </si>
  <si>
    <t>https://dadosabertos.camara.leg.br/api/v2/deputados/141469</t>
  </si>
  <si>
    <t>MIGUEL MARTINI</t>
  </si>
  <si>
    <t>JOSÉ MIGUEL MARTINI</t>
  </si>
  <si>
    <t>https://dadosabertos.camara.leg.br/api/v2/deputados/74337</t>
  </si>
  <si>
    <t>MILTON BARBOSA</t>
  </si>
  <si>
    <t>MILTON JOÃO SOARES BARBOSA</t>
  </si>
  <si>
    <t>Itaberaba</t>
  </si>
  <si>
    <t>https://dadosabertos.camara.leg.br/api/v2/deputados/139311</t>
  </si>
  <si>
    <t>MOISES AVELINO</t>
  </si>
  <si>
    <t>MOISÉS NOGUEIRA AVELINO</t>
  </si>
  <si>
    <t>Santa Filomena</t>
  </si>
  <si>
    <t>https://dadosabertos.camara.leg.br/api/v2/deputados/74318</t>
  </si>
  <si>
    <t>MUSSA DEMES</t>
  </si>
  <si>
    <t>MUSSA DE JESUS DEMES</t>
  </si>
  <si>
    <t>https://dadosabertos.camara.leg.br/api/v2/deputados/74038</t>
  </si>
  <si>
    <t>NÉLIO DIAS</t>
  </si>
  <si>
    <t>NÉLIO SILVEIRA DIAS</t>
  </si>
  <si>
    <t>https://dadosabertos.camara.leg.br/api/v2/deputados/141511</t>
  </si>
  <si>
    <t>NELSON GOETTEN</t>
  </si>
  <si>
    <t>NELSON GOETTEN DE LIMA</t>
  </si>
  <si>
    <t>Taió</t>
  </si>
  <si>
    <t>https://dadosabertos.camara.leg.br/api/v2/deputados/73907</t>
  </si>
  <si>
    <t>NELSON PROENÇA</t>
  </si>
  <si>
    <t>NELSON LUIZ PROENÇA FERNANDES</t>
  </si>
  <si>
    <t>https://dadosabertos.camara.leg.br/api/v2/deputados/73761</t>
  </si>
  <si>
    <t>NELSON TRAD</t>
  </si>
  <si>
    <t>Aquidauana</t>
  </si>
  <si>
    <t>https://dadosabertos.camara.leg.br/api/v2/deputados/141512</t>
  </si>
  <si>
    <t>NEUDO CAMPOS</t>
  </si>
  <si>
    <t>NEUDO RIBEIRO CAMPOS</t>
  </si>
  <si>
    <t>https://dadosabertos.camara.leg.br/api/v2/deputados/74365</t>
  </si>
  <si>
    <t>NILSON MOURÃO</t>
  </si>
  <si>
    <t>NILSON MOURA LEITE MOURÃO</t>
  </si>
  <si>
    <t>https://dadosabertos.camara.leg.br/api/v2/deputados/74005</t>
  </si>
  <si>
    <t>OLAVO CALHEIROS</t>
  </si>
  <si>
    <t>OLAVO CALHEIROS FILHO</t>
  </si>
  <si>
    <t>https://dadosabertos.camara.leg.br/api/v2/deputados/73660</t>
  </si>
  <si>
    <t>OSÓRIO ADRIANO</t>
  </si>
  <si>
    <t>OSÓRIO ADRIANO FILHO</t>
  </si>
  <si>
    <t>https://dadosabertos.camara.leg.br/api/v2/deputados/73909</t>
  </si>
  <si>
    <t>OSVALDO BIOLCHI</t>
  </si>
  <si>
    <t>OSVALDO ANICETTO BIOLCHI</t>
  </si>
  <si>
    <t>https://dadosabertos.camara.leg.br/api/v2/deputados/154417</t>
  </si>
  <si>
    <t>PAES DE LIRA</t>
  </si>
  <si>
    <t>JAIRO PAES DE LIRA</t>
  </si>
  <si>
    <t>https://dadosabertos.camara.leg.br/api/v2/deputados/73921</t>
  </si>
  <si>
    <t>PASTOR FRANKEMBERGEN</t>
  </si>
  <si>
    <t>FRANKEMBERGEN GALVÃO DA COSTA</t>
  </si>
  <si>
    <t>https://dadosabertos.camara.leg.br/api/v2/deputados/141491</t>
  </si>
  <si>
    <t>PASTOR MANOEL FERREIRA</t>
  </si>
  <si>
    <t>MANOEL FERREIRA</t>
  </si>
  <si>
    <t>https://dadosabertos.camara.leg.br/api/v2/deputados/74032</t>
  </si>
  <si>
    <t>PASTOR PEDRO RIBEIRO</t>
  </si>
  <si>
    <t>PEDRO RIBEIRO FILHO</t>
  </si>
  <si>
    <t>Pacajus</t>
  </si>
  <si>
    <t>https://dadosabertos.camara.leg.br/api/v2/deputados/73882</t>
  </si>
  <si>
    <t>PAULO BAUER</t>
  </si>
  <si>
    <t>PAULO ROBERTO BAUER</t>
  </si>
  <si>
    <t>https://dadosabertos.camara.leg.br/api/v2/deputados/74754</t>
  </si>
  <si>
    <t>PAULO DELGADO</t>
  </si>
  <si>
    <t>PAULO GABRIEL GODINHO DELGADO</t>
  </si>
  <si>
    <t>Lima Duarte</t>
  </si>
  <si>
    <t>https://dadosabertos.camara.leg.br/api/v2/deputados/73555</t>
  </si>
  <si>
    <t>PAULO LIMA</t>
  </si>
  <si>
    <t>PAULO CÉSAR DE OLIVEIRA LIMA</t>
  </si>
  <si>
    <t>https://dadosabertos.camara.leg.br/api/v2/deputados/73612</t>
  </si>
  <si>
    <t>PAULO RATTES</t>
  </si>
  <si>
    <t>PAULO JOSÉ ALVES RATTES</t>
  </si>
  <si>
    <t>https://dadosabertos.camara.leg.br/api/v2/deputados/141520</t>
  </si>
  <si>
    <t>PAULO RENATO SOUZA</t>
  </si>
  <si>
    <t>PAULO RENATO COSTA SOUZA</t>
  </si>
  <si>
    <t>https://dadosabertos.camara.leg.br/api/v2/deputados/141521</t>
  </si>
  <si>
    <t>PAULO ROBERTO PEREIRA</t>
  </si>
  <si>
    <t>PAULO ROBERTO MANOEL PEREIRA</t>
  </si>
  <si>
    <t>http://deppauloroberto.blogspot.com</t>
  </si>
  <si>
    <t>https://dadosabertos.camara.leg.br/api/v2/deputados/74082</t>
  </si>
  <si>
    <t>PAULO ROCHA</t>
  </si>
  <si>
    <t>PAULO ROBERTO GALVÃO DA ROCHA</t>
  </si>
  <si>
    <t>Curuçá</t>
  </si>
  <si>
    <t>https://dadosabertos.camara.leg.br/api/v2/deputados/74102</t>
  </si>
  <si>
    <t>PEDRO VALADARES</t>
  </si>
  <si>
    <t>PEDRO ALMEIDA VALADARES NETO</t>
  </si>
  <si>
    <t>https://dadosabertos.camara.leg.br/api/v2/deputados/73673</t>
  </si>
  <si>
    <t>PEDRO WILSON</t>
  </si>
  <si>
    <t>PEDRO WILSON GUIMARÃES</t>
  </si>
  <si>
    <t>Marzagão</t>
  </si>
  <si>
    <t>https://dadosabertos.camara.leg.br/api/v2/deputados/141538</t>
  </si>
  <si>
    <t>PROFESSOR RUY PAULETTI</t>
  </si>
  <si>
    <t>RUY PAULETTI</t>
  </si>
  <si>
    <t>https://dadosabertos.camara.leg.br/api/v2/deputados/74370</t>
  </si>
  <si>
    <t>PROFESSORA RAQUEL TEIXEIRA</t>
  </si>
  <si>
    <t>RAQUEL FIGUEIREDO ALESSANDRI TEIXEIRA</t>
  </si>
  <si>
    <t>https://dadosabertos.camara.leg.br/api/v2/deputados/159259</t>
  </si>
  <si>
    <t>R. SÁ FILHO</t>
  </si>
  <si>
    <t>RAIMUNDO DE SÁ URTIGA FILHO</t>
  </si>
  <si>
    <t>https://dadosabertos.camara.leg.br/api/v2/deputados/74590</t>
  </si>
  <si>
    <t>RAFAEL GUERRA</t>
  </si>
  <si>
    <t>JOSÉ RAFAEL GUERRA PINTO COELHO</t>
  </si>
  <si>
    <t>https://dadosabertos.camara.leg.br/api/v2/deputados/73556</t>
  </si>
  <si>
    <t>REGIS DE OLIVEIRA</t>
  </si>
  <si>
    <t>REGIS FERNANDES DE OLIVEIRA</t>
  </si>
  <si>
    <t>Monte Aprazível</t>
  </si>
  <si>
    <t>https://dadosabertos.camara.leg.br/api/v2/deputados/141526</t>
  </si>
  <si>
    <t>REINALDO NOGUEIRA</t>
  </si>
  <si>
    <t>REINALDO NOGUEIRA LOPES CRUZ</t>
  </si>
  <si>
    <t>Indaiatuba</t>
  </si>
  <si>
    <t>https://dadosabertos.camara.leg.br/api/v2/deputados/141528</t>
  </si>
  <si>
    <t>RENATO AMARY</t>
  </si>
  <si>
    <t>RENATO FAUVEL AMARY</t>
  </si>
  <si>
    <t>https://dadosabertos.camara.leg.br/api/v2/deputados/74257</t>
  </si>
  <si>
    <t>RENATO COZZOLINO</t>
  </si>
  <si>
    <t>RENATO COZZOLINO SOBRINHO</t>
  </si>
  <si>
    <t>https://dadosabertos.camara.leg.br/api/v2/deputados/73557</t>
  </si>
  <si>
    <t>RICARDO IZAR</t>
  </si>
  <si>
    <t>RICARDO NAGIB IZAR</t>
  </si>
  <si>
    <t>https://dadosabertos.camara.leg.br/api/v2/deputados/73490</t>
  </si>
  <si>
    <t>RICARTE DE FREITAS</t>
  </si>
  <si>
    <t>RICARTE DE FREITAS JUNIOR</t>
  </si>
  <si>
    <t>https://dadosabertos.camara.leg.br/api/v2/deputados/74777</t>
  </si>
  <si>
    <t>RITA CAMATA</t>
  </si>
  <si>
    <t>RITA DE CÁSSIA PASTE CAMATA</t>
  </si>
  <si>
    <t>https://dadosabertos.camara.leg.br/api/v2/deputados/74433</t>
  </si>
  <si>
    <t>ROBERTO MAGALHÃES</t>
  </si>
  <si>
    <t>ROBERTO MAGALHÃES MELO</t>
  </si>
  <si>
    <t>Canguaretama</t>
  </si>
  <si>
    <t>https://dadosabertos.camara.leg.br/api/v2/deputados/74209</t>
  </si>
  <si>
    <t>ROBERTO ROCHA</t>
  </si>
  <si>
    <t>ROBERTO COELHO ROCHA</t>
  </si>
  <si>
    <t>https://dadosabertos.camara.leg.br/api/v2/deputados/73558</t>
  </si>
  <si>
    <t>ROBSON TUMA</t>
  </si>
  <si>
    <t>https://dadosabertos.camara.leg.br/api/v2/deputados/141530</t>
  </si>
  <si>
    <t>RODOVALHO</t>
  </si>
  <si>
    <t>ROBSON LEMOS RODOVALHO</t>
  </si>
  <si>
    <t>https://dadosabertos.camara.leg.br/api/v2/deputados/141534</t>
  </si>
  <si>
    <t>ROGERIO LISBOA</t>
  </si>
  <si>
    <t>ROGERIO MARTINS LISBOA</t>
  </si>
  <si>
    <t>https://dadosabertos.camara.leg.br/api/v2/deputados/73651</t>
  </si>
  <si>
    <t>ROGERIO SILVA</t>
  </si>
  <si>
    <t>ROGERIO LUCIO SOARES DA SILVA</t>
  </si>
  <si>
    <t>https://dadosabertos.camara.leg.br/api/v2/deputados/74042</t>
  </si>
  <si>
    <t>RONALDO CUNHA LIMA</t>
  </si>
  <si>
    <t>RONALDO JOSÉ DA CUNHA LIMA</t>
  </si>
  <si>
    <t>Guarabira</t>
  </si>
  <si>
    <t>https://dadosabertos.camara.leg.br/api/v2/deputados/151214</t>
  </si>
  <si>
    <t>RONALDO LEITE</t>
  </si>
  <si>
    <t>RONALDO DE BRITO LEITE</t>
  </si>
  <si>
    <t>https://dadosabertos.camara.leg.br/api/v2/deputados/74341</t>
  </si>
  <si>
    <t>SÁ</t>
  </si>
  <si>
    <t>ALMIR MORAIS SÁ</t>
  </si>
  <si>
    <t>https://dadosabertos.camara.leg.br/api/v2/deputados/160520</t>
  </si>
  <si>
    <t>SALLES</t>
  </si>
  <si>
    <t>RAIMUNDO TARASKEVICIUS SALES</t>
  </si>
  <si>
    <t>Alfenas</t>
  </si>
  <si>
    <t>https://dadosabertos.camara.leg.br/api/v2/deputados/74258</t>
  </si>
  <si>
    <t>SANDRO MATOS</t>
  </si>
  <si>
    <t>SANDRO MATOS PEREIRA</t>
  </si>
  <si>
    <t>https://dadosabertos.camara.leg.br/api/v2/deputados/149293</t>
  </si>
  <si>
    <t>SATURNINO MASSON</t>
  </si>
  <si>
    <t>Tanabi</t>
  </si>
  <si>
    <t>https://dadosabertos.camara.leg.br/api/v2/deputados/74211</t>
  </si>
  <si>
    <t>SEBASTIÃO MADEIRA</t>
  </si>
  <si>
    <t>SEBASTIAO TORRES MADEIRA</t>
  </si>
  <si>
    <t>São Domingos do Maranhão</t>
  </si>
  <si>
    <t>https://dadosabertos.camara.leg.br/api/v2/deputados/141541</t>
  </si>
  <si>
    <t>SERGIO PETECÃO</t>
  </si>
  <si>
    <t>SÉRGIO DE OLIVEIRA CUNHA</t>
  </si>
  <si>
    <t>https://dadosabertos.camara.leg.br/api/v2/deputados/74641</t>
  </si>
  <si>
    <t>SEVERIANO ALVES</t>
  </si>
  <si>
    <t>SEVERIANO ALVES DE SOUZA</t>
  </si>
  <si>
    <t>https://dadosabertos.camara.leg.br/api/v2/deputados/141545</t>
  </si>
  <si>
    <t>SILVINHO PECCIOLI</t>
  </si>
  <si>
    <t>SILVIO ROBERTO CAVALCANTI PECCIOLI</t>
  </si>
  <si>
    <t>https://dadosabertos.camara.leg.br/api/v2/deputados/73998</t>
  </si>
  <si>
    <t>SILVIO LOPES</t>
  </si>
  <si>
    <t>SILVIO LOPES TEIXEIRA</t>
  </si>
  <si>
    <t>https://dadosabertos.camara.leg.br/api/v2/deputados/141546</t>
  </si>
  <si>
    <t>SOLANGE AMARAL</t>
  </si>
  <si>
    <t>https://dadosabertos.camara.leg.br/api/v2/deputados/141549</t>
  </si>
  <si>
    <t>SUELY</t>
  </si>
  <si>
    <t>SUELY SANTANA DA SILVA</t>
  </si>
  <si>
    <t>Ilhéus</t>
  </si>
  <si>
    <t>https://dadosabertos.camara.leg.br/api/v2/deputados/73577</t>
  </si>
  <si>
    <t>TARCÍSIO ZIMMERMANN</t>
  </si>
  <si>
    <t>TARCISIO JOÃO ZIMERMMANN</t>
  </si>
  <si>
    <t>https://dadosabertos.camara.leg.br/api/v2/deputados/74289</t>
  </si>
  <si>
    <t>TATICO</t>
  </si>
  <si>
    <t>JOSÉ FUSCALDI CESILIO</t>
  </si>
  <si>
    <t>Teixeiras</t>
  </si>
  <si>
    <t>https://dadosabertos.camara.leg.br/api/v2/deputados/73561</t>
  </si>
  <si>
    <t>TELMA DE SOUZA</t>
  </si>
  <si>
    <t>TELMA SANDRA AUGUSTO DE SOUZA</t>
  </si>
  <si>
    <t>https://dadosabertos.camara.leg.br/api/v2/deputados/74286</t>
  </si>
  <si>
    <t>THELMA DE OLIVEIRA</t>
  </si>
  <si>
    <t>THELMA PIMENTEL FIGUEIREDO DE OLIVEIRA</t>
  </si>
  <si>
    <t>https://dadosabertos.camara.leg.br/api/v2/deputados/74461</t>
  </si>
  <si>
    <t>THEMÍSTOCLES SAMPAIO</t>
  </si>
  <si>
    <t>THEMÍSTOCLES DE SAMPAIO PEREIRA</t>
  </si>
  <si>
    <t>Esperantina</t>
  </si>
  <si>
    <t>https://dadosabertos.camara.leg.br/api/v2/deputados/141382</t>
  </si>
  <si>
    <t>TONHA MAGALHÃES</t>
  </si>
  <si>
    <t>ANTÔNIA MAGALHÃES DA CRUZ</t>
  </si>
  <si>
    <t>São Felipe</t>
  </si>
  <si>
    <t>https://dadosabertos.camara.leg.br/api/v2/deputados/73809</t>
  </si>
  <si>
    <t>ULDURICO PINTO</t>
  </si>
  <si>
    <t>ULDURICO ALVES PINTO</t>
  </si>
  <si>
    <t>https://dadosabertos.camara.leg.br/api/v2/deputados/73564</t>
  </si>
  <si>
    <t>VADÃO GOMES</t>
  </si>
  <si>
    <t>ETIVALDO VADÃO GOMES</t>
  </si>
  <si>
    <t>Populina</t>
  </si>
  <si>
    <t>https://dadosabertos.camara.leg.br/api/v2/deputados/74357</t>
  </si>
  <si>
    <t>VANESSA GRAZZIOTIN</t>
  </si>
  <si>
    <t>Videira</t>
  </si>
  <si>
    <t>https://dadosabertos.camara.leg.br/api/v2/deputados/141524</t>
  </si>
  <si>
    <t>VELOSO</t>
  </si>
  <si>
    <t>RAYMUNDO VELOSO SILVA</t>
  </si>
  <si>
    <t>https://dadosabertos.camara.leg.br/api/v2/deputados/74087</t>
  </si>
  <si>
    <t>VIC PIRES FRANCO</t>
  </si>
  <si>
    <t>VICTOR PIRES FRANCO NETO</t>
  </si>
  <si>
    <t>https://dadosabertos.camara.leg.br/api/v2/deputados/141554</t>
  </si>
  <si>
    <t>VICENTINHO ALVES</t>
  </si>
  <si>
    <t>VICENTE ALVES DE OLIVEIRA</t>
  </si>
  <si>
    <t>https://dadosabertos.camara.leg.br/api/v2/deputados/159257</t>
  </si>
  <si>
    <t>VIEGAS</t>
  </si>
  <si>
    <t>JOÃO BATISTA FREIRE VIEGAS</t>
  </si>
  <si>
    <t>Sapé</t>
  </si>
  <si>
    <t>https://dadosabertos.camara.leg.br/api/v2/deputados/74391</t>
  </si>
  <si>
    <t>VIGNATTI</t>
  </si>
  <si>
    <t>CLÁUDIO ANTÔNIO VIGNATTI</t>
  </si>
  <si>
    <t>Cunha Porã</t>
  </si>
  <si>
    <t>https://dadosabertos.camara.leg.br/api/v2/deputados/74593</t>
  </si>
  <si>
    <t>VIRGÍLIO GUIMARÃES</t>
  </si>
  <si>
    <t>VIRGÍLIO GUIMARÃES DE PAULA</t>
  </si>
  <si>
    <t>https://dadosabertos.camara.leg.br/api/v2/deputados/141556</t>
  </si>
  <si>
    <t>VITAL DO RÊGO FILHO</t>
  </si>
  <si>
    <t>https://dadosabertos.camara.leg.br/api/v2/deputados/73456</t>
  </si>
  <si>
    <t>WALDEMIR MOKA</t>
  </si>
  <si>
    <t>WALDEMIR MOKA MIRANDA DE BRITTO</t>
  </si>
  <si>
    <t>Bela Vista</t>
  </si>
  <si>
    <t>https://dadosabertos.camara.leg.br/api/v2/deputados/141559</t>
  </si>
  <si>
    <t>WALDIR NEVES</t>
  </si>
  <si>
    <t>WALDIR NEVES BARBOSA</t>
  </si>
  <si>
    <t>Miranda</t>
  </si>
  <si>
    <t>https://dadosabertos.camara.leg.br/api/v2/deputados/148295</t>
  </si>
  <si>
    <t>WALTER BRITO NETO</t>
  </si>
  <si>
    <t>WALTER CORREIA DE BRITO NETO</t>
  </si>
  <si>
    <t>https://dadosabertos.camara.leg.br/api/v2/deputados/74218</t>
  </si>
  <si>
    <t>WALTER PINHEIRO</t>
  </si>
  <si>
    <t>WALTER DE FREITAS PINHEIRO</t>
  </si>
  <si>
    <t>https://dadosabertos.camara.leg.br/api/v2/deputados/74490</t>
  </si>
  <si>
    <t>WASHINGTON LUIZ</t>
  </si>
  <si>
    <t>JOAQUIM WASHINGTON LUIZ DE OLIVEIRA</t>
  </si>
  <si>
    <t>https://dadosabertos.camara.leg.br/api/v2/deputados/74414</t>
  </si>
  <si>
    <t>WILSON BRAGA</t>
  </si>
  <si>
    <t>WILSON LEITE BRAGA</t>
  </si>
  <si>
    <t>Conceição</t>
  </si>
  <si>
    <t>https://dadosabertos.camara.leg.br/api/v2/deputados/154996</t>
  </si>
  <si>
    <t>WILSON PICLER</t>
  </si>
  <si>
    <t>Guaíra</t>
  </si>
  <si>
    <t>https://dadosabertos.camara.leg.br/api/v2/deputados/74309</t>
  </si>
  <si>
    <t>ZÉ GERARDO</t>
  </si>
  <si>
    <t>JOSÉ GERARDO OLIVEIRA DE ARRUDA FILHO</t>
  </si>
  <si>
    <t>https://dadosabertos.camara.leg.br/api/v2/deputados/74328</t>
  </si>
  <si>
    <t>ADAUTO PEREIRA</t>
  </si>
  <si>
    <t>ADAUTO PEREIRA DE LIMA</t>
  </si>
  <si>
    <t>Pombal</t>
  </si>
  <si>
    <t>https://dadosabertos.camara.leg.br/api/v2/deputados/74386</t>
  </si>
  <si>
    <t>ADELOR VIEIRA</t>
  </si>
  <si>
    <t>ADELOR FRANCISCO VIEIRA</t>
  </si>
  <si>
    <t>https://dadosabertos.camara.leg.br/api/v2/deputados/73654</t>
  </si>
  <si>
    <t>AGNELO QUEIROZ</t>
  </si>
  <si>
    <t>AGNELO SANTOS QUEIROZ FILHO</t>
  </si>
  <si>
    <t>Itapetinga</t>
  </si>
  <si>
    <t>https://dadosabertos.camara.leg.br/api/v2/deputados/73427</t>
  </si>
  <si>
    <t>ALBERTO GOLDMAN</t>
  </si>
  <si>
    <t>https://dadosabertos.camara.leg.br/api/v2/deputados/73979</t>
  </si>
  <si>
    <t>ALCESTE ALMEIDA</t>
  </si>
  <si>
    <t>ALCESTE MADEIRA DE ALMEIDA</t>
  </si>
  <si>
    <t>https://dadosabertos.camara.leg.br/api/v2/deputados/73477</t>
  </si>
  <si>
    <t>ALCEU COLLARES</t>
  </si>
  <si>
    <t>ALCEU DE DEUS COLLARES</t>
  </si>
  <si>
    <t>Bagé</t>
  </si>
  <si>
    <t>https://dadosabertos.camara.leg.br/api/v2/deputados/74828</t>
  </si>
  <si>
    <t>ALDIR CABRAL</t>
  </si>
  <si>
    <t>ALDIR CABRAL DE ARAUJO</t>
  </si>
  <si>
    <t>https://dadosabertos.camara.leg.br/api/v2/deputados/136226</t>
  </si>
  <si>
    <t>ALEXANDRE MAIA</t>
  </si>
  <si>
    <t>ALEXANDRE MAIA LEMOS</t>
  </si>
  <si>
    <t>Passos</t>
  </si>
  <si>
    <t>https://dadosabertos.camara.leg.br/api/v2/deputados/74451</t>
  </si>
  <si>
    <t>ALMEIDA DE JESUS</t>
  </si>
  <si>
    <t>FRANCISCO ALMEIDA LIMA</t>
  </si>
  <si>
    <t>https://dadosabertos.camara.leg.br/api/v2/deputados/74675</t>
  </si>
  <si>
    <t>ALMERINDA DE CARVALHO</t>
  </si>
  <si>
    <t>ALMERINDA FILGUEIRAS DE CARVALHO</t>
  </si>
  <si>
    <t>https://dadosabertos.camara.leg.br/api/v2/deputados/74167</t>
  </si>
  <si>
    <t>ALMIR MOURA</t>
  </si>
  <si>
    <t>ALMIR OLIVEIRA MOURA</t>
  </si>
  <si>
    <t>https://dadosabertos.camara.leg.br/api/v2/deputados/73430</t>
  </si>
  <si>
    <t>ALOYSIO NUNES FERREIRA</t>
  </si>
  <si>
    <t>ALOYSIO NUNES FERREIRA FILHO</t>
  </si>
  <si>
    <t>https://dadosabertos.camara.leg.br/api/v2/deputados/74036</t>
  </si>
  <si>
    <t>ÁLVARO DIAS</t>
  </si>
  <si>
    <t>ÁLVARO COSTA DIAS</t>
  </si>
  <si>
    <t>https://dadosabertos.camara.leg.br/api/v2/deputados/129617</t>
  </si>
  <si>
    <t>AMADOR TUT</t>
  </si>
  <si>
    <t>AMADOR ATAÍDE GONÇALVES TUT</t>
  </si>
  <si>
    <t>Presidente Olegário</t>
  </si>
  <si>
    <t>https://dadosabertos.camara.leg.br/api/v2/deputados/74260</t>
  </si>
  <si>
    <t>AMAURI GASQUES</t>
  </si>
  <si>
    <t>AMAURI ROBLEDO GASQUES</t>
  </si>
  <si>
    <t>https://dadosabertos.camara.leg.br/api/v2/deputados/133440</t>
  </si>
  <si>
    <t>ANA ALENCAR</t>
  </si>
  <si>
    <t>ANA BORGES NEVES ALENCAR</t>
  </si>
  <si>
    <t>https://dadosabertos.camara.leg.br/api/v2/deputados/134115</t>
  </si>
  <si>
    <t>ANA GUERRA</t>
  </si>
  <si>
    <t>ANA MARIA QUINTANS GUERRA DE OLIVEIRA</t>
  </si>
  <si>
    <t>https://dadosabertos.camara.leg.br/api/v2/deputados/74146</t>
  </si>
  <si>
    <t>ANDERSON ADAUTO</t>
  </si>
  <si>
    <t>ANDERSON ADAUTO PEREIRA</t>
  </si>
  <si>
    <t>https://dadosabertos.camara.leg.br/api/v2/deputados/133377</t>
  </si>
  <si>
    <t>ANDRÉ COSTA</t>
  </si>
  <si>
    <t>ANDRÉ LUIZ COSTA DE SOUZA</t>
  </si>
  <si>
    <t>https://dadosabertos.camara.leg.br/api/v2/deputados/74168</t>
  </si>
  <si>
    <t>ANDRÉ LUIZ</t>
  </si>
  <si>
    <t>ANDRÉ LUIZ LOPES DA SILVA</t>
  </si>
  <si>
    <t>https://dadosabertos.camara.leg.br/api/v2/deputados/74699</t>
  </si>
  <si>
    <t>ANGELA GUADAGNIN</t>
  </si>
  <si>
    <t>ANGELA MORAES GUADAGNIN</t>
  </si>
  <si>
    <t>https://dadosabertos.camara.leg.br/api/v2/deputados/74072</t>
  </si>
  <si>
    <t>ANIVALDO VALE</t>
  </si>
  <si>
    <t>ANIVALDO JUVENIL VALE</t>
  </si>
  <si>
    <t>Ipanema</t>
  </si>
  <si>
    <t>https://dadosabertos.camara.leg.br/api/v2/deputados/133371</t>
  </si>
  <si>
    <t>ANTENOR NASPOLINI</t>
  </si>
  <si>
    <t>ANTENOR MANOEL NASPOLINI</t>
  </si>
  <si>
    <t>https://dadosabertos.camara.leg.br/api/v2/deputados/74452</t>
  </si>
  <si>
    <t>ANTONIO CAMBRAIA</t>
  </si>
  <si>
    <t>ANTONIO ELBANO CAMBRAIA</t>
  </si>
  <si>
    <t>Senador Pompeu</t>
  </si>
  <si>
    <t>https://dadosabertos.camara.leg.br/api/v2/deputados/74194</t>
  </si>
  <si>
    <t>ANTONIO JOAQUIM</t>
  </si>
  <si>
    <t>ANTONIO JOAQUIM ARAÚJO FILHO</t>
  </si>
  <si>
    <t>https://dadosabertos.camara.leg.br/api/v2/deputados/73927</t>
  </si>
  <si>
    <t>ANTONIO NOGUEIRA</t>
  </si>
  <si>
    <t>JOSÉ ANTONIO NOGUEIRA DE SOUSA</t>
  </si>
  <si>
    <t>https://dadosabertos.camara.leg.br/api/v2/deputados/74534</t>
  </si>
  <si>
    <t>AROLDO CEDRAZ</t>
  </si>
  <si>
    <t>AROLDO CEDRAZ DE OLIVEIRA</t>
  </si>
  <si>
    <t>https://dadosabertos.camara.leg.br/api/v2/deputados/73435</t>
  </si>
  <si>
    <t>ARY KARA</t>
  </si>
  <si>
    <t>ARY KARA JOSE</t>
  </si>
  <si>
    <t>Neves Paulista</t>
  </si>
  <si>
    <t>https://dadosabertos.camara.leg.br/api/v2/deputados/73683</t>
  </si>
  <si>
    <t>ARY VANAZZI</t>
  </si>
  <si>
    <t>ARY JOSÉ VANAZZI</t>
  </si>
  <si>
    <t>Coronel Freitas</t>
  </si>
  <si>
    <t>https://dadosabertos.camara.leg.br/api/v2/deputados/74147</t>
  </si>
  <si>
    <t>ATHOS AVELINO</t>
  </si>
  <si>
    <t>ATHOS AVELINO PEREIRA</t>
  </si>
  <si>
    <t>https://dadosabertos.camara.leg.br/api/v2/deputados/73889</t>
  </si>
  <si>
    <t>AUGUSTO NARDES</t>
  </si>
  <si>
    <t>JOÃO AUGUSTO RIBEIRO NARDES</t>
  </si>
  <si>
    <t>https://dadosabertos.camara.leg.br/api/v2/deputados/74349</t>
  </si>
  <si>
    <t>BABÁ</t>
  </si>
  <si>
    <t>JOÃO BATISTA OLIVEIRA DE ARAUJO</t>
  </si>
  <si>
    <t>Faro</t>
  </si>
  <si>
    <t>https://dadosabertos.camara.leg.br/api/v2/deputados/74342</t>
  </si>
  <si>
    <t>BADU PICANÇO</t>
  </si>
  <si>
    <t>HILDEMAR SOUZA DE AZEVEDO PICANÇO</t>
  </si>
  <si>
    <t>https://dadosabertos.camara.leg.br/api/v2/deputados/73663</t>
  </si>
  <si>
    <t>SEBASTIÃO AUGUSTO BARBOSA NETO</t>
  </si>
  <si>
    <t>https://dadosabertos.camara.leg.br/api/v2/deputados/74030</t>
  </si>
  <si>
    <t>BISMARCK MAIA</t>
  </si>
  <si>
    <t>BISMARCK COSTA LIMA PINHEIRO MAIA</t>
  </si>
  <si>
    <t>https://dadosabertos.camara.leg.br/api/v2/deputados/74577</t>
  </si>
  <si>
    <t>CABO JÚLIO</t>
  </si>
  <si>
    <t>JÚLIO CÉSAR GOMES DOS SANTOS</t>
  </si>
  <si>
    <t>https://dadosabertos.camara.leg.br/api/v2/deputados/133658</t>
  </si>
  <si>
    <t>CAPITÃO WAYNE</t>
  </si>
  <si>
    <t>ROSE MARX WAYNE DE OLIVEIRA</t>
  </si>
  <si>
    <t>https://dadosabertos.camara.leg.br/api/v2/deputados/74473</t>
  </si>
  <si>
    <t>CARLOS BATATA</t>
  </si>
  <si>
    <t>ANTÔNIO CARLOS VIEIRA DOS SANTOS</t>
  </si>
  <si>
    <t>https://dadosabertos.camara.leg.br/api/v2/deputados/74466</t>
  </si>
  <si>
    <t>CARLOS DUNGA</t>
  </si>
  <si>
    <t>CARLOS MARQUES DUNGA</t>
  </si>
  <si>
    <t>https://dadosabertos.camara.leg.br/api/v2/deputados/141331</t>
  </si>
  <si>
    <t>CARLOS LAPA</t>
  </si>
  <si>
    <t>CARLOS ADILSON PINTO LAPA</t>
  </si>
  <si>
    <t>https://dadosabertos.camara.leg.br/api/v2/deputados/74484</t>
  </si>
  <si>
    <t>CARLOS MOTA</t>
  </si>
  <si>
    <t>CARLOS DOMINGOS MOTA COELHO</t>
  </si>
  <si>
    <t>https://dadosabertos.camara.leg.br/api/v2/deputados/73825</t>
  </si>
  <si>
    <t>CARLOS NADER</t>
  </si>
  <si>
    <t>CARLOS FREDERICO THEODORO NADER</t>
  </si>
  <si>
    <t>Barra Mansa</t>
  </si>
  <si>
    <t>https://dadosabertos.camara.leg.br/api/v2/deputados/74676</t>
  </si>
  <si>
    <t>CARLOS RODRIGUES</t>
  </si>
  <si>
    <t>CARLOS ALBERTO RODRIGUES PINTO</t>
  </si>
  <si>
    <t>https://dadosabertos.camara.leg.br/api/v2/deputados/74195</t>
  </si>
  <si>
    <t>CÉSAR BANDEIRA</t>
  </si>
  <si>
    <t>CARLOS CÉSAR BRANCO BANDEIRA</t>
  </si>
  <si>
    <t>https://dadosabertos.camara.leg.br/api/v2/deputados/74149</t>
  </si>
  <si>
    <t>CÉSAR MEDEIROS</t>
  </si>
  <si>
    <t>JOSÉ CÉSAR DE MEDEIROS</t>
  </si>
  <si>
    <t>Ressaquinha</t>
  </si>
  <si>
    <t>https://dadosabertos.camara.leg.br/api/v2/deputados/74181</t>
  </si>
  <si>
    <t>CHICÃO BRÍGIDO</t>
  </si>
  <si>
    <t>FRANCISCO BRÍGIDO DA COSTA</t>
  </si>
  <si>
    <t>Ipixuna</t>
  </si>
  <si>
    <t>https://dadosabertos.camara.leg.br/api/v2/deputados/73595</t>
  </si>
  <si>
    <t>CHICO SARDELLI</t>
  </si>
  <si>
    <t>FRANCISCO ANTONIO SARDELLI</t>
  </si>
  <si>
    <t>https://dadosabertos.camara.leg.br/api/v2/deputados/137116</t>
  </si>
  <si>
    <t>CLAUDIO RORATO</t>
  </si>
  <si>
    <t>JOSE CLÁUDIO RORATO</t>
  </si>
  <si>
    <t>https://dadosabertos.camara.leg.br/api/v2/deputados/74527</t>
  </si>
  <si>
    <t>CLEONÂNCIO FONSECA</t>
  </si>
  <si>
    <t>JOSÉ CLEONÂNCIO DA FONSECA</t>
  </si>
  <si>
    <t>Boquim</t>
  </si>
  <si>
    <t>https://dadosabertos.camara.leg.br/api/v2/deputados/74578</t>
  </si>
  <si>
    <t>CLEUBER CARNEIRO</t>
  </si>
  <si>
    <t>CLEUBER BRANDÃO CARNEIRO</t>
  </si>
  <si>
    <t>Paratinga</t>
  </si>
  <si>
    <t>https://dadosabertos.camara.leg.br/api/v2/deputados/141334</t>
  </si>
  <si>
    <t>CLÓVIS CORRÊA</t>
  </si>
  <si>
    <t>CLÓVIS CORRÊA DE OLIVEIRA ANDRADE FILHO</t>
  </si>
  <si>
    <t>https://dadosabertos.camara.leg.br/api/v2/deputados/74380</t>
  </si>
  <si>
    <t>COLOMBO</t>
  </si>
  <si>
    <t>IRINEU MARIO COLOMBO</t>
  </si>
  <si>
    <t>https://dadosabertos.camara.leg.br/api/v2/deputados/74097</t>
  </si>
  <si>
    <t>CONFÚCIO MOURA</t>
  </si>
  <si>
    <t>CONFÚCIO AIRES MOURA</t>
  </si>
  <si>
    <t>Dianópolis</t>
  </si>
  <si>
    <t>https://dadosabertos.camara.leg.br/api/v2/deputados/73442</t>
  </si>
  <si>
    <t>CORAUCI SOBRINHO</t>
  </si>
  <si>
    <t>VALDEMAR CORAUCI SOBRINHO</t>
  </si>
  <si>
    <t>https://dadosabertos.camara.leg.br/api/v2/deputados/74538</t>
  </si>
  <si>
    <t>CORIOLANO SALES</t>
  </si>
  <si>
    <t>CORIOLANO SOUSA SALES</t>
  </si>
  <si>
    <t>Santa Teresinha</t>
  </si>
  <si>
    <t>https://dadosabertos.camara.leg.br/api/v2/deputados/73923</t>
  </si>
  <si>
    <t>CORONEL ALVES</t>
  </si>
  <si>
    <t>ARMANDO ALVES JÚNIOR</t>
  </si>
  <si>
    <t>https://dadosabertos.camara.leg.br/api/v2/deputados/74654</t>
  </si>
  <si>
    <t>DANILO DE CASTRO</t>
  </si>
  <si>
    <t>https://dadosabertos.camara.leg.br/api/v2/deputados/74187</t>
  </si>
  <si>
    <t>DARCI COELHO</t>
  </si>
  <si>
    <t>DARCI MARTINS COELHO</t>
  </si>
  <si>
    <t>https://dadosabertos.camara.leg.br/api/v2/deputados/73445</t>
  </si>
  <si>
    <t>DELFIM NETTO</t>
  </si>
  <si>
    <t>ANTÔNIO DELFIM NETTO</t>
  </si>
  <si>
    <t>https://dadosabertos.camara.leg.br/api/v2/deputados/73704</t>
  </si>
  <si>
    <t>DERVAL DE PAIVA</t>
  </si>
  <si>
    <t>DERVAL BATISTA DE PAIVA</t>
  </si>
  <si>
    <t>Cumari</t>
  </si>
  <si>
    <t>https://dadosabertos.camara.leg.br/api/v2/deputados/74468</t>
  </si>
  <si>
    <t>DOMICIANO CABRAL</t>
  </si>
  <si>
    <t>JOSÉ DOMICIANO CABRAL</t>
  </si>
  <si>
    <t>https://dadosabertos.camara.leg.br/api/v2/deputados/74343</t>
  </si>
  <si>
    <t>DR. BENEDITO DIAS</t>
  </si>
  <si>
    <t>BENEDITO DIAS DE CARVALHO</t>
  </si>
  <si>
    <t>Chaves</t>
  </si>
  <si>
    <t>https://dadosabertos.camara.leg.br/api/v2/deputados/74705</t>
  </si>
  <si>
    <t>DR. EVILÁSIO</t>
  </si>
  <si>
    <t>EVILÁSIO CAVALCANTE DE FARIAS</t>
  </si>
  <si>
    <t>Cabaceiras</t>
  </si>
  <si>
    <t>https://dadosabertos.camara.leg.br/api/v2/deputados/74150</t>
  </si>
  <si>
    <t>DR. FRANCISCO GONÇALVES</t>
  </si>
  <si>
    <t>FRANCISCO GONÇALVES FILHO</t>
  </si>
  <si>
    <t>Pedro Leopoldo</t>
  </si>
  <si>
    <t>https://dadosabertos.camara.leg.br/api/v2/deputados/74680</t>
  </si>
  <si>
    <t>DR. HELENO</t>
  </si>
  <si>
    <t>HELENO AUGUSTO DE LIMA</t>
  </si>
  <si>
    <t>https://dadosabertos.camara.leg.br/api/v2/deputados/74779</t>
  </si>
  <si>
    <t>DR. HÉLIO</t>
  </si>
  <si>
    <t>HÉLIO DE OLIVEIRA SANTOS</t>
  </si>
  <si>
    <t>https://dadosabertos.camara.leg.br/api/v2/deputados/73920</t>
  </si>
  <si>
    <t>DR. RODOLFO PEREIRA</t>
  </si>
  <si>
    <t>RODOLFO PEREIRA</t>
  </si>
  <si>
    <t>https://dadosabertos.camara.leg.br/api/v2/deputados/74381</t>
  </si>
  <si>
    <t>DRA. CLAIR</t>
  </si>
  <si>
    <t>CLAIR DA FLORA MARTINS</t>
  </si>
  <si>
    <t>https://dadosabertos.camara.leg.br/api/v2/deputados/74266</t>
  </si>
  <si>
    <t>DURVAL ORLATO</t>
  </si>
  <si>
    <t>DURVAL LOPES ORLATO</t>
  </si>
  <si>
    <t>https://dadosabertos.camara.leg.br/api/v2/deputados/73794</t>
  </si>
  <si>
    <t>EDISON ANDRINO</t>
  </si>
  <si>
    <t>EDISON ADRIÃO ANDRINO DE OLIVEIRA</t>
  </si>
  <si>
    <t>https://dadosabertos.camara.leg.br/api/v2/deputados/73827</t>
  </si>
  <si>
    <t>EDMUNDO GALDINO</t>
  </si>
  <si>
    <t>EDMUNDO GALDINO DA SILVA</t>
  </si>
  <si>
    <t>https://dadosabertos.camara.leg.br/api/v2/deputados/74267</t>
  </si>
  <si>
    <t>EDNA MACEDO</t>
  </si>
  <si>
    <t>EDNA BEZERRA SAMPAIO FERNANDES</t>
  </si>
  <si>
    <t>Rio das Flores</t>
  </si>
  <si>
    <t>https://dadosabertos.camara.leg.br/api/v2/deputados/74416</t>
  </si>
  <si>
    <t>EDUARDO CAMPOS</t>
  </si>
  <si>
    <t>EDUARDO HENRIQUE ACCIOLY CAMPOS</t>
  </si>
  <si>
    <t>https://dadosabertos.camara.leg.br/api/v2/deputados/74683</t>
  </si>
  <si>
    <t>EDUARDO PAES</t>
  </si>
  <si>
    <t>EDUARDO DA COSTA PAES</t>
  </si>
  <si>
    <t>https://dadosabertos.camara.leg.br/api/v2/deputados/74344</t>
  </si>
  <si>
    <t>EDUARDO SEABRA</t>
  </si>
  <si>
    <t>EDUARDO SEABRA DA COSTA</t>
  </si>
  <si>
    <t>https://dadosabertos.camara.leg.br/api/v2/deputados/74174</t>
  </si>
  <si>
    <t>ELAINE COSTA</t>
  </si>
  <si>
    <t>ELANI CARVALHO COSTA</t>
  </si>
  <si>
    <t>https://dadosabertos.camara.leg.br/api/v2/deputados/74268</t>
  </si>
  <si>
    <t>ELIMAR MÁXIMO DAMASCENO</t>
  </si>
  <si>
    <t>Santa Maria do Suaçuí</t>
  </si>
  <si>
    <t>https://dadosabertos.camara.leg.br/api/v2/deputados/74198</t>
  </si>
  <si>
    <t>ELISEU MOURA</t>
  </si>
  <si>
    <t>ELISEU BARROSO DE CARVALHO MOURA</t>
  </si>
  <si>
    <t>https://dadosabertos.camara.leg.br/api/v2/deputados/74657</t>
  </si>
  <si>
    <t>ELISEU RESENDE</t>
  </si>
  <si>
    <t>Oliveira</t>
  </si>
  <si>
    <t>https://dadosabertos.camara.leg.br/api/v2/deputados/74402</t>
  </si>
  <si>
    <t>ENIO TATICO</t>
  </si>
  <si>
    <t>ENIO CÉSAR CESÍLIO</t>
  </si>
  <si>
    <t>https://dadosabertos.camara.leg.br/api/v2/deputados/74408</t>
  </si>
  <si>
    <t>ENIVALDO RIBEIRO</t>
  </si>
  <si>
    <t>https://dadosabertos.camara.leg.br/api/v2/deputados/74393</t>
  </si>
  <si>
    <t>ÉRICO RIBEIRO</t>
  </si>
  <si>
    <t>ÉRICO DA SILVA RIBEIRO</t>
  </si>
  <si>
    <t>Camaquã</t>
  </si>
  <si>
    <t>https://dadosabertos.camara.leg.br/api/v2/deputados/136377</t>
  </si>
  <si>
    <t>FERNANDO ESTIMA</t>
  </si>
  <si>
    <t>FERNANDO RICARDO GALBIATI ESTIMA</t>
  </si>
  <si>
    <t>https://dadosabertos.camara.leg.br/api/v2/deputados/74487</t>
  </si>
  <si>
    <t>FERNANDO WILLIAM</t>
  </si>
  <si>
    <t>FERNANDO WILLIAM FERREIRA</t>
  </si>
  <si>
    <t>https://dadosabertos.camara.leg.br/api/v2/deputados/74771</t>
  </si>
  <si>
    <t>FEU ROSA</t>
  </si>
  <si>
    <t>JOÃO MIGUEL FEU ROSA</t>
  </si>
  <si>
    <t>https://dadosabertos.camara.leg.br/api/v2/deputados/74700</t>
  </si>
  <si>
    <t>FLEURY</t>
  </si>
  <si>
    <t>LUIZ ANTONIO FLEURY FILHO</t>
  </si>
  <si>
    <t>https://dadosabertos.camara.leg.br/api/v2/deputados/74033</t>
  </si>
  <si>
    <t>FRANCISCA TRINDADE</t>
  </si>
  <si>
    <t>FRANCISCA DAS CHAGAS DA TRINDADE</t>
  </si>
  <si>
    <t>https://dadosabertos.camara.leg.br/api/v2/deputados/74480</t>
  </si>
  <si>
    <t>FRANCISCO APPIO</t>
  </si>
  <si>
    <t>IDIVAR FRANCISCO APPIO</t>
  </si>
  <si>
    <t>https://dadosabertos.camara.leg.br/api/v2/deputados/74844</t>
  </si>
  <si>
    <t>FRANCISCO DORNELLES</t>
  </si>
  <si>
    <t>FRANCISCO OSWALDO NEVES DORNELLES</t>
  </si>
  <si>
    <t>https://dadosabertos.camara.leg.br/api/v2/deputados/74355</t>
  </si>
  <si>
    <t>FRANCISCO GARCIA</t>
  </si>
  <si>
    <t>FRANCISCO GARCIA RODRIGUES</t>
  </si>
  <si>
    <t>https://dadosabertos.camara.leg.br/api/v2/deputados/74394</t>
  </si>
  <si>
    <t>FRANCISCO TURRA</t>
  </si>
  <si>
    <t>FRANCISCO SÉRGIO TURRA</t>
  </si>
  <si>
    <t>https://dadosabertos.camara.leg.br/api/v2/deputados/137578</t>
  </si>
  <si>
    <t>FRED KOHLER</t>
  </si>
  <si>
    <t>CARLOS FREDERICO KOHLER</t>
  </si>
  <si>
    <t>https://dadosabertos.camara.leg.br/api/v2/deputados/74567</t>
  </si>
  <si>
    <t>GERSON GABRIELLI</t>
  </si>
  <si>
    <t>GERSON SILVA GABRIELLI</t>
  </si>
  <si>
    <t>https://dadosabertos.camara.leg.br/api/v2/deputados/74066</t>
  </si>
  <si>
    <t>GERVÁSIO OLIVEIRA</t>
  </si>
  <si>
    <t>GERVÁSIO AUGUSTO DE OLIVEIRA</t>
  </si>
  <si>
    <t>Pracuúba</t>
  </si>
  <si>
    <t>https://dadosabertos.camara.leg.br/api/v2/deputados/74778</t>
  </si>
  <si>
    <t>GILBERTO KASSAB</t>
  </si>
  <si>
    <t>https://dadosabertos.camara.leg.br/api/v2/deputados/74294</t>
  </si>
  <si>
    <t>GONZAGA MOTA</t>
  </si>
  <si>
    <t>LUIZ DE GONZAGA FONSECA MOTA</t>
  </si>
  <si>
    <t>https://dadosabertos.camara.leg.br/api/v2/deputados/74489</t>
  </si>
  <si>
    <t>HAMILTON CASARA</t>
  </si>
  <si>
    <t>HAMILTON NOBRE CASARA</t>
  </si>
  <si>
    <t>https://dadosabertos.camara.leg.br/api/v2/deputados/73582</t>
  </si>
  <si>
    <t>HELENILDO RIBEIRO</t>
  </si>
  <si>
    <t>JOSÉ HELENILDO RIBEIRO MONTEIRO</t>
  </si>
  <si>
    <t>https://dadosabertos.camara.leg.br/api/v2/deputados/73925</t>
  </si>
  <si>
    <t>HÉLIO ESTEVES</t>
  </si>
  <si>
    <t>HÉLIO BORGES DE SOUSA ESTEVES FILHO</t>
  </si>
  <si>
    <t>https://dadosabertos.camara.leg.br/api/v2/deputados/74660</t>
  </si>
  <si>
    <t>HERCULANO ANGHINETTI</t>
  </si>
  <si>
    <t>https://dadosabertos.camara.leg.br/api/v2/deputados/73946</t>
  </si>
  <si>
    <t>HOMERO BARRETO</t>
  </si>
  <si>
    <t>HOMERO SILVA BARRETO</t>
  </si>
  <si>
    <t>https://dadosabertos.camara.leg.br/api/v2/deputados/74325</t>
  </si>
  <si>
    <t>IBERÊ FERREIRA</t>
  </si>
  <si>
    <t>IBERÊ PAIVA FERREIRA DE SOUZA</t>
  </si>
  <si>
    <t>https://dadosabertos.camara.leg.br/api/v2/deputados/74663</t>
  </si>
  <si>
    <t>IBRAHIM ABI-ACKEL</t>
  </si>
  <si>
    <t>https://dadosabertos.camara.leg.br/api/v2/deputados/74271</t>
  </si>
  <si>
    <t>ILDEU ARAUJO</t>
  </si>
  <si>
    <t>ILDEU ALVES DE ARAUJO</t>
  </si>
  <si>
    <t>Serrania</t>
  </si>
  <si>
    <t>https://dadosabertos.camara.leg.br/api/v2/deputados/74295</t>
  </si>
  <si>
    <t>INÁCIO ARRUDA</t>
  </si>
  <si>
    <t>INÁCIO FRANCISCO DE ASSIS NUNES ARRUDA</t>
  </si>
  <si>
    <t>https://dadosabertos.camara.leg.br/api/v2/deputados/74469</t>
  </si>
  <si>
    <t>INALDO LEITÃO</t>
  </si>
  <si>
    <t>INALDO ROCHA LEITÃO</t>
  </si>
  <si>
    <t>https://dadosabertos.camara.leg.br/api/v2/deputados/138512</t>
  </si>
  <si>
    <t>IRINEU RODRIGUES</t>
  </si>
  <si>
    <t>Uruguaiana</t>
  </si>
  <si>
    <t>https://dadosabertos.camara.leg.br/api/v2/deputados/74846</t>
  </si>
  <si>
    <t>ITAMAR SERPA</t>
  </si>
  <si>
    <t>ITAMAR SERPA FERNANDES</t>
  </si>
  <si>
    <t>https://dadosabertos.camara.leg.br/api/v2/deputados/74562</t>
  </si>
  <si>
    <t>IVAN PAIXÃO</t>
  </si>
  <si>
    <t>JOSÉ IVAN DE CARVALHO PAIXÃO</t>
  </si>
  <si>
    <t>Campo do Brito</t>
  </si>
  <si>
    <t>https://dadosabertos.camara.leg.br/api/v2/deputados/74387</t>
  </si>
  <si>
    <t>IVAN RANZOLIN</t>
  </si>
  <si>
    <t>IVAN CESAR RANZOLIN</t>
  </si>
  <si>
    <t>https://dadosabertos.camara.leg.br/api/v2/deputados/74153</t>
  </si>
  <si>
    <t>IVO JOSÉ</t>
  </si>
  <si>
    <t>IVO JOSÉ DA SILVA</t>
  </si>
  <si>
    <t>Açucena</t>
  </si>
  <si>
    <t>https://dadosabertos.camara.leg.br/api/v2/deputados/133376</t>
  </si>
  <si>
    <t>JAIR DE OLIVEIRA</t>
  </si>
  <si>
    <t>Campo do Meio</t>
  </si>
  <si>
    <t>https://dadosabertos.camara.leg.br/api/v2/deputados/74272</t>
  </si>
  <si>
    <t>JAMIL MURAD</t>
  </si>
  <si>
    <t>Ubarana</t>
  </si>
  <si>
    <t>https://dadosabertos.camara.leg.br/api/v2/deputados/74031</t>
  </si>
  <si>
    <t>JOÃO ALFREDO</t>
  </si>
  <si>
    <t>JOÃO ALFREDO TELLES MELO</t>
  </si>
  <si>
    <t>https://dadosabertos.camara.leg.br/api/v2/deputados/74261</t>
  </si>
  <si>
    <t>JOÃO BATISTA RAMOS DA SILVA</t>
  </si>
  <si>
    <t>https://dadosabertos.camara.leg.br/api/v2/deputados/74131</t>
  </si>
  <si>
    <t>JOÃO CARLOS BACELAR</t>
  </si>
  <si>
    <t>JOÃO CARLOS PAOLILO BACELAR</t>
  </si>
  <si>
    <t>https://dadosabertos.camara.leg.br/api/v2/deputados/73941</t>
  </si>
  <si>
    <t>JOÃO CORREIA</t>
  </si>
  <si>
    <t>JOÃO CORREIA LIMA SOBRINHO</t>
  </si>
  <si>
    <t>https://dadosabertos.camara.leg.br/api/v2/deputados/74054</t>
  </si>
  <si>
    <t>JOÃO FONTES</t>
  </si>
  <si>
    <t>JOÃO FONTES DE FARIA FERNANDES</t>
  </si>
  <si>
    <t>https://dadosabertos.camara.leg.br/api/v2/deputados/73454</t>
  </si>
  <si>
    <t>JOÃO GRANDÃO</t>
  </si>
  <si>
    <t>Rinópolis</t>
  </si>
  <si>
    <t>https://dadosabertos.camara.leg.br/api/v2/deputados/73572</t>
  </si>
  <si>
    <t>JOÃO MAGNO</t>
  </si>
  <si>
    <t>JOÃO MAGNO DE MOURA</t>
  </si>
  <si>
    <t>São Geraldo da Piedade</t>
  </si>
  <si>
    <t>https://dadosabertos.camara.leg.br/api/v2/deputados/74170</t>
  </si>
  <si>
    <t>JOÃO MENDES DE JESUS</t>
  </si>
  <si>
    <t>Aurelino Leal</t>
  </si>
  <si>
    <t>https://dadosabertos.camara.leg.br/api/v2/deputados/74154</t>
  </si>
  <si>
    <t>JOÃO PAULO GOMES DA SILVA</t>
  </si>
  <si>
    <t>Raposos</t>
  </si>
  <si>
    <t>https://dadosabertos.camara.leg.br/api/v2/deputados/74240</t>
  </si>
  <si>
    <t>JOÃO TOTA</t>
  </si>
  <si>
    <t>JOÃO TOTA SOARES DE FIGUEIREDO</t>
  </si>
  <si>
    <t>Teixeira</t>
  </si>
  <si>
    <t>https://dadosabertos.camara.leg.br/api/v2/deputados/74477</t>
  </si>
  <si>
    <t>JOAQUIM FRANCISCO</t>
  </si>
  <si>
    <t>JOAQUIM FRANCISCO DE FREITAS CAVALCANTI</t>
  </si>
  <si>
    <t>https://dadosabertos.camara.leg.br/api/v2/deputados/73575</t>
  </si>
  <si>
    <t>JOEL DE HOLLANDA</t>
  </si>
  <si>
    <t>JOEL DE HOLLANDA CORDEIRO</t>
  </si>
  <si>
    <t>https://dadosabertos.camara.leg.br/api/v2/deputados/74568</t>
  </si>
  <si>
    <t>JONIVAL LUCAS JUNIOR</t>
  </si>
  <si>
    <t>JONIVAL LUCAS DA SILVA JUNIOR</t>
  </si>
  <si>
    <t>Sapeaçu</t>
  </si>
  <si>
    <t>https://dadosabertos.camara.leg.br/api/v2/deputados/74495</t>
  </si>
  <si>
    <t>JORGE GOMES</t>
  </si>
  <si>
    <t>JORGE JOSÉ GOMES</t>
  </si>
  <si>
    <t>https://dadosabertos.camara.leg.br/api/v2/deputados/135476</t>
  </si>
  <si>
    <t>JORGE VI</t>
  </si>
  <si>
    <t>JORGE VI LAMENHA LINS</t>
  </si>
  <si>
    <t>https://dadosabertos.camara.leg.br/api/v2/deputados/73775</t>
  </si>
  <si>
    <t>JOSÉ BORBA</t>
  </si>
  <si>
    <t>JOSÉ RODRIGUES BORBA</t>
  </si>
  <si>
    <t>https://dadosabertos.camara.leg.br/api/v2/deputados/74671</t>
  </si>
  <si>
    <t>JOSÉ CARLOS ELIAS</t>
  </si>
  <si>
    <t>Itapemirim</t>
  </si>
  <si>
    <t>https://dadosabertos.camara.leg.br/api/v2/deputados/73462</t>
  </si>
  <si>
    <t>JOSÉ CARLOS MARTINEZ</t>
  </si>
  <si>
    <t>JOSÉ CARLOS DE CASTRO MARTINEZ</t>
  </si>
  <si>
    <t>https://dadosabertos.camara.leg.br/api/v2/deputados/74782</t>
  </si>
  <si>
    <t>JOSÉ DIRCEU</t>
  </si>
  <si>
    <t>JOSÉ DIRCEU DE OLIVEIRA E SILVA</t>
  </si>
  <si>
    <t>Passa Quatro</t>
  </si>
  <si>
    <t>https://dadosabertos.camara.leg.br/api/v2/deputados/74175</t>
  </si>
  <si>
    <t>JOSÉ DIVINO</t>
  </si>
  <si>
    <t>JOSÉ DIVINO OLIVEIRA DE SOUZA</t>
  </si>
  <si>
    <t>Rio Negro</t>
  </si>
  <si>
    <t>https://dadosabertos.camara.leg.br/api/v2/deputados/73901</t>
  </si>
  <si>
    <t>JOSE FORTUNATI</t>
  </si>
  <si>
    <t>JOSE ALBERTO REUS FORTUNATI</t>
  </si>
  <si>
    <t>Flores da Cunha</t>
  </si>
  <si>
    <t>https://dadosabertos.camara.leg.br/api/v2/deputados/74401</t>
  </si>
  <si>
    <t>JOSÉ IVO SARTORI</t>
  </si>
  <si>
    <t>Farroupilha</t>
  </si>
  <si>
    <t>https://dadosabertos.camara.leg.br/api/v2/deputados/73776</t>
  </si>
  <si>
    <t>JOSÉ JANENE</t>
  </si>
  <si>
    <t>JOSÉ MOHAMED JANENE</t>
  </si>
  <si>
    <t>Santo Inácio</t>
  </si>
  <si>
    <t>https://dadosabertos.camara.leg.br/api/v2/deputados/74584</t>
  </si>
  <si>
    <t>JOSÉ MILITÃO</t>
  </si>
  <si>
    <t>JOSÉ MILITÃO COSTA</t>
  </si>
  <si>
    <t>Ibiraci</t>
  </si>
  <si>
    <t>https://dadosabertos.camara.leg.br/api/v2/deputados/74488</t>
  </si>
  <si>
    <t>JOSÉ RAJÃO</t>
  </si>
  <si>
    <t>JOSÉ RAJÃO FILHO</t>
  </si>
  <si>
    <t>https://dadosabertos.camara.leg.br/api/v2/deputados/74287</t>
  </si>
  <si>
    <t>JOSÉ ROBERTO ARRUDA</t>
  </si>
  <si>
    <t>https://dadosabertos.camara.leg.br/api/v2/deputados/74520</t>
  </si>
  <si>
    <t>JOSÉ THOMAZ NONÔ</t>
  </si>
  <si>
    <t>JOSÉ THOMAZ DA SILVA NONÔ NETTO</t>
  </si>
  <si>
    <t>https://dadosabertos.camara.leg.br/api/v2/deputados/74176</t>
  </si>
  <si>
    <t>JOSIAS QUINTAL</t>
  </si>
  <si>
    <t>JOSIAS QUINTAL DE OLIVEIRA</t>
  </si>
  <si>
    <t>Santo Antônio de Pádua</t>
  </si>
  <si>
    <t>https://dadosabertos.camara.leg.br/api/v2/deputados/74276</t>
  </si>
  <si>
    <t>JOVINO CÂNDIDO</t>
  </si>
  <si>
    <t>JOVINO CÂNDIDO DA SILVA</t>
  </si>
  <si>
    <t>Florínia</t>
  </si>
  <si>
    <t>https://dadosabertos.camara.leg.br/api/v2/deputados/74252</t>
  </si>
  <si>
    <t>JUÍZA DENISE FROSSARD</t>
  </si>
  <si>
    <t>DENISE FROSSARD LOSCHI</t>
  </si>
  <si>
    <t>Carangola</t>
  </si>
  <si>
    <t>https://dadosabertos.camara.leg.br/api/v2/deputados/73942</t>
  </si>
  <si>
    <t>JÚNIOR BETÃO</t>
  </si>
  <si>
    <t>EDILBERTO AFONSO DE MORAIS JÚNIOR</t>
  </si>
  <si>
    <t>https://dadosabertos.camara.leg.br/api/v2/deputados/74493</t>
  </si>
  <si>
    <t>JURANDIR BOIA</t>
  </si>
  <si>
    <t>JURANDIR BOIA ROCHA</t>
  </si>
  <si>
    <t>https://dadosabertos.camara.leg.br/api/v2/deputados/73592</t>
  </si>
  <si>
    <t>KÁTIA ABREU</t>
  </si>
  <si>
    <t>KÁTIA REGINA DE ABREU</t>
  </si>
  <si>
    <t>https://dadosabertos.camara.leg.br/api/v2/deputados/74396</t>
  </si>
  <si>
    <t>KELLY MORAES</t>
  </si>
  <si>
    <t>NEIVA TEREZINHA MARQUES</t>
  </si>
  <si>
    <t>https://dadosabertos.camara.leg.br/api/v2/deputados/74463</t>
  </si>
  <si>
    <t>LAVOISIER MAIA</t>
  </si>
  <si>
    <t>LAVOISIER MAIA SOBRINHO</t>
  </si>
  <si>
    <t>https://dadosabertos.camara.leg.br/api/v2/deputados/73473</t>
  </si>
  <si>
    <t>LEODEGAR TISCOSKI</t>
  </si>
  <si>
    <t>LEODEGAR DA CUNHA TISCOSKI</t>
  </si>
  <si>
    <t>Sombrio</t>
  </si>
  <si>
    <t>https://dadosabertos.camara.leg.br/api/v2/deputados/74155</t>
  </si>
  <si>
    <t>LEONARDO MATTOS</t>
  </si>
  <si>
    <t>LEONARDO JOSÉ DE MATTOS</t>
  </si>
  <si>
    <t>https://dadosabertos.camara.leg.br/api/v2/deputados/74800</t>
  </si>
  <si>
    <t>LINO ROSSI</t>
  </si>
  <si>
    <t>LAUDNIR LINO ROSSI</t>
  </si>
  <si>
    <t>Astorga</t>
  </si>
  <si>
    <t>https://dadosabertos.camara.leg.br/api/v2/deputados/65987</t>
  </si>
  <si>
    <t>LÚCIA BRAGA</t>
  </si>
  <si>
    <t>ANTONIA LÚCIA NAVARRO BRAGA</t>
  </si>
  <si>
    <t>https://dadosabertos.camara.leg.br/api/v2/deputados/74028</t>
  </si>
  <si>
    <t>LUCIANO LEITOA</t>
  </si>
  <si>
    <t>LUCIANO FERREIRA DE SOUSA</t>
  </si>
  <si>
    <t>https://dadosabertos.camara.leg.br/api/v2/deputados/73545</t>
  </si>
  <si>
    <t>LUCIANO ZICA</t>
  </si>
  <si>
    <t>EUSTÁQUIO LUCIANO ZICA</t>
  </si>
  <si>
    <t>Biquinhas</t>
  </si>
  <si>
    <t>https://dadosabertos.camara.leg.br/api/v2/deputados/73546</t>
  </si>
  <si>
    <t>LUIZ CARLOS SANTOS</t>
  </si>
  <si>
    <t>LUIZ CARLOS DOS SANTOS</t>
  </si>
  <si>
    <t>Araxá</t>
  </si>
  <si>
    <t>https://dadosabertos.camara.leg.br/api/v2/deputados/74521</t>
  </si>
  <si>
    <t>LUIZ DANTAS</t>
  </si>
  <si>
    <t>LUIZ DANTAS LIMA</t>
  </si>
  <si>
    <t>https://dadosabertos.camara.leg.br/api/v2/deputados/74137</t>
  </si>
  <si>
    <t>LUIZ EDUARDO GREENHALGH</t>
  </si>
  <si>
    <t>LUIZ EDUARDO RODRIGUES GREENHALGH</t>
  </si>
  <si>
    <t>https://dadosabertos.camara.leg.br/api/v2/deputados/74427</t>
  </si>
  <si>
    <t>LUIZ PIAUHYLINO</t>
  </si>
  <si>
    <t>LUIZ PIAUHYLINO DE MELLO MONTEIRO</t>
  </si>
  <si>
    <t>https://dadosabertos.camara.leg.br/api/v2/deputados/141337</t>
  </si>
  <si>
    <t>LUIZ ROCHA FILHO</t>
  </si>
  <si>
    <t>https://dadosabertos.camara.leg.br/api/v2/deputados/74486</t>
  </si>
  <si>
    <t>LUIZ ROGERIO</t>
  </si>
  <si>
    <t>LUIZ ROGERIO GONÇALVES MAGALHÃES</t>
  </si>
  <si>
    <t>https://dadosabertos.camara.leg.br/api/v2/deputados/74288</t>
  </si>
  <si>
    <t>MANINHA</t>
  </si>
  <si>
    <t>MARIA JOSÉ DA CONCEIÇÃO MANINHA</t>
  </si>
  <si>
    <t>Januária</t>
  </si>
  <si>
    <t>https://dadosabertos.camara.leg.br/api/v2/deputados/74164</t>
  </si>
  <si>
    <t>MARCELINO FRAGA</t>
  </si>
  <si>
    <t>MARCELINO AYUB FRAGA</t>
  </si>
  <si>
    <t>https://dadosabertos.camara.leg.br/api/v2/deputados/74157</t>
  </si>
  <si>
    <t>MARCELLO SIQUEIRA</t>
  </si>
  <si>
    <t>MARCELLO LIGNANI SIQUEIRA</t>
  </si>
  <si>
    <t>https://dadosabertos.camara.leg.br/api/v2/deputados/73548</t>
  </si>
  <si>
    <t>MARCELO BARBIERI</t>
  </si>
  <si>
    <t>MARCELO FORTES BARBIERI</t>
  </si>
  <si>
    <t>Araraquara</t>
  </si>
  <si>
    <t>https://dadosabertos.camara.leg.br/api/v2/deputados/74860</t>
  </si>
  <si>
    <t>MÁRCIO FORTES</t>
  </si>
  <si>
    <t>MÁRCIO JOÃO DE ANDRADE FORTES</t>
  </si>
  <si>
    <t>https://dadosabertos.camara.leg.br/api/v2/deputados/74279</t>
  </si>
  <si>
    <t>MARCOS ABRAMO</t>
  </si>
  <si>
    <t>MARCOS ROBERTO ABRAMO</t>
  </si>
  <si>
    <t>https://dadosabertos.camara.leg.br/api/v2/deputados/74479</t>
  </si>
  <si>
    <t>MARCOS DE JESUS</t>
  </si>
  <si>
    <t>MARCOS ANTÔNIO DE BARROS</t>
  </si>
  <si>
    <t>https://dadosabertos.camara.leg.br/api/v2/deputados/74255</t>
  </si>
  <si>
    <t>MARIA LUCIA</t>
  </si>
  <si>
    <t>MARIA LUCIA NETTO DOS SANTOS</t>
  </si>
  <si>
    <t>https://dadosabertos.camara.leg.br/api/v2/deputados/74485</t>
  </si>
  <si>
    <t>MARIÂNGELA DUARTE</t>
  </si>
  <si>
    <t>MARIÂNGELA DE ARAÚJO GAMA DUARTE</t>
  </si>
  <si>
    <t>https://dadosabertos.camara.leg.br/api/v2/deputados/74329</t>
  </si>
  <si>
    <t>MÁRIO ASSAD JÚNIOR</t>
  </si>
  <si>
    <t>https://dadosabertos.camara.leg.br/api/v2/deputados/73947</t>
  </si>
  <si>
    <t>MAURÍCIO RABELO</t>
  </si>
  <si>
    <t>JOSÉ MAURÍCIO RABELO</t>
  </si>
  <si>
    <t>https://dadosabertos.camara.leg.br/api/v2/deputados/74389</t>
  </si>
  <si>
    <t>MAURO PASSOS</t>
  </si>
  <si>
    <t>MAURO GUIMARÃES PASSOS</t>
  </si>
  <si>
    <t>https://dadosabertos.camara.leg.br/api/v2/deputados/74786</t>
  </si>
  <si>
    <t>MEDEIROS</t>
  </si>
  <si>
    <t>LUIZ ANTONIO DE MEDEIROS NETO</t>
  </si>
  <si>
    <t>https://dadosabertos.camara.leg.br/api/v2/deputados/65511</t>
  </si>
  <si>
    <t>MIGUEL ARRAES</t>
  </si>
  <si>
    <t>MIGUEL ARRAES DE ALENCAR</t>
  </si>
  <si>
    <t>Araripe</t>
  </si>
  <si>
    <t>https://dadosabertos.camara.leg.br/api/v2/deputados/73939</t>
  </si>
  <si>
    <t>MIGUEL DE SOUZA</t>
  </si>
  <si>
    <t>Cubati</t>
  </si>
  <si>
    <t>https://dadosabertos.camara.leg.br/api/v2/deputados/74483</t>
  </si>
  <si>
    <t>MILTON CARDIAS</t>
  </si>
  <si>
    <t>ANTÔNIO MILTON CARDIAS</t>
  </si>
  <si>
    <t>https://dadosabertos.camara.leg.br/api/v2/deputados/74690</t>
  </si>
  <si>
    <t>MIRIAM REID</t>
  </si>
  <si>
    <t>MIRIAM SANTOS MANCEBO REID</t>
  </si>
  <si>
    <t>https://dadosabertos.camara.leg.br/api/v2/deputados/73984</t>
  </si>
  <si>
    <t>MOISÉS LIPNIK</t>
  </si>
  <si>
    <t>MOISÉS SRAGOVICZ LIPNIK</t>
  </si>
  <si>
    <t>Cali</t>
  </si>
  <si>
    <t>https://dadosabertos.camara.leg.br/api/v2/deputados/74034</t>
  </si>
  <si>
    <t>MORAES SOUZA</t>
  </si>
  <si>
    <t>ANTONIO JOSÉ DE MORAES SOUZA</t>
  </si>
  <si>
    <t>https://dadosabertos.camara.leg.br/api/v2/deputados/74863</t>
  </si>
  <si>
    <t>MOREIRA FRANCO</t>
  </si>
  <si>
    <t>WELLINGTON MOREIRA FRANCO</t>
  </si>
  <si>
    <t>https://dadosabertos.camara.leg.br/api/v2/deputados/74464</t>
  </si>
  <si>
    <t>MÚCIO SÁ</t>
  </si>
  <si>
    <t>MÚCIO GURGEL DE SÁ</t>
  </si>
  <si>
    <t>https://dadosabertos.camara.leg.br/api/v2/deputados/74375</t>
  </si>
  <si>
    <t>MURILO ZAUITH</t>
  </si>
  <si>
    <t>https://dadosabertos.camara.leg.br/api/v2/deputados/73499</t>
  </si>
  <si>
    <t>NARCISO MENDES</t>
  </si>
  <si>
    <t>NARCISO MENDES DE ASSIS</t>
  </si>
  <si>
    <t>Patu</t>
  </si>
  <si>
    <t>https://dadosabertos.camara.leg.br/api/v2/deputados/74225</t>
  </si>
  <si>
    <t>NEIVA MOREIRA</t>
  </si>
  <si>
    <t>JOSÉ GUIMARÃES NEIVA MOREIRA</t>
  </si>
  <si>
    <t>https://dadosabertos.camara.leg.br/api/v2/deputados/74790</t>
  </si>
  <si>
    <t>NEUTON LIMA</t>
  </si>
  <si>
    <t>RUBENEUTON OLIVEIRA LIMA</t>
  </si>
  <si>
    <t>https://dadosabertos.camara.leg.br/api/v2/deputados/74327</t>
  </si>
  <si>
    <t>NEY LOPES</t>
  </si>
  <si>
    <t>NEY LOPES DE SOUZA</t>
  </si>
  <si>
    <t>https://dadosabertos.camara.leg.br/api/v2/deputados/74369</t>
  </si>
  <si>
    <t>NEYDE APARECIDA</t>
  </si>
  <si>
    <t>NEYDE APARECIDA DA SILVA</t>
  </si>
  <si>
    <t>Quirinópolis</t>
  </si>
  <si>
    <t>https://dadosabertos.camara.leg.br/api/v2/deputados/74080</t>
  </si>
  <si>
    <t>NICIAS RIBEIRO</t>
  </si>
  <si>
    <t>NICIAS LOPES RIBEIRO</t>
  </si>
  <si>
    <t>https://dadosabertos.camara.leg.br/api/v2/deputados/74776</t>
  </si>
  <si>
    <t>NILTON BAIANO</t>
  </si>
  <si>
    <t>NILTON GOMES OLIVEIRA</t>
  </si>
  <si>
    <t>https://dadosabertos.camara.leg.br/api/v2/deputados/73684</t>
  </si>
  <si>
    <t>ORLANDO DESCONSI</t>
  </si>
  <si>
    <t>Horizontina</t>
  </si>
  <si>
    <t>https://dadosabertos.camara.leg.br/api/v2/deputados/73603</t>
  </si>
  <si>
    <t>ORLANDO FANTAZZINI</t>
  </si>
  <si>
    <t>ORLANDO FANTAZZINI NETO</t>
  </si>
  <si>
    <t>https://dadosabertos.camara.leg.br/api/v2/deputados/74753</t>
  </si>
  <si>
    <t>OSMÂNIO PEREIRA</t>
  </si>
  <si>
    <t>OSMÂNIO PEREIRA DE OLIVEIRA</t>
  </si>
  <si>
    <t>Pedra Azul</t>
  </si>
  <si>
    <t>https://dadosabertos.camara.leg.br/api/v2/deputados/74444</t>
  </si>
  <si>
    <t>PASTOR AMARILDO</t>
  </si>
  <si>
    <t>AMARILDO MARTINS DA SILVA</t>
  </si>
  <si>
    <t>Hidrolândia</t>
  </si>
  <si>
    <t>https://dadosabertos.camara.leg.br/api/v2/deputados/74046</t>
  </si>
  <si>
    <t>PASTOR FRANCISCO OLÍMPIO</t>
  </si>
  <si>
    <t>FRANCISCO OLÍMPIO DA SILVA</t>
  </si>
  <si>
    <t>São Bento do Norte</t>
  </si>
  <si>
    <t>https://dadosabertos.camara.leg.br/api/v2/deputados/62926</t>
  </si>
  <si>
    <t>PASTOR REINALDO</t>
  </si>
  <si>
    <t>REINALDO SANTOS E SILVA</t>
  </si>
  <si>
    <t>Miracema</t>
  </si>
  <si>
    <t>https://dadosabertos.camara.leg.br/api/v2/deputados/74390</t>
  </si>
  <si>
    <t>PAULO AFONSO</t>
  </si>
  <si>
    <t>PAULO AFONSO EVANGELISTA VIEIRA</t>
  </si>
  <si>
    <t>https://dadosabertos.camara.leg.br/api/v2/deputados/74692</t>
  </si>
  <si>
    <t>PAULO BALTAZAR</t>
  </si>
  <si>
    <t>PAULO CÉSAR BALTAZAR DA NÓBREGA</t>
  </si>
  <si>
    <t>https://dadosabertos.camara.leg.br/api/v2/deputados/73784</t>
  </si>
  <si>
    <t>PAULO BERNARDO</t>
  </si>
  <si>
    <t>PAULO BERNARDO SILVA</t>
  </si>
  <si>
    <t>https://dadosabertos.camara.leg.br/api/v2/deputados/73485</t>
  </si>
  <si>
    <t>PAULO GOUVÊA</t>
  </si>
  <si>
    <t>PAULO JOSÉ GOUVÊA</t>
  </si>
  <si>
    <t>https://dadosabertos.camara.leg.br/api/v2/deputados/74791</t>
  </si>
  <si>
    <t>PAULO KOBAYASHI</t>
  </si>
  <si>
    <t>PAULO SEITI KOBAYASHI</t>
  </si>
  <si>
    <t>https://dadosabertos.camara.leg.br/api/v2/deputados/74448</t>
  </si>
  <si>
    <t>PAULO MARINHO</t>
  </si>
  <si>
    <t>PAULO CELSO FONSECA MARINHO</t>
  </si>
  <si>
    <t>https://dadosabertos.camara.leg.br/api/v2/deputados/73672</t>
  </si>
  <si>
    <t>PEDRO CANEDO</t>
  </si>
  <si>
    <t>PEDRO CHAVES CANEDO</t>
  </si>
  <si>
    <t>https://dadosabertos.camara.leg.br/api/v2/deputados/74431</t>
  </si>
  <si>
    <t>PEDRO CORRÊA</t>
  </si>
  <si>
    <t>PEDRO DA SILVA CORRÊA DE OLIVEIRA ANDRADE NETO</t>
  </si>
  <si>
    <t>https://dadosabertos.camara.leg.br/api/v2/deputados/74637</t>
  </si>
  <si>
    <t>PEDRO IRUJO</t>
  </si>
  <si>
    <t>PEDRO IRUJO YANIZ</t>
  </si>
  <si>
    <t>Pamplona</t>
  </si>
  <si>
    <t>https://dadosabertos.camara.leg.br/api/v2/deputados/73455</t>
  </si>
  <si>
    <t>PEDRO PEDROSSIAN</t>
  </si>
  <si>
    <t>PEDRO PEDROSSIAN FILHO</t>
  </si>
  <si>
    <t>https://dadosabertos.camara.leg.br/api/v2/deputados/74756</t>
  </si>
  <si>
    <t>PHILEMON RODRIGUES</t>
  </si>
  <si>
    <t>PHILEMON RODRIGUES DA SILVA</t>
  </si>
  <si>
    <t>Mamanguape</t>
  </si>
  <si>
    <t>https://dadosabertos.camara.leg.br/api/v2/deputados/74304</t>
  </si>
  <si>
    <t>PINHEIRO LANDIM</t>
  </si>
  <si>
    <t>FRANCISCO PINHEIRO LANDIM</t>
  </si>
  <si>
    <t>https://dadosabertos.camara.leg.br/api/v2/deputados/74280</t>
  </si>
  <si>
    <t>PROFESSOR IRAPUAN TEIXEIRA</t>
  </si>
  <si>
    <t>IRAPUAN TEIXEIRA</t>
  </si>
  <si>
    <t>https://dadosabertos.camara.leg.br/api/v2/deputados/74792</t>
  </si>
  <si>
    <t>PROFESSOR LUIZINHO</t>
  </si>
  <si>
    <t>LUIZ CARLOS DA SILVA</t>
  </si>
  <si>
    <t>https://dadosabertos.camara.leg.br/api/v2/deputados/74035</t>
  </si>
  <si>
    <t>PROMOTOR AFONSO GIL</t>
  </si>
  <si>
    <t>AFONSO GIL CASTELO BRANCO</t>
  </si>
  <si>
    <t>https://dadosabertos.camara.leg.br/api/v2/deputados/73574</t>
  </si>
  <si>
    <t>REGINALDO GERMANO</t>
  </si>
  <si>
    <t>REGINALDO DA SILVA GERMANO</t>
  </si>
  <si>
    <t>https://dadosabertos.camara.leg.br/api/v2/deputados/74256</t>
  </si>
  <si>
    <t>REINALDO BETÃO</t>
  </si>
  <si>
    <t>REINALDO PEREIRA PINTO</t>
  </si>
  <si>
    <t>https://dadosabertos.camara.leg.br/api/v2/deputados/73693</t>
  </si>
  <si>
    <t>REINALDO GRIPP</t>
  </si>
  <si>
    <t>REINALDO GRIPP LOPES</t>
  </si>
  <si>
    <t>https://dadosabertos.camara.leg.br/api/v2/deputados/74208</t>
  </si>
  <si>
    <t>REMI TRINTA</t>
  </si>
  <si>
    <t>REMI ABREU TRINTA</t>
  </si>
  <si>
    <t>São Bento</t>
  </si>
  <si>
    <t>https://dadosabertos.camara.leg.br/api/v2/deputados/74166</t>
  </si>
  <si>
    <t>RENATO CASAGRANDE</t>
  </si>
  <si>
    <t>JOSÉ RENATO CASAGRANDE</t>
  </si>
  <si>
    <t>Castelo</t>
  </si>
  <si>
    <t>https://dadosabertos.camara.leg.br/api/v2/deputados/74557</t>
  </si>
  <si>
    <t>RICARDO FIUZA</t>
  </si>
  <si>
    <t>RICARDO FERREIRA FIUZA</t>
  </si>
  <si>
    <t>https://dadosabertos.camara.leg.br/api/v2/deputados/74023</t>
  </si>
  <si>
    <t>RICARDO RIQUE</t>
  </si>
  <si>
    <t>RICARDO FEITOSA RIQUE</t>
  </si>
  <si>
    <t>https://dadosabertos.camara.leg.br/api/v2/deputados/140241</t>
  </si>
  <si>
    <t>RICARDO SANTOS</t>
  </si>
  <si>
    <t>RICARDO FERREIRA DOS SANTOS</t>
  </si>
  <si>
    <t>https://dadosabertos.camara.leg.br/api/v2/deputados/64224</t>
  </si>
  <si>
    <t>ROBÉRIO NUNES</t>
  </si>
  <si>
    <t>ROBÉRIO CÁSSIO RIBEIRO NUNES</t>
  </si>
  <si>
    <t>Macaúbas</t>
  </si>
  <si>
    <t>https://dadosabertos.camara.leg.br/api/v2/deputados/74758</t>
  </si>
  <si>
    <t>ROBERTO BRANT</t>
  </si>
  <si>
    <t>ROBERTO LÚCIO ROCHA BRANT</t>
  </si>
  <si>
    <t>https://dadosabertos.camara.leg.br/api/v2/deputados/74281</t>
  </si>
  <si>
    <t>ROBERTO GOUVEIA</t>
  </si>
  <si>
    <t>ROBERTO GOUVEIA NASCIMENTO</t>
  </si>
  <si>
    <t>https://dadosabertos.camara.leg.br/api/v2/deputados/73420</t>
  </si>
  <si>
    <t>ROBERTO JEFFERSON</t>
  </si>
  <si>
    <t>ROBERTO JEFFERSON MONTEIRO FRANCISCO</t>
  </si>
  <si>
    <t>https://dadosabertos.camara.leg.br/api/v2/deputados/74051</t>
  </si>
  <si>
    <t>ROGÉRIO TEÓFILO</t>
  </si>
  <si>
    <t>ROGÉRIO AUTO TEÓFILO</t>
  </si>
  <si>
    <t>https://dadosabertos.camara.leg.br/api/v2/deputados/74640</t>
  </si>
  <si>
    <t>ROLAND LAVIGNE</t>
  </si>
  <si>
    <t>ROLAND LAVIGNE DO NASCIMENTO</t>
  </si>
  <si>
    <t>Una</t>
  </si>
  <si>
    <t>https://dadosabertos.camara.leg.br/api/v2/deputados/74759</t>
  </si>
  <si>
    <t>ROMEL ANIZIO</t>
  </si>
  <si>
    <t>ROMEL ANÍZIO JORGE</t>
  </si>
  <si>
    <t>https://dadosabertos.camara.leg.br/api/v2/deputados/74591</t>
  </si>
  <si>
    <t>ROMEU QUEIROZ</t>
  </si>
  <si>
    <t>ROMEU FERREIRA DE QUEIROZ</t>
  </si>
  <si>
    <t>https://dadosabertos.camara.leg.br/api/v2/deputados/74306</t>
  </si>
  <si>
    <t>ROMMEL FEIJÓ</t>
  </si>
  <si>
    <t>FRANCISCO ROMMEL FEIJÓ DE SÁ</t>
  </si>
  <si>
    <t>https://dadosabertos.camara.leg.br/api/v2/deputados/73421</t>
  </si>
  <si>
    <t>RONALDO CEZAR COELHO</t>
  </si>
  <si>
    <t>https://dadosabertos.camara.leg.br/api/v2/deputados/73948</t>
  </si>
  <si>
    <t>RONALDO DIMAS</t>
  </si>
  <si>
    <t>RONALDO DIMAS NOGUEIRA PEREIRA</t>
  </si>
  <si>
    <t>https://dadosabertos.camara.leg.br/api/v2/deputados/74592</t>
  </si>
  <si>
    <t>RONALDO VASCONCELLOS</t>
  </si>
  <si>
    <t>RONALDO VASCONCELLOS NOVAIS</t>
  </si>
  <si>
    <t>https://dadosabertos.camara.leg.br/api/v2/deputados/74184</t>
  </si>
  <si>
    <t>RONIVON SANTIAGO</t>
  </si>
  <si>
    <t>JOSÉ EDIMAR RONIVON SANTIAGO DE MELO</t>
  </si>
  <si>
    <t>https://dadosabertos.camara.leg.br/api/v2/deputados/74482</t>
  </si>
  <si>
    <t>RUBINELLI</t>
  </si>
  <si>
    <t>WAGNER RUBINELLI</t>
  </si>
  <si>
    <t>https://dadosabertos.camara.leg.br/api/v2/deputados/74434</t>
  </si>
  <si>
    <t>SALATIEL CARVALHO</t>
  </si>
  <si>
    <t>SALATIEL SOUZA CARVALHO</t>
  </si>
  <si>
    <t>https://dadosabertos.camara.leg.br/api/v2/deputados/74403</t>
  </si>
  <si>
    <t>SELMA SCHONS</t>
  </si>
  <si>
    <t>SELMA MARIA SCHONS</t>
  </si>
  <si>
    <t>Campo Novo</t>
  </si>
  <si>
    <t>https://dadosabertos.camara.leg.br/api/v2/deputados/73885</t>
  </si>
  <si>
    <t>SERAFIM VENZON</t>
  </si>
  <si>
    <t>ANTONIO SERAFIM VENZON</t>
  </si>
  <si>
    <t>Botuverá</t>
  </si>
  <si>
    <t>https://dadosabertos.camara.leg.br/api/v2/deputados/74497</t>
  </si>
  <si>
    <t>SÉRGIO CAIADO</t>
  </si>
  <si>
    <t>SÉRGIO RAMOS CAIADO</t>
  </si>
  <si>
    <t>https://dadosabertos.camara.leg.br/api/v2/deputados/74360</t>
  </si>
  <si>
    <t>SÉRGIO CARVALHO</t>
  </si>
  <si>
    <t>SÉRGIO SIQUEIRA DE CARVALHO</t>
  </si>
  <si>
    <t>https://dadosabertos.camara.leg.br/api/v2/deputados/74763</t>
  </si>
  <si>
    <t>SÉRGIO MIRANDA</t>
  </si>
  <si>
    <t>SÉRGIO MIRANDA DE MATOS BRITO</t>
  </si>
  <si>
    <t>https://dadosabertos.camara.leg.br/api/v2/deputados/74436</t>
  </si>
  <si>
    <t>SEVERINO CAVALCANTI</t>
  </si>
  <si>
    <t>SEVERINO JOSÉ CAVALCANTI FERREIRA</t>
  </si>
  <si>
    <t>João Alfredo</t>
  </si>
  <si>
    <t>https://dadosabertos.camara.leg.br/api/v2/deputados/73718</t>
  </si>
  <si>
    <t>SIGMARINGA SEIXAS</t>
  </si>
  <si>
    <t>LUIZ CARLOS SIGMARINGA SEIXAS</t>
  </si>
  <si>
    <t>https://dadosabertos.camara.leg.br/api/v2/deputados/74492</t>
  </si>
  <si>
    <t>SIMPLÍCIO MÁRIO</t>
  </si>
  <si>
    <t>SIMPLÍCIO MÁRIO DE OLIVEIRA</t>
  </si>
  <si>
    <t>https://dadosabertos.camara.leg.br/api/v2/deputados/74085</t>
  </si>
  <si>
    <t>SOCORRO GOMES</t>
  </si>
  <si>
    <t>MARIA DO SOCORRO GOMES COELHO</t>
  </si>
  <si>
    <t>https://dadosabertos.camara.leg.br/api/v2/deputados/73922</t>
  </si>
  <si>
    <t>SUELY CAMPOS</t>
  </si>
  <si>
    <t>MARIA SUELY SILVA CAMPOS</t>
  </si>
  <si>
    <t>https://dadosabertos.camara.leg.br/api/v2/deputados/74029</t>
  </si>
  <si>
    <t>TEREZINHA FERNANDES</t>
  </si>
  <si>
    <t>TEREZINHA DAS NEVES PEREIRA</t>
  </si>
  <si>
    <t>Barreirinhas</t>
  </si>
  <si>
    <t>https://dadosabertos.camara.leg.br/api/v2/deputados/73652</t>
  </si>
  <si>
    <t>TETÉ BEZERRA</t>
  </si>
  <si>
    <t>APARECIDA MARIA BORGES BEZERRA</t>
  </si>
  <si>
    <t>Pirajuí</t>
  </si>
  <si>
    <t>https://dadosabertos.camara.leg.br/api/v2/deputados/134116</t>
  </si>
  <si>
    <t>THAÍS BARBOSA</t>
  </si>
  <si>
    <t>THAIS BERGO DUARTE BARBOSA</t>
  </si>
  <si>
    <t>https://dadosabertos.camara.leg.br/api/v2/deputados/74494</t>
  </si>
  <si>
    <t>VADINHO BAIÃO</t>
  </si>
  <si>
    <t>EDVALDO BAIÃO ALBINO</t>
  </si>
  <si>
    <t>https://dadosabertos.camara.leg.br/api/v2/deputados/74070</t>
  </si>
  <si>
    <t>VALDENOR GUEDES</t>
  </si>
  <si>
    <t>VALDENOR GUEDES SOARES</t>
  </si>
  <si>
    <t>https://dadosabertos.camara.leg.br/api/v2/deputados/74282</t>
  </si>
  <si>
    <t>VANDERLEI ASSIS</t>
  </si>
  <si>
    <t>VANDERLEI ASSIS DE SOUZA</t>
  </si>
  <si>
    <t>https://dadosabertos.camara.leg.br/api/v2/deputados/73566</t>
  </si>
  <si>
    <t>VICENTE CASCIONE</t>
  </si>
  <si>
    <t>VICENTE FERNANDES CASCIONE</t>
  </si>
  <si>
    <t>https://dadosabertos.camara.leg.br/api/v2/deputados/137759</t>
  </si>
  <si>
    <t>VICENTE CHELOTTI</t>
  </si>
  <si>
    <t>https://dadosabertos.camara.leg.br/api/v2/deputados/74259</t>
  </si>
  <si>
    <t>VIEIRA REIS</t>
  </si>
  <si>
    <t>JAILDO VIEIRA REIS</t>
  </si>
  <si>
    <t>Camacan</t>
  </si>
  <si>
    <t>https://dadosabertos.camara.leg.br/api/v2/deputados/134893</t>
  </si>
  <si>
    <t>VITORASSI</t>
  </si>
  <si>
    <t>DILTO VITORASSI</t>
  </si>
  <si>
    <t>https://dadosabertos.camara.leg.br/api/v2/deputados/74768</t>
  </si>
  <si>
    <t>VITTORIO MEDIOLI</t>
  </si>
  <si>
    <t>Parma</t>
  </si>
  <si>
    <t>https://dadosabertos.camara.leg.br/api/v2/deputados/65551</t>
  </si>
  <si>
    <t>WAGNER LAGO</t>
  </si>
  <si>
    <t>RICARDO WAGNER DE CARVALHO LAGO</t>
  </si>
  <si>
    <t>Pedreiras</t>
  </si>
  <si>
    <t>https://dadosabertos.camara.leg.br/api/v2/deputados/133370</t>
  </si>
  <si>
    <t>WALTER BARELLI</t>
  </si>
  <si>
    <t>https://dadosabertos.camara.leg.br/api/v2/deputados/74702</t>
  </si>
  <si>
    <t>WANDERVAL SANTOS</t>
  </si>
  <si>
    <t>VANDERVAL LIMA DOS SANTOS</t>
  </si>
  <si>
    <t>https://dadosabertos.camara.leg.br/api/v2/deputados/74481</t>
  </si>
  <si>
    <t>WASNY DE ROURE</t>
  </si>
  <si>
    <t>WASNY NAKLE DE ROURE</t>
  </si>
  <si>
    <t>https://dadosabertos.camara.leg.br/api/v2/deputados/73991</t>
  </si>
  <si>
    <t>WILSON CIGNACHI</t>
  </si>
  <si>
    <t>WILSON JOÃO CIGNACHI</t>
  </si>
  <si>
    <t>https://dadosabertos.camara.leg.br/api/v2/deputados/74801</t>
  </si>
  <si>
    <t>WILSON SANTOS</t>
  </si>
  <si>
    <t>WILSON PEREIRA DOS SANTOS</t>
  </si>
  <si>
    <t>https://dadosabertos.camara.leg.br/api/v2/deputados/74797</t>
  </si>
  <si>
    <t>XICO GRAZIANO</t>
  </si>
  <si>
    <t>FRANCISCO GRAZIANO NETO</t>
  </si>
  <si>
    <t>Araras</t>
  </si>
  <si>
    <t>https://dadosabertos.camara.leg.br/api/v2/deputados/74496</t>
  </si>
  <si>
    <t>ZARATTINI</t>
  </si>
  <si>
    <t>RICARDO ZARATTINI FILHO</t>
  </si>
  <si>
    <t>https://dadosabertos.camara.leg.br/api/v2/deputados/73932</t>
  </si>
  <si>
    <t>ZÉ LIMA</t>
  </si>
  <si>
    <t>JOSÉ LIMA DA SILVA</t>
  </si>
  <si>
    <t>Mirador</t>
  </si>
  <si>
    <t>https://dadosabertos.camara.leg.br/api/v2/deputados/74144</t>
  </si>
  <si>
    <t>ZELINDA NOVAES</t>
  </si>
  <si>
    <t>ZELINDA NOVAES E SILVA JARSKE</t>
  </si>
  <si>
    <t>https://dadosabertos.camara.leg.br/api/v2/deputados/73944</t>
  </si>
  <si>
    <t>ZICO BRONZEADO</t>
  </si>
  <si>
    <t>JOÃO ANTONIO RODRIGUES BRONZEADO</t>
  </si>
  <si>
    <t>Brasiléia</t>
  </si>
  <si>
    <t>https://dadosabertos.camara.leg.br/api/v2/deputados/73645</t>
  </si>
  <si>
    <t>ZULAIÊ COBRA</t>
  </si>
  <si>
    <t>ZULAIÊ COBRA RIBEIRO</t>
  </si>
  <si>
    <t>https://dadosabertos.camara.leg.br/api/v2/deputados/74524</t>
  </si>
  <si>
    <t>ADELSON RIBEIRO</t>
  </si>
  <si>
    <t>ADELSON ROSENDO LIMA RIBEIRO</t>
  </si>
  <si>
    <t>https://dadosabertos.camara.leg.br/api/v2/deputados/74645</t>
  </si>
  <si>
    <t>ADEMIR LUCAS</t>
  </si>
  <si>
    <t>ADEMIR LUCAS GOMES</t>
  </si>
  <si>
    <t>https://dadosabertos.camara.leg.br/api/v2/deputados/74450</t>
  </si>
  <si>
    <t>ADOLFO MARINHO</t>
  </si>
  <si>
    <t>ADOLFO DE MARINHO PONTES</t>
  </si>
  <si>
    <t>https://dadosabertos.camara.leg.br/api/v2/deputados/73996</t>
  </si>
  <si>
    <t>ADROALDO STRECK</t>
  </si>
  <si>
    <t>ADROALDO MARLY STRECK</t>
  </si>
  <si>
    <t>https://dadosabertos.camara.leg.br/api/v2/deputados/74340</t>
  </si>
  <si>
    <t>AIRTON CASCAVEL</t>
  </si>
  <si>
    <t>AIRTON ANTONIO SOLIGO</t>
  </si>
  <si>
    <t>https://dadosabertos.camara.leg.br/api/v2/deputados/73888</t>
  </si>
  <si>
    <t>AIRTON DIPP</t>
  </si>
  <si>
    <t>AIRTON LANGARO DIPP</t>
  </si>
  <si>
    <t>https://dadosabertos.camara.leg.br/api/v2/deputados/74440</t>
  </si>
  <si>
    <t>ALBÉRICO CORDEIRO</t>
  </si>
  <si>
    <t>ALBÉRICO CORDEIRO DA SILVA</t>
  </si>
  <si>
    <t>Pilar</t>
  </si>
  <si>
    <t>https://dadosabertos.camara.leg.br/api/v2/deputados/74014</t>
  </si>
  <si>
    <t>ALCIONE ATHAYDE</t>
  </si>
  <si>
    <t>ALCIONE MARIA MELLO DE OLIVEIRA ATHAYDE</t>
  </si>
  <si>
    <t>https://dadosabertos.camara.leg.br/api/v2/deputados/73662</t>
  </si>
  <si>
    <t>ALDO ARANTES</t>
  </si>
  <si>
    <t>ALDO SILVA ARANTES</t>
  </si>
  <si>
    <t>https://dadosabertos.camara.leg.br/api/v2/deputados/74697</t>
  </si>
  <si>
    <t>ALOIZIO MERCADANTE</t>
  </si>
  <si>
    <t>ALOIZIO MERCADANTE OLIVA</t>
  </si>
  <si>
    <t>https://dadosabertos.camara.leg.br/api/v2/deputados/73581</t>
  </si>
  <si>
    <t>ALOÍZIO SANTOS</t>
  </si>
  <si>
    <t>https://dadosabertos.camara.leg.br/api/v2/deputados/74404</t>
  </si>
  <si>
    <t>ALVARO GAUDENCIO NETO</t>
  </si>
  <si>
    <t>ÁLVARO GAUDÊNCIO NETO</t>
  </si>
  <si>
    <t>https://dadosabertos.camara.leg.br/api/v2/deputados/74248</t>
  </si>
  <si>
    <t>ANA CATARINA</t>
  </si>
  <si>
    <t>ANA CATARINA LYRA ALVES</t>
  </si>
  <si>
    <t>https://dadosabertos.camara.leg.br/api/v2/deputados/73686</t>
  </si>
  <si>
    <t>ANA CORSO</t>
  </si>
  <si>
    <t>ANA MARIA CORSO</t>
  </si>
  <si>
    <t>https://dadosabertos.camara.leg.br/api/v2/deputados/74698</t>
  </si>
  <si>
    <t>ANDRÉ BENASSI</t>
  </si>
  <si>
    <t>https://dadosabertos.camara.leg.br/api/v2/deputados/73468</t>
  </si>
  <si>
    <t>ANTÔNIO CARLOS KONDER REIS</t>
  </si>
  <si>
    <t>https://dadosabertos.camara.leg.br/api/v2/deputados/74647</t>
  </si>
  <si>
    <t>ANTÔNIO DO VALLE</t>
  </si>
  <si>
    <t>ANTÔNIO DO VALLE RAMOS</t>
  </si>
  <si>
    <t>https://dadosabertos.camara.leg.br/api/v2/deputados/74415</t>
  </si>
  <si>
    <t>ANTÔNIO GERALDO</t>
  </si>
  <si>
    <t>ANTONIO GERALDO RODRIGUES DA SILVA</t>
  </si>
  <si>
    <t>https://dadosabertos.camara.leg.br/api/v2/deputados/73646</t>
  </si>
  <si>
    <t>ANTÔNIO JOAQUIM</t>
  </si>
  <si>
    <t>ANTONIO JOAQUIM MORAES RODRIGUES NETO</t>
  </si>
  <si>
    <t>https://dadosabertos.camara.leg.br/api/v2/deputados/74186</t>
  </si>
  <si>
    <t>ANTÔNIO JORGE</t>
  </si>
  <si>
    <t>ANTONIO JORGE GODINHO</t>
  </si>
  <si>
    <t>Taguatinga</t>
  </si>
  <si>
    <t>https://dadosabertos.camara.leg.br/api/v2/deputados/73589</t>
  </si>
  <si>
    <t>ANTÔNIO JOSÉ MOTA</t>
  </si>
  <si>
    <t>ANTONIO JOSÉ PORTO MOTA</t>
  </si>
  <si>
    <t>https://dadosabertos.camara.leg.br/api/v2/deputados/73432</t>
  </si>
  <si>
    <t>ANTONIO KANDIR</t>
  </si>
  <si>
    <t>https://dadosabertos.camara.leg.br/api/v2/deputados/73681</t>
  </si>
  <si>
    <t>ARISTON ANDRADE</t>
  </si>
  <si>
    <t>ARISTON CORREIA ANDRADE</t>
  </si>
  <si>
    <t>Monte Santo</t>
  </si>
  <si>
    <t>https://dadosabertos.camara.leg.br/api/v2/deputados/74217</t>
  </si>
  <si>
    <t>ARLINDO VARGAS</t>
  </si>
  <si>
    <t>ARLINDO ROSO DE VARGAS</t>
  </si>
  <si>
    <t>Formigueiro</t>
  </si>
  <si>
    <t>https://dadosabertos.camara.leg.br/api/v2/deputados/74089</t>
  </si>
  <si>
    <t>ARTHUR VIRGÍLIO</t>
  </si>
  <si>
    <t>ARTHUR VIRGÍLIO DO CARMO RIBEIRO NETO</t>
  </si>
  <si>
    <t>https://dadosabertos.camara.leg.br/api/v2/deputados/74561</t>
  </si>
  <si>
    <t>AUGUSTO FRANCO</t>
  </si>
  <si>
    <t>AUGUSTO DO PRADO FRANCO NETO</t>
  </si>
  <si>
    <t>https://dadosabertos.camara.leg.br/api/v2/deputados/74465</t>
  </si>
  <si>
    <t>AVENZOAR ARRUDA</t>
  </si>
  <si>
    <t>JOSÉ AVENZOAR ARRUDA DAS NEVES</t>
  </si>
  <si>
    <t>Bonito de Santa Fé</t>
  </si>
  <si>
    <t>https://dadosabertos.camara.leg.br/api/v2/deputados/73767</t>
  </si>
  <si>
    <t>BASÍLIO VILLANI</t>
  </si>
  <si>
    <t>Bauru</t>
  </si>
  <si>
    <t>https://dadosabertos.camara.leg.br/api/v2/deputados/74814</t>
  </si>
  <si>
    <t>BEN-HUR FERREIRA</t>
  </si>
  <si>
    <t>EURÍDIO BEN-HUR FERREIRA</t>
  </si>
  <si>
    <t>https://dadosabertos.camara.leg.br/api/v2/deputados/73479</t>
  </si>
  <si>
    <t>CAIO RIELA</t>
  </si>
  <si>
    <t>LUIZ CARLOS REPISO RIELA</t>
  </si>
  <si>
    <t>https://dadosabertos.camara.leg.br/api/v2/deputados/74834</t>
  </si>
  <si>
    <t>CANDINHO MATTOS</t>
  </si>
  <si>
    <t>CANDIDO PEREIRA MATTOS</t>
  </si>
  <si>
    <t>https://dadosabertos.camara.leg.br/api/v2/deputados/73583</t>
  </si>
  <si>
    <t>CARLOS CURY</t>
  </si>
  <si>
    <t>CARLOS JORGE CURY MANSILLA</t>
  </si>
  <si>
    <t>Costa Marques</t>
  </si>
  <si>
    <t>https://dadosabertos.camara.leg.br/api/v2/deputados/74652</t>
  </si>
  <si>
    <t>CARLOS MOSCONI</t>
  </si>
  <si>
    <t>CARLOS EDUARDO VENTURELLI MOSCONI</t>
  </si>
  <si>
    <t>Andradas</t>
  </si>
  <si>
    <t>https://dadosabertos.camara.leg.br/api/v2/deputados/74703</t>
  </si>
  <si>
    <t>CELSO GIGLIO</t>
  </si>
  <si>
    <t>CELSO ANTONIO GIGLIO</t>
  </si>
  <si>
    <t>https://dadosabertos.camara.leg.br/api/v2/deputados/74453</t>
  </si>
  <si>
    <t>CHIQUINHO FEITOSA</t>
  </si>
  <si>
    <t>FRANCISCO FEITOSA DE ALBUQUERQUE LIMA</t>
  </si>
  <si>
    <t>https://dadosabertos.camara.leg.br/api/v2/deputados/74475</t>
  </si>
  <si>
    <t>CLEMENTINO COELHO</t>
  </si>
  <si>
    <t>CLEMENTINO DE SOUZA COELHO</t>
  </si>
  <si>
    <t>https://dadosabertos.camara.leg.br/api/v2/deputados/73689</t>
  </si>
  <si>
    <t>CLOVIS ILGENFRITZ</t>
  </si>
  <si>
    <t>CLOVIS ILGENFRITZ DA SILVA</t>
  </si>
  <si>
    <t>https://dadosabertos.camara.leg.br/api/v2/deputados/73833</t>
  </si>
  <si>
    <t>CLOVIS QUEIROZ</t>
  </si>
  <si>
    <t>CLOVIS CORREA DE QUEIROZ</t>
  </si>
  <si>
    <t>https://dadosabertos.camara.leg.br/api/v2/deputados/73585</t>
  </si>
  <si>
    <t>CLOVIS VOLPI</t>
  </si>
  <si>
    <t>Rancharia</t>
  </si>
  <si>
    <t>https://dadosabertos.camara.leg.br/api/v2/deputados/74677</t>
  </si>
  <si>
    <t>CORNÉLIO RIBEIRO</t>
  </si>
  <si>
    <t>Carmo</t>
  </si>
  <si>
    <t>https://dadosabertos.camara.leg.br/api/v2/deputados/74678</t>
  </si>
  <si>
    <t>CORONEL GARCIA</t>
  </si>
  <si>
    <t>JOSÉ MAURÍCIO RODRIGUES GARCIA</t>
  </si>
  <si>
    <t>https://dadosabertos.camara.leg.br/api/v2/deputados/73832</t>
  </si>
  <si>
    <t>CRESCÊNCIO PEREIRA JR.</t>
  </si>
  <si>
    <t>LUIZ CRESCÊNCIO PEREIRA JUNIOR</t>
  </si>
  <si>
    <t>https://dadosabertos.camara.leg.br/api/v2/deputados/73443</t>
  </si>
  <si>
    <t>CUNHA BUENO</t>
  </si>
  <si>
    <t>ANTÔNIO HENRIQUE BITENCOURT CUNHA BUENO</t>
  </si>
  <si>
    <t>https://dadosabertos.camara.leg.br/api/v2/deputados/73554</t>
  </si>
  <si>
    <t>DE VELASCO</t>
  </si>
  <si>
    <t>PAULO CÉSAR MARQUES DE VELASCO</t>
  </si>
  <si>
    <t>https://dadosabertos.camara.leg.br/api/v2/deputados/74347</t>
  </si>
  <si>
    <t>DEUSDETH PANTOJA</t>
  </si>
  <si>
    <t>DEUSDETH ANTÔNIO CORREA PANTOJA</t>
  </si>
  <si>
    <t>Igarapé-Miri</t>
  </si>
  <si>
    <t>https://dadosabertos.camara.leg.br/api/v2/deputados/74679</t>
  </si>
  <si>
    <t>DINO FERNANDES</t>
  </si>
  <si>
    <t>ITANILDES ORLANDO FERNANDES</t>
  </si>
  <si>
    <t>https://dadosabertos.camara.leg.br/api/v2/deputados/73685</t>
  </si>
  <si>
    <t>DIVALDO SURUAGY</t>
  </si>
  <si>
    <t>https://dadosabertos.camara.leg.br/api/v2/deputados/74476</t>
  </si>
  <si>
    <t>DJALMA PAES</t>
  </si>
  <si>
    <t>DJALMA SOUTO MAIOR PAES JÚNIOR</t>
  </si>
  <si>
    <t>https://dadosabertos.camara.leg.br/api/v2/deputados/74188</t>
  </si>
  <si>
    <t>DOLORES NUNES</t>
  </si>
  <si>
    <t>MARIA DAS DORES BRAGA NUNES</t>
  </si>
  <si>
    <t>Natividade</t>
  </si>
  <si>
    <t>https://dadosabertos.camara.leg.br/api/v2/deputados/73828</t>
  </si>
  <si>
    <t>DR. GOMES</t>
  </si>
  <si>
    <t>FRANCISCO DO NASCIMENTO GOMES</t>
  </si>
  <si>
    <t>https://dadosabertos.camara.leg.br/api/v2/deputados/73446</t>
  </si>
  <si>
    <t>DUILIO PISANESCHI</t>
  </si>
  <si>
    <t>https://dadosabertos.camara.leg.br/api/v2/deputados/74682</t>
  </si>
  <si>
    <t>EBER SILVA</t>
  </si>
  <si>
    <t>https://dadosabertos.camara.leg.br/api/v2/deputados/73448</t>
  </si>
  <si>
    <t>EDUARDO JORGE</t>
  </si>
  <si>
    <t>EDUARDO JORGE MARTINS ALVES SOBRINHO</t>
  </si>
  <si>
    <t>https://dadosabertos.camara.leg.br/api/v2/deputados/74407</t>
  </si>
  <si>
    <t>EFRAIM MORAIS</t>
  </si>
  <si>
    <t>EFRAIM DE ARAÚJO MORAIS</t>
  </si>
  <si>
    <t>https://dadosabertos.camara.leg.br/api/v2/deputados/74656</t>
  </si>
  <si>
    <t>ELIAS MURAD</t>
  </si>
  <si>
    <t>JOSÉ ELIAS MURAD</t>
  </si>
  <si>
    <t>https://dadosabertos.camara.leg.br/api/v2/deputados/73980</t>
  </si>
  <si>
    <t>ELTON ROHNELT</t>
  </si>
  <si>
    <t>ELTON DA LUZ ROHNELT</t>
  </si>
  <si>
    <t>São Lourenço do Sul</t>
  </si>
  <si>
    <t>https://dadosabertos.camara.leg.br/api/v2/deputados/74704</t>
  </si>
  <si>
    <t>EMERSON KAPAZ</t>
  </si>
  <si>
    <t>https://dadosabertos.camara.leg.br/api/v2/deputados/73470</t>
  </si>
  <si>
    <t>ENI VOLTOLINI</t>
  </si>
  <si>
    <t>ENI JOSÉ VOLTOLINI</t>
  </si>
  <si>
    <t>Corupá</t>
  </si>
  <si>
    <t>https://dadosabertos.camara.leg.br/api/v2/deputados/74540</t>
  </si>
  <si>
    <t>ERALDO TINOCO</t>
  </si>
  <si>
    <t>ERALDO TINOCO MELO</t>
  </si>
  <si>
    <t>https://dadosabertos.camara.leg.br/api/v2/deputados/73894</t>
  </si>
  <si>
    <t>ESTHER GROSSI</t>
  </si>
  <si>
    <t>ESTHER PILLAR GROSSI</t>
  </si>
  <si>
    <t>https://dadosabertos.camara.leg.br/api/v2/deputados/74541</t>
  </si>
  <si>
    <t>EUJÁCIO SIMÕES</t>
  </si>
  <si>
    <t>EUJÁCIO SIMÕES VIANA FILHO</t>
  </si>
  <si>
    <t>https://dadosabertos.camara.leg.br/api/v2/deputados/74807</t>
  </si>
  <si>
    <t>EULER MORAIS</t>
  </si>
  <si>
    <t>EULER LAZARO DE MORAIS</t>
  </si>
  <si>
    <t>https://dadosabertos.camara.leg.br/api/v2/deputados/74091</t>
  </si>
  <si>
    <t>EULER RIBEIRO</t>
  </si>
  <si>
    <t>EULER ESTEVES RIBEIRO</t>
  </si>
  <si>
    <t>Itacoatiara</t>
  </si>
  <si>
    <t>https://dadosabertos.camara.leg.br/api/v2/deputados/74840</t>
  </si>
  <si>
    <t>EURICO MIRANDA</t>
  </si>
  <si>
    <t>EURICO ANGELO DE OLIVEIRA MIRANDA</t>
  </si>
  <si>
    <t>https://dadosabertos.camara.leg.br/api/v2/deputados/74100</t>
  </si>
  <si>
    <t>EXPEDITO JÚNIOR</t>
  </si>
  <si>
    <t>EXPEDITO GONÇALVES FERREIRA JUNIOR</t>
  </si>
  <si>
    <t>Guararapes</t>
  </si>
  <si>
    <t>https://dadosabertos.camara.leg.br/api/v2/deputados/73895</t>
  </si>
  <si>
    <t>EZIDIO PINHEIRO</t>
  </si>
  <si>
    <t>EZIDIO VANELI PINHEIRO</t>
  </si>
  <si>
    <t>https://dadosabertos.camara.leg.br/api/v2/deputados/73451</t>
  </si>
  <si>
    <t>FERNANDO ZUPPO</t>
  </si>
  <si>
    <t>CARLOS FERNANDO ZUPPO FRANCO</t>
  </si>
  <si>
    <t>https://dadosabertos.camara.leg.br/api/v2/deputados/73896</t>
  </si>
  <si>
    <t>FETTER JUNIOR</t>
  </si>
  <si>
    <t>ADOLFO ANTONIO FETTER JUNIOR</t>
  </si>
  <si>
    <t>https://dadosabertos.camara.leg.br/api/v2/deputados/73990</t>
  </si>
  <si>
    <t>FIORAVANTE</t>
  </si>
  <si>
    <t>WALDOMIRO BARANCELLI FIORAVANTE</t>
  </si>
  <si>
    <t>Marcelino Ramos</t>
  </si>
  <si>
    <t>https://dadosabertos.camara.leg.br/api/v2/deputados/73771</t>
  </si>
  <si>
    <t>FLÁVIO ARNS</t>
  </si>
  <si>
    <t>FLÁVIO JOSÉ ARNS</t>
  </si>
  <si>
    <t>https://dadosabertos.camara.leg.br/api/v2/deputados/73758</t>
  </si>
  <si>
    <t>FLÁVIO DERZI</t>
  </si>
  <si>
    <t>FLÁVIO AUGUSTO COELHO DERZI</t>
  </si>
  <si>
    <t>https://dadosabertos.camara.leg.br/api/v2/deputados/74199</t>
  </si>
  <si>
    <t>FRANCISCO COELHO</t>
  </si>
  <si>
    <t>FRANCISCO DE ASSIS MILHOMEM COELHO</t>
  </si>
  <si>
    <t>Balsas</t>
  </si>
  <si>
    <t>https://dadosabertos.camara.leg.br/api/v2/deputados/74845</t>
  </si>
  <si>
    <t>FRANCISCO SILVA</t>
  </si>
  <si>
    <t>OLIVEIRA FRANCISCO DA SILVA</t>
  </si>
  <si>
    <t>Cunha</t>
  </si>
  <si>
    <t>https://dadosabertos.camara.leg.br/api/v2/deputados/73597</t>
  </si>
  <si>
    <t>FRANCISCO SOUSA</t>
  </si>
  <si>
    <t>FRANCISCO RODRIGUES DE SOUSA</t>
  </si>
  <si>
    <t>https://dadosabertos.camara.leg.br/api/v2/deputados/74565</t>
  </si>
  <si>
    <t>FRANCISTÔNIO PINTO</t>
  </si>
  <si>
    <t>FRANCISTÔNIO ALVES PINTO</t>
  </si>
  <si>
    <t>Felisburgo</t>
  </si>
  <si>
    <t>https://dadosabertos.camara.leg.br/api/v2/deputados/73452</t>
  </si>
  <si>
    <t>FRANCO MONTORO</t>
  </si>
  <si>
    <t>ANDRÉ FRANCO MONTORO</t>
  </si>
  <si>
    <t>https://dadosabertos.camara.leg.br/api/v2/deputados/74659</t>
  </si>
  <si>
    <t>GENÉSIO BERNARDINO</t>
  </si>
  <si>
    <t>GENÉSIO BERNARDINO DE SOUZA</t>
  </si>
  <si>
    <t>Mutum</t>
  </si>
  <si>
    <t>https://dadosabertos.camara.leg.br/api/v2/deputados/74808</t>
  </si>
  <si>
    <t>GEOVAN FREITAS</t>
  </si>
  <si>
    <t>GEOVAN FREITAS CARVALHO</t>
  </si>
  <si>
    <t>https://dadosabertos.camara.leg.br/api/v2/deputados/73897</t>
  </si>
  <si>
    <t>GERMANO RIGOTTO</t>
  </si>
  <si>
    <t>GERMANO ANTONIO RIGOTTO</t>
  </si>
  <si>
    <t>https://dadosabertos.camara.leg.br/api/v2/deputados/72553</t>
  </si>
  <si>
    <t>GESSIVALDO ISAIAS</t>
  </si>
  <si>
    <t>GESSIVALDO ISAIAS DE CARVALHO SILVA</t>
  </si>
  <si>
    <t>https://dadosabertos.camara.leg.br/api/v2/deputados/73917</t>
  </si>
  <si>
    <t>GILBERTO CAPOANI</t>
  </si>
  <si>
    <t>Sertão</t>
  </si>
  <si>
    <t>https://dadosabertos.camara.leg.br/api/v2/deputados/74582</t>
  </si>
  <si>
    <t>GLYCON TERRA PINTO</t>
  </si>
  <si>
    <t>GLYCON TERRA PINTO JUNIOR</t>
  </si>
  <si>
    <t>https://dadosabertos.camara.leg.br/api/v2/deputados/73913</t>
  </si>
  <si>
    <t>GUILHERME MELO</t>
  </si>
  <si>
    <t>GUILHERME CAVALCANTE DE MELO</t>
  </si>
  <si>
    <t>https://dadosabertos.camara.leg.br/api/v2/deputados/73691</t>
  </si>
  <si>
    <t>HAROLDO BEZERRA</t>
  </si>
  <si>
    <t>HAROLDO COSTA BEZERRA</t>
  </si>
  <si>
    <t>Mazagão</t>
  </si>
  <si>
    <t>https://dadosabertos.camara.leg.br/api/v2/deputados/74545</t>
  </si>
  <si>
    <t>HAROLDO LIMA</t>
  </si>
  <si>
    <t>HAROLDO BORGES RODRIGUES LIMA</t>
  </si>
  <si>
    <t>https://dadosabertos.camara.leg.br/api/v2/deputados/74583</t>
  </si>
  <si>
    <t>HÉLIO COSTA</t>
  </si>
  <si>
    <t>HÉLIO CALIXTO DA COSTA</t>
  </si>
  <si>
    <t>https://dadosabertos.camara.leg.br/api/v2/deputados/74361</t>
  </si>
  <si>
    <t>HILDEBRANDO PASCOAL</t>
  </si>
  <si>
    <t>HILDEBRANDO PASCOAL NOGUEIRA NETO</t>
  </si>
  <si>
    <t>https://dadosabertos.camara.leg.br/api/v2/deputados/73795</t>
  </si>
  <si>
    <t>HUGO BIEHL</t>
  </si>
  <si>
    <t>HUGO MATIAS BIEHL</t>
  </si>
  <si>
    <t>Piratuba</t>
  </si>
  <si>
    <t>https://dadosabertos.camara.leg.br/api/v2/deputados/74684</t>
  </si>
  <si>
    <t>IÉDIO ROSA</t>
  </si>
  <si>
    <t>IEDIO ROSA DA SILVA</t>
  </si>
  <si>
    <t>São Pedro da Aldeia</t>
  </si>
  <si>
    <t>https://dadosabertos.camara.leg.br/api/v2/deputados/74443</t>
  </si>
  <si>
    <t>IGOR AVELINO</t>
  </si>
  <si>
    <t>IGOR PUGLIESI AVELINO</t>
  </si>
  <si>
    <t>https://dadosabertos.camara.leg.br/api/v2/deputados/74362</t>
  </si>
  <si>
    <t>ILDEFONÇO CORDEIRO</t>
  </si>
  <si>
    <t>ILDEFONÇO RODRIGUES CORDEIRO</t>
  </si>
  <si>
    <t>https://dadosabertos.camara.leg.br/api/v2/deputados/73570</t>
  </si>
  <si>
    <t>IVANIO GUERRA</t>
  </si>
  <si>
    <t>IVÂNIO FUMEGALI GUERRA</t>
  </si>
  <si>
    <t>https://dadosabertos.camara.leg.br/api/v2/deputados/74001</t>
  </si>
  <si>
    <t>JAIME FERNANDES</t>
  </si>
  <si>
    <t>JAIME FERNANDES FILHO</t>
  </si>
  <si>
    <t>https://dadosabertos.camara.leg.br/api/v2/deputados/73532</t>
  </si>
  <si>
    <t>JAIR MENEGUELLI</t>
  </si>
  <si>
    <t>JAIR ANTONIO MENEGUELLI</t>
  </si>
  <si>
    <t>https://dadosabertos.camara.leg.br/api/v2/deputados/74546</t>
  </si>
  <si>
    <t>JAIRO AZI</t>
  </si>
  <si>
    <t>Lamarão</t>
  </si>
  <si>
    <t>https://dadosabertos.camara.leg.br/api/v2/deputados/74548</t>
  </si>
  <si>
    <t>JAQUES WAGNER</t>
  </si>
  <si>
    <t>https://dadosabertos.camara.leg.br/api/v2/deputados/73900</t>
  </si>
  <si>
    <t>JARBAS LIMA</t>
  </si>
  <si>
    <t>JARBAS DE MELO E LIMA</t>
  </si>
  <si>
    <t>https://dadosabertos.camara.leg.br/api/v2/deputados/73918</t>
  </si>
  <si>
    <t>JAVIER ALFAYA</t>
  </si>
  <si>
    <t>FRANCISCO JAVIER ULPIANO ALFAYA RODRIGUEZ</t>
  </si>
  <si>
    <t>REDONDELA</t>
  </si>
  <si>
    <t>https://dadosabertos.camara.leg.br/api/v2/deputados/73919</t>
  </si>
  <si>
    <t>JOÃO BARROS</t>
  </si>
  <si>
    <t>JOÃO BARROS FILHO</t>
  </si>
  <si>
    <t>Antônio Dias</t>
  </si>
  <si>
    <t>https://dadosabertos.camara.leg.br/api/v2/deputados/74422</t>
  </si>
  <si>
    <t>JOÃO COLAÇO</t>
  </si>
  <si>
    <t>JOÃO BASTOS COLAÇO DIAS</t>
  </si>
  <si>
    <t>https://dadosabertos.camara.leg.br/api/v2/deputados/74772</t>
  </si>
  <si>
    <t>JOÃO COSER</t>
  </si>
  <si>
    <t>JOÃO CARLOS COSER</t>
  </si>
  <si>
    <t>https://dadosabertos.camara.leg.br/api/v2/deputados/74667</t>
  </si>
  <si>
    <t>JOÃO FASSARELLA</t>
  </si>
  <si>
    <t>JOÃO DOMINGOS FASSARELLA</t>
  </si>
  <si>
    <t>Vargem Alta</t>
  </si>
  <si>
    <t>https://dadosabertos.camara.leg.br/api/v2/deputados/74316</t>
  </si>
  <si>
    <t>JOÃO HENRIQUE</t>
  </si>
  <si>
    <t>JOÃO HENRIQUE DE ALMEIDA SOUSA</t>
  </si>
  <si>
    <t>https://dadosabertos.camara.leg.br/api/v2/deputados/74849</t>
  </si>
  <si>
    <t>JOÃO MENDES</t>
  </si>
  <si>
    <t>JOÃO RICARDO MENDES</t>
  </si>
  <si>
    <t>Alagoa Grande</t>
  </si>
  <si>
    <t>https://dadosabertos.camara.leg.br/api/v2/deputados/74190</t>
  </si>
  <si>
    <t>JOÃO RIBEIRO</t>
  </si>
  <si>
    <t>JOÃO BATISTA DE JESUS RIBEIRO</t>
  </si>
  <si>
    <t>Campo Alegre de Goiás</t>
  </si>
  <si>
    <t>https://dadosabertos.camara.leg.br/api/v2/deputados/74685</t>
  </si>
  <si>
    <t>JOÃO SAMPAIO</t>
  </si>
  <si>
    <t>JOÃO CARLOS DE ALMEIDA SAMPAIO</t>
  </si>
  <si>
    <t>https://dadosabertos.camara.leg.br/api/v2/deputados/73590</t>
  </si>
  <si>
    <t>JOAQUIM BRITO</t>
  </si>
  <si>
    <t>JOAQUIM ANTONIO DE CARVALHO BRITO</t>
  </si>
  <si>
    <t>Pesqueira</t>
  </si>
  <si>
    <t>https://dadosabertos.camara.leg.br/api/v2/deputados/74350</t>
  </si>
  <si>
    <t>JORGE COSTA</t>
  </si>
  <si>
    <t>JORGE NETTO DA COSTA</t>
  </si>
  <si>
    <t>https://dadosabertos.camara.leg.br/api/v2/deputados/74850</t>
  </si>
  <si>
    <t>JORGE WILSON</t>
  </si>
  <si>
    <t>JORGE WILSON DE MATOS</t>
  </si>
  <si>
    <t>https://dadosabertos.camara.leg.br/api/v2/deputados/73587</t>
  </si>
  <si>
    <t>JOSÉ ALEKSANDRO</t>
  </si>
  <si>
    <t>JOSÉ ALEKSANDRO DA SILVA</t>
  </si>
  <si>
    <t>Pereiro</t>
  </si>
  <si>
    <t>https://dadosabertos.camara.leg.br/api/v2/deputados/74446</t>
  </si>
  <si>
    <t>JOSÉ ANTONIO ALMEIDA</t>
  </si>
  <si>
    <t>JOSE ANTONIO FIGUEIREDO DE ALMEIDA SILVA</t>
  </si>
  <si>
    <t>https://dadosabertos.camara.leg.br/api/v2/deputados/74851</t>
  </si>
  <si>
    <t>JOSÉ CARLOS COUTINHO</t>
  </si>
  <si>
    <t>JOSÉ CARLOS PIRES COUTINHO</t>
  </si>
  <si>
    <t>https://dadosabertos.camara.leg.br/api/v2/deputados/74670</t>
  </si>
  <si>
    <t>JOSÉ CARLOS FONSECA JR.</t>
  </si>
  <si>
    <t>JOSÉ CARLOS DA FONSECA JÚNIOR</t>
  </si>
  <si>
    <t>https://dadosabertos.camara.leg.br/api/v2/deputados/73538</t>
  </si>
  <si>
    <t>JOSÉ COIMBRA</t>
  </si>
  <si>
    <t>JOSÉ DE CASTRO COIMBRA</t>
  </si>
  <si>
    <t>Coxim</t>
  </si>
  <si>
    <t>https://dadosabertos.camara.leg.br/api/v2/deputados/73539</t>
  </si>
  <si>
    <t>JOSÉ DE ABREU</t>
  </si>
  <si>
    <t>JOSE MASCI DE ABREU</t>
  </si>
  <si>
    <t>https://dadosabertos.camara.leg.br/api/v2/deputados/74853</t>
  </si>
  <si>
    <t>JOSÉ EGYDIO</t>
  </si>
  <si>
    <t>JOSÉ EGYDIO TINOCO NETO</t>
  </si>
  <si>
    <t>https://dadosabertos.camara.leg.br/api/v2/deputados/74125</t>
  </si>
  <si>
    <t>JOSÉ LOURENÇO</t>
  </si>
  <si>
    <t>JOSÉ LOURENÇO MORAIS DA SILVA</t>
  </si>
  <si>
    <t>Aveiro</t>
  </si>
  <si>
    <t>https://dadosabertos.camara.leg.br/api/v2/deputados/74412</t>
  </si>
  <si>
    <t>JOSÉ LUIZ CLEROT</t>
  </si>
  <si>
    <t>JOSE LUIZ BARBOSA RAMALHO CLEROT</t>
  </si>
  <si>
    <t>https://dadosabertos.camara.leg.br/api/v2/deputados/73541</t>
  </si>
  <si>
    <t>JOSÉ MACHADO</t>
  </si>
  <si>
    <t>https://dadosabertos.camara.leg.br/api/v2/deputados/73600</t>
  </si>
  <si>
    <t>JOSÉ MAGALHÃES</t>
  </si>
  <si>
    <t>JOSÉ DOMINGOS DE MAGALHÃES</t>
  </si>
  <si>
    <t>https://dadosabertos.camara.leg.br/api/v2/deputados/74093</t>
  </si>
  <si>
    <t>JOSÉ MELO</t>
  </si>
  <si>
    <t>JOSÉ MELO DE OLIVEIRA</t>
  </si>
  <si>
    <t>https://dadosabertos.camara.leg.br/api/v2/deputados/74740</t>
  </si>
  <si>
    <t>JOSÉ REZENDE</t>
  </si>
  <si>
    <t>JOSÉ REZENDE DE ANDRADE</t>
  </si>
  <si>
    <t>Araponga</t>
  </si>
  <si>
    <t>https://dadosabertos.camara.leg.br/api/v2/deputados/74794</t>
  </si>
  <si>
    <t>JOSÉ ROBERTO BATOCHIO</t>
  </si>
  <si>
    <t>JOSE ROBERTO BATOCHIO</t>
  </si>
  <si>
    <t>Dois Córregos</t>
  </si>
  <si>
    <t>https://dadosabertos.camara.leg.br/api/v2/deputados/74569</t>
  </si>
  <si>
    <t>JOSÉ RONALDO</t>
  </si>
  <si>
    <t>JOSÉ RONALDO DE CARVALHO</t>
  </si>
  <si>
    <t>Paripiranga</t>
  </si>
  <si>
    <t>https://dadosabertos.camara.leg.br/api/v2/deputados/74529</t>
  </si>
  <si>
    <t>JOSÉ TELES</t>
  </si>
  <si>
    <t>JOSÉ TELES DE MENDONÇA</t>
  </si>
  <si>
    <t>https://dadosabertos.camara.leg.br/api/v2/deputados/74809</t>
  </si>
  <si>
    <t>JUQUINHA</t>
  </si>
  <si>
    <t>JOSÉ FRANCISCO DAS NEVES</t>
  </si>
  <si>
    <t>https://dadosabertos.camara.leg.br/api/v2/deputados/73916</t>
  </si>
  <si>
    <t>JUSTINIANO PEDROSO</t>
  </si>
  <si>
    <t>JUSTINIANO FRANCISCO CONINCK DE ALMEIDA PEDROSO</t>
  </si>
  <si>
    <t>Campos Novos</t>
  </si>
  <si>
    <t>https://dadosabertos.camara.leg.br/api/v2/deputados/73688</t>
  </si>
  <si>
    <t>KINCAS MATTOS</t>
  </si>
  <si>
    <t>JOAQUIM DE MATTOS SALLES</t>
  </si>
  <si>
    <t>Itaberá</t>
  </si>
  <si>
    <t>https://dadosabertos.camara.leg.br/api/v2/deputados/74326</t>
  </si>
  <si>
    <t>LAÍRE ROSADO</t>
  </si>
  <si>
    <t>LAÍRE ROSADO FILHO</t>
  </si>
  <si>
    <t>https://dadosabertos.camara.leg.br/api/v2/deputados/74134</t>
  </si>
  <si>
    <t>LAMARTINE POSELLA</t>
  </si>
  <si>
    <t>LAMARTINE POSELLA SOBRINHO</t>
  </si>
  <si>
    <t>https://dadosabertos.camara.leg.br/api/v2/deputados/74555</t>
  </si>
  <si>
    <t>LEUR LOMANTO</t>
  </si>
  <si>
    <t>LEUR ANTONIO DE BRITTO LOMANTO</t>
  </si>
  <si>
    <t>https://dadosabertos.camara.leg.br/api/v2/deputados/73667</t>
  </si>
  <si>
    <t>LÍDIA QUINAN</t>
  </si>
  <si>
    <t>LYDIA ARAÚJO QUINAN</t>
  </si>
  <si>
    <t>https://dadosabertos.camara.leg.br/api/v2/deputados/65498</t>
  </si>
  <si>
    <t>LÚCIA VÂNIA</t>
  </si>
  <si>
    <t>LÚCIA VÂNIA ABRÃO COSTA</t>
  </si>
  <si>
    <t>https://dadosabertos.camara.leg.br/api/v2/deputados/73983</t>
  </si>
  <si>
    <t>LUIS BARBOSA</t>
  </si>
  <si>
    <t>LUIS BARBOSA ALVES</t>
  </si>
  <si>
    <t>https://dadosabertos.camara.leg.br/api/v2/deputados/74687</t>
  </si>
  <si>
    <t>LUISINHO</t>
  </si>
  <si>
    <t>LUIS EDUARDO ALMEIDA DE OLIVEIRA</t>
  </si>
  <si>
    <t>https://dadosabertos.camara.leg.br/api/v2/deputados/74775</t>
  </si>
  <si>
    <t>LUIZ DURÃO</t>
  </si>
  <si>
    <t>LUIZ CÂNDIDO DURÃO</t>
  </si>
  <si>
    <t>https://dadosabertos.camara.leg.br/api/v2/deputados/73902</t>
  </si>
  <si>
    <t>LUIZ MAINARDI</t>
  </si>
  <si>
    <t>LUIZ FERNANDO MAINARDI</t>
  </si>
  <si>
    <t>Sobradinho</t>
  </si>
  <si>
    <t>https://dadosabertos.camara.leg.br/api/v2/deputados/74632</t>
  </si>
  <si>
    <t>LUIZ MOREIRA</t>
  </si>
  <si>
    <t>LUIZ MOREIRA DA SILVA</t>
  </si>
  <si>
    <t>https://dadosabertos.camara.leg.br/api/v2/deputados/74681</t>
  </si>
  <si>
    <t>LUIZ RIBEIRO</t>
  </si>
  <si>
    <t>LUIZ ANTONIO DANTAS RIBEIRO</t>
  </si>
  <si>
    <t>https://dadosabertos.camara.leg.br/api/v2/deputados/74339</t>
  </si>
  <si>
    <t>LUIZ SALOMÃO</t>
  </si>
  <si>
    <t>LUIZ ALFREDO SALOMÃO</t>
  </si>
  <si>
    <t>https://dadosabertos.camara.leg.br/api/v2/deputados/74672</t>
  </si>
  <si>
    <t>MAGNO MALTA</t>
  </si>
  <si>
    <t>MAGNO PEREIRA MALTA</t>
  </si>
  <si>
    <t>https://dadosabertos.camara.leg.br/api/v2/deputados/73547</t>
  </si>
  <si>
    <t>MALULY NETTO</t>
  </si>
  <si>
    <t>JORGE MALULY NETTO</t>
  </si>
  <si>
    <t>Fartura</t>
  </si>
  <si>
    <t>https://dadosabertos.camara.leg.br/api/v2/deputados/74633</t>
  </si>
  <si>
    <t>MANOEL CASTRO</t>
  </si>
  <si>
    <t>MANOEL FIGUEIREDO CASTRO</t>
  </si>
  <si>
    <t>https://dadosabertos.camara.leg.br/api/v2/deputados/73602</t>
  </si>
  <si>
    <t>MANOEL VITÓRIO</t>
  </si>
  <si>
    <t>MANOEL DO CARMO VITÓRIO</t>
  </si>
  <si>
    <t>https://dadosabertos.camara.leg.br/api/v2/deputados/74530</t>
  </si>
  <si>
    <t>MARCELO DÉDA</t>
  </si>
  <si>
    <t>MARCELO DÉDA CHAGAS</t>
  </si>
  <si>
    <t>https://dadosabertos.camara.leg.br/api/v2/deputados/74333</t>
  </si>
  <si>
    <t>MÁRCIO MATOS</t>
  </si>
  <si>
    <t>MÁRCIO ARTUR DE MATOS</t>
  </si>
  <si>
    <t>Mineiros do Tietê</t>
  </si>
  <si>
    <t>https://dadosabertos.camara.leg.br/api/v2/deputados/74364</t>
  </si>
  <si>
    <t>MARCOS AFONSO</t>
  </si>
  <si>
    <t>MARCOS AFONSO PONTES DE SOUZA</t>
  </si>
  <si>
    <t>https://dadosabertos.camara.leg.br/api/v2/deputados/74785</t>
  </si>
  <si>
    <t>MARCOS CINTRA</t>
  </si>
  <si>
    <t>MARCOS CINTRA CAVALCANTI DE ALBUQUERQUE</t>
  </si>
  <si>
    <t>https://dadosabertos.camara.leg.br/api/v2/deputados/73484</t>
  </si>
  <si>
    <t>MARCOS ROLIM</t>
  </si>
  <si>
    <t>MARCOS FLÁVIO ROLIM</t>
  </si>
  <si>
    <t>https://dadosabertos.camara.leg.br/api/v2/deputados/74803</t>
  </si>
  <si>
    <t>MARIA ABADIA</t>
  </si>
  <si>
    <t>MARIA DE LOURDES ABADIA</t>
  </si>
  <si>
    <t>https://dadosabertos.camara.leg.br/api/v2/deputados/74746</t>
  </si>
  <si>
    <t>MARIA ELVIRA</t>
  </si>
  <si>
    <t>MARIA ELVIRA SALLES FERREIRA</t>
  </si>
  <si>
    <t>https://dadosabertos.camara.leg.br/api/v2/deputados/73659</t>
  </si>
  <si>
    <t>MARIA LAURA</t>
  </si>
  <si>
    <t>MARIA LAURA SALES PINHEIRO</t>
  </si>
  <si>
    <t>Jaguaribe</t>
  </si>
  <si>
    <t>https://dadosabertos.camara.leg.br/api/v2/deputados/73760</t>
  </si>
  <si>
    <t>MARISA SERRANO</t>
  </si>
  <si>
    <t>MARISA JOAQUINA MONTEIRO SERRANO</t>
  </si>
  <si>
    <t>https://dadosabertos.camara.leg.br/api/v2/deputados/74689</t>
  </si>
  <si>
    <t>MATTOS NASCIMENTO</t>
  </si>
  <si>
    <t>MATUSAEL DO NASCIMENTO</t>
  </si>
  <si>
    <t>https://dadosabertos.camara.leg.br/api/v2/deputados/65904</t>
  </si>
  <si>
    <t>MAURÍLIO FERREIRA LIMA</t>
  </si>
  <si>
    <t>MAURÍLIO FIGUEIRA DE FERREIRA LIMA</t>
  </si>
  <si>
    <t>https://dadosabertos.camara.leg.br/api/v2/deputados/74206</t>
  </si>
  <si>
    <t>MAURO FECURY</t>
  </si>
  <si>
    <t>MAURO DE ALENCAR FECURY</t>
  </si>
  <si>
    <t>https://dadosabertos.camara.leg.br/api/v2/deputados/74673</t>
  </si>
  <si>
    <t>MAX MAURO</t>
  </si>
  <si>
    <t>MAX FREITAS MAURO</t>
  </si>
  <si>
    <t>https://dadosabertos.camara.leg.br/api/v2/deputados/74861</t>
  </si>
  <si>
    <t>MILTON TEMER</t>
  </si>
  <si>
    <t>JORGE MILTON TEMER</t>
  </si>
  <si>
    <t>https://dadosabertos.camara.leg.br/api/v2/deputados/73601</t>
  </si>
  <si>
    <t>MOACIR PIOVESAN</t>
  </si>
  <si>
    <t>https://dadosabertos.camara.leg.br/api/v2/deputados/74788</t>
  </si>
  <si>
    <t>MOREIRA FERREIRA</t>
  </si>
  <si>
    <t>CARLOS EDUARDO MOREIRA FERREIRA</t>
  </si>
  <si>
    <t>https://dadosabertos.camara.leg.br/api/v2/deputados/74112</t>
  </si>
  <si>
    <t>MURILO DOMINGOS</t>
  </si>
  <si>
    <t>Jardinópolis</t>
  </si>
  <si>
    <t>https://dadosabertos.camara.leg.br/api/v2/deputados/74021</t>
  </si>
  <si>
    <t>NAIR XAVIER LOBO</t>
  </si>
  <si>
    <t>NAIR MARIA XAVIER NUNES DE OLIVEIRA LOBO</t>
  </si>
  <si>
    <t>https://dadosabertos.camara.leg.br/api/v2/deputados/74789</t>
  </si>
  <si>
    <t>NELO RODOLFO</t>
  </si>
  <si>
    <t>NELLO RODOLPHO GIONGO FILHO</t>
  </si>
  <si>
    <t>https://dadosabertos.camara.leg.br/api/v2/deputados/74243</t>
  </si>
  <si>
    <t>NELSON HARTER</t>
  </si>
  <si>
    <t>NELSON HARTER FILHO</t>
  </si>
  <si>
    <t>https://dadosabertos.camara.leg.br/api/v2/deputados/73906</t>
  </si>
  <si>
    <t>NELSON MARCHEZAN</t>
  </si>
  <si>
    <t>https://dadosabertos.camara.leg.br/api/v2/deputados/74301</t>
  </si>
  <si>
    <t>NELSON OTOCH</t>
  </si>
  <si>
    <t>https://dadosabertos.camara.leg.br/api/v2/deputados/74572</t>
  </si>
  <si>
    <t>NILO COELHO</t>
  </si>
  <si>
    <t>NILO AUGUSTO MORAES COELHO</t>
  </si>
  <si>
    <t>https://dadosabertos.camara.leg.br/api/v2/deputados/74811</t>
  </si>
  <si>
    <t>NORBERTO TEIXEIRA</t>
  </si>
  <si>
    <t>NORBERTO JOSE TEIXEIRA</t>
  </si>
  <si>
    <t>São Pedro</t>
  </si>
  <si>
    <t>https://dadosabertos.camara.leg.br/api/v2/deputados/74588</t>
  </si>
  <si>
    <t>OLIMPIO PIRES</t>
  </si>
  <si>
    <t>OLÍMPIO PIRES GUERRA</t>
  </si>
  <si>
    <t>Santa Maria de Itabira</t>
  </si>
  <si>
    <t>https://dadosabertos.camara.leg.br/api/v2/deputados/74109</t>
  </si>
  <si>
    <t>OSCAR ANDRADE</t>
  </si>
  <si>
    <t>OSCAR ILTON DE ANDRADE</t>
  </si>
  <si>
    <t>Juatuba</t>
  </si>
  <si>
    <t>https://dadosabertos.camara.leg.br/api/v2/deputados/73571</t>
  </si>
  <si>
    <t>OSVALDO SOBRINHO</t>
  </si>
  <si>
    <t>OSVALDO ROBERTO SOBRINHO</t>
  </si>
  <si>
    <t>https://dadosabertos.camara.leg.br/api/v2/deputados/74122</t>
  </si>
  <si>
    <t>OSWALDO SOLER</t>
  </si>
  <si>
    <t>Bálsamo</t>
  </si>
  <si>
    <t>https://dadosabertos.camara.leg.br/api/v2/deputados/73783</t>
  </si>
  <si>
    <t>PADRE ROQUE</t>
  </si>
  <si>
    <t>ROQUE ZIMMERMANN</t>
  </si>
  <si>
    <t>https://dadosabertos.camara.leg.br/api/v2/deputados/74573</t>
  </si>
  <si>
    <t>PAULO BRAGA</t>
  </si>
  <si>
    <t>PAULO ROBERTO LUZ BRAGA</t>
  </si>
  <si>
    <t>https://dadosabertos.camara.leg.br/api/v2/deputados/73576</t>
  </si>
  <si>
    <t>PAULO DE ALMEIDA</t>
  </si>
  <si>
    <t>PAULO CARDOSO DE ALMEIDA</t>
  </si>
  <si>
    <t>https://dadosabertos.camara.leg.br/api/v2/deputados/73884</t>
  </si>
  <si>
    <t>PAULO GILBERTO GOUVEA DA COSTA</t>
  </si>
  <si>
    <t>https://dadosabertos.camara.leg.br/api/v2/deputados/73829</t>
  </si>
  <si>
    <t>PAULO LESSA</t>
  </si>
  <si>
    <t>PAULO JOSÉ TAVARES LESSA</t>
  </si>
  <si>
    <t>Conceição de Macabu</t>
  </si>
  <si>
    <t>https://dadosabertos.camara.leg.br/api/v2/deputados/74192</t>
  </si>
  <si>
    <t>PAULO MOURÃO</t>
  </si>
  <si>
    <t>PAULO SARDINHA MOURAO</t>
  </si>
  <si>
    <t>https://dadosabertos.camara.leg.br/api/v2/deputados/74804</t>
  </si>
  <si>
    <t>PAULO OCTÁVIO</t>
  </si>
  <si>
    <t>PAULO OCTÁVIO ALVES PEREIRA</t>
  </si>
  <si>
    <t>https://dadosabertos.camara.leg.br/api/v2/deputados/73910</t>
  </si>
  <si>
    <t>PAULO PAIM</t>
  </si>
  <si>
    <t>PAULO RENATO PAIM</t>
  </si>
  <si>
    <t>https://dadosabertos.camara.leg.br/api/v2/deputados/73914</t>
  </si>
  <si>
    <t>PAULO RANGEL</t>
  </si>
  <si>
    <t>PAULO FERNANDO RANGEL DE LIMA</t>
  </si>
  <si>
    <t>https://dadosabertos.camara.leg.br/api/v2/deputados/73491</t>
  </si>
  <si>
    <t>PEDRO BITTENCOURT</t>
  </si>
  <si>
    <t>PEDRO BITTENCOURT NETO</t>
  </si>
  <si>
    <t>https://dadosabertos.camara.leg.br/api/v2/deputados/74805</t>
  </si>
  <si>
    <t>PEDRO CELSO</t>
  </si>
  <si>
    <t>https://dadosabertos.camara.leg.br/api/v2/deputados/74589</t>
  </si>
  <si>
    <t>PIMENTA DA VEIGA</t>
  </si>
  <si>
    <t>JOÃO PIMENTA DA VEIGA FILHO</t>
  </si>
  <si>
    <t>https://dadosabertos.camara.leg.br/api/v2/deputados/74303</t>
  </si>
  <si>
    <t>PIMENTEL GOMES</t>
  </si>
  <si>
    <t>RAYMUNDO PIMENTEL GOMES NETO</t>
  </si>
  <si>
    <t>Meruoca</t>
  </si>
  <si>
    <t>https://dadosabertos.camara.leg.br/api/v2/deputados/74638</t>
  </si>
  <si>
    <t>PRISCO VIANA</t>
  </si>
  <si>
    <t>LUIZ HUMBERTO PRISCO VIANA</t>
  </si>
  <si>
    <t>https://dadosabertos.camara.leg.br/api/v2/deputados/73465</t>
  </si>
  <si>
    <t>RAFAEL GRECA</t>
  </si>
  <si>
    <t>RAFAEL VALDOMIRO GRECA DE MACEDO</t>
  </si>
  <si>
    <t>https://dadosabertos.camara.leg.br/api/v2/deputados/74237</t>
  </si>
  <si>
    <t>RAIMUNDO COLOMBO</t>
  </si>
  <si>
    <t>JOÃO RAIMUNDO COLOMBO</t>
  </si>
  <si>
    <t>https://dadosabertos.camara.leg.br/api/v2/deputados/73593</t>
  </si>
  <si>
    <t>RAINEL BARBOSA</t>
  </si>
  <si>
    <t>RAINEL BARBOSA ARAÚJO</t>
  </si>
  <si>
    <t>https://dadosabertos.camara.leg.br/api/v2/deputados/74560</t>
  </si>
  <si>
    <t>REGIS CAVALCANTE</t>
  </si>
  <si>
    <t>JOSÉ REGIS BARROS CAVALCANTE</t>
  </si>
  <si>
    <t>https://dadosabertos.camara.leg.br/api/v2/deputados/73591</t>
  </si>
  <si>
    <t>RENATO SILVA</t>
  </si>
  <si>
    <t>RENATO DA SILVA</t>
  </si>
  <si>
    <t>https://dadosabertos.camara.leg.br/api/v2/deputados/73475</t>
  </si>
  <si>
    <t>RENATO VIANNA</t>
  </si>
  <si>
    <t>RENATO DE MELLO VIANNA</t>
  </si>
  <si>
    <t>https://dadosabertos.camara.leg.br/api/v2/deputados/74353</t>
  </si>
  <si>
    <t>RENILDO LEAL</t>
  </si>
  <si>
    <t>RENILDO LEAL SANTOS</t>
  </si>
  <si>
    <t>Prado</t>
  </si>
  <si>
    <t>https://dadosabertos.camara.leg.br/api/v2/deputados/74674</t>
  </si>
  <si>
    <t>RICARDO FERRAÇO</t>
  </si>
  <si>
    <t>RICARDO DE REZENDE FERRAÇO</t>
  </si>
  <si>
    <t>https://dadosabertos.camara.leg.br/api/v2/deputados/73578</t>
  </si>
  <si>
    <t>RICARDO MARANHÃO</t>
  </si>
  <si>
    <t>RICARDO MOURA DE ALBUQUERQUE MARANHÃO</t>
  </si>
  <si>
    <t>https://dadosabertos.camara.leg.br/api/v2/deputados/73580</t>
  </si>
  <si>
    <t>RICARDO NORONHA</t>
  </si>
  <si>
    <t>JOÃO RICARDO NORONHA DA SILVA</t>
  </si>
  <si>
    <t>https://dadosabertos.camara.leg.br/api/v2/deputados/73985</t>
  </si>
  <si>
    <t>ROBÉRIO ARAÚJO</t>
  </si>
  <si>
    <t>ROBÉRIO BEZERRA DE ARAÚJO</t>
  </si>
  <si>
    <t>https://dadosabertos.camara.leg.br/api/v2/deputados/73487</t>
  </si>
  <si>
    <t>ROBERTO ARGENTA</t>
  </si>
  <si>
    <t>Gramado</t>
  </si>
  <si>
    <t>https://dadosabertos.camara.leg.br/api/v2/deputados/73912</t>
  </si>
  <si>
    <t>ROBERTO JOHN</t>
  </si>
  <si>
    <t>ROBERTO JOHN GONÇALVES DA SILVA</t>
  </si>
  <si>
    <t>Porto</t>
  </si>
  <si>
    <t>https://dadosabertos.camara.leg.br/api/v2/deputados/74760</t>
  </si>
  <si>
    <t>RONALDO PERIM</t>
  </si>
  <si>
    <t>https://dadosabertos.camara.leg.br/api/v2/deputados/74221</t>
  </si>
  <si>
    <t>RONALDO SANTOS</t>
  </si>
  <si>
    <t>RONALDO DE OLIVEIRA SANTOS</t>
  </si>
  <si>
    <t>https://dadosabertos.camara.leg.br/api/v2/deputados/73422</t>
  </si>
  <si>
    <t>RUBEM MEDINA</t>
  </si>
  <si>
    <t>https://dadosabertos.camara.leg.br/api/v2/deputados/74795</t>
  </si>
  <si>
    <t>RUBENS FURLAN</t>
  </si>
  <si>
    <t>https://dadosabertos.camara.leg.br/api/v2/deputados/73986</t>
  </si>
  <si>
    <t>SALOMÃO CRUZ</t>
  </si>
  <si>
    <t>SALOMÃO AFONSO DE SOUZA CRUZ</t>
  </si>
  <si>
    <t>https://dadosabertos.camara.leg.br/api/v2/deputados/73690</t>
  </si>
  <si>
    <t>SALOMÃO GURGEL</t>
  </si>
  <si>
    <t>SALOMÃO GURGEL PINHEIRO</t>
  </si>
  <si>
    <t>Janduís</t>
  </si>
  <si>
    <t>https://dadosabertos.camara.leg.br/api/v2/deputados/74796</t>
  </si>
  <si>
    <t>SAMPAIO DÓRIA</t>
  </si>
  <si>
    <t>CARLOS EDUARDO SAMPAIO DÓRIA</t>
  </si>
  <si>
    <t>https://dadosabertos.camara.leg.br/api/v2/deputados/73467</t>
  </si>
  <si>
    <t>SANTOS FILHO</t>
  </si>
  <si>
    <t>JOAQUIM DOS SANTOS FILHO</t>
  </si>
  <si>
    <t>https://dadosabertos.camara.leg.br/api/v2/deputados/73596</t>
  </si>
  <si>
    <t>SAULO COELHO</t>
  </si>
  <si>
    <t>SAULO LEVINDO COELHO</t>
  </si>
  <si>
    <t>https://dadosabertos.camara.leg.br/api/v2/deputados/74575</t>
  </si>
  <si>
    <t>SAULO PEDROSA</t>
  </si>
  <si>
    <t>SAULO PEDROSA DE ALMEIDA</t>
  </si>
  <si>
    <t>Barreiras</t>
  </si>
  <si>
    <t>https://dadosabertos.camara.leg.br/api/v2/deputados/74069</t>
  </si>
  <si>
    <t>SÉRGIO BARCELLOS</t>
  </si>
  <si>
    <t>SÉRGIO CERQUEIRA BARCELLOS</t>
  </si>
  <si>
    <t>https://dadosabertos.camara.leg.br/api/v2/deputados/74442</t>
  </si>
  <si>
    <t>SÉRGIO BARROS</t>
  </si>
  <si>
    <t>SÉRGIO SEBASTIÃO DE BARROS</t>
  </si>
  <si>
    <t>Leme</t>
  </si>
  <si>
    <t>https://dadosabertos.camara.leg.br/api/v2/deputados/74458</t>
  </si>
  <si>
    <t>SÉRGIO NOVAIS</t>
  </si>
  <si>
    <t>ALUISIO SÉRGIO NOVAIS ELEUTÉRIO</t>
  </si>
  <si>
    <t>https://dadosabertos.camara.leg.br/api/v2/deputados/74564</t>
  </si>
  <si>
    <t>ARTUR SÉRGIO DE ALMEIDA REIS</t>
  </si>
  <si>
    <t>https://dadosabertos.camara.leg.br/api/v2/deputados/73488</t>
  </si>
  <si>
    <t>SYNVAL GUAZZELLI</t>
  </si>
  <si>
    <t>SYNVAL SEBASTIÃO DUARTE GUAZZELLI</t>
  </si>
  <si>
    <t>https://dadosabertos.camara.leg.br/api/v2/deputados/74523</t>
  </si>
  <si>
    <t>TALVANE ALBUQUERQUE NETO</t>
  </si>
  <si>
    <t>PEDRO TALVANE LUIS GAMA DE ALBUQUERQUE NETO</t>
  </si>
  <si>
    <t>https://dadosabertos.camara.leg.br/api/v2/deputados/73687</t>
  </si>
  <si>
    <t>TÂNIA SOARES</t>
  </si>
  <si>
    <t>TANIA SOARES DE SOUSA</t>
  </si>
  <si>
    <t>https://dadosabertos.camara.leg.br/api/v2/deputados/73989</t>
  </si>
  <si>
    <t>TELMO KIRST</t>
  </si>
  <si>
    <t>TELMO JOSÉ KIRST</t>
  </si>
  <si>
    <t>https://dadosabertos.camara.leg.br/api/v2/deputados/74767</t>
  </si>
  <si>
    <t>TILDEN SANTIAGO</t>
  </si>
  <si>
    <t>TILDEN JOSÉ SANTIAGO</t>
  </si>
  <si>
    <t>Nova Era</t>
  </si>
  <si>
    <t>https://dadosabertos.camara.leg.br/api/v2/deputados/74307</t>
  </si>
  <si>
    <t>UBIRATAN AGUIAR</t>
  </si>
  <si>
    <t>UBIRATAN DINIZ DE AGUIAR</t>
  </si>
  <si>
    <t>Cedro</t>
  </si>
  <si>
    <t>https://dadosabertos.camara.leg.br/api/v2/deputados/74193</t>
  </si>
  <si>
    <t>UDSON BANDEIRA</t>
  </si>
  <si>
    <t>UDSON COELHO BANDEIRA</t>
  </si>
  <si>
    <t>Formoso do Araguaia</t>
  </si>
  <si>
    <t>https://dadosabertos.camara.leg.br/api/v2/deputados/74644</t>
  </si>
  <si>
    <t>URSICINO QUEIROZ</t>
  </si>
  <si>
    <t>URSICINO PINTO DE QUEIROZ</t>
  </si>
  <si>
    <t>Santo Antônio de Jesus</t>
  </si>
  <si>
    <t>https://dadosabertos.camara.leg.br/api/v2/deputados/74136</t>
  </si>
  <si>
    <t>VALDECI OLIVEIRA</t>
  </si>
  <si>
    <t>ANTONIO VALDECI OLIVEIRA DE OLIVEIRA</t>
  </si>
  <si>
    <t>https://dadosabertos.camara.leg.br/api/v2/deputados/74691</t>
  </si>
  <si>
    <t>VALDECI PAIVA</t>
  </si>
  <si>
    <t>ANTÔNIO VALDECI DE PAIVA</t>
  </si>
  <si>
    <t>https://dadosabertos.camara.leg.br/api/v2/deputados/74348</t>
  </si>
  <si>
    <t>VALDIR GANZER</t>
  </si>
  <si>
    <t>Iraí</t>
  </si>
  <si>
    <t>https://dadosabertos.camara.leg.br/api/v2/deputados/73790</t>
  </si>
  <si>
    <t>VALDOMIRO MEGER</t>
  </si>
  <si>
    <t>Rio Azul</t>
  </si>
  <si>
    <t>https://dadosabertos.camara.leg.br/api/v2/deputados/74233</t>
  </si>
  <si>
    <t>VANIO DOS SANTOS</t>
  </si>
  <si>
    <t>https://dadosabertos.camara.leg.br/api/v2/deputados/73476</t>
  </si>
  <si>
    <t>VICENTE CAROPRESO</t>
  </si>
  <si>
    <t>VICENTE AUGUSTO CAROPRESO</t>
  </si>
  <si>
    <t>https://dadosabertos.camara.leg.br/api/v2/deputados/74694</t>
  </si>
  <si>
    <t>VIVALDO BARBOSA</t>
  </si>
  <si>
    <t>VIVALDO VIEIRA BARBOSA</t>
  </si>
  <si>
    <t>https://dadosabertos.camara.leg.br/api/v2/deputados/73915</t>
  </si>
  <si>
    <t>VIVALDO COSTA</t>
  </si>
  <si>
    <t>VIVALDO SILVINO DA COSTA</t>
  </si>
  <si>
    <t>https://dadosabertos.camara.leg.br/api/v2/deputados/73567</t>
  </si>
  <si>
    <t>WAGNER ROSSI</t>
  </si>
  <si>
    <t>WAGNER GONÇALVES ROSSI</t>
  </si>
  <si>
    <t>https://dadosabertos.camara.leg.br/api/v2/deputados/73643</t>
  </si>
  <si>
    <t>WAGNER SALUSTIANO</t>
  </si>
  <si>
    <t>WAGNER AMARAL SALUSTIANO</t>
  </si>
  <si>
    <t>https://dadosabertos.camara.leg.br/api/v2/deputados/74576</t>
  </si>
  <si>
    <t>WALDIR PIRES</t>
  </si>
  <si>
    <t>FRANCISCO WALDIR PIRES DE SOUZA</t>
  </si>
  <si>
    <t>Acajutiba</t>
  </si>
  <si>
    <t>https://dadosabertos.camara.leg.br/api/v2/deputados/73489</t>
  </si>
  <si>
    <t>WALDIR SCHMIDT</t>
  </si>
  <si>
    <t>WALDIR ARTUR SCHMIDT</t>
  </si>
  <si>
    <t>https://dadosabertos.camara.leg.br/api/v2/deputados/74668</t>
  </si>
  <si>
    <t>WALFRIDO MARES GUIA</t>
  </si>
  <si>
    <t>WALFRIDO SILVINO DOS MARES GUIA NETO</t>
  </si>
  <si>
    <t>Santa Bárbara</t>
  </si>
  <si>
    <t>https://dadosabertos.camara.leg.br/api/v2/deputados/74695</t>
  </si>
  <si>
    <t>WANDERLEY MARTINS</t>
  </si>
  <si>
    <t>VANDERLEY MARTINS DE BRITO</t>
  </si>
  <si>
    <t>https://dadosabertos.camara.leg.br/api/v2/deputados/74462</t>
  </si>
  <si>
    <t>WELLINGTON DIAS</t>
  </si>
  <si>
    <t>JOSÉ WELLINGTON BARROSO DE ARAÚJO DIAS</t>
  </si>
  <si>
    <t>https://dadosabertos.camara.leg.br/api/v2/deputados/73792</t>
  </si>
  <si>
    <t>WERNER WANDERER</t>
  </si>
  <si>
    <t>https://dadosabertos.camara.leg.br/api/v2/deputados/73661</t>
  </si>
  <si>
    <t>WIGBERTO TARTUCE</t>
  </si>
  <si>
    <t>WIGBERTO FERREIRA TARTUCE</t>
  </si>
  <si>
    <t>https://dadosabertos.camara.leg.br/api/v2/deputados/73598</t>
  </si>
  <si>
    <t>WILSON CUNHA</t>
  </si>
  <si>
    <t>WILSON JOSE DA CUNHA</t>
  </si>
  <si>
    <t>https://dadosabertos.camara.leg.br/api/v2/deputados/73573</t>
  </si>
  <si>
    <t>YVONILTON GONÇALVES</t>
  </si>
  <si>
    <t>YVONILTON BORGES GONÇALVES</t>
  </si>
  <si>
    <t>https://dadosabertos.camara.leg.br/api/v2/deputados/74769</t>
  </si>
  <si>
    <t>ZAIRE REZENDE</t>
  </si>
  <si>
    <t>https://dadosabertos.camara.leg.br/api/v2/deputados/73678</t>
  </si>
  <si>
    <t>ZÉ GOMES DA ROCHA</t>
  </si>
  <si>
    <t>JOSÉ GOMES DA ROCHA</t>
  </si>
  <si>
    <t>https://dadosabertos.camara.leg.br/api/v2/deputados/74798</t>
  </si>
  <si>
    <t>ZÉ ÍNDIO</t>
  </si>
  <si>
    <t>JOSE FERREIRA DO NASCIMENTO</t>
  </si>
  <si>
    <t>https://dadosabertos.camara.leg.br/api/v2/deputados/74669</t>
  </si>
  <si>
    <t>ZEZÉ PERRELLA</t>
  </si>
  <si>
    <t>JOSÉ PERRELLA DE OLIVEIRA COSTA</t>
  </si>
  <si>
    <t>São Gonçalo do Pará</t>
  </si>
  <si>
    <t>https://dadosabertos.camara.leg.br/api/v2/deputados/74185</t>
  </si>
  <si>
    <t>ZILA BEZERRA</t>
  </si>
  <si>
    <t>MARIA ZILA FROTA BEZERRA DE OLIVEIRA</t>
  </si>
  <si>
    <t>https://dadosabertos.camara.leg.br/api/v2/deputados/73823</t>
  </si>
  <si>
    <t>ADELAIDE NERI</t>
  </si>
  <si>
    <t>Antonia Adelaide da Rocha Neri</t>
  </si>
  <si>
    <t>https://dadosabertos.camara.leg.br/api/v2/deputados/74770</t>
  </si>
  <si>
    <t>ADELSON SALVADOR</t>
  </si>
  <si>
    <t>Adelson Antônio Salvador</t>
  </si>
  <si>
    <t>https://dadosabertos.camara.leg.br/api/v2/deputados/74220</t>
  </si>
  <si>
    <t>ADEMIR CUNHA</t>
  </si>
  <si>
    <t>Ademir Barbosa da Cunha</t>
  </si>
  <si>
    <t>https://dadosabertos.camara.leg.br/api/v2/deputados/73426</t>
  </si>
  <si>
    <t>ADHEMAR DE BARROS FILHO</t>
  </si>
  <si>
    <t>https://dadosabertos.camara.leg.br/api/v2/deputados/73887</t>
  </si>
  <si>
    <t>ADYLSON MOTTA</t>
  </si>
  <si>
    <t>Adylson Martins Motta</t>
  </si>
  <si>
    <t>https://dadosabertos.camara.leg.br/api/v2/deputados/74244</t>
  </si>
  <si>
    <t>AÉCIO DE BORBA</t>
  </si>
  <si>
    <t>Aécio de Borba Vasconcelos</t>
  </si>
  <si>
    <t>https://dadosabertos.camara.leg.br/api/v2/deputados/74022</t>
  </si>
  <si>
    <t>AGNALDO TIMÓTEO</t>
  </si>
  <si>
    <t>AGUINALDO TIMOTEO PEREIRA</t>
  </si>
  <si>
    <t>https://dadosabertos.camara.leg.br/api/v2/deputados/74532</t>
  </si>
  <si>
    <t>ALCIDES MODESTO</t>
  </si>
  <si>
    <t>Manoel Alcides Modesto Coelho</t>
  </si>
  <si>
    <t>https://dadosabertos.camara.leg.br/api/v2/deputados/73999</t>
  </si>
  <si>
    <t>ALEXANDRE CERANTO</t>
  </si>
  <si>
    <t>Alexandre Ceranto</t>
  </si>
  <si>
    <t>https://dadosabertos.camara.leg.br/api/v2/deputados/73429</t>
  </si>
  <si>
    <t>ALMINO AFFONSO</t>
  </si>
  <si>
    <t>Almino Monteiro Alvares Affonso</t>
  </si>
  <si>
    <t>https://dadosabertos.camara.leg.br/api/v2/deputados/74247</t>
  </si>
  <si>
    <t>ÁLVARO RIBEIRO</t>
  </si>
  <si>
    <t>Álvaro Silva Ribeiro</t>
  </si>
  <si>
    <t>https://dadosabertos.camara.leg.br/api/v2/deputados/74831</t>
  </si>
  <si>
    <t>ÁLVARO VALLE</t>
  </si>
  <si>
    <t>Álvaro Bastos do Valle</t>
  </si>
  <si>
    <t>https://dadosabertos.camara.leg.br/api/v2/deputados/74088</t>
  </si>
  <si>
    <t>ALZIRA EWERTON</t>
  </si>
  <si>
    <t>Alzira Valdelice Pires Ewerton</t>
  </si>
  <si>
    <t>https://dadosabertos.camara.leg.br/api/v2/deputados/74832</t>
  </si>
  <si>
    <t>AMARAL NETTO</t>
  </si>
  <si>
    <t>Fidélis dos Santos Amaral Netto</t>
  </si>
  <si>
    <t>https://dadosabertos.camara.leg.br/api/v2/deputados/74071</t>
  </si>
  <si>
    <t>ANA JÚLIA</t>
  </si>
  <si>
    <t>Ana Júlia de Vasconcelos Carepa</t>
  </si>
  <si>
    <t>https://dadosabertos.camara.leg.br/api/v2/deputados/73679</t>
  </si>
  <si>
    <t>ANDRÉ PUCCINELLI</t>
  </si>
  <si>
    <t>André Puccinelli</t>
  </si>
  <si>
    <t>Lucca</t>
  </si>
  <si>
    <t>https://dadosabertos.camara.leg.br/api/v2/deputados/74007</t>
  </si>
  <si>
    <t>ANTÔNIO AURELIANO</t>
  </si>
  <si>
    <t>Antônio Aureliano Sanches de Mendonça</t>
  </si>
  <si>
    <t>https://dadosabertos.camara.leg.br/api/v2/deputados/74073</t>
  </si>
  <si>
    <t>ANTÔNIO BRASIL</t>
  </si>
  <si>
    <t>Antônio César Pinho Brasil</t>
  </si>
  <si>
    <t>https://dadosabertos.camara.leg.br/api/v2/deputados/74214</t>
  </si>
  <si>
    <t>ANTONIO DOS SANTOS</t>
  </si>
  <si>
    <t>Antonio dos Santos Soares Cavalcante</t>
  </si>
  <si>
    <t>https://dadosabertos.camara.leg.br/api/v2/deputados/74330</t>
  </si>
  <si>
    <t>ANTÔNIO EBLING</t>
  </si>
  <si>
    <t>Antônio Carlos Ebling</t>
  </si>
  <si>
    <t>Taquara</t>
  </si>
  <si>
    <t>https://dadosabertos.camara.leg.br/api/v2/deputados/66490</t>
  </si>
  <si>
    <t>ANTONIO FALEIROS</t>
  </si>
  <si>
    <t>Antonio Faleiros Filho</t>
  </si>
  <si>
    <t>Estrela do Sul</t>
  </si>
  <si>
    <t>https://dadosabertos.camara.leg.br/api/v2/deputados/74332</t>
  </si>
  <si>
    <t>ANTONIO FERREIRA</t>
  </si>
  <si>
    <t>ANTONIO FERREIRA DE ANDRADE</t>
  </si>
  <si>
    <t>Desterro</t>
  </si>
  <si>
    <t>https://dadosabertos.camara.leg.br/api/v2/deputados/73766</t>
  </si>
  <si>
    <t>ANTONIO UENO</t>
  </si>
  <si>
    <t>Iosio Antonio Ueno</t>
  </si>
  <si>
    <t>Cambará</t>
  </si>
  <si>
    <t>https://dadosabertos.camara.leg.br/api/v2/deputados/74311</t>
  </si>
  <si>
    <t>ARI MAGALHÃES</t>
  </si>
  <si>
    <t>José Arimatéa Martins Magalhães</t>
  </si>
  <si>
    <t>https://dadosabertos.camara.leg.br/api/v2/deputados/74649</t>
  </si>
  <si>
    <t>ARMANDO COSTA</t>
  </si>
  <si>
    <t>Armando Gonçalves Costa</t>
  </si>
  <si>
    <t>Felixlândia</t>
  </si>
  <si>
    <t>https://dadosabertos.camara.leg.br/api/v2/deputados/74113</t>
  </si>
  <si>
    <t>ARY VALADÃO</t>
  </si>
  <si>
    <t>Ary Ribeiro Valadão</t>
  </si>
  <si>
    <t>Anicuns</t>
  </si>
  <si>
    <t>https://dadosabertos.camara.leg.br/api/v2/deputados/66476</t>
  </si>
  <si>
    <t>ASSIS CANUTO</t>
  </si>
  <si>
    <t>https://dadosabertos.camara.leg.br/api/v2/deputados/73647</t>
  </si>
  <si>
    <t>AUGUSTINHO FREITAS</t>
  </si>
  <si>
    <t>AUGUSTINHO FREITAS MARTINS</t>
  </si>
  <si>
    <t>Aparecida do Taboado</t>
  </si>
  <si>
    <t>https://dadosabertos.camara.leg.br/api/v2/deputados/74320</t>
  </si>
  <si>
    <t>AUGUSTO VIVEIROS</t>
  </si>
  <si>
    <t>Augusto Carlos Garcia de Viveiros</t>
  </si>
  <si>
    <t>https://dadosabertos.camara.leg.br/api/v2/deputados/73436</t>
  </si>
  <si>
    <t>AYRES DA CUNHA</t>
  </si>
  <si>
    <t>Ayres da Cunha Marques</t>
  </si>
  <si>
    <t>https://dadosabertos.camara.leg.br/api/v2/deputados/73656</t>
  </si>
  <si>
    <t>BENEDITO DOMINGOS</t>
  </si>
  <si>
    <t>Benedito Augusto Domingos</t>
  </si>
  <si>
    <t>https://dadosabertos.camara.leg.br/api/v2/deputados/74074</t>
  </si>
  <si>
    <t>BENEDITO GUIMARÃES</t>
  </si>
  <si>
    <t>Benedito Antônio Cota Guimarães</t>
  </si>
  <si>
    <t>https://dadosabertos.camara.leg.br/api/v2/deputados/74536</t>
  </si>
  <si>
    <t>BETO LÉLIS</t>
  </si>
  <si>
    <t>ADALBERTO LELIS FILHO</t>
  </si>
  <si>
    <t>Ibipeba</t>
  </si>
  <si>
    <t>https://dadosabertos.camara.leg.br/api/v2/deputados/74525</t>
  </si>
  <si>
    <t>BOSCO FRANÇA</t>
  </si>
  <si>
    <t>João Bosco França Cruz</t>
  </si>
  <si>
    <t>https://dadosabertos.camara.leg.br/api/v2/deputados/74246</t>
  </si>
  <si>
    <t>CÂNDIDO MENDES</t>
  </si>
  <si>
    <t>Cândido Antônio José Francisco Mendes de Almeida</t>
  </si>
  <si>
    <t>https://dadosabertos.camara.leg.br/api/v2/deputados/74179</t>
  </si>
  <si>
    <t>CARLOS AIRTON</t>
  </si>
  <si>
    <t>Carlos Airton Magalhães Santana de Souza</t>
  </si>
  <si>
    <t>Feijó</t>
  </si>
  <si>
    <t>https://dadosabertos.camara.leg.br/api/v2/deputados/74322</t>
  </si>
  <si>
    <t>Carlos Alberto de Sousa</t>
  </si>
  <si>
    <t>https://dadosabertos.camara.leg.br/api/v2/deputados/74224</t>
  </si>
  <si>
    <t>CARLOS ALBERTO CAMPISTA</t>
  </si>
  <si>
    <t>Carlos Alberto Tavares Campista</t>
  </si>
  <si>
    <t>https://dadosabertos.camara.leg.br/api/v2/deputados/73438</t>
  </si>
  <si>
    <t>CARLOS APOLINÁRIO</t>
  </si>
  <si>
    <t>Carlos Alberto Eugenio Apolinário</t>
  </si>
  <si>
    <t>https://dadosabertos.camara.leg.br/api/v2/deputados/74096</t>
  </si>
  <si>
    <t>CARLOS CAMURÇA</t>
  </si>
  <si>
    <t>Carlos Alberto de Azevedo Camurça</t>
  </si>
  <si>
    <t>https://dadosabertos.camara.leg.br/api/v2/deputados/73890</t>
  </si>
  <si>
    <t>CARLOS CARDINAL</t>
  </si>
  <si>
    <t>Carlos Cardinal Oliveira</t>
  </si>
  <si>
    <t>Bossoroca</t>
  </si>
  <si>
    <t>https://dadosabertos.camara.leg.br/api/v2/deputados/74004</t>
  </si>
  <si>
    <t>CARLOS DA CARBRÁS</t>
  </si>
  <si>
    <t>Carlos Alberto Barros Silva</t>
  </si>
  <si>
    <t>Parintins</t>
  </si>
  <si>
    <t>https://dadosabertos.camara.leg.br/api/v2/deputados/74526</t>
  </si>
  <si>
    <t>Carlos Magno Costa Garcia</t>
  </si>
  <si>
    <t>https://dadosabertos.camara.leg.br/api/v2/deputados/74020</t>
  </si>
  <si>
    <t>CARLOS MENDES</t>
  </si>
  <si>
    <t>Carlos Hassel Mendes da Silva</t>
  </si>
  <si>
    <t>https://dadosabertos.camara.leg.br/api/v2/deputados/73439</t>
  </si>
  <si>
    <t>CARLOS NELSON</t>
  </si>
  <si>
    <t>Carlos Nelson Bueno</t>
  </si>
  <si>
    <t>Mogi Guaçu</t>
  </si>
  <si>
    <t>https://dadosabertos.camara.leg.br/api/v2/deputados/74406</t>
  </si>
  <si>
    <t>CÁSSIO CUNHA LIMA</t>
  </si>
  <si>
    <t>Cássio Rodrigues da Cunha Lima</t>
  </si>
  <si>
    <t>https://dadosabertos.camara.leg.br/api/v2/deputados/74518</t>
  </si>
  <si>
    <t>CECI CUNHA</t>
  </si>
  <si>
    <t>Josefa Santos Cunha</t>
  </si>
  <si>
    <t>Feira Grande</t>
  </si>
  <si>
    <t>https://dadosabertos.camara.leg.br/api/v2/deputados/74180</t>
  </si>
  <si>
    <t>CÉLIA MENDES</t>
  </si>
  <si>
    <t>Auricélia Freitas de Assis</t>
  </si>
  <si>
    <t>https://dadosabertos.camara.leg.br/api/v2/deputados/73440</t>
  </si>
  <si>
    <t>CELSO DANIEL</t>
  </si>
  <si>
    <t>Celso Augusto Daniel</t>
  </si>
  <si>
    <t>https://dadosabertos.camara.leg.br/api/v2/deputados/74653</t>
  </si>
  <si>
    <t>CHICO FERRAMENTA</t>
  </si>
  <si>
    <t>FRANCISCO CARLOS CHICO FERRAMENTA DELFINO</t>
  </si>
  <si>
    <t>Bom Despacho</t>
  </si>
  <si>
    <t>https://dadosabertos.camara.leg.br/api/v2/deputados/73657</t>
  </si>
  <si>
    <t>CHICO VIGILANTE</t>
  </si>
  <si>
    <t>Francisco Domingos dos Santos</t>
  </si>
  <si>
    <t>Vitorino Freire</t>
  </si>
  <si>
    <t>https://dadosabertos.camara.leg.br/api/v2/deputados/74836</t>
  </si>
  <si>
    <t>CIDINHA CAMPOS</t>
  </si>
  <si>
    <t>Maria Aparecida Campos Straus</t>
  </si>
  <si>
    <t>https://dadosabertos.camara.leg.br/api/v2/deputados/74323</t>
  </si>
  <si>
    <t>CIPRIANO CORREIA</t>
  </si>
  <si>
    <t>https://dadosabertos.camara.leg.br/api/v2/deputados/74110</t>
  </si>
  <si>
    <t>CLÁUDIO CHAVES</t>
  </si>
  <si>
    <t>Cláudio do Carmo Chaves</t>
  </si>
  <si>
    <t>https://dadosabertos.camara.leg.br/api/v2/deputados/73444</t>
  </si>
  <si>
    <t>CUNHA LIMA</t>
  </si>
  <si>
    <t>ANTONIO DA CUNHA LIMA</t>
  </si>
  <si>
    <t>https://dadosabertos.camara.leg.br/api/v2/deputados/74231</t>
  </si>
  <si>
    <t>DALILA FIGUEIREDO</t>
  </si>
  <si>
    <t>Dalila Eugênia Maranhão Dias Figueiredo</t>
  </si>
  <si>
    <t>https://dadosabertos.camara.leg.br/api/v2/deputados/74196</t>
  </si>
  <si>
    <t>DAVI ALVES SILVA</t>
  </si>
  <si>
    <t>Davi Alves Silva</t>
  </si>
  <si>
    <t>https://dadosabertos.camara.leg.br/api/v2/deputados/74011</t>
  </si>
  <si>
    <t>DEJANDIR DALPASQUALE</t>
  </si>
  <si>
    <t>Dejandir Dalpasquale</t>
  </si>
  <si>
    <t>https://dadosabertos.camara.leg.br/api/v2/deputados/74215</t>
  </si>
  <si>
    <t>DÉRCIO KNOP</t>
  </si>
  <si>
    <t>Dércio Augusto Knop</t>
  </si>
  <si>
    <t>https://dadosabertos.camara.leg.br/api/v2/deputados/73680</t>
  </si>
  <si>
    <t>DILSO SPERAFICO</t>
  </si>
  <si>
    <t>Dilso Sperafico</t>
  </si>
  <si>
    <t>https://dadosabertos.camara.leg.br/api/v2/deputados/74127</t>
  </si>
  <si>
    <t>DJALMA DE ALMEIDA CESAR</t>
  </si>
  <si>
    <t>Djalma de Almeida Cesar</t>
  </si>
  <si>
    <t>https://dadosabertos.camara.leg.br/api/v2/deputados/74539</t>
  </si>
  <si>
    <t>DOMINGOS LEONELLI</t>
  </si>
  <si>
    <t>DOMINGOS LEONELLI NETTO</t>
  </si>
  <si>
    <t>https://dadosabertos.camara.leg.br/api/v2/deputados/74335</t>
  </si>
  <si>
    <t>EDSON MENEZES DA SILVA</t>
  </si>
  <si>
    <t>Edson Menezes da Silva</t>
  </si>
  <si>
    <t>https://dadosabertos.camara.leg.br/api/v2/deputados/74292</t>
  </si>
  <si>
    <t>EDSON QUEIROZ</t>
  </si>
  <si>
    <t>Edson Queiroz Filho</t>
  </si>
  <si>
    <t>https://dadosabertos.camara.leg.br/api/v2/deputados/74105</t>
  </si>
  <si>
    <t>EDSON SOARES</t>
  </si>
  <si>
    <t>Edson Gonçalves Soares</t>
  </si>
  <si>
    <t>Araçuaí</t>
  </si>
  <si>
    <t>https://dadosabertos.camara.leg.br/api/v2/deputados/74242</t>
  </si>
  <si>
    <t>EDUARDO COELHO</t>
  </si>
  <si>
    <t>EDUARDO JOSÉ PEREIRA COELHO</t>
  </si>
  <si>
    <t>Promissão</t>
  </si>
  <si>
    <t>https://dadosabertos.camara.leg.br/api/v2/deputados/74839</t>
  </si>
  <si>
    <t>EDUARDO MASCARENHAS</t>
  </si>
  <si>
    <t>Eduardo Guimarães Mascarenhas da Silva</t>
  </si>
  <si>
    <t>https://dadosabertos.camara.leg.br/api/v2/deputados/73769</t>
  </si>
  <si>
    <t>ELIAS ABRAHÃO</t>
  </si>
  <si>
    <t>Elias Abrahão</t>
  </si>
  <si>
    <t>https://dadosabertos.camara.leg.br/api/v2/deputados/74126</t>
  </si>
  <si>
    <t>ELISIO CURVO</t>
  </si>
  <si>
    <t>Elisio Miguéis Curvo</t>
  </si>
  <si>
    <t>https://dadosabertos.camara.leg.br/api/v2/deputados/74098</t>
  </si>
  <si>
    <t>EMERSON OLAVO PIRES</t>
  </si>
  <si>
    <t>Emerson Serpa Pires</t>
  </si>
  <si>
    <t>https://dadosabertos.camara.leg.br/api/v2/deputados/74241</t>
  </si>
  <si>
    <t>EMÍLIO ASSMAR</t>
  </si>
  <si>
    <t>Emílio Assmar Sobrinho</t>
  </si>
  <si>
    <t>https://dadosabertos.camara.leg.br/api/v2/deputados/74336</t>
  </si>
  <si>
    <t>ENYR LAPROVITA</t>
  </si>
  <si>
    <t>Enyr Laprovita Vieira</t>
  </si>
  <si>
    <t>https://dadosabertos.camara.leg.br/api/v2/deputados/74064</t>
  </si>
  <si>
    <t>ERALDO TRINDADE</t>
  </si>
  <si>
    <t>ERALDO DA SILVA TRINDADE</t>
  </si>
  <si>
    <t>https://dadosabertos.camara.leg.br/api/v2/deputados/74138</t>
  </si>
  <si>
    <t>ETEVALDA GRASSI DE MENEZES</t>
  </si>
  <si>
    <t>Etevalda Grassi de Menezes</t>
  </si>
  <si>
    <t>Rio Bananal</t>
  </si>
  <si>
    <t>https://dadosabertos.camara.leg.br/api/v2/deputados/74116</t>
  </si>
  <si>
    <t>EUDORO PEDROZA</t>
  </si>
  <si>
    <t>Eudoro Guilherme Zacharias Pedroza</t>
  </si>
  <si>
    <t>https://dadosabertos.camara.leg.br/api/v2/deputados/73449</t>
  </si>
  <si>
    <t>FÁBIO FELDMANN</t>
  </si>
  <si>
    <t>FABIO JOSE FELDMANN</t>
  </si>
  <si>
    <t>https://dadosabertos.camara.leg.br/api/v2/deputados/73450</t>
  </si>
  <si>
    <t>FAUSTO MARTELLO</t>
  </si>
  <si>
    <t>Fausto Miguel Martello</t>
  </si>
  <si>
    <t>https://dadosabertos.camara.leg.br/api/v2/deputados/74314</t>
  </si>
  <si>
    <t>FELIPE MENDES</t>
  </si>
  <si>
    <t>Felipe Mendes de Oliveira</t>
  </si>
  <si>
    <t>Simplício Mendes</t>
  </si>
  <si>
    <t>https://dadosabertos.camara.leg.br/api/v2/deputados/74543</t>
  </si>
  <si>
    <t>FERNANDO GOMES</t>
  </si>
  <si>
    <t>Fernando Gomes Oliveira</t>
  </si>
  <si>
    <t>https://dadosabertos.camara.leg.br/api/v2/deputados/74418</t>
  </si>
  <si>
    <t>FERNANDO LYRA</t>
  </si>
  <si>
    <t>Fernando Soares Lyra</t>
  </si>
  <si>
    <t>https://dadosabertos.camara.leg.br/api/v2/deputados/73770</t>
  </si>
  <si>
    <t>FERNANDO RIBAS CARLI</t>
  </si>
  <si>
    <t>Luiz Fernando Ribas Carli</t>
  </si>
  <si>
    <t>https://dadosabertos.camara.leg.br/api/v2/deputados/74519</t>
  </si>
  <si>
    <t>Fernando José Torres</t>
  </si>
  <si>
    <t>Rio Largo</t>
  </si>
  <si>
    <t>https://dadosabertos.camara.leg.br/api/v2/deputados/74293</t>
  </si>
  <si>
    <t>FIRMO DE CASTRO</t>
  </si>
  <si>
    <t>Firmo Fernandes de Castro</t>
  </si>
  <si>
    <t>https://dadosabertos.camara.leg.br/api/v2/deputados/74223</t>
  </si>
  <si>
    <t>FLÁVIO PALMIER DA VEIGA</t>
  </si>
  <si>
    <t>Flávio Palmier Martins da Veiga</t>
  </si>
  <si>
    <t>https://dadosabertos.camara.leg.br/api/v2/deputados/133783</t>
  </si>
  <si>
    <t>FRANCISCO DIÓGENES</t>
  </si>
  <si>
    <t>Francisco Diógenes de Araújo</t>
  </si>
  <si>
    <t>https://dadosabertos.camara.leg.br/api/v2/deputados/73997</t>
  </si>
  <si>
    <t>FRANCISCO HORTA</t>
  </si>
  <si>
    <t>Francisco Sales Dias Horta</t>
  </si>
  <si>
    <t>https://dadosabertos.camara.leg.br/api/v2/deputados/74226</t>
  </si>
  <si>
    <t>GERALDO PASTANA</t>
  </si>
  <si>
    <t>Geraldo Irineu Pastana de Oliveira</t>
  </si>
  <si>
    <t>https://dadosabertos.camara.leg.br/api/v2/deputados/73648</t>
  </si>
  <si>
    <t>GILNEY VIANA</t>
  </si>
  <si>
    <t>Gilney Amorim Viana</t>
  </si>
  <si>
    <t>Crisólita</t>
  </si>
  <si>
    <t>https://dadosabertos.camara.leg.br/api/v2/deputados/74409</t>
  </si>
  <si>
    <t>GILVAN FREIRE</t>
  </si>
  <si>
    <t>GILVAN DA SILVA FREIRE</t>
  </si>
  <si>
    <t>São Mamede</t>
  </si>
  <si>
    <t>https://dadosabertos.camara.leg.br/api/v2/deputados/68676</t>
  </si>
  <si>
    <t>HAROLDO SABÓIA</t>
  </si>
  <si>
    <t>Haroldo Freitas Pires de Sabóia</t>
  </si>
  <si>
    <t>https://dadosabertos.camara.leg.br/api/v2/deputados/73453</t>
  </si>
  <si>
    <t>HÉLIO BICUDO</t>
  </si>
  <si>
    <t>Hélio Pereira Bicudo</t>
  </si>
  <si>
    <t>https://dadosabertos.camara.leg.br/api/v2/deputados/73530</t>
  </si>
  <si>
    <t>HÉLIO ROSAS</t>
  </si>
  <si>
    <t>Hélio César Rosas</t>
  </si>
  <si>
    <t>https://dadosabertos.camara.leg.br/api/v2/deputados/74078</t>
  </si>
  <si>
    <t>HILÁRIO COIMBRA</t>
  </si>
  <si>
    <t>HILARIO MIRANDA COIMBRA</t>
  </si>
  <si>
    <t>https://dadosabertos.camara.leg.br/api/v2/deputados/73773</t>
  </si>
  <si>
    <t>HOMERO OGUIDO</t>
  </si>
  <si>
    <t>Homero Morinobu Oguido</t>
  </si>
  <si>
    <t>https://dadosabertos.camara.leg.br/api/v2/deputados/73898</t>
  </si>
  <si>
    <t>HUGO LAGRANHA</t>
  </si>
  <si>
    <t>Hugo Simões Lagranha</t>
  </si>
  <si>
    <t>https://dadosabertos.camara.leg.br/api/v2/deputados/74661</t>
  </si>
  <si>
    <t>HUGO RODRIGUES DA CUNHA</t>
  </si>
  <si>
    <t>Hugo Rodrigues da Cunha</t>
  </si>
  <si>
    <t>https://dadosabertos.camara.leg.br/api/v2/deputados/74420</t>
  </si>
  <si>
    <t>HUMBERTO COSTA</t>
  </si>
  <si>
    <t>Humberto Sérgio Costa Lima</t>
  </si>
  <si>
    <t>https://dadosabertos.camara.leg.br/api/v2/deputados/74101</t>
  </si>
  <si>
    <t>ILDEMAR KUSSLER</t>
  </si>
  <si>
    <t>Palmitos</t>
  </si>
  <si>
    <t>https://dadosabertos.camara.leg.br/api/v2/deputados/74664</t>
  </si>
  <si>
    <t>ISRAEL PINHEIRO</t>
  </si>
  <si>
    <t>Israel Pinheiro Filho</t>
  </si>
  <si>
    <t>https://dadosabertos.camara.leg.br/api/v2/deputados/74410</t>
  </si>
  <si>
    <t>IVANDRO CUNHA LIMA</t>
  </si>
  <si>
    <t>Ivandro Moura Cunha Lima</t>
  </si>
  <si>
    <t>https://dadosabertos.camara.leg.br/api/v2/deputados/74008</t>
  </si>
  <si>
    <t>IVO MAINARDI</t>
  </si>
  <si>
    <t>Ivo Orlindo Mainardi</t>
  </si>
  <si>
    <t>Arroio do Tigre</t>
  </si>
  <si>
    <t>https://dadosabertos.camara.leg.br/api/v2/deputados/74121</t>
  </si>
  <si>
    <t>IZIDÓRIO OLIVEIRA</t>
  </si>
  <si>
    <t>Izidório Correia de Oliveira</t>
  </si>
  <si>
    <t>https://dadosabertos.camara.leg.br/api/v2/deputados/74296</t>
  </si>
  <si>
    <t>JACKSON PEREIRA</t>
  </si>
  <si>
    <t>João Jackson de Albuquerque Pereira</t>
  </si>
  <si>
    <t>https://dadosabertos.camara.leg.br/api/v2/deputados/74666</t>
  </si>
  <si>
    <t>JAIR SIQUEIRA</t>
  </si>
  <si>
    <t>Jair Siqueira</t>
  </si>
  <si>
    <t>Paulistas</t>
  </si>
  <si>
    <t>https://dadosabertos.camara.leg.br/api/v2/deputados/73899</t>
  </si>
  <si>
    <t>JAIR SOARES</t>
  </si>
  <si>
    <t>Jair de Oliveira Soares</t>
  </si>
  <si>
    <t>https://dadosabertos.camara.leg.br/api/v2/deputados/74338</t>
  </si>
  <si>
    <t>JAMIL HADDAD</t>
  </si>
  <si>
    <t>Jamil Haddad</t>
  </si>
  <si>
    <t>https://dadosabertos.camara.leg.br/api/v2/deputados/74201</t>
  </si>
  <si>
    <t>JAYME SANTANA</t>
  </si>
  <si>
    <t>Jayme Manoel Tavares Neiva de Santana</t>
  </si>
  <si>
    <t>https://dadosabertos.camara.leg.br/api/v2/deputados/74227</t>
  </si>
  <si>
    <t>JOANA D'ARC</t>
  </si>
  <si>
    <t>JOANA D'ARC CARVALHO GUIMARÃES</t>
  </si>
  <si>
    <t>Cataguases</t>
  </si>
  <si>
    <t>https://dadosabertos.camara.leg.br/api/v2/deputados/74202</t>
  </si>
  <si>
    <t>JOÃO ALBERTO</t>
  </si>
  <si>
    <t>João Alberto de Souza</t>
  </si>
  <si>
    <t>https://dadosabertos.camara.leg.br/api/v2/deputados/74334</t>
  </si>
  <si>
    <t>JOÃO BROCHADO</t>
  </si>
  <si>
    <t>João Manoel Simch Brochado</t>
  </si>
  <si>
    <t>https://dadosabertos.camara.leg.br/api/v2/deputados/74128</t>
  </si>
  <si>
    <t>JOÃO FAUSTINO</t>
  </si>
  <si>
    <t>João Faustino Ferreira Neto</t>
  </si>
  <si>
    <t>https://dadosabertos.camara.leg.br/api/v2/deputados/73774</t>
  </si>
  <si>
    <t>JOÃO IENSEN</t>
  </si>
  <si>
    <t>João Falavinha Iensen</t>
  </si>
  <si>
    <t>Faxinal</t>
  </si>
  <si>
    <t>https://dadosabertos.camara.leg.br/api/v2/deputados/74182</t>
  </si>
  <si>
    <t>JOÃO MAIA</t>
  </si>
  <si>
    <t>João Maia da Silva Filho</t>
  </si>
  <si>
    <t>Santa Branca</t>
  </si>
  <si>
    <t>https://dadosabertos.camara.leg.br/api/v2/deputados/73533</t>
  </si>
  <si>
    <t>JOÃO MELLÃO NETO</t>
  </si>
  <si>
    <t>João Mellão Neto</t>
  </si>
  <si>
    <t>https://dadosabertos.camara.leg.br/api/v2/deputados/73664</t>
  </si>
  <si>
    <t>JOÃO NATAL</t>
  </si>
  <si>
    <t>João Natal de Almeida</t>
  </si>
  <si>
    <t>https://dadosabertos.camara.leg.br/api/v2/deputados/74092</t>
  </si>
  <si>
    <t>JOÃO THOMÉ MESTRINHO</t>
  </si>
  <si>
    <t>João Thomé Verçosa Mestrinho de Medeiros Raposo</t>
  </si>
  <si>
    <t>https://dadosabertos.camara.leg.br/api/v2/deputados/74551</t>
  </si>
  <si>
    <t>JONIVAL LUCAS</t>
  </si>
  <si>
    <t>Jonival Lucas da Silva</t>
  </si>
  <si>
    <t>https://dadosabertos.camara.leg.br/api/v2/deputados/74773</t>
  </si>
  <si>
    <t>JORGE ANDERS</t>
  </si>
  <si>
    <t>Jorge Alberto Anders</t>
  </si>
  <si>
    <t>https://dadosabertos.camara.leg.br/api/v2/deputados/74411</t>
  </si>
  <si>
    <t>JOSÉ ALDEMIR</t>
  </si>
  <si>
    <t>José Aldemir Meireles de Almeida</t>
  </si>
  <si>
    <t>Cajazeiras</t>
  </si>
  <si>
    <t>https://dadosabertos.camara.leg.br/api/v2/deputados/73537</t>
  </si>
  <si>
    <t>JOSÉ AUGUSTO</t>
  </si>
  <si>
    <t>José Augusto da Silva Ramos</t>
  </si>
  <si>
    <t>https://dadosabertos.camara.leg.br/api/v2/deputados/74852</t>
  </si>
  <si>
    <t>JOSÉ CARLOS LACERDA</t>
  </si>
  <si>
    <t>José Carlos Lacerda</t>
  </si>
  <si>
    <t>https://dadosabertos.camara.leg.br/api/v2/deputados/74203</t>
  </si>
  <si>
    <t>JOSÉ CARLOS SABÓIA</t>
  </si>
  <si>
    <t>JOSE CARLOS DE SABOIA MAGALHAES NETO</t>
  </si>
  <si>
    <t>https://dadosabertos.camara.leg.br/api/v2/deputados/74250</t>
  </si>
  <si>
    <t>JOSÉ COSTA</t>
  </si>
  <si>
    <t>José Oliveira Costa</t>
  </si>
  <si>
    <t>Palmeira dos Índios</t>
  </si>
  <si>
    <t>https://dadosabertos.camara.leg.br/api/v2/deputados/74232</t>
  </si>
  <si>
    <t>JOSÉ DA PAIXÃO</t>
  </si>
  <si>
    <t>José Eustáquio da Paixão</t>
  </si>
  <si>
    <t>https://dadosabertos.camara.leg.br/api/v2/deputados/73876</t>
  </si>
  <si>
    <t>JOSÉ FRITSCH</t>
  </si>
  <si>
    <t>José Fritsch</t>
  </si>
  <si>
    <t>Ipumirim</t>
  </si>
  <si>
    <t>https://dadosabertos.camara.leg.br/api/v2/deputados/74424</t>
  </si>
  <si>
    <t>JOSÉ JORGE</t>
  </si>
  <si>
    <t>José Jorge de Vasconcelos Lima</t>
  </si>
  <si>
    <t>https://dadosabertos.camara.leg.br/api/v2/deputados/74854</t>
  </si>
  <si>
    <t>JOSÉ MAURÍCIO</t>
  </si>
  <si>
    <t>JOSÉ MAURICIO LINHARES BARRETO</t>
  </si>
  <si>
    <t>https://dadosabertos.camara.leg.br/api/v2/deputados/74006</t>
  </si>
  <si>
    <t>JOSÉ TUDE</t>
  </si>
  <si>
    <t>José Eudoro Reis Tude</t>
  </si>
  <si>
    <t>https://dadosabertos.camara.leg.br/api/v2/deputados/73665</t>
  </si>
  <si>
    <t>JOSIAS GONZAGA</t>
  </si>
  <si>
    <t>Josias Gonzaga Cardoso</t>
  </si>
  <si>
    <t>https://dadosabertos.camara.leg.br/api/v2/deputados/73543</t>
  </si>
  <si>
    <t>JURANDYR PAIXÃO</t>
  </si>
  <si>
    <t>Jurandyr da Paixão de Campos Freire Filho</t>
  </si>
  <si>
    <t>https://dadosabertos.camara.leg.br/api/v2/deputados/73544</t>
  </si>
  <si>
    <t>KOYU IHA</t>
  </si>
  <si>
    <t>Koyu Iha</t>
  </si>
  <si>
    <t>https://dadosabertos.camara.leg.br/api/v2/deputados/74855</t>
  </si>
  <si>
    <t>LAPROVITA VIEIRA</t>
  </si>
  <si>
    <t>Odenir Laprovita Vieira</t>
  </si>
  <si>
    <t>https://dadosabertos.camara.leg.br/api/v2/deputados/73877</t>
  </si>
  <si>
    <t>LEONEL PAVAN</t>
  </si>
  <si>
    <t>Leonel Arcangelo Pavan</t>
  </si>
  <si>
    <t>Sarandi</t>
  </si>
  <si>
    <t>https://dadosabertos.camara.leg.br/api/v2/deputados/74743</t>
  </si>
  <si>
    <t>LEOPOLDO BESSONE</t>
  </si>
  <si>
    <t>Leopoldo Pacheco Bessone</t>
  </si>
  <si>
    <t>https://dadosabertos.camara.leg.br/api/v2/deputados/74857</t>
  </si>
  <si>
    <t>LIMA NETTO</t>
  </si>
  <si>
    <t>Roberto Procópio de Lima Netto</t>
  </si>
  <si>
    <t>https://dadosabertos.camara.leg.br/api/v2/deputados/74630</t>
  </si>
  <si>
    <t>LUÍS EDUARDO</t>
  </si>
  <si>
    <t>Luís Eduardo Maron de Magalhães</t>
  </si>
  <si>
    <t>https://dadosabertos.camara.leg.br/api/v2/deputados/74002</t>
  </si>
  <si>
    <t>LUIS ROBERTO PONTE</t>
  </si>
  <si>
    <t>Luis Roberto Andrade Ponte</t>
  </si>
  <si>
    <t>https://dadosabertos.camara.leg.br/api/v2/deputados/74631</t>
  </si>
  <si>
    <t>LUIZ BRAGA</t>
  </si>
  <si>
    <t>Luiz Fernando Luz Braga</t>
  </si>
  <si>
    <t>https://dadosabertos.camara.leg.br/api/v2/deputados/74774</t>
  </si>
  <si>
    <t>LUIZ BUAIZ</t>
  </si>
  <si>
    <t>Luiz Buaiz</t>
  </si>
  <si>
    <t>https://dadosabertos.camara.leg.br/api/v2/deputados/67836</t>
  </si>
  <si>
    <t>LUIZ GUSHIKEN</t>
  </si>
  <si>
    <t>Luiz Gushiken</t>
  </si>
  <si>
    <t>https://dadosabertos.camara.leg.br/api/v2/deputados/73878</t>
  </si>
  <si>
    <t>LUIZ HENRIQUE</t>
  </si>
  <si>
    <t>Luiz Henrique da Silveira</t>
  </si>
  <si>
    <t>https://dadosabertos.camara.leg.br/api/v2/deputados/74135</t>
  </si>
  <si>
    <t>LUIZ MÁXIMO</t>
  </si>
  <si>
    <t>Luiz Benedicto Máximo</t>
  </si>
  <si>
    <t>https://dadosabertos.camara.leg.br/api/v2/deputados/74204</t>
  </si>
  <si>
    <t>MAGNO BACELAR</t>
  </si>
  <si>
    <t>Carlos Magno Duque Bacelar</t>
  </si>
  <si>
    <t>https://dadosabertos.camara.leg.br/api/v2/deputados/74859</t>
  </si>
  <si>
    <t>MARCIA CIBILIS VIANA</t>
  </si>
  <si>
    <t>Marcia Maria D'Ávila Cibilis Viana</t>
  </si>
  <si>
    <t>https://dadosabertos.camara.leg.br/api/v2/deputados/74205</t>
  </si>
  <si>
    <t>MÁRCIA MARINHO</t>
  </si>
  <si>
    <t>Márcia Regina Serejo Marinho</t>
  </si>
  <si>
    <t>https://dadosabertos.camara.leg.br/api/v2/deputados/73668</t>
  </si>
  <si>
    <t>MARCONI PERILLO</t>
  </si>
  <si>
    <t>Marconi Ferreira Perillo Júnior</t>
  </si>
  <si>
    <t>Palmeiras de Goiás</t>
  </si>
  <si>
    <t>https://dadosabertos.camara.leg.br/api/v2/deputados/74245</t>
  </si>
  <si>
    <t>MARCOS VINICIUS DE CAMPOS</t>
  </si>
  <si>
    <t>Marcos Vinicius de Campos</t>
  </si>
  <si>
    <t>https://dadosabertos.camara.leg.br/api/v2/deputados/74837</t>
  </si>
  <si>
    <t>MARIA DA CONCEIÇÃO TAVARES</t>
  </si>
  <si>
    <t>Maria da Conceição de Almeida Tavares</t>
  </si>
  <si>
    <t>https://dadosabertos.camara.leg.br/api/v2/deputados/73669</t>
  </si>
  <si>
    <t>MARIA VALADÃO</t>
  </si>
  <si>
    <t>MARIA BAHIA PEIXOTO VALADÃO</t>
  </si>
  <si>
    <t>https://dadosabertos.camara.leg.br/api/v2/deputados/73759</t>
  </si>
  <si>
    <t>MARILU GUIMARÃES</t>
  </si>
  <si>
    <t>Marilu Segatto Guimarães</t>
  </si>
  <si>
    <t>https://dadosabertos.camara.leg.br/api/v2/deputados/73879</t>
  </si>
  <si>
    <t>MÁRIO CAVALLAZZI</t>
  </si>
  <si>
    <t>Mário Roberto Cavallazzi</t>
  </si>
  <si>
    <t>https://dadosabertos.camara.leg.br/api/v2/deputados/74114</t>
  </si>
  <si>
    <t>MÁRIO MARTINS</t>
  </si>
  <si>
    <t>Mário Martins</t>
  </si>
  <si>
    <t>https://dadosabertos.camara.leg.br/api/v2/deputados/73549</t>
  </si>
  <si>
    <t>MARQUINHO CHEDID</t>
  </si>
  <si>
    <t>Marco Antonio Nassif Abi Chedid</t>
  </si>
  <si>
    <t>https://dadosabertos.camara.leg.br/api/v2/deputados/73550</t>
  </si>
  <si>
    <t>MARTA SUPLICY</t>
  </si>
  <si>
    <t>Marta Teresa Suplicy</t>
  </si>
  <si>
    <t>https://dadosabertos.camara.leg.br/api/v2/deputados/73903</t>
  </si>
  <si>
    <t>MATHEUS SCHMIDT</t>
  </si>
  <si>
    <t>Matheus José Schmidt Filho</t>
  </si>
  <si>
    <t>https://dadosabertos.camara.leg.br/api/v2/deputados/74183</t>
  </si>
  <si>
    <t>MAURI SÉRGIO</t>
  </si>
  <si>
    <t>MAURI SERGIO MOURA DE OLIVEIRA</t>
  </si>
  <si>
    <t>Xapuri</t>
  </si>
  <si>
    <t>https://dadosabertos.camara.leg.br/api/v2/deputados/74748</t>
  </si>
  <si>
    <t>MAURÍCIO CAMPOS</t>
  </si>
  <si>
    <t>Maurício de Freitas Teixeira Campos</t>
  </si>
  <si>
    <t>Rio Pomba</t>
  </si>
  <si>
    <t>https://dadosabertos.camara.leg.br/api/v2/deputados/73551</t>
  </si>
  <si>
    <t>MAURICIO NAJAR</t>
  </si>
  <si>
    <t>Mauricio Nagib Najar</t>
  </si>
  <si>
    <t>https://dadosabertos.camara.leg.br/api/v2/deputados/73779</t>
  </si>
  <si>
    <t>MAURICIO REQUIÃO</t>
  </si>
  <si>
    <t>Mauricio Requião de Mello e Silva</t>
  </si>
  <si>
    <t>https://dadosabertos.camara.leg.br/api/v2/deputados/74015</t>
  </si>
  <si>
    <t>MELQUÍADES NETO</t>
  </si>
  <si>
    <t>Francisco Melquíades Neto</t>
  </si>
  <si>
    <t>Umarizal</t>
  </si>
  <si>
    <t>https://dadosabertos.camara.leg.br/api/v2/deputados/74249</t>
  </si>
  <si>
    <t>MESSIAS GÓIS</t>
  </si>
  <si>
    <t>Manoel Messias Góis</t>
  </si>
  <si>
    <t>Ribeirópolis</t>
  </si>
  <si>
    <t>https://dadosabertos.camara.leg.br/api/v2/deputados/73905</t>
  </si>
  <si>
    <t>MIGUEL ROSSETTO</t>
  </si>
  <si>
    <t>Miguel Soldatelli Rossetto</t>
  </si>
  <si>
    <t>https://dadosabertos.camara.leg.br/api/v2/deputados/73880</t>
  </si>
  <si>
    <t>MILTON MENDES</t>
  </si>
  <si>
    <t>MILTON MENDES DE OLIVEIRA</t>
  </si>
  <si>
    <t>Laguna</t>
  </si>
  <si>
    <t>https://dadosabertos.camara.leg.br/api/v2/deputados/74522</t>
  </si>
  <si>
    <t>MOACYR ANDRADE</t>
  </si>
  <si>
    <t>Moacyr Lopes de Andrade</t>
  </si>
  <si>
    <t>Penedo</t>
  </si>
  <si>
    <t>https://dadosabertos.camara.leg.br/api/v2/deputados/74129</t>
  </si>
  <si>
    <t>MOISÉS BENNESBY</t>
  </si>
  <si>
    <t>Moisés Bennesby</t>
  </si>
  <si>
    <t>https://dadosabertos.camara.leg.br/api/v2/deputados/74067</t>
  </si>
  <si>
    <t>MURILO PINHEIRO</t>
  </si>
  <si>
    <t>Murilo Agostinho Pinheiro</t>
  </si>
  <si>
    <t>https://dadosabertos.camara.leg.br/api/v2/deputados/74013</t>
  </si>
  <si>
    <t>NAN SOUZA</t>
  </si>
  <si>
    <t>ELEOTERIO NAN SOUZA</t>
  </si>
  <si>
    <t>São Vicente Ferrer</t>
  </si>
  <si>
    <t>https://dadosabertos.camara.leg.br/api/v2/deputados/67105</t>
  </si>
  <si>
    <t>NEDSON MICHELETI</t>
  </si>
  <si>
    <t>Nedson Luiz Micheleti</t>
  </si>
  <si>
    <t>https://dadosabertos.camara.leg.br/api/v2/deputados/74219</t>
  </si>
  <si>
    <t>NEIF JABUR</t>
  </si>
  <si>
    <t>José Neif Jabur</t>
  </si>
  <si>
    <t>https://dadosabertos.camara.leg.br/api/v2/deputados/74636</t>
  </si>
  <si>
    <t>NESTOR DUARTE</t>
  </si>
  <si>
    <t>NESTOR DUARTE GUIMARÃES NETO</t>
  </si>
  <si>
    <t>https://dadosabertos.camara.leg.br/api/v2/deputados/73881</t>
  </si>
  <si>
    <t>NEUTO DE CONTO</t>
  </si>
  <si>
    <t>Neuto Fausto De Conto</t>
  </si>
  <si>
    <t>https://dadosabertos.camara.leg.br/api/v2/deputados/74429</t>
  </si>
  <si>
    <t>NILSON GIBSON</t>
  </si>
  <si>
    <t>NILSON ALFREDO GIBSON DUARTE RODRIGUES</t>
  </si>
  <si>
    <t>https://dadosabertos.camara.leg.br/api/v2/deputados/73417</t>
  </si>
  <si>
    <t>NILTON CERQUEIRA</t>
  </si>
  <si>
    <t>NILTON DE ALBUQUERQUE CERQUEIRA</t>
  </si>
  <si>
    <t>https://dadosabertos.camara.leg.br/api/v2/deputados/73418</t>
  </si>
  <si>
    <t>NOEL DE OLIVEIRA</t>
  </si>
  <si>
    <t>https://dadosabertos.camara.leg.br/api/v2/deputados/74236</t>
  </si>
  <si>
    <t>OCTÁVIO ELÍSIO</t>
  </si>
  <si>
    <t>Octávio Elísio Alves de Brito</t>
  </si>
  <si>
    <t>https://dadosabertos.camara.leg.br/api/v2/deputados/73908</t>
  </si>
  <si>
    <t>ODACIR KLEIN</t>
  </si>
  <si>
    <t>Getúlio Vargas</t>
  </si>
  <si>
    <t>https://dadosabertos.camara.leg.br/api/v2/deputados/74251</t>
  </si>
  <si>
    <t>ODAISA FERNANDES</t>
  </si>
  <si>
    <t>ODAISA FERNANDES FERREIRA</t>
  </si>
  <si>
    <t>Porto Acre</t>
  </si>
  <si>
    <t>https://dadosabertos.camara.leg.br/api/v2/deputados/74009</t>
  </si>
  <si>
    <t>ODIR ROCHA</t>
  </si>
  <si>
    <t>Manoel Odir Rocha</t>
  </si>
  <si>
    <t>https://dadosabertos.camara.leg.br/api/v2/deputados/74081</t>
  </si>
  <si>
    <t>OLÁVIO ROCHA</t>
  </si>
  <si>
    <t>Olávio Silva Rocha</t>
  </si>
  <si>
    <t>Barra da Estiva</t>
  </si>
  <si>
    <t>https://dadosabertos.camara.leg.br/api/v2/deputados/73670</t>
  </si>
  <si>
    <t>ORCINO GONÇALVES</t>
  </si>
  <si>
    <t>Orcino Gonçalves da Silva</t>
  </si>
  <si>
    <t>https://dadosabertos.camara.leg.br/api/v2/deputados/73762</t>
  </si>
  <si>
    <t>OSCAR GOLDONI</t>
  </si>
  <si>
    <t>Anta Gorda</t>
  </si>
  <si>
    <t>https://dadosabertos.camara.leg.br/api/v2/deputados/74117</t>
  </si>
  <si>
    <t>OSMAR LEITÃO</t>
  </si>
  <si>
    <t>OSMAR LEITÃO ROSA</t>
  </si>
  <si>
    <t>https://dadosabertos.camara.leg.br/api/v2/deputados/74107</t>
  </si>
  <si>
    <t>OSMIR LIMA</t>
  </si>
  <si>
    <t>Osmir D'Albuquerque Lima Filho</t>
  </si>
  <si>
    <t>https://dadosabertos.camara.leg.br/api/v2/deputados/74302</t>
  </si>
  <si>
    <t>PAES DE ANDRADE</t>
  </si>
  <si>
    <t>ANTONIO PAES DE ANDRADE</t>
  </si>
  <si>
    <t>Mombaça</t>
  </si>
  <si>
    <t>https://dadosabertos.camara.leg.br/api/v2/deputados/73785</t>
  </si>
  <si>
    <t>PAULO CORDEIRO</t>
  </si>
  <si>
    <t>Paulo Roberto Cordeiro</t>
  </si>
  <si>
    <t>Irati</t>
  </si>
  <si>
    <t>https://dadosabertos.camara.leg.br/api/v2/deputados/74755</t>
  </si>
  <si>
    <t>PAULO HESLANDER</t>
  </si>
  <si>
    <t>Paulo Heslander Couto</t>
  </si>
  <si>
    <t>Barão de Cocais</t>
  </si>
  <si>
    <t>https://dadosabertos.camara.leg.br/api/v2/deputados/74239</t>
  </si>
  <si>
    <t>PAULO LUSTOSA</t>
  </si>
  <si>
    <t>Paulo de Tarso Lustosa da Costa</t>
  </si>
  <si>
    <t>https://dadosabertos.camara.leg.br/api/v2/deputados/74228</t>
  </si>
  <si>
    <t>PAULO NASCIMENTO</t>
  </si>
  <si>
    <t>Paulo Américo de Oliveira Nascimento</t>
  </si>
  <si>
    <t>https://dadosabertos.camara.leg.br/api/v2/deputados/73911</t>
  </si>
  <si>
    <t>PAULO RITZEL</t>
  </si>
  <si>
    <t>Paulo Artur Ritzel</t>
  </si>
  <si>
    <t>https://dadosabertos.camara.leg.br/api/v2/deputados/74083</t>
  </si>
  <si>
    <t>PAULO TITAN</t>
  </si>
  <si>
    <t>Paulo Sérgio Rodrigues Titan</t>
  </si>
  <si>
    <t>https://dadosabertos.camara.leg.br/api/v2/deputados/73671</t>
  </si>
  <si>
    <t>PEDRINHO ABRÃO</t>
  </si>
  <si>
    <t>Pedro Abrão Júnior</t>
  </si>
  <si>
    <t>https://dadosabertos.camara.leg.br/api/v2/deputados/74115</t>
  </si>
  <si>
    <t>PEDRO YVES</t>
  </si>
  <si>
    <t>Pedro Yves Simão</t>
  </si>
  <si>
    <t>Agudos</t>
  </si>
  <si>
    <t>https://dadosabertos.camara.leg.br/api/v2/deputados/74025</t>
  </si>
  <si>
    <t>RAIMUNDO BEZERRA</t>
  </si>
  <si>
    <t>Raimundo Coêlho Bezerra de Farias</t>
  </si>
  <si>
    <t>https://dadosabertos.camara.leg.br/api/v2/deputados/74068</t>
  </si>
  <si>
    <t>RAQUEL CAPIBERIBE</t>
  </si>
  <si>
    <t>Raquel Capiberibe da Silva</t>
  </si>
  <si>
    <t>https://dadosabertos.camara.leg.br/api/v2/deputados/74757</t>
  </si>
  <si>
    <t>RAUL BELÉM</t>
  </si>
  <si>
    <t>Raul Décio de Belém Miguel</t>
  </si>
  <si>
    <t>https://dadosabertos.camara.leg.br/api/v2/deputados/74130</t>
  </si>
  <si>
    <t>REGINA LINO</t>
  </si>
  <si>
    <t>Regina Amélia D'Alencar Lino Coelho</t>
  </si>
  <si>
    <t>https://dadosabertos.camara.leg.br/api/v2/deputados/73988</t>
  </si>
  <si>
    <t>RENAN KURTZ</t>
  </si>
  <si>
    <t>Carlos Renan Kurtz</t>
  </si>
  <si>
    <t>https://dadosabertos.camara.leg.br/api/v2/deputados/73787</t>
  </si>
  <si>
    <t>RENATO JOHNSSON</t>
  </si>
  <si>
    <t>Renato Antonio Johnsson</t>
  </si>
  <si>
    <t>https://dadosabertos.camara.leg.br/api/v2/deputados/73789</t>
  </si>
  <si>
    <t>RICARDO GOMYDE</t>
  </si>
  <si>
    <t>RICARDO CRACHINESKI GOMYDE</t>
  </si>
  <si>
    <t>Ibaiti</t>
  </si>
  <si>
    <t>https://dadosabertos.camara.leg.br/api/v2/deputados/74003</t>
  </si>
  <si>
    <t>RICARDO HERÁCLIO</t>
  </si>
  <si>
    <t>Francisco Ricardo Heráclio do Rego</t>
  </si>
  <si>
    <t>https://dadosabertos.camara.leg.br/api/v2/deputados/74012</t>
  </si>
  <si>
    <t>RIVALDO MACARI</t>
  </si>
  <si>
    <t>Rivaldo Antonio Macari</t>
  </si>
  <si>
    <t>https://dadosabertos.camara.leg.br/api/v2/deputados/73419</t>
  </si>
  <si>
    <t>ROBERTO CAMPOS</t>
  </si>
  <si>
    <t>Roberto de Oliveira Campos</t>
  </si>
  <si>
    <t>https://dadosabertos.camara.leg.br/api/v2/deputados/74432</t>
  </si>
  <si>
    <t>ROBERTO FONTES</t>
  </si>
  <si>
    <t>Carlos Roberto Guerra Fontes</t>
  </si>
  <si>
    <t>https://dadosabertos.camara.leg.br/api/v2/deputados/73649</t>
  </si>
  <si>
    <t>ROBERTO FRANÇA</t>
  </si>
  <si>
    <t>Roberto França Auad</t>
  </si>
  <si>
    <t>https://dadosabertos.camara.leg.br/api/v2/deputados/74413</t>
  </si>
  <si>
    <t>ROBERTO PAULINO</t>
  </si>
  <si>
    <t>ANTONIO ROBERTO DE SOUSA PAULINO</t>
  </si>
  <si>
    <t>https://dadosabertos.camara.leg.br/api/v2/deputados/74639</t>
  </si>
  <si>
    <t>ROBERTO SANTOS</t>
  </si>
  <si>
    <t>Roberto Figueira Santos</t>
  </si>
  <si>
    <t>https://dadosabertos.camara.leg.br/api/v2/deputados/74826</t>
  </si>
  <si>
    <t>ROBERTO VALADÃO</t>
  </si>
  <si>
    <t>ROBERTO VALADÃO ALMOKDICE</t>
  </si>
  <si>
    <t>https://dadosabertos.camara.leg.br/api/v2/deputados/74234</t>
  </si>
  <si>
    <t>ROBSON ROMERO</t>
  </si>
  <si>
    <t>Robson Romero de Oliveira</t>
  </si>
  <si>
    <t>https://dadosabertos.camara.leg.br/api/v2/deputados/73650</t>
  </si>
  <si>
    <t>RODRIGUES PALMA</t>
  </si>
  <si>
    <t>MANOEL ANTONIO RODRIGUES PALMA</t>
  </si>
  <si>
    <t>https://dadosabertos.camara.leg.br/api/v2/deputados/73675</t>
  </si>
  <si>
    <t>RUBENS COSAC</t>
  </si>
  <si>
    <t>Rubens Edreira Cosac</t>
  </si>
  <si>
    <t>https://dadosabertos.camara.leg.br/api/v2/deputados/74761</t>
  </si>
  <si>
    <t>SANDRA STARLING</t>
  </si>
  <si>
    <t>Sandra Meira Starling</t>
  </si>
  <si>
    <t>https://dadosabertos.camara.leg.br/api/v2/deputados/73763</t>
  </si>
  <si>
    <t>SAULO QUEIROZ</t>
  </si>
  <si>
    <t>SAULO GARCIA QUEIRÓZ</t>
  </si>
  <si>
    <t>https://dadosabertos.camara.leg.br/api/v2/deputados/73423</t>
  </si>
  <si>
    <t>SERGIO AROUCA</t>
  </si>
  <si>
    <t>Antonio Sergio da Silva Arouca</t>
  </si>
  <si>
    <t>https://dadosabertos.camara.leg.br/api/v2/deputados/74764</t>
  </si>
  <si>
    <t>SÉRGIO NAYA</t>
  </si>
  <si>
    <t>Sérgio Augusto Naya</t>
  </si>
  <si>
    <t>Laranjal</t>
  </si>
  <si>
    <t>https://dadosabertos.camara.leg.br/api/v2/deputados/74178</t>
  </si>
  <si>
    <t>SILVERNANI SANTOS</t>
  </si>
  <si>
    <t>Silvernani César dos Santos</t>
  </si>
  <si>
    <t>Trairi</t>
  </si>
  <si>
    <t>https://dadosabertos.camara.leg.br/api/v2/deputados/74766</t>
  </si>
  <si>
    <t>SÍLVIO ABREU</t>
  </si>
  <si>
    <t>Silvio de Andrade Abreu Júnior</t>
  </si>
  <si>
    <t>https://dadosabertos.camara.leg.br/api/v2/deputados/74229</t>
  </si>
  <si>
    <t>SILVIO PESSOA</t>
  </si>
  <si>
    <t>Silvio Pessoa de Carvalho</t>
  </si>
  <si>
    <t>https://dadosabertos.camara.leg.br/api/v2/deputados/74642</t>
  </si>
  <si>
    <t>SIMARA ELLERY</t>
  </si>
  <si>
    <t>Simara Nogueira Ellery</t>
  </si>
  <si>
    <t>https://dadosabertos.camara.leg.br/api/v2/deputados/74827</t>
  </si>
  <si>
    <t>THEODORICO FERRAÇO</t>
  </si>
  <si>
    <t>Theodorico de Assis Ferraço</t>
  </si>
  <si>
    <t>https://dadosabertos.camara.leg.br/api/v2/deputados/73562</t>
  </si>
  <si>
    <t>TUGA ANGERAMI</t>
  </si>
  <si>
    <t>José Gualberto Tuga Martins Angerami</t>
  </si>
  <si>
    <t>Mococa</t>
  </si>
  <si>
    <t>https://dadosabertos.camara.leg.br/api/v2/deputados/74643</t>
  </si>
  <si>
    <t>UBALDINO JÚNIOR</t>
  </si>
  <si>
    <t>José Ubaldino Alves Pinto Júnior</t>
  </si>
  <si>
    <t>Nanuque</t>
  </si>
  <si>
    <t>https://dadosabertos.camara.leg.br/api/v2/deputados/74086</t>
  </si>
  <si>
    <t>UBALDO CORRÊA</t>
  </si>
  <si>
    <t>Ubaldo Campos Corrêa</t>
  </si>
  <si>
    <t>https://dadosabertos.camara.leg.br/api/v2/deputados/74123</t>
  </si>
  <si>
    <t>ULYSSES GABOARDI</t>
  </si>
  <si>
    <t>Ulysses Gaboardi Filho</t>
  </si>
  <si>
    <t>https://dadosabertos.camara.leg.br/api/v2/deputados/73563</t>
  </si>
  <si>
    <t>USHITARO KAMIA</t>
  </si>
  <si>
    <t>Ushitaro Kamia</t>
  </si>
  <si>
    <t>https://dadosabertos.camara.leg.br/api/v2/deputados/73425</t>
  </si>
  <si>
    <t>VANESSA FELIPPE</t>
  </si>
  <si>
    <t>VANESSA POYARES TUFFY FELIPPE</t>
  </si>
  <si>
    <t>https://dadosabertos.camara.leg.br/api/v2/deputados/74437</t>
  </si>
  <si>
    <t>VICENTE ANDRÉ GOMES</t>
  </si>
  <si>
    <t>Vicente Manuel Leite André Gomes</t>
  </si>
  <si>
    <t>https://dadosabertos.camara.leg.br/api/v2/deputados/73791</t>
  </si>
  <si>
    <t>VILSON SANTINI</t>
  </si>
  <si>
    <t>Vilson Santini</t>
  </si>
  <si>
    <t>Tucunduva</t>
  </si>
  <si>
    <t>https://dadosabertos.camara.leg.br/api/v2/deputados/74019</t>
  </si>
  <si>
    <t>VIRMONDES CRUVINEL</t>
  </si>
  <si>
    <t>Virmondes Borges Cruvinel</t>
  </si>
  <si>
    <t>https://dadosabertos.camara.leg.br/api/v2/deputados/74331</t>
  </si>
  <si>
    <t>VITURIANO DE ABREU</t>
  </si>
  <si>
    <t>Antonio Vituriano de Abreu</t>
  </si>
  <si>
    <t>https://dadosabertos.camara.leg.br/api/v2/deputados/74132</t>
  </si>
  <si>
    <t>WAGNER DO NASCIMENTO</t>
  </si>
  <si>
    <t>Wagner do Nascimento</t>
  </si>
  <si>
    <t>https://dadosabertos.camara.leg.br/api/v2/deputados/74104</t>
  </si>
  <si>
    <t>WALDIR DIAS</t>
  </si>
  <si>
    <t>Waldir Ribeiro Dias</t>
  </si>
  <si>
    <t>https://dadosabertos.camara.leg.br/api/v2/deputados/73644</t>
  </si>
  <si>
    <t>WELSON GASPARINI</t>
  </si>
  <si>
    <t>Batatais</t>
  </si>
  <si>
    <t>https://dadosabertos.camara.leg.br/api/v2/deputados/73995</t>
  </si>
  <si>
    <t>WILSON BRANCO</t>
  </si>
  <si>
    <t>Wilson Mattos Branco</t>
  </si>
  <si>
    <t>https://dadosabertos.camara.leg.br/api/v2/deputados/74438</t>
  </si>
  <si>
    <t>WILSON CAMPOS</t>
  </si>
  <si>
    <t>Wilson de Queiroz Campos</t>
  </si>
  <si>
    <t>Brejo da Madre de Deus</t>
  </si>
  <si>
    <t>https://dadosabertos.camara.leg.br/api/v2/deputados/74531</t>
  </si>
  <si>
    <t>José Wilson da Cunha</t>
  </si>
  <si>
    <t>https://dadosabertos.camara.leg.br/api/v2/deputados/74118</t>
  </si>
  <si>
    <t>WILSON LEITE PASSOS</t>
  </si>
  <si>
    <t>https://dadosabertos.camara.leg.br/api/v2/deputados/73957</t>
  </si>
  <si>
    <t>ADILSON MALUF</t>
  </si>
  <si>
    <t>Adilson Benedito Maluf</t>
  </si>
  <si>
    <t>https://dadosabertos.camara.leg.br/api/v2/deputados/73694</t>
  </si>
  <si>
    <t>AGOSTINHO VALENTE</t>
  </si>
  <si>
    <t>Agostinho César Valente</t>
  </si>
  <si>
    <t>https://dadosabertos.camara.leg.br/api/v2/deputados/133990</t>
  </si>
  <si>
    <t>AIRTON SANDOVAL</t>
  </si>
  <si>
    <t>Airton Sandoval Santana</t>
  </si>
  <si>
    <t>Itirapuã</t>
  </si>
  <si>
    <t>https://dadosabertos.camara.leg.br/api/v2/deputados/133939</t>
  </si>
  <si>
    <t>ALACID NUNES</t>
  </si>
  <si>
    <t>Alacid da Silva Nunes</t>
  </si>
  <si>
    <t>https://dadosabertos.camara.leg.br/api/v2/deputados/133898</t>
  </si>
  <si>
    <t>ALANO DE FREITAS</t>
  </si>
  <si>
    <t>Eugenio Alano Machado de Freitas</t>
  </si>
  <si>
    <t>Jaraguá</t>
  </si>
  <si>
    <t>https://dadosabertos.camara.leg.br/api/v2/deputados/73695</t>
  </si>
  <si>
    <t>ALBERTO HADDAD</t>
  </si>
  <si>
    <t>Alberto Felipe Haddad Filho</t>
  </si>
  <si>
    <t>https://dadosabertos.camara.leg.br/api/v2/deputados/133876</t>
  </si>
  <si>
    <t>ALDO PINTO</t>
  </si>
  <si>
    <t>Aldo Pinto da Silva</t>
  </si>
  <si>
    <t>https://dadosabertos.camara.leg.br/api/v2/deputados/133875</t>
  </si>
  <si>
    <t>ALEXANDRE PUZYNA</t>
  </si>
  <si>
    <t>Alexandre Passos Puzyna</t>
  </si>
  <si>
    <t>https://dadosabertos.camara.leg.br/api/v2/deputados/133988</t>
  </si>
  <si>
    <t>ALOÍSIO VASCONCELOS</t>
  </si>
  <si>
    <t>Aloísio Marcos Vasconcelos Novais</t>
  </si>
  <si>
    <t>https://dadosabertos.camara.leg.br/api/v2/deputados/133958</t>
  </si>
  <si>
    <t>ALUIZIO ALVES</t>
  </si>
  <si>
    <t>Aluizio Alves</t>
  </si>
  <si>
    <t>Angicos</t>
  </si>
  <si>
    <t>https://dadosabertos.camara.leg.br/api/v2/deputados/73950</t>
  </si>
  <si>
    <t>ÁLVARO PEREIRA</t>
  </si>
  <si>
    <t>Álvaro Rodrigues Pereira</t>
  </si>
  <si>
    <t>https://dadosabertos.camara.leg.br/api/v2/deputados/73968</t>
  </si>
  <si>
    <t>AMAURI MENEGUETTI</t>
  </si>
  <si>
    <t>Amauri Meneguetti</t>
  </si>
  <si>
    <t>https://dadosabertos.camara.leg.br/api/v2/deputados/133852</t>
  </si>
  <si>
    <t>AMAURY MULLER</t>
  </si>
  <si>
    <t>Amaury Muller</t>
  </si>
  <si>
    <t>https://dadosabertos.camara.leg.br/api/v2/deputados/133978</t>
  </si>
  <si>
    <t>ÂNGELO MAGALHÃES</t>
  </si>
  <si>
    <t>Ângelo Mário Peixoto de Magalhães</t>
  </si>
  <si>
    <t>https://dadosabertos.camara.leg.br/api/v2/deputados/133894</t>
  </si>
  <si>
    <t>ANNIBAL TEIXEIRA</t>
  </si>
  <si>
    <t>Aníbal Teixeira de Souza</t>
  </si>
  <si>
    <t>https://dadosabertos.camara.leg.br/api/v2/deputados/73970</t>
  </si>
  <si>
    <t>ANTENOR FERRARI</t>
  </si>
  <si>
    <t>Antenor Ferrari</t>
  </si>
  <si>
    <t>https://dadosabertos.camara.leg.br/api/v2/deputados/73631</t>
  </si>
  <si>
    <t>ANTONIO BÁRBARA</t>
  </si>
  <si>
    <t>Antonio Paula de Souza da Bárbara</t>
  </si>
  <si>
    <t>Leiria</t>
  </si>
  <si>
    <t>https://dadosabertos.camara.leg.br/api/v2/deputados/65988</t>
  </si>
  <si>
    <t>ANTÔNIO BRITTO</t>
  </si>
  <si>
    <t>Antônio Britto Filho</t>
  </si>
  <si>
    <t>Santana do Livramento</t>
  </si>
  <si>
    <t>https://dadosabertos.camara.leg.br/api/v2/deputados/133868</t>
  </si>
  <si>
    <t>ANTÔNIO DE JESUS</t>
  </si>
  <si>
    <t>Antônio Jesus Dias</t>
  </si>
  <si>
    <t>https://dadosabertos.camara.leg.br/api/v2/deputados/73697</t>
  </si>
  <si>
    <t>ANTONIO HOLANDA</t>
  </si>
  <si>
    <t>Antonio Holanda Costa</t>
  </si>
  <si>
    <t>União dos Palmares</t>
  </si>
  <si>
    <t>https://dadosabertos.camara.leg.br/api/v2/deputados/133897</t>
  </si>
  <si>
    <t>ANTONIO MORIMOTO</t>
  </si>
  <si>
    <t>Antonio Morimoto</t>
  </si>
  <si>
    <t>https://dadosabertos.camara.leg.br/api/v2/deputados/73958</t>
  </si>
  <si>
    <t>APARÍCIO CARVALHO</t>
  </si>
  <si>
    <t>Aparício Carvalho de Moraes</t>
  </si>
  <si>
    <t>Rio Bonito</t>
  </si>
  <si>
    <t>https://dadosabertos.camara.leg.br/api/v2/deputados/133902</t>
  </si>
  <si>
    <t>ARMANDO PINHEIRO</t>
  </si>
  <si>
    <t>Armando Souza Pinheiro</t>
  </si>
  <si>
    <t>https://dadosabertos.camara.leg.br/api/v2/deputados/73698</t>
  </si>
  <si>
    <t>ARMANDO VIOLA</t>
  </si>
  <si>
    <t>Armando Batista Viola</t>
  </si>
  <si>
    <t>Baixo Guandu</t>
  </si>
  <si>
    <t>https://dadosabertos.camara.leg.br/api/v2/deputados/133996</t>
  </si>
  <si>
    <t>ARNO MAGARINOS</t>
  </si>
  <si>
    <t>Arno Magarinos</t>
  </si>
  <si>
    <t>https://dadosabertos.camara.leg.br/api/v2/deputados/73699</t>
  </si>
  <si>
    <t>AROLDO GÓES</t>
  </si>
  <si>
    <t>Aroldo da Graça Souza Góes</t>
  </si>
  <si>
    <t>https://dadosabertos.camara.leg.br/api/v2/deputados/73503</t>
  </si>
  <si>
    <t>ARTUR DA TÁVOLA</t>
  </si>
  <si>
    <t>Paulo Alberto Artur da Távola Moretzsohn Monteiro de Barros</t>
  </si>
  <si>
    <t>https://dadosabertos.camara.leg.br/api/v2/deputados/73971</t>
  </si>
  <si>
    <t>AURÉLIO CARDOSO</t>
  </si>
  <si>
    <t>Aurélio Cardoso dos Santos</t>
  </si>
  <si>
    <t>https://dadosabertos.camara.leg.br/api/v2/deputados/73634</t>
  </si>
  <si>
    <t>AVELINO COSTA</t>
  </si>
  <si>
    <t>Avelino Costa</t>
  </si>
  <si>
    <t>VIANA DO CASTELO</t>
  </si>
  <si>
    <t>https://dadosabertos.camara.leg.br/api/v2/deputados/73700</t>
  </si>
  <si>
    <t>AVENIR ROSA</t>
  </si>
  <si>
    <t>AVENIR ANGELO ROSA FILHO</t>
  </si>
  <si>
    <t>Pompéia</t>
  </si>
  <si>
    <t>https://dadosabertos.camara.leg.br/api/v2/deputados/133942</t>
  </si>
  <si>
    <t>BENEDITO DE FIGUEIREDO</t>
  </si>
  <si>
    <t>Benedito de Figueiredo</t>
  </si>
  <si>
    <t>https://dadosabertos.camara.leg.br/api/v2/deputados/73814</t>
  </si>
  <si>
    <t>BERALDO BOAVENTURA</t>
  </si>
  <si>
    <t>Beraldo Alves Boaventura Neto</t>
  </si>
  <si>
    <t>https://dadosabertos.camara.leg.br/api/v2/deputados/133866</t>
  </si>
  <si>
    <t>BETH AZIZE</t>
  </si>
  <si>
    <t>Elizabeth Azize</t>
  </si>
  <si>
    <t>Manacapuru</t>
  </si>
  <si>
    <t>https://dadosabertos.camara.leg.br/api/v2/deputados/133846</t>
  </si>
  <si>
    <t>BOCAYUVA CUNHA</t>
  </si>
  <si>
    <t>Luiz Fernando Bocayuva Cunha</t>
  </si>
  <si>
    <t>https://dadosabertos.camara.leg.br/api/v2/deputados/133961</t>
  </si>
  <si>
    <t>BRANDÃO MONTEIRO</t>
  </si>
  <si>
    <t>José Carlos Brandão Monteiro</t>
  </si>
  <si>
    <t>Rosário</t>
  </si>
  <si>
    <t>https://dadosabertos.camara.leg.br/api/v2/deputados/133895</t>
  </si>
  <si>
    <t>CALDAS RODRIGUES</t>
  </si>
  <si>
    <t>Francisco Pereira de Caldas Rodrigues</t>
  </si>
  <si>
    <t>https://dadosabertos.camara.leg.br/api/v2/deputados/73866</t>
  </si>
  <si>
    <t>CAMILO MACHADO</t>
  </si>
  <si>
    <t>Camilo Machado de Miranda</t>
  </si>
  <si>
    <t>Abadia dos Dourados</t>
  </si>
  <si>
    <t>https://dadosabertos.camara.leg.br/api/v2/deputados/133910</t>
  </si>
  <si>
    <t>CARDOSO ALVES</t>
  </si>
  <si>
    <t>Roberto Cardoso Alves</t>
  </si>
  <si>
    <t>Aparecida</t>
  </si>
  <si>
    <t>https://dadosabertos.camara.leg.br/api/v2/deputados/133899</t>
  </si>
  <si>
    <t>CARLOS ALBUQUERQUE</t>
  </si>
  <si>
    <t>Carlos Augusto de Oliveira de Albuquerque</t>
  </si>
  <si>
    <t>https://dadosabertos.camara.leg.br/api/v2/deputados/73641</t>
  </si>
  <si>
    <t>CARLOS AZAMBUJA</t>
  </si>
  <si>
    <t>Carlos Sá Azambuja</t>
  </si>
  <si>
    <t>https://dadosabertos.camara.leg.br/api/v2/deputados/73702</t>
  </si>
  <si>
    <t>CARLOS BENEVIDES</t>
  </si>
  <si>
    <t>Carlos Eduardo Benevides Neto</t>
  </si>
  <si>
    <t>https://dadosabertos.camara.leg.br/api/v2/deputados/73637</t>
  </si>
  <si>
    <t>CARLOS KAYATH</t>
  </si>
  <si>
    <t>CARLOS JEHÁ KAYATH</t>
  </si>
  <si>
    <t>https://dadosabertos.camara.leg.br/api/v2/deputados/73638</t>
  </si>
  <si>
    <t>CARLOS LUPI</t>
  </si>
  <si>
    <t>Carlos Roberto Lupi</t>
  </si>
  <si>
    <t>https://dadosabertos.camara.leg.br/api/v2/deputados/73639</t>
  </si>
  <si>
    <t>CARLOS ROBERTO MASSA</t>
  </si>
  <si>
    <t>Carlos Roberto Massa</t>
  </si>
  <si>
    <t>Águas de Lindóia</t>
  </si>
  <si>
    <t>https://dadosabertos.camara.leg.br/api/v2/deputados/133916</t>
  </si>
  <si>
    <t>CARLOS SANT'ANNA</t>
  </si>
  <si>
    <t>Carlos Corrêa de Menezes Sant'anna</t>
  </si>
  <si>
    <t>https://dadosabertos.camara.leg.br/api/v2/deputados/73640</t>
  </si>
  <si>
    <t>CARLOS SCARPELINI</t>
  </si>
  <si>
    <t>Carlos Roberto Scarpelini</t>
  </si>
  <si>
    <t>Apucarana</t>
  </si>
  <si>
    <t>https://dadosabertos.camara.leg.br/api/v2/deputados/133906</t>
  </si>
  <si>
    <t>CARLOS VIRGÍLIO</t>
  </si>
  <si>
    <t>Carlos Virgílio Augusto de Moraes Távora</t>
  </si>
  <si>
    <t>https://dadosabertos.camara.leg.br/api/v2/deputados/133877</t>
  </si>
  <si>
    <t>CARRION JÚNIOR</t>
  </si>
  <si>
    <t>Francisco Machado Carrion Júnior</t>
  </si>
  <si>
    <t>https://dadosabertos.camara.leg.br/api/v2/deputados/133971</t>
  </si>
  <si>
    <t>CÉLIO DE CASTRO</t>
  </si>
  <si>
    <t>Célio de Castro</t>
  </si>
  <si>
    <t>Carmópolis</t>
  </si>
  <si>
    <t>https://dadosabertos.camara.leg.br/api/v2/deputados/133997</t>
  </si>
  <si>
    <t>CELSO BERNARDI</t>
  </si>
  <si>
    <t>Celso Bernardi</t>
  </si>
  <si>
    <t>Augusto Pestana</t>
  </si>
  <si>
    <t>https://dadosabertos.camara.leg.br/api/v2/deputados/73964</t>
  </si>
  <si>
    <t>CELSO SOARES</t>
  </si>
  <si>
    <t>Celso Souza Soares</t>
  </si>
  <si>
    <t>https://dadosabertos.camara.leg.br/api/v2/deputados/133907</t>
  </si>
  <si>
    <t>CÉSAR CALS NETO</t>
  </si>
  <si>
    <t>César Cals de Oliveira Neto</t>
  </si>
  <si>
    <t>https://dadosabertos.camara.leg.br/api/v2/deputados/133987</t>
  </si>
  <si>
    <t>CESAR MAIA</t>
  </si>
  <si>
    <t>Cesar Epitácio Maia</t>
  </si>
  <si>
    <t>https://dadosabertos.camara.leg.br/api/v2/deputados/73955</t>
  </si>
  <si>
    <t>CHAFIC FARHAT</t>
  </si>
  <si>
    <t>Chafic Wady Farhat</t>
  </si>
  <si>
    <t>https://dadosabertos.camara.leg.br/api/v2/deputados/133991</t>
  </si>
  <si>
    <t>CHICO AMARAL</t>
  </si>
  <si>
    <t>Francisco Chico Amaral</t>
  </si>
  <si>
    <t>https://dadosabertos.camara.leg.br/api/v2/deputados/133847</t>
  </si>
  <si>
    <t>CHRISTOVAM CHIARADIA</t>
  </si>
  <si>
    <t>Christovam Chiaradia</t>
  </si>
  <si>
    <t>Córrego do Bom Jesus</t>
  </si>
  <si>
    <t>https://dadosabertos.camara.leg.br/api/v2/deputados/133995</t>
  </si>
  <si>
    <t>CID CARVALHO</t>
  </si>
  <si>
    <t>Cid Rojas Américo de Carvalho</t>
  </si>
  <si>
    <t>https://dadosabertos.camara.leg.br/api/v2/deputados/133957</t>
  </si>
  <si>
    <t>Ciro Nogueira Lima</t>
  </si>
  <si>
    <t>Pedro II</t>
  </si>
  <si>
    <t>https://dadosabertos.camara.leg.br/api/v2/deputados/73813</t>
  </si>
  <si>
    <t>CLETO FALCÃO</t>
  </si>
  <si>
    <t>William Cleto Falcão de Alencar</t>
  </si>
  <si>
    <t>https://dadosabertos.camara.leg.br/api/v2/deputados/73721</t>
  </si>
  <si>
    <t>CLOVIS ASSIS</t>
  </si>
  <si>
    <t>Clovis Raimundo Gomes de Assis</t>
  </si>
  <si>
    <t>https://dadosabertos.camara.leg.br/api/v2/deputados/133900</t>
  </si>
  <si>
    <t>CYRO GARCIA</t>
  </si>
  <si>
    <t>https://dadosabertos.camara.leg.br/api/v2/deputados/73703</t>
  </si>
  <si>
    <t>DANIEL SILVA</t>
  </si>
  <si>
    <t>Daniel Silva Alves</t>
  </si>
  <si>
    <t>https://dadosabertos.camara.leg.br/api/v2/deputados/73722</t>
  </si>
  <si>
    <t>DELCINO TAVARES</t>
  </si>
  <si>
    <t>Delcino Tavares da Silva</t>
  </si>
  <si>
    <t>Mangueirinha</t>
  </si>
  <si>
    <t>https://dadosabertos.camara.leg.br/api/v2/deputados/133989</t>
  </si>
  <si>
    <t>DÉLIO BRAZ</t>
  </si>
  <si>
    <t>Délio José Braz</t>
  </si>
  <si>
    <t>https://dadosabertos.camara.leg.br/api/v2/deputados/73952</t>
  </si>
  <si>
    <t>DENI SCHWARTZ</t>
  </si>
  <si>
    <t>Deni Lineu Schwartz</t>
  </si>
  <si>
    <t>https://dadosabertos.camara.leg.br/api/v2/deputados/133885</t>
  </si>
  <si>
    <t>DIOGO NOMURA</t>
  </si>
  <si>
    <t>Diogo Nomura</t>
  </si>
  <si>
    <t>Registro</t>
  </si>
  <si>
    <t>https://dadosabertos.camara.leg.br/api/v2/deputados/133856</t>
  </si>
  <si>
    <t>DJENAL GONÇALVES</t>
  </si>
  <si>
    <t>DJENAL GONÇALVES SOARES</t>
  </si>
  <si>
    <t>Canhoba</t>
  </si>
  <si>
    <t>https://dadosabertos.camara.leg.br/api/v2/deputados/133993</t>
  </si>
  <si>
    <t>DOMINGOS JUVENIL</t>
  </si>
  <si>
    <t>Domingos Juvenil Nunes de Sousa</t>
  </si>
  <si>
    <t>Vigia</t>
  </si>
  <si>
    <t>https://dadosabertos.camara.leg.br/api/v2/deputados/133952</t>
  </si>
  <si>
    <t>ÉDEN PEDROSO</t>
  </si>
  <si>
    <t>Éden José Rodrigues Pedroso</t>
  </si>
  <si>
    <t>https://dadosabertos.camara.leg.br/api/v2/deputados/133983</t>
  </si>
  <si>
    <t>EDÉSIO FRIAS</t>
  </si>
  <si>
    <t>Edésio Frias de Araújo</t>
  </si>
  <si>
    <t>Moreno</t>
  </si>
  <si>
    <t>https://dadosabertos.camara.leg.br/api/v2/deputados/73724</t>
  </si>
  <si>
    <t>EDÉSIO PASSOS</t>
  </si>
  <si>
    <t>Edésio Franco Passos</t>
  </si>
  <si>
    <t>Tomazina</t>
  </si>
  <si>
    <t>https://dadosabertos.camara.leg.br/api/v2/deputados/73725</t>
  </si>
  <si>
    <t>EDEVALDO ALVES DA SILVA</t>
  </si>
  <si>
    <t>Edevaldo Alves da Silva</t>
  </si>
  <si>
    <t>Cosmópolis</t>
  </si>
  <si>
    <t>https://dadosabertos.camara.leg.br/api/v2/deputados/73705</t>
  </si>
  <si>
    <t>EDI SILIPRANDI</t>
  </si>
  <si>
    <t>Constantina</t>
  </si>
  <si>
    <t>https://dadosabertos.camara.leg.br/api/v2/deputados/133901</t>
  </si>
  <si>
    <t>EDINHO FERRAMENTA</t>
  </si>
  <si>
    <t>Edson de Oliveira Cunha</t>
  </si>
  <si>
    <t>Timóteo</t>
  </si>
  <si>
    <t>https://dadosabertos.camara.leg.br/api/v2/deputados/73726</t>
  </si>
  <si>
    <t>EDISON FIDELIS</t>
  </si>
  <si>
    <t>Edison Fidelis de Souza</t>
  </si>
  <si>
    <t>https://dadosabertos.camara.leg.br/api/v2/deputados/133851</t>
  </si>
  <si>
    <t>EDIVALDO MOTTA</t>
  </si>
  <si>
    <t>Edivaldo Fernandes Motta</t>
  </si>
  <si>
    <t>Patos</t>
  </si>
  <si>
    <t>https://dadosabertos.camara.leg.br/api/v2/deputados/133917</t>
  </si>
  <si>
    <t>EDUARDO BRAGA</t>
  </si>
  <si>
    <t>Carlos Eduardo de Souza Braga</t>
  </si>
  <si>
    <t>https://dadosabertos.camara.leg.br/api/v2/deputados/73727</t>
  </si>
  <si>
    <t>EDUARDO MATIAS</t>
  </si>
  <si>
    <t>Eduardo Costa Matias da Paz</t>
  </si>
  <si>
    <t>Igarapé Grande</t>
  </si>
  <si>
    <t>https://dadosabertos.camara.leg.br/api/v2/deputados/133911</t>
  </si>
  <si>
    <t>EDUARDO MOREIRA</t>
  </si>
  <si>
    <t>Eduardo Pinho Moreira</t>
  </si>
  <si>
    <t>https://dadosabertos.camara.leg.br/api/v2/deputados/133972</t>
  </si>
  <si>
    <t>EDUARDO SIQUEIRA CAMPOS</t>
  </si>
  <si>
    <t>José Eduardo Siqueira Campos</t>
  </si>
  <si>
    <t>https://dadosabertos.camara.leg.br/api/v2/deputados/133844</t>
  </si>
  <si>
    <t>ELIEL RODRIGUES</t>
  </si>
  <si>
    <t>Eliel Rodrigues</t>
  </si>
  <si>
    <t>https://dadosabertos.camara.leg.br/api/v2/deputados/73706</t>
  </si>
  <si>
    <t>ÉLIO DALLA-VECCHIA</t>
  </si>
  <si>
    <t>Élio Antonio Dalla Vecchia</t>
  </si>
  <si>
    <t>https://dadosabertos.camara.leg.br/api/v2/deputados/77656</t>
  </si>
  <si>
    <t>ENÉAS FARIA</t>
  </si>
  <si>
    <t>Enéas Eugênio Pereira Faria</t>
  </si>
  <si>
    <t>https://dadosabertos.camara.leg.br/api/v2/deputados/133927</t>
  </si>
  <si>
    <t>ERNANI VIANA</t>
  </si>
  <si>
    <t>Ernani de Queiroz Viana</t>
  </si>
  <si>
    <t>https://dadosabertos.camara.leg.br/api/v2/deputados/73729</t>
  </si>
  <si>
    <t>ERNESTO GRADELLA</t>
  </si>
  <si>
    <t>Ernesto Gradella Neto</t>
  </si>
  <si>
    <t>https://dadosabertos.camara.leg.br/api/v2/deputados/65468</t>
  </si>
  <si>
    <t>ERVIN BONKOSKI</t>
  </si>
  <si>
    <t>Ervin Bonkoski</t>
  </si>
  <si>
    <t>https://dadosabertos.camara.leg.br/api/v2/deputados/133840</t>
  </si>
  <si>
    <t>ETEVALDO NOGUEIRA</t>
  </si>
  <si>
    <t>Etevaldo Nogueira Lima</t>
  </si>
  <si>
    <t>https://dadosabertos.camara.leg.br/api/v2/deputados/73824</t>
  </si>
  <si>
    <t>EUCLYDES MELLO</t>
  </si>
  <si>
    <t>Euclydes Affonso de Mello Neto</t>
  </si>
  <si>
    <t>https://dadosabertos.camara.leg.br/api/v2/deputados/133973</t>
  </si>
  <si>
    <t>EURICO RIBEIRO</t>
  </si>
  <si>
    <t>Eurico Bartolomeu Ribeiro</t>
  </si>
  <si>
    <t>https://dadosabertos.camara.leg.br/api/v2/deputados/133892</t>
  </si>
  <si>
    <t>EURIDES BRITO</t>
  </si>
  <si>
    <t>Eurides Brito da Silva</t>
  </si>
  <si>
    <t>https://dadosabertos.camara.leg.br/api/v2/deputados/133858</t>
  </si>
  <si>
    <t>EVALDO GONÇALVES</t>
  </si>
  <si>
    <t>Evaldo Gonçalves de Queiroz</t>
  </si>
  <si>
    <t>São João do Cariri</t>
  </si>
  <si>
    <t>https://dadosabertos.camara.leg.br/api/v2/deputados/73712</t>
  </si>
  <si>
    <t>EVERALDO DE OLIVEIRA</t>
  </si>
  <si>
    <t>José Everaldo de Oliveira</t>
  </si>
  <si>
    <t>Poço Verde</t>
  </si>
  <si>
    <t>https://dadosabertos.camara.leg.br/api/v2/deputados/73959</t>
  </si>
  <si>
    <t>EXPEDITO RAFAEL</t>
  </si>
  <si>
    <t>Expedito Rafael Góes de Siqueira</t>
  </si>
  <si>
    <t>https://dadosabertos.camara.leg.br/api/v2/deputados/133865</t>
  </si>
  <si>
    <t>ÉZIO FERREIRA</t>
  </si>
  <si>
    <t>Ézio Ferreira de Souza</t>
  </si>
  <si>
    <t>https://dadosabertos.camara.leg.br/api/v2/deputados/73730</t>
  </si>
  <si>
    <t>FÁBIO MEIRELLES</t>
  </si>
  <si>
    <t>Fábio de Salles Meirelles</t>
  </si>
  <si>
    <t>Cajuru</t>
  </si>
  <si>
    <t>https://dadosabertos.camara.leg.br/api/v2/deputados/65472</t>
  </si>
  <si>
    <t>FÁBIO RAUNHEITTI</t>
  </si>
  <si>
    <t>Fábio Raunheitti</t>
  </si>
  <si>
    <t>https://dadosabertos.camara.leg.br/api/v2/deputados/133872</t>
  </si>
  <si>
    <t>FAUSTO ROCHA</t>
  </si>
  <si>
    <t>Fausto Auromir Lopes Rocha</t>
  </si>
  <si>
    <t>https://dadosabertos.camara.leg.br/api/v2/deputados/133918</t>
  </si>
  <si>
    <t>FELIPE NÉRI</t>
  </si>
  <si>
    <t>Felipe Néri de Almeida</t>
  </si>
  <si>
    <t>https://dadosabertos.camara.leg.br/api/v2/deputados/133970</t>
  </si>
  <si>
    <t>FÉRES NADER</t>
  </si>
  <si>
    <t>Féres Osrraia Nader</t>
  </si>
  <si>
    <t>Bananal</t>
  </si>
  <si>
    <t>https://dadosabertos.camara.leg.br/api/v2/deputados/133841</t>
  </si>
  <si>
    <t>FERNANDO BEZERRA COELHO</t>
  </si>
  <si>
    <t>Fernando Bezerra de Souza Coelho</t>
  </si>
  <si>
    <t>Petrolina</t>
  </si>
  <si>
    <t>https://dadosabertos.camara.leg.br/api/v2/deputados/133950</t>
  </si>
  <si>
    <t>FERNANDO CARRION</t>
  </si>
  <si>
    <t>Fernando da Silva Machado Carrion</t>
  </si>
  <si>
    <t>https://dadosabertos.camara.leg.br/api/v2/deputados/73732</t>
  </si>
  <si>
    <t>FERNANDO FREIRE</t>
  </si>
  <si>
    <t>Fernando Antonio da Câmara Freire</t>
  </si>
  <si>
    <t>https://dadosabertos.camara.leg.br/api/v2/deputados/65475</t>
  </si>
  <si>
    <t>FLÁVIO ROCHA</t>
  </si>
  <si>
    <t>Flávio Gurgel Rocha</t>
  </si>
  <si>
    <t>https://dadosabertos.camara.leg.br/api/v2/deputados/133873</t>
  </si>
  <si>
    <t>FLORESTAN FERNANDES</t>
  </si>
  <si>
    <t>Florestan Fernandes</t>
  </si>
  <si>
    <t>https://dadosabertos.camara.leg.br/api/v2/deputados/133925</t>
  </si>
  <si>
    <t>FRANCISCO EVANGELISTA</t>
  </si>
  <si>
    <t>Francisco Evangelista de Freitas</t>
  </si>
  <si>
    <t>Alexandria</t>
  </si>
  <si>
    <t>https://dadosabertos.camara.leg.br/api/v2/deputados/133964</t>
  </si>
  <si>
    <t>GASTONE RIGHI</t>
  </si>
  <si>
    <t>Gastone Righi Cuoghi</t>
  </si>
  <si>
    <t>https://dadosabertos.camara.leg.br/api/v2/deputados/133979</t>
  </si>
  <si>
    <t>GENEBALDO CORREIA</t>
  </si>
  <si>
    <t>GENEBALDO SOUZA CORREIA</t>
  </si>
  <si>
    <t>Santo Amaro</t>
  </si>
  <si>
    <t>https://dadosabertos.camara.leg.br/api/v2/deputados/133929</t>
  </si>
  <si>
    <t>GEORGE TAKIMOTO</t>
  </si>
  <si>
    <t>George Takimoto</t>
  </si>
  <si>
    <t>Lavínia</t>
  </si>
  <si>
    <t>https://dadosabertos.camara.leg.br/api/v2/deputados/65480</t>
  </si>
  <si>
    <t>GERALDO ALCKMIN FILHO</t>
  </si>
  <si>
    <t>Geraldo José Rodrigues Alckmin Filho</t>
  </si>
  <si>
    <t>https://dadosabertos.camara.leg.br/api/v2/deputados/133920</t>
  </si>
  <si>
    <t>GETÚLIO NEIVA</t>
  </si>
  <si>
    <t>Getúlio Afonso Porto Neiva</t>
  </si>
  <si>
    <t>Medina</t>
  </si>
  <si>
    <t>https://dadosabertos.camara.leg.br/api/v2/deputados/73972</t>
  </si>
  <si>
    <t>GILBERTO MOSMANN</t>
  </si>
  <si>
    <t>Gilberto Mosmann</t>
  </si>
  <si>
    <t>https://dadosabertos.camara.leg.br/api/v2/deputados/133842</t>
  </si>
  <si>
    <t>GILSON MACHADO</t>
  </si>
  <si>
    <t>Gilson Machado Guimarães Filho</t>
  </si>
  <si>
    <t>https://dadosabertos.camara.leg.br/api/v2/deputados/73815</t>
  </si>
  <si>
    <t>GILVAM BORGES</t>
  </si>
  <si>
    <t>Gilvam Pinheiro Borges</t>
  </si>
  <si>
    <t>https://dadosabertos.camara.leg.br/api/v2/deputados/73707</t>
  </si>
  <si>
    <t>GUSTAVO KRAUSE</t>
  </si>
  <si>
    <t>Gustavo Krause Gonçalves Sobrinho</t>
  </si>
  <si>
    <t>https://dadosabertos.camara.leg.br/api/v2/deputados/73819</t>
  </si>
  <si>
    <t>HAGAHÚS ARAÚJO</t>
  </si>
  <si>
    <t>Hagahús Araújo e Silva</t>
  </si>
  <si>
    <t>https://dadosabertos.camara.leg.br/api/v2/deputados/73738</t>
  </si>
  <si>
    <t>HALEY MARGON</t>
  </si>
  <si>
    <t>Haley Margon Vaz</t>
  </si>
  <si>
    <t>Catalão</t>
  </si>
  <si>
    <t>https://dadosabertos.camara.leg.br/api/v2/deputados/73739</t>
  </si>
  <si>
    <t>HEITOR FRANCO</t>
  </si>
  <si>
    <t>Heitor Franco de Oliveira</t>
  </si>
  <si>
    <t>Aguaí</t>
  </si>
  <si>
    <t>https://dadosabertos.camara.leg.br/api/v2/deputados/73960</t>
  </si>
  <si>
    <t>HELIO FELTES</t>
  </si>
  <si>
    <t>Helio Feltes</t>
  </si>
  <si>
    <t>https://dadosabertos.camara.leg.br/api/v2/deputados/73953</t>
  </si>
  <si>
    <t>HELVECIO CASTELLO</t>
  </si>
  <si>
    <t>Helvecio Duia Castello</t>
  </si>
  <si>
    <t>https://dadosabertos.camara.leg.br/api/v2/deputados/73740</t>
  </si>
  <si>
    <t>HERMÍNIO CALVINHO</t>
  </si>
  <si>
    <t>Hermínio Calvinho Filho</t>
  </si>
  <si>
    <t>https://dadosabertos.camara.leg.br/api/v2/deputados/73708</t>
  </si>
  <si>
    <t>HILÁRIO BRAUN</t>
  </si>
  <si>
    <t>Hilário Braun</t>
  </si>
  <si>
    <t>Três Passos</t>
  </si>
  <si>
    <t>https://dadosabertos.camara.leg.br/api/v2/deputados/73974</t>
  </si>
  <si>
    <t>HUMBERTO PARRO</t>
  </si>
  <si>
    <t>Humberto Carlos Parro</t>
  </si>
  <si>
    <t>Valparaíso</t>
  </si>
  <si>
    <t>https://dadosabertos.camara.leg.br/api/v2/deputados/73741</t>
  </si>
  <si>
    <t>IRANI BARBOSA</t>
  </si>
  <si>
    <t>Irani Vieira Barbosa</t>
  </si>
  <si>
    <t>https://dadosabertos.camara.leg.br/api/v2/deputados/133915</t>
  </si>
  <si>
    <t>IRMA PASSONI</t>
  </si>
  <si>
    <t>Irma Rossetto Passoni</t>
  </si>
  <si>
    <t>https://dadosabertos.camara.leg.br/api/v2/deputados/73954</t>
  </si>
  <si>
    <t>ITSUO TAKAYAMA</t>
  </si>
  <si>
    <t>Itsuo Takayama</t>
  </si>
  <si>
    <t>Anhumas</t>
  </si>
  <si>
    <t>https://dadosabertos.camara.leg.br/api/v2/deputados/73709</t>
  </si>
  <si>
    <t>IVAN BURITY</t>
  </si>
  <si>
    <t>Ivan Burity de Almeida</t>
  </si>
  <si>
    <t>https://dadosabertos.camara.leg.br/api/v2/deputados/133959</t>
  </si>
  <si>
    <t>JABES RABELO</t>
  </si>
  <si>
    <t>Jabes Pinto Rabelo</t>
  </si>
  <si>
    <t>Campo Mourão</t>
  </si>
  <si>
    <t>https://dadosabertos.camara.leg.br/api/v2/deputados/73742</t>
  </si>
  <si>
    <t>JABES RIBEIRO</t>
  </si>
  <si>
    <t>Jabes Souza Ribeiro</t>
  </si>
  <si>
    <t>https://dadosabertos.camara.leg.br/api/v2/deputados/133954</t>
  </si>
  <si>
    <t>JARVIS GAIDZINSKI</t>
  </si>
  <si>
    <t>Jarvis Gaidzinski</t>
  </si>
  <si>
    <t>https://dadosabertos.camara.leg.br/api/v2/deputados/73967</t>
  </si>
  <si>
    <t>JÁZER MENEZES</t>
  </si>
  <si>
    <t>Jázer Menezes Bezerra</t>
  </si>
  <si>
    <t>https://dadosabertos.camara.leg.br/api/v2/deputados/133862</t>
  </si>
  <si>
    <t>JESUS TAJRA</t>
  </si>
  <si>
    <t>Jesus Elias Tajra</t>
  </si>
  <si>
    <t>https://dadosabertos.camara.leg.br/api/v2/deputados/133980</t>
  </si>
  <si>
    <t>JOÃO ALVES</t>
  </si>
  <si>
    <t>João Alves de Almeida</t>
  </si>
  <si>
    <t>https://dadosabertos.camara.leg.br/api/v2/deputados/133891</t>
  </si>
  <si>
    <t>JOÃO BAPTISTA MOTTA</t>
  </si>
  <si>
    <t>João Baptista da Motta</t>
  </si>
  <si>
    <t>https://dadosabertos.camara.leg.br/api/v2/deputados/73962</t>
  </si>
  <si>
    <t>JOÃO CEZAR</t>
  </si>
  <si>
    <t>João Cezar Moraes</t>
  </si>
  <si>
    <t>https://dadosabertos.camara.leg.br/api/v2/deputados/133863</t>
  </si>
  <si>
    <t>JOÃO DE DEUS ANTUNES</t>
  </si>
  <si>
    <t>João de Deus Antunes</t>
  </si>
  <si>
    <t>https://dadosabertos.camara.leg.br/api/v2/deputados/133881</t>
  </si>
  <si>
    <t>JOÃO FAGUNDES</t>
  </si>
  <si>
    <t>João Batista da Silva Fagundes</t>
  </si>
  <si>
    <t>https://dadosabertos.camara.leg.br/api/v2/deputados/133969</t>
  </si>
  <si>
    <t>JOÃO PAULO</t>
  </si>
  <si>
    <t>João Paulo Pires de Vasconcellos</t>
  </si>
  <si>
    <t>https://dadosabertos.camara.leg.br/api/v2/deputados/133935</t>
  </si>
  <si>
    <t>JOÃO RODOLFO</t>
  </si>
  <si>
    <t>João Rodolfo Ribeiro Gonçalves</t>
  </si>
  <si>
    <t>https://dadosabertos.camara.leg.br/api/v2/deputados/133921</t>
  </si>
  <si>
    <t>JOÃO ROSA</t>
  </si>
  <si>
    <t>João Batista Rosa</t>
  </si>
  <si>
    <t>Estiva</t>
  </si>
  <si>
    <t>https://dadosabertos.camara.leg.br/api/v2/deputados/73744</t>
  </si>
  <si>
    <t>JOÃO TEIXEIRA</t>
  </si>
  <si>
    <t>João Batista Teixeira Santos</t>
  </si>
  <si>
    <t>https://dadosabertos.camara.leg.br/api/v2/deputados/133857</t>
  </si>
  <si>
    <t>JOAQUIM SUCENA</t>
  </si>
  <si>
    <t>Joaquim Sucena Rasga</t>
  </si>
  <si>
    <t>https://dadosabertos.camara.leg.br/api/v2/deputados/73710</t>
  </si>
  <si>
    <t>JONAS PINHEIRO</t>
  </si>
  <si>
    <t>Jonas Pinheiro da Silva</t>
  </si>
  <si>
    <t>https://dadosabertos.camara.leg.br/api/v2/deputados/133974</t>
  </si>
  <si>
    <t>JONES SANTOS NEVES</t>
  </si>
  <si>
    <t>Jones Santos Neves Filho</t>
  </si>
  <si>
    <t>https://dadosabertos.camara.leg.br/api/v2/deputados/73747</t>
  </si>
  <si>
    <t>JONI VARISCO</t>
  </si>
  <si>
    <t>Joni Paulo Varisco</t>
  </si>
  <si>
    <t>https://dadosabertos.camara.leg.br/api/v2/deputados/133854</t>
  </si>
  <si>
    <t>JORGE UEQUED</t>
  </si>
  <si>
    <t>Feres Jorge Rocha e Silva Uequed</t>
  </si>
  <si>
    <t>https://dadosabertos.camara.leg.br/api/v2/deputados/133933</t>
  </si>
  <si>
    <t>JÓRIO DE BARROS</t>
  </si>
  <si>
    <t>JÓRIO DE BARROS CARNEIRO</t>
  </si>
  <si>
    <t>https://dadosabertos.camara.leg.br/api/v2/deputados/73711</t>
  </si>
  <si>
    <t>JOSÉ ABRÃO</t>
  </si>
  <si>
    <t>José Abrão</t>
  </si>
  <si>
    <t>Cabrália Paulista</t>
  </si>
  <si>
    <t>https://dadosabertos.camara.leg.br/api/v2/deputados/133848</t>
  </si>
  <si>
    <t>JOSÉ ALDO</t>
  </si>
  <si>
    <t>José Aldo dos Santos</t>
  </si>
  <si>
    <t>https://dadosabertos.camara.leg.br/api/v2/deputados/73749</t>
  </si>
  <si>
    <t>JOSÉ BELATO</t>
  </si>
  <si>
    <t>José Adamo Belato</t>
  </si>
  <si>
    <t>Monsenhor Paulo</t>
  </si>
  <si>
    <t>https://dadosabertos.camara.leg.br/api/v2/deputados/133936</t>
  </si>
  <si>
    <t>JOSÉ BURNETT</t>
  </si>
  <si>
    <t>José Ramalho Burnett da Silva</t>
  </si>
  <si>
    <t>https://dadosabertos.camara.leg.br/api/v2/deputados/133976</t>
  </si>
  <si>
    <t>JOSÉ CARLOS VASCONCELLOS</t>
  </si>
  <si>
    <t>José Carlos de Moraes Vasconcellos</t>
  </si>
  <si>
    <t>https://dadosabertos.camara.leg.br/api/v2/deputados/73751</t>
  </si>
  <si>
    <t>JOSÉ CICOTE</t>
  </si>
  <si>
    <t>José Cicote</t>
  </si>
  <si>
    <t>https://dadosabertos.camara.leg.br/api/v2/deputados/133940</t>
  </si>
  <si>
    <t>JOSÉ DIOGO</t>
  </si>
  <si>
    <t>José Joaquim Diogo</t>
  </si>
  <si>
    <t>https://dadosabertos.camara.leg.br/api/v2/deputados/133867</t>
  </si>
  <si>
    <t>JOSÉ DUTRA</t>
  </si>
  <si>
    <t>JOSÉ CARDOSO DUTRA</t>
  </si>
  <si>
    <t>Barreirinha</t>
  </si>
  <si>
    <t>https://dadosabertos.camara.leg.br/api/v2/deputados/133861</t>
  </si>
  <si>
    <t>JOSÉ ELIAS</t>
  </si>
  <si>
    <t>José Elias Moreira</t>
  </si>
  <si>
    <t>https://dadosabertos.camara.leg.br/api/v2/deputados/133941</t>
  </si>
  <si>
    <t>JOSÉ FALCÃO</t>
  </si>
  <si>
    <t>José Falcão da Silva</t>
  </si>
  <si>
    <t>São Gonçalo dos Campos</t>
  </si>
  <si>
    <t>https://dadosabertos.camara.leg.br/api/v2/deputados/73715</t>
  </si>
  <si>
    <t>JOSÉ FELINTO</t>
  </si>
  <si>
    <t>José Severino Silva Felinto</t>
  </si>
  <si>
    <t>https://dadosabertos.camara.leg.br/api/v2/deputados/133981</t>
  </si>
  <si>
    <t>JOSÉ GERALDO</t>
  </si>
  <si>
    <t>José Geraldo Ribeiro</t>
  </si>
  <si>
    <t>Jequeri</t>
  </si>
  <si>
    <t>https://dadosabertos.camara.leg.br/api/v2/deputados/133914</t>
  </si>
  <si>
    <t>JOSÉ LUIZ MAIA</t>
  </si>
  <si>
    <t>José Luiz Martins Maia</t>
  </si>
  <si>
    <t>https://dadosabertos.camara.leg.br/api/v2/deputados/133975</t>
  </si>
  <si>
    <t>JOSÉ MARANHÃO</t>
  </si>
  <si>
    <t>José Targino Maranhão</t>
  </si>
  <si>
    <t>Araruna</t>
  </si>
  <si>
    <t>https://dadosabertos.camara.leg.br/api/v2/deputados/133839</t>
  </si>
  <si>
    <t>JOSÉ MARIA EYMAEL</t>
  </si>
  <si>
    <t>JOSE MARIA EYMAEL</t>
  </si>
  <si>
    <t>https://dadosabertos.camara.leg.br/api/v2/deputados/133977</t>
  </si>
  <si>
    <t>JOSÉ MOURA</t>
  </si>
  <si>
    <t>José Tavares de Moura Neto</t>
  </si>
  <si>
    <t>https://dadosabertos.camara.leg.br/api/v2/deputados/133782</t>
  </si>
  <si>
    <t>JOSÉ PENEDO</t>
  </si>
  <si>
    <t>José Penedo Cavalcanti de Albuquerque</t>
  </si>
  <si>
    <t>Tucano</t>
  </si>
  <si>
    <t>https://dadosabertos.camara.leg.br/api/v2/deputados/65495</t>
  </si>
  <si>
    <t>JOSÉ SERRA</t>
  </si>
  <si>
    <t>José Serra</t>
  </si>
  <si>
    <t>https://dadosabertos.camara.leg.br/api/v2/deputados/133962</t>
  </si>
  <si>
    <t>JOSÉ ULISSES DE OLIVEIRA</t>
  </si>
  <si>
    <t>José Ulisses de Oliveira</t>
  </si>
  <si>
    <t>Santo Antônio do Monte</t>
  </si>
  <si>
    <t>https://dadosabertos.camara.leg.br/api/v2/deputados/73756</t>
  </si>
  <si>
    <t>JOSÉ VICENTE BRIZOLA</t>
  </si>
  <si>
    <t>José Vicente Goulart Brizola</t>
  </si>
  <si>
    <t>https://dadosabertos.camara.leg.br/api/v2/deputados/73975</t>
  </si>
  <si>
    <t>JOSÉ VIÉGAS</t>
  </si>
  <si>
    <t>José Otávio Cabral Viégas</t>
  </si>
  <si>
    <t>https://dadosabertos.camara.leg.br/api/v2/deputados/73630</t>
  </si>
  <si>
    <t>JULIO CABRAL</t>
  </si>
  <si>
    <t>Antonio Julio Bernardo Cabral</t>
  </si>
  <si>
    <t>https://dadosabertos.camara.leg.br/api/v2/deputados/73757</t>
  </si>
  <si>
    <t>JUNOT ABI-RAMIA</t>
  </si>
  <si>
    <t>Junot Abi-ramia Antonio</t>
  </si>
  <si>
    <t>https://dadosabertos.camara.leg.br/api/v2/deputados/132146</t>
  </si>
  <si>
    <t>Jurandir da Paixão Campos Freire</t>
  </si>
  <si>
    <t>https://dadosabertos.camara.leg.br/api/v2/deputados/73869</t>
  </si>
  <si>
    <t>LAERTE BASTOS</t>
  </si>
  <si>
    <t>Laerte Rezende Bastos</t>
  </si>
  <si>
    <t>https://dadosabertos.camara.leg.br/api/v2/deputados/133931</t>
  </si>
  <si>
    <t>LÁZARO BARBOSA</t>
  </si>
  <si>
    <t>Lázaro Ferreira Barboza</t>
  </si>
  <si>
    <t>Orizona</t>
  </si>
  <si>
    <t>https://dadosabertos.camara.leg.br/api/v2/deputados/73826</t>
  </si>
  <si>
    <t>LÉZIO SATHLER</t>
  </si>
  <si>
    <t>Lézio Gomes Sathler</t>
  </si>
  <si>
    <t>Lajinha</t>
  </si>
  <si>
    <t>https://dadosabertos.camara.leg.br/api/v2/deputados/73754</t>
  </si>
  <si>
    <t>LIBERATO CABOCLO</t>
  </si>
  <si>
    <t>JOSE LIBERATO FERREIRA CABOCLO</t>
  </si>
  <si>
    <t>https://dadosabertos.camara.leg.br/api/v2/deputados/73822</t>
  </si>
  <si>
    <t>LOURIVAL FREITAS</t>
  </si>
  <si>
    <t>Lourival do Carmo de Freitas</t>
  </si>
  <si>
    <t>https://dadosabertos.camara.leg.br/api/v2/deputados/133937</t>
  </si>
  <si>
    <t>LUIZ GIRÃO</t>
  </si>
  <si>
    <t>Luiz Prata Girão</t>
  </si>
  <si>
    <t>Maranguape</t>
  </si>
  <si>
    <t>https://dadosabertos.camara.leg.br/api/v2/deputados/73717</t>
  </si>
  <si>
    <t>LUIZ PONTES</t>
  </si>
  <si>
    <t>Luiz Alberto Vidal Pontes</t>
  </si>
  <si>
    <t>https://dadosabertos.camara.leg.br/api/v2/deputados/133870</t>
  </si>
  <si>
    <t>LUIZ SOYER</t>
  </si>
  <si>
    <t>Luiz Alberto Soyer</t>
  </si>
  <si>
    <t>https://dadosabertos.camara.leg.br/api/v2/deputados/133922</t>
  </si>
  <si>
    <t>LUIZ TADEU LEITE</t>
  </si>
  <si>
    <t>Luiz Tadeu Leite</t>
  </si>
  <si>
    <t>https://dadosabertos.camara.leg.br/api/v2/deputados/133967</t>
  </si>
  <si>
    <t>LUIZ VIANA NETO</t>
  </si>
  <si>
    <t>Luiz Viana Neto</t>
  </si>
  <si>
    <t>https://dadosabertos.camara.leg.br/api/v2/deputados/133982</t>
  </si>
  <si>
    <t>LYSÂNEAS MACIEL</t>
  </si>
  <si>
    <t>Lysâneas Dias Maciel</t>
  </si>
  <si>
    <t>https://dadosabertos.camara.leg.br/api/v2/deputados/133879</t>
  </si>
  <si>
    <t>MAGALHÃES TEIXEIRA</t>
  </si>
  <si>
    <t>José Roberto Magalhães Teixeira</t>
  </si>
  <si>
    <t>https://dadosabertos.camara.leg.br/api/v2/deputados/73969</t>
  </si>
  <si>
    <t>MAKOTO IGUCHI</t>
  </si>
  <si>
    <t>Makoto Iguchi</t>
  </si>
  <si>
    <t>https://dadosabertos.camara.leg.br/api/v2/deputados/73820</t>
  </si>
  <si>
    <t>MANOEL MONTENEGRO</t>
  </si>
  <si>
    <t>Manoel Montenegro Neto</t>
  </si>
  <si>
    <t>https://dadosabertos.camara.leg.br/api/v2/deputados/73495</t>
  </si>
  <si>
    <t>MANOEL MOREIRA</t>
  </si>
  <si>
    <t>MANOEL MOREIRA DE ARAUJO FILHO</t>
  </si>
  <si>
    <t>https://dadosabertos.camara.leg.br/api/v2/deputados/133994</t>
  </si>
  <si>
    <t>MANOEL RIBEIRO</t>
  </si>
  <si>
    <t>Manoel Nazareth Sant'anna Ribeiro</t>
  </si>
  <si>
    <t>https://dadosabertos.camara.leg.br/api/v2/deputados/65459</t>
  </si>
  <si>
    <t>MANUEL VIANA</t>
  </si>
  <si>
    <t>Manuel Francisco Viana Neto</t>
  </si>
  <si>
    <t>https://dadosabertos.camara.leg.br/api/v2/deputados/133887</t>
  </si>
  <si>
    <t>MARCELINO ROMANO MACHADO</t>
  </si>
  <si>
    <t>Marcelino Romano Machado</t>
  </si>
  <si>
    <t>https://dadosabertos.camara.leg.br/api/v2/deputados/133880</t>
  </si>
  <si>
    <t>MARCELO LUZ</t>
  </si>
  <si>
    <t>Marcelo de Souza Luz</t>
  </si>
  <si>
    <t>https://dadosabertos.camara.leg.br/api/v2/deputados/73719</t>
  </si>
  <si>
    <t>MARCO PENAFORTE</t>
  </si>
  <si>
    <t>Marco Antonio de Holanda Penaforte</t>
  </si>
  <si>
    <t>https://dadosabertos.camara.leg.br/api/v2/deputados/67144</t>
  </si>
  <si>
    <t>MARCOS FORMIGA</t>
  </si>
  <si>
    <t>Marcos César Formiga Ramos</t>
  </si>
  <si>
    <t>https://dadosabertos.camara.leg.br/api/v2/deputados/73796</t>
  </si>
  <si>
    <t>MARIA LUIZA FONTENELE</t>
  </si>
  <si>
    <t>Maria Luiza Menezes Fontenele</t>
  </si>
  <si>
    <t>https://dadosabertos.camara.leg.br/api/v2/deputados/133893</t>
  </si>
  <si>
    <t>MARINO CLINGER</t>
  </si>
  <si>
    <t>Marino Clinger Toledo Netto</t>
  </si>
  <si>
    <t>https://dadosabertos.camara.leg.br/api/v2/deputados/133963</t>
  </si>
  <si>
    <t>MÁRIO ASSAD</t>
  </si>
  <si>
    <t>Mário Assad</t>
  </si>
  <si>
    <t>https://dadosabertos.camara.leg.br/api/v2/deputados/133889</t>
  </si>
  <si>
    <t>MARIO CHERMONT</t>
  </si>
  <si>
    <t>Mario Moraes Chermont</t>
  </si>
  <si>
    <t>https://dadosabertos.camara.leg.br/api/v2/deputados/73976</t>
  </si>
  <si>
    <t>MARIO ROSADO</t>
  </si>
  <si>
    <t>Mario Rosado</t>
  </si>
  <si>
    <t>https://dadosabertos.camara.leg.br/api/v2/deputados/133871</t>
  </si>
  <si>
    <t>MATHEUS IENSEN</t>
  </si>
  <si>
    <t>Matheus Iensen</t>
  </si>
  <si>
    <t>Imbituva</t>
  </si>
  <si>
    <t>https://dadosabertos.camara.leg.br/api/v2/deputados/133884</t>
  </si>
  <si>
    <t>MAURICI MARIANO</t>
  </si>
  <si>
    <t>Maurici Mariano</t>
  </si>
  <si>
    <t>https://dadosabertos.camara.leg.br/api/v2/deputados/73839</t>
  </si>
  <si>
    <t>MAURÍCIO CALIXTO</t>
  </si>
  <si>
    <t>Maurício Calixto da Cruz</t>
  </si>
  <si>
    <t>https://dadosabertos.camara.leg.br/api/v2/deputados/1535</t>
  </si>
  <si>
    <t>MAURO BORGES</t>
  </si>
  <si>
    <t>Mauro Borges Teixeira</t>
  </si>
  <si>
    <t>https://dadosabertos.camara.leg.br/api/v2/deputados/73797</t>
  </si>
  <si>
    <t>MAURO MIRANDA</t>
  </si>
  <si>
    <t>Mauro Miranda Soares</t>
  </si>
  <si>
    <t>https://dadosabertos.camara.leg.br/api/v2/deputados/133908</t>
  </si>
  <si>
    <t>MAURO SAMPAIO</t>
  </si>
  <si>
    <t>José Mauro Castelo Branco Sampaio</t>
  </si>
  <si>
    <t>https://dadosabertos.camara.leg.br/api/v2/deputados/73818</t>
  </si>
  <si>
    <t>MAVIAEL CAVALCANTI</t>
  </si>
  <si>
    <t>Maviael Francisco de Morais Cavalcanti</t>
  </si>
  <si>
    <t>Macaparana</t>
  </si>
  <si>
    <t>https://dadosabertos.camara.leg.br/api/v2/deputados/133965</t>
  </si>
  <si>
    <t>MENDES BOTELHO</t>
  </si>
  <si>
    <t>José Mendes Botelho</t>
  </si>
  <si>
    <t>Brasília de Minas</t>
  </si>
  <si>
    <t>https://dadosabertos.camara.leg.br/api/v2/deputados/133859</t>
  </si>
  <si>
    <t>MENDES RIBEIRO</t>
  </si>
  <si>
    <t>Jorge Alberto Mendes Ribeiro</t>
  </si>
  <si>
    <t>https://dadosabertos.camara.leg.br/api/v2/deputados/133878</t>
  </si>
  <si>
    <t>MENDONÇA NETO</t>
  </si>
  <si>
    <t>ANTONIO SATURNINO DE MENDONÇA NETO</t>
  </si>
  <si>
    <t>Rio Novo</t>
  </si>
  <si>
    <t>https://dadosabertos.camara.leg.br/api/v2/deputados/73840</t>
  </si>
  <si>
    <t>MERVAL PIMENTA</t>
  </si>
  <si>
    <t>Merval Pimenta Amorim</t>
  </si>
  <si>
    <t>Ponte Alta do Tocantins</t>
  </si>
  <si>
    <t>https://dadosabertos.camara.leg.br/api/v2/deputados/133984</t>
  </si>
  <si>
    <t>MESSIAS SOARES</t>
  </si>
  <si>
    <t>Messias Soares da Silva</t>
  </si>
  <si>
    <t>https://dadosabertos.camara.leg.br/api/v2/deputados/73847</t>
  </si>
  <si>
    <t>MUNHOZ DA ROCHA</t>
  </si>
  <si>
    <t>Paulo Munhoz da Rocha</t>
  </si>
  <si>
    <t>https://dadosabertos.camara.leg.br/api/v2/deputados/133883</t>
  </si>
  <si>
    <t>MURILO REZENDE</t>
  </si>
  <si>
    <t>Murilo Ferreira de Rezende</t>
  </si>
  <si>
    <t>https://dadosabertos.camara.leg.br/api/v2/deputados/133869</t>
  </si>
  <si>
    <t>NAPHTALI ALVES DE SOUZA</t>
  </si>
  <si>
    <t>Naphtali Alves de Souza</t>
  </si>
  <si>
    <t>Morrinhos</t>
  </si>
  <si>
    <t>https://dadosabertos.camara.leg.br/api/v2/deputados/73798</t>
  </si>
  <si>
    <t>NELSON JOBIM</t>
  </si>
  <si>
    <t>Nelson Azevedo Jobim</t>
  </si>
  <si>
    <t>https://dadosabertos.camara.leg.br/api/v2/deputados/133882</t>
  </si>
  <si>
    <t>NELSON MORRO</t>
  </si>
  <si>
    <t>Nelson Morro</t>
  </si>
  <si>
    <t>https://dadosabertos.camara.leg.br/api/v2/deputados/73965</t>
  </si>
  <si>
    <t>NELSON SEIXAS</t>
  </si>
  <si>
    <t>Nelson de Carvalho Seixas</t>
  </si>
  <si>
    <t>https://dadosabertos.camara.leg.br/api/v2/deputados/133956</t>
  </si>
  <si>
    <t>NOBEL MOURA</t>
  </si>
  <si>
    <t>Antonio Nobel Aires Moura</t>
  </si>
  <si>
    <t>https://dadosabertos.camara.leg.br/api/v2/deputados/133944</t>
  </si>
  <si>
    <t>ONAIREVES MOURA</t>
  </si>
  <si>
    <t>Onaireves Nilo Rolim de Moura</t>
  </si>
  <si>
    <t>Herval D'Oeste</t>
  </si>
  <si>
    <t>https://dadosabertos.camara.leg.br/api/v2/deputados/133909</t>
  </si>
  <si>
    <t>ORLANDO BEZERRA</t>
  </si>
  <si>
    <t>Orlando Bezerra de Menezes</t>
  </si>
  <si>
    <t>https://dadosabertos.camara.leg.br/api/v2/deputados/133874</t>
  </si>
  <si>
    <t>ORLANDO PACHECO</t>
  </si>
  <si>
    <t>Orlando Camilo Pacheco</t>
  </si>
  <si>
    <t>https://dadosabertos.camara.leg.br/api/v2/deputados/73821</t>
  </si>
  <si>
    <t>OSCAR TRAVASSOS</t>
  </si>
  <si>
    <t>Oscar Cesar Ribeiro Travassos</t>
  </si>
  <si>
    <t>https://dadosabertos.camara.leg.br/api/v2/deputados/133932</t>
  </si>
  <si>
    <t>OSORIO SANTA CRUZ</t>
  </si>
  <si>
    <t>Osorio Leão Santa Cruz</t>
  </si>
  <si>
    <t>https://dadosabertos.camara.leg.br/api/v2/deputados/133845</t>
  </si>
  <si>
    <t>OSVALDO BENDER</t>
  </si>
  <si>
    <t>Osvaldo Afonso Bender</t>
  </si>
  <si>
    <t>https://dadosabertos.camara.leg.br/api/v2/deputados/133955</t>
  </si>
  <si>
    <t>OSVALDO MELO</t>
  </si>
  <si>
    <t>Osvaldo Sampaio Melo</t>
  </si>
  <si>
    <t>https://dadosabertos.camara.leg.br/api/v2/deputados/73843</t>
  </si>
  <si>
    <t>OSWALDO STECCA</t>
  </si>
  <si>
    <t>Oswaldo José Stecca</t>
  </si>
  <si>
    <t>https://dadosabertos.camara.leg.br/api/v2/deputados/133943</t>
  </si>
  <si>
    <t>OTTO CUNHA</t>
  </si>
  <si>
    <t>OTTO SANTOS DA CUNHA</t>
  </si>
  <si>
    <t>https://dadosabertos.camara.leg.br/api/v2/deputados/73845</t>
  </si>
  <si>
    <t>PASCOAL NOVAES</t>
  </si>
  <si>
    <t>PASCOAL NOVAIS CAYRES</t>
  </si>
  <si>
    <t>https://dadosabertos.camara.leg.br/api/v2/deputados/133923</t>
  </si>
  <si>
    <t>PAULINO CÍCERO DE VASCONCELOS</t>
  </si>
  <si>
    <t>Paulino Cícero de Vasconcellos</t>
  </si>
  <si>
    <t>São Domingos do Prata</t>
  </si>
  <si>
    <t>https://dadosabertos.camara.leg.br/api/v2/deputados/73961</t>
  </si>
  <si>
    <t>PAULO CASSUNDÉ</t>
  </si>
  <si>
    <t>Paulo Amaro Maia Cassundé</t>
  </si>
  <si>
    <t>https://dadosabertos.camara.leg.br/api/v2/deputados/73846</t>
  </si>
  <si>
    <t>PAULO DUARTE</t>
  </si>
  <si>
    <t>Paulo Alberto Duarte</t>
  </si>
  <si>
    <t>https://dadosabertos.camara.leg.br/api/v2/deputados/133934</t>
  </si>
  <si>
    <t>PAULO HARTUNG</t>
  </si>
  <si>
    <t>Paulo César Hartung Gomes</t>
  </si>
  <si>
    <t>Guaçui</t>
  </si>
  <si>
    <t>https://dadosabertos.camara.leg.br/api/v2/deputados/73849</t>
  </si>
  <si>
    <t>PAULO MANDARINO</t>
  </si>
  <si>
    <t>Paulo Rubens Mandarino</t>
  </si>
  <si>
    <t>https://dadosabertos.camara.leg.br/api/v2/deputados/133904</t>
  </si>
  <si>
    <t>PAULO NOVAES</t>
  </si>
  <si>
    <t>Paulo Dias Novaes</t>
  </si>
  <si>
    <t>Avaré</t>
  </si>
  <si>
    <t>https://dadosabertos.camara.leg.br/api/v2/deputados/73966</t>
  </si>
  <si>
    <t>PAULO PEREIRA</t>
  </si>
  <si>
    <t>Paulo Pereira</t>
  </si>
  <si>
    <t>https://dadosabertos.camara.leg.br/api/v2/deputados/133947</t>
  </si>
  <si>
    <t>PAULO PORTUGAL</t>
  </si>
  <si>
    <t>Paulo Roberto Duarte Portugal</t>
  </si>
  <si>
    <t>Bom Jesus do Itabapoana</t>
  </si>
  <si>
    <t>https://dadosabertos.camara.leg.br/api/v2/deputados/73870</t>
  </si>
  <si>
    <t>PAULO ROMANO</t>
  </si>
  <si>
    <t>Paulo Afonso Romano</t>
  </si>
  <si>
    <t>https://dadosabertos.camara.leg.br/api/v2/deputados/73816</t>
  </si>
  <si>
    <t>PAULO SILVA</t>
  </si>
  <si>
    <t>Paulo de Tarso Tavares Silva</t>
  </si>
  <si>
    <t>https://dadosabertos.camara.leg.br/api/v2/deputados/73850</t>
  </si>
  <si>
    <t>PEDRO PAVÃO</t>
  </si>
  <si>
    <t>Pedro Pavão</t>
  </si>
  <si>
    <t>Marília</t>
  </si>
  <si>
    <t>https://dadosabertos.camara.leg.br/api/v2/deputados/133849</t>
  </si>
  <si>
    <t>PEDRO TASSIS</t>
  </si>
  <si>
    <t>Pedro Iwandyr de Tassis</t>
  </si>
  <si>
    <t>https://dadosabertos.camara.leg.br/api/v2/deputados/73799</t>
  </si>
  <si>
    <t>PEDRO TONELLI</t>
  </si>
  <si>
    <t>Pedro Irno Tonelli</t>
  </si>
  <si>
    <t>https://dadosabertos.camara.leg.br/api/v2/deputados/73635</t>
  </si>
  <si>
    <t>PINGA FOGO DE OLIVEIRA</t>
  </si>
  <si>
    <t>Benedito Cláudio Pinga Fogo de Oliveira</t>
  </si>
  <si>
    <t>Monte Santo de Minas</t>
  </si>
  <si>
    <t>https://dadosabertos.camara.leg.br/api/v2/deputados/65505</t>
  </si>
  <si>
    <t>PRATINI DE MORAES</t>
  </si>
  <si>
    <t>Marcus Vinicius Pratini de Moraes</t>
  </si>
  <si>
    <t>https://dadosabertos.camara.leg.br/api/v2/deputados/133896</t>
  </si>
  <si>
    <t>RAMALHO LEITE</t>
  </si>
  <si>
    <t>Severino Ramalho Leite</t>
  </si>
  <si>
    <t>Bananeiras</t>
  </si>
  <si>
    <t>https://dadosabertos.camara.leg.br/api/v2/deputados/133864</t>
  </si>
  <si>
    <t>RAQUEL CÂNDIDO</t>
  </si>
  <si>
    <t>Raquel Cândido e Silva</t>
  </si>
  <si>
    <t>https://dadosabertos.camara.leg.br/api/v2/deputados/133953</t>
  </si>
  <si>
    <t>RAUL PONT</t>
  </si>
  <si>
    <t>Raul Jorge Anglada Pont</t>
  </si>
  <si>
    <t>https://dadosabertos.camara.leg.br/api/v2/deputados/73851</t>
  </si>
  <si>
    <t>REDITÁRIO CASSOL</t>
  </si>
  <si>
    <t>https://dadosabertos.camara.leg.br/api/v2/deputados/73800</t>
  </si>
  <si>
    <t>REGINA GORDILHO</t>
  </si>
  <si>
    <t>REGINA HELENA COSTA GORDILHO</t>
  </si>
  <si>
    <t>https://dadosabertos.camara.leg.br/api/v2/deputados/73830</t>
  </si>
  <si>
    <t>RIBEIRO TAVARES</t>
  </si>
  <si>
    <t>José Rufino Ribeiro Tavares Bisneto</t>
  </si>
  <si>
    <t>Candeal</t>
  </si>
  <si>
    <t>https://dadosabertos.camara.leg.br/api/v2/deputados/73956</t>
  </si>
  <si>
    <t>RICARDO CORRÊA</t>
  </si>
  <si>
    <t>RICARDO JOSE SANTA CECILIA CORREA</t>
  </si>
  <si>
    <t>https://dadosabertos.camara.leg.br/api/v2/deputados/73803</t>
  </si>
  <si>
    <t>RICARDO MORAES</t>
  </si>
  <si>
    <t>Ricardo Moraes de Souza</t>
  </si>
  <si>
    <t>Manicoré</t>
  </si>
  <si>
    <t>https://dadosabertos.camara.leg.br/api/v2/deputados/73802</t>
  </si>
  <si>
    <t>RICARDO MURAD</t>
  </si>
  <si>
    <t>Ricardo Jorge Murad</t>
  </si>
  <si>
    <t>https://dadosabertos.camara.leg.br/api/v2/deputados/133926</t>
  </si>
  <si>
    <t>RIVALDO MEDEIROS</t>
  </si>
  <si>
    <t>Rivaldo Nóbrega Medeiros</t>
  </si>
  <si>
    <t>https://dadosabertos.camara.leg.br/api/v2/deputados/73804</t>
  </si>
  <si>
    <t>ROBERTO FRANCA</t>
  </si>
  <si>
    <t>Roberto Franca Filho</t>
  </si>
  <si>
    <t>https://dadosabertos.camara.leg.br/api/v2/deputados/133992</t>
  </si>
  <si>
    <t>ROBERTO ROLLEMBERG</t>
  </si>
  <si>
    <t>Roberto Valle Rollemberg</t>
  </si>
  <si>
    <t>https://dadosabertos.camara.leg.br/api/v2/deputados/133913</t>
  </si>
  <si>
    <t>ROBERTO TORRES</t>
  </si>
  <si>
    <t>Roberto Villar Torres</t>
  </si>
  <si>
    <t>Água Branca</t>
  </si>
  <si>
    <t>https://dadosabertos.camara.leg.br/api/v2/deputados/73871</t>
  </si>
  <si>
    <t>ROBSON PAULINO</t>
  </si>
  <si>
    <t>Robson de Souza Paulino</t>
  </si>
  <si>
    <t>https://dadosabertos.camara.leg.br/api/v2/deputados/133945</t>
  </si>
  <si>
    <t>ROMERO FILHO</t>
  </si>
  <si>
    <t>Antonio Romero Filho</t>
  </si>
  <si>
    <t>https://dadosabertos.camara.leg.br/api/v2/deputados/73807</t>
  </si>
  <si>
    <t>RUBEN BENTO</t>
  </si>
  <si>
    <t>Ruben da Silva Bento</t>
  </si>
  <si>
    <t>https://dadosabertos.camara.leg.br/api/v2/deputados/73963</t>
  </si>
  <si>
    <t>RUBENS LARA</t>
  </si>
  <si>
    <t>Antonio Rubens Costa de Lara</t>
  </si>
  <si>
    <t>https://dadosabertos.camara.leg.br/api/v2/deputados/133912</t>
  </si>
  <si>
    <t>RUBERVAL PILOTTO</t>
  </si>
  <si>
    <t>Ruberval Francisco Pilotto</t>
  </si>
  <si>
    <t>Urussanga</t>
  </si>
  <si>
    <t>https://dadosabertos.camara.leg.br/api/v2/deputados/133946</t>
  </si>
  <si>
    <t>SAID FERREIRA</t>
  </si>
  <si>
    <t>Said Felício Ferreira</t>
  </si>
  <si>
    <t>https://dadosabertos.camara.leg.br/api/v2/deputados/133924</t>
  </si>
  <si>
    <t>SAMIR TANNÚS</t>
  </si>
  <si>
    <t>Samir Tannús</t>
  </si>
  <si>
    <t>Prata</t>
  </si>
  <si>
    <t>https://dadosabertos.camara.leg.br/api/v2/deputados/133986</t>
  </si>
  <si>
    <t>SANDRA CAVALCANTI</t>
  </si>
  <si>
    <t>Sandra Martins Cavalcanti</t>
  </si>
  <si>
    <t>https://dadosabertos.camara.leg.br/api/v2/deputados/133948</t>
  </si>
  <si>
    <t>SEBASTIÃO FERREIRA</t>
  </si>
  <si>
    <t>Sebastião Ferreira Silva</t>
  </si>
  <si>
    <t>https://dadosabertos.camara.leg.br/api/v2/deputados/73973</t>
  </si>
  <si>
    <t>SÉRGIO CARMINATO</t>
  </si>
  <si>
    <t>Augusto Sérgio Carminato</t>
  </si>
  <si>
    <t>Alto Alegre</t>
  </si>
  <si>
    <t>https://dadosabertos.camara.leg.br/api/v2/deputados/73855</t>
  </si>
  <si>
    <t>SERGIO CURY</t>
  </si>
  <si>
    <t>SERGIO ROBERTO PACHECO CURY</t>
  </si>
  <si>
    <t>https://dadosabertos.camara.leg.br/api/v2/deputados/133905</t>
  </si>
  <si>
    <t>SÉRGIO FERRARA</t>
  </si>
  <si>
    <t>Sérgio Mário Ferrara</t>
  </si>
  <si>
    <t>https://dadosabertos.camara.leg.br/api/v2/deputados/133949</t>
  </si>
  <si>
    <t>SERGIO GAUDENZI</t>
  </si>
  <si>
    <t>Sergio Mauricio Brito Gaudenzi</t>
  </si>
  <si>
    <t>https://dadosabertos.camara.leg.br/api/v2/deputados/73755</t>
  </si>
  <si>
    <t>SÉRGIO MACHADO</t>
  </si>
  <si>
    <t>José Sérgio de Oliveira Machado</t>
  </si>
  <si>
    <t>https://dadosabertos.camara.leg.br/api/v2/deputados/73510</t>
  </si>
  <si>
    <t>SÉRGIO SPADA</t>
  </si>
  <si>
    <t>Sérgio Spada</t>
  </si>
  <si>
    <t>https://dadosabertos.camara.leg.br/api/v2/deputados/73856</t>
  </si>
  <si>
    <t>SIDNEY DE MIGUEL</t>
  </si>
  <si>
    <t>Sidney de Miguel</t>
  </si>
  <si>
    <t>Araçatuba</t>
  </si>
  <si>
    <t>https://dadosabertos.camara.leg.br/api/v2/deputados/133966</t>
  </si>
  <si>
    <t>SOLON BORGES DOS REIS</t>
  </si>
  <si>
    <t>Sólon Borges dos Reis</t>
  </si>
  <si>
    <t>Casa Branca</t>
  </si>
  <si>
    <t>https://dadosabertos.camara.leg.br/api/v2/deputados/133886</t>
  </si>
  <si>
    <t>TADASHI KURIKI</t>
  </si>
  <si>
    <t>Tadashi Kuriki</t>
  </si>
  <si>
    <t>General Salgado</t>
  </si>
  <si>
    <t>https://dadosabertos.camara.leg.br/api/v2/deputados/133919</t>
  </si>
  <si>
    <t>TARCÍSIO DELGADO</t>
  </si>
  <si>
    <t>Raymundo Tarcísio Delgado</t>
  </si>
  <si>
    <t>https://dadosabertos.camara.leg.br/api/v2/deputados/133843</t>
  </si>
  <si>
    <t>TIDEI DE LIMA</t>
  </si>
  <si>
    <t>Antonio Tidei de Lima</t>
  </si>
  <si>
    <t>https://dadosabertos.camara.leg.br/api/v2/deputados/73872</t>
  </si>
  <si>
    <t>TOURINHO DANTAS</t>
  </si>
  <si>
    <t>Sérgio Raimundo Tourinho Dantas</t>
  </si>
  <si>
    <t>https://dadosabertos.camara.leg.br/api/v2/deputados/133903</t>
  </si>
  <si>
    <t>UBALDO DANTAS</t>
  </si>
  <si>
    <t>UBALDO PORTO DANTAS</t>
  </si>
  <si>
    <t>https://dadosabertos.camara.leg.br/api/v2/deputados/133850</t>
  </si>
  <si>
    <t>ULYSSES GUIMARÃES</t>
  </si>
  <si>
    <t>Ulysses Silveira Guimarães</t>
  </si>
  <si>
    <t>Rio Claro</t>
  </si>
  <si>
    <t>https://dadosabertos.camara.leg.br/api/v2/deputados/133951</t>
  </si>
  <si>
    <t>VALDOMIRO LIMA</t>
  </si>
  <si>
    <t>Valdomiro Rocha Lima</t>
  </si>
  <si>
    <t>https://dadosabertos.camara.leg.br/api/v2/deputados/133860</t>
  </si>
  <si>
    <t>VALTER PEREIRA</t>
  </si>
  <si>
    <t>Valter Pereira de Oliveira</t>
  </si>
  <si>
    <t>https://dadosabertos.camara.leg.br/api/v2/deputados/133960</t>
  </si>
  <si>
    <t>VASCO FURLAN</t>
  </si>
  <si>
    <t>Vasco Fernandes Furlan</t>
  </si>
  <si>
    <t>Tupanciretã</t>
  </si>
  <si>
    <t>https://dadosabertos.camara.leg.br/api/v2/deputados/133938</t>
  </si>
  <si>
    <t>VICENTE FIALHO</t>
  </si>
  <si>
    <t>Vicente Cavalcante Fialho</t>
  </si>
  <si>
    <t>https://dadosabertos.camara.leg.br/api/v2/deputados/133855</t>
  </si>
  <si>
    <t>VICTOR FACCIONI</t>
  </si>
  <si>
    <t>Victor José Faccioni</t>
  </si>
  <si>
    <t>https://dadosabertos.camara.leg.br/api/v2/deputados/133890</t>
  </si>
  <si>
    <t>VITAL DO RÊGO</t>
  </si>
  <si>
    <t>ANTONIO VITAL DO RÊGO</t>
  </si>
  <si>
    <t>https://dadosabertos.camara.leg.br/api/v2/deputados/73810</t>
  </si>
  <si>
    <t>VITÓRIO MALTA</t>
  </si>
  <si>
    <t>Vitório Manoel Malta Marques</t>
  </si>
  <si>
    <t>Santana do Ipanema</t>
  </si>
  <si>
    <t>https://dadosabertos.camara.leg.br/api/v2/deputados/133985</t>
  </si>
  <si>
    <t>VLADIMIR PALMEIRA</t>
  </si>
  <si>
    <t>VLADIMIR GRACINDO SOARES PALMEIRA</t>
  </si>
  <si>
    <t>https://dadosabertos.camara.leg.br/api/v2/deputados/73811</t>
  </si>
  <si>
    <t>WALDECK ORNÉLAS</t>
  </si>
  <si>
    <t>Waldeck Vieira Ornélas</t>
  </si>
  <si>
    <t>https://dadosabertos.camara.leg.br/api/v2/deputados/133930</t>
  </si>
  <si>
    <t>WALDIR GUERRA</t>
  </si>
  <si>
    <t>Waldir Francisco Guerra</t>
  </si>
  <si>
    <t>https://dadosabertos.camara.leg.br/api/v2/deputados/73812</t>
  </si>
  <si>
    <t>WALTER NORY</t>
  </si>
  <si>
    <t>Walter Bernardes Nory</t>
  </si>
  <si>
    <t>https://dadosabertos.camara.leg.br/api/v2/deputados/73862</t>
  </si>
  <si>
    <t>WANDA REIS</t>
  </si>
  <si>
    <t>Wanda Mendes Reis</t>
  </si>
  <si>
    <t>https://dadosabertos.camara.leg.br/api/v2/deputados/133928</t>
  </si>
  <si>
    <t>WILMAR PERES</t>
  </si>
  <si>
    <t>Wilmar Peres de Farias</t>
  </si>
  <si>
    <t>Barra do Garças</t>
  </si>
  <si>
    <t>https://dadosabertos.camara.leg.br/api/v2/deputados/73864</t>
  </si>
  <si>
    <t>WILSON MOREIRA</t>
  </si>
  <si>
    <t>Wilson Rodrigues Moreira</t>
  </si>
  <si>
    <t>https://dadosabertos.camara.leg.br/api/v2/deputados/73863</t>
  </si>
  <si>
    <t>WILSON MULLER</t>
  </si>
  <si>
    <t>Wilson Muller Rodrigues</t>
  </si>
  <si>
    <t>https://dadosabertos.camara.leg.br/api/v2/deputados/73713</t>
  </si>
  <si>
    <t>ZUCA MOREIRA</t>
  </si>
  <si>
    <t>José Zuca Moreira Lustosa</t>
  </si>
  <si>
    <t>https://dadosabertos.camara.leg.br/api/v2/deputados/1516</t>
  </si>
  <si>
    <t>ABDALLA JALLAD</t>
  </si>
  <si>
    <t>Abdalla Jallad</t>
  </si>
  <si>
    <t>https://dadosabertos.camara.leg.br/api/v2/deputados/139123</t>
  </si>
  <si>
    <t>ABIGAIL FEITOSA</t>
  </si>
  <si>
    <t>Maria Abigail Freitas Feitosa</t>
  </si>
  <si>
    <t>https://dadosabertos.camara.leg.br/api/v2/deputados/139124</t>
  </si>
  <si>
    <t>ACIVAL GOMES</t>
  </si>
  <si>
    <t>ACIVAL GOMES SANTOS</t>
  </si>
  <si>
    <t>https://dadosabertos.camara.leg.br/api/v2/deputados/139125</t>
  </si>
  <si>
    <t>ADEMIR ANDRADE</t>
  </si>
  <si>
    <t>Ademir Galvão Andrade</t>
  </si>
  <si>
    <t>Milagres</t>
  </si>
  <si>
    <t>https://dadosabertos.camara.leg.br/api/v2/deputados/139126</t>
  </si>
  <si>
    <t>ADOLFO OLIVEIRA</t>
  </si>
  <si>
    <t>Adolpho Barbosa Neto de Oliveira</t>
  </si>
  <si>
    <t>https://dadosabertos.camara.leg.br/api/v2/deputados/139127</t>
  </si>
  <si>
    <t>AFIF DOMINGOS</t>
  </si>
  <si>
    <t>Guilherme Afif Domingos</t>
  </si>
  <si>
    <t>https://dadosabertos.camara.leg.br/api/v2/deputados/1514</t>
  </si>
  <si>
    <t>AFRÍSIO VIEIRA LIMA</t>
  </si>
  <si>
    <t>Afrísio de Souza Vieira Lima</t>
  </si>
  <si>
    <t>https://dadosabertos.camara.leg.br/api/v2/deputados/139128</t>
  </si>
  <si>
    <t>AGASSIZ ALMEIDA</t>
  </si>
  <si>
    <t>Agassiz de Amorim e Almeida</t>
  </si>
  <si>
    <t>https://dadosabertos.camara.leg.br/api/v2/deputados/139129</t>
  </si>
  <si>
    <t>AGRIPINO DE OLIVEIRA LIMA</t>
  </si>
  <si>
    <t>Agripino de Oliveira Lima Filho</t>
  </si>
  <si>
    <t>Lençois Paulista</t>
  </si>
  <si>
    <t>https://dadosabertos.camara.leg.br/api/v2/deputados/139130</t>
  </si>
  <si>
    <t>AIRTON CORDEIRO</t>
  </si>
  <si>
    <t>Airton Ravaglio Cordeiro</t>
  </si>
  <si>
    <t>https://dadosabertos.camara.leg.br/api/v2/deputados/139131</t>
  </si>
  <si>
    <t>ALAIR FERREIRA</t>
  </si>
  <si>
    <t>Alair Ferreira</t>
  </si>
  <si>
    <t>https://dadosabertos.camara.leg.br/api/v2/deputados/139132</t>
  </si>
  <si>
    <t>ALARICO ABIB</t>
  </si>
  <si>
    <t>Alarico Abib</t>
  </si>
  <si>
    <t>Andirá</t>
  </si>
  <si>
    <t>https://dadosabertos.camara.leg.br/api/v2/deputados/1524</t>
  </si>
  <si>
    <t>ALCIDES LIMA</t>
  </si>
  <si>
    <t>Alcides da Conceição Lima Filho</t>
  </si>
  <si>
    <t>https://dadosabertos.camara.leg.br/api/v2/deputados/139134</t>
  </si>
  <si>
    <t>ALCIDES SALDANHA</t>
  </si>
  <si>
    <t>Alcides José Saldanha</t>
  </si>
  <si>
    <t>https://dadosabertos.camara.leg.br/api/v2/deputados/139135</t>
  </si>
  <si>
    <t>ALÉRCIO DIAS</t>
  </si>
  <si>
    <t>Alércio Dias</t>
  </si>
  <si>
    <t>https://dadosabertos.camara.leg.br/api/v2/deputados/139136</t>
  </si>
  <si>
    <t>ALOYSIO CHAVES</t>
  </si>
  <si>
    <t>Aloysio da Costa Chaves</t>
  </si>
  <si>
    <t>Viseu</t>
  </si>
  <si>
    <t>https://dadosabertos.camara.leg.br/api/v2/deputados/139137</t>
  </si>
  <si>
    <t>ALOYSIO TEIXEIRA</t>
  </si>
  <si>
    <t>Aloysio Maria Teixeira Filho</t>
  </si>
  <si>
    <t>https://dadosabertos.camara.leg.br/api/v2/deputados/139138</t>
  </si>
  <si>
    <t>ALUÍZIO CAMPOS</t>
  </si>
  <si>
    <t>Aluízio Afonso Campos</t>
  </si>
  <si>
    <t>https://dadosabertos.camara.leg.br/api/v2/deputados/139139</t>
  </si>
  <si>
    <t>ALVARO ANTONIO</t>
  </si>
  <si>
    <t>Alvaro Antonio Teixeira Dias</t>
  </si>
  <si>
    <t>https://dadosabertos.camara.leg.br/api/v2/deputados/139140</t>
  </si>
  <si>
    <t>ALYSSON PAULINELLI</t>
  </si>
  <si>
    <t>Alysson Paulinelli</t>
  </si>
  <si>
    <t>https://dadosabertos.camara.leg.br/api/v2/deputados/1519</t>
  </si>
  <si>
    <t>ALZIRO GOMES</t>
  </si>
  <si>
    <t>Alziro Gomes de Souza</t>
  </si>
  <si>
    <t>https://dadosabertos.camara.leg.br/api/v2/deputados/139141</t>
  </si>
  <si>
    <t>AMÍLCAR DE QUEIROZ</t>
  </si>
  <si>
    <t>Amílcar Alves de Queiroz</t>
  </si>
  <si>
    <t>https://dadosabertos.camara.leg.br/api/v2/deputados/139142</t>
  </si>
  <si>
    <t>AMILCAR MOREIRA</t>
  </si>
  <si>
    <t>Amilcar Benassuly Moreira</t>
  </si>
  <si>
    <t>https://dadosabertos.camara.leg.br/api/v2/deputados/139143</t>
  </si>
  <si>
    <t>ANNA MARIA RATTES</t>
  </si>
  <si>
    <t>Anna Maria Martins Scorzelli Rattes</t>
  </si>
  <si>
    <t>https://dadosabertos.camara.leg.br/api/v2/deputados/139144</t>
  </si>
  <si>
    <t>ANNIBAL BARCELLOS</t>
  </si>
  <si>
    <t>Annibal Barcellos</t>
  </si>
  <si>
    <t>https://dadosabertos.camara.leg.br/api/v2/deputados/139145</t>
  </si>
  <si>
    <t>ANTAR ALBUQUERQUE</t>
  </si>
  <si>
    <t>Antar Fontoura de Albuquerque</t>
  </si>
  <si>
    <t>https://dadosabertos.camara.leg.br/api/v2/deputados/139146</t>
  </si>
  <si>
    <t>ANTERO DE BARROS</t>
  </si>
  <si>
    <t>Antero Paes de Barros Neto</t>
  </si>
  <si>
    <t>https://dadosabertos.camara.leg.br/api/v2/deputados/139147</t>
  </si>
  <si>
    <t>ANTÔNIO CÂMARA</t>
  </si>
  <si>
    <t>Antônio Severiano da Câmara Filho</t>
  </si>
  <si>
    <t>João Câmara</t>
  </si>
  <si>
    <t>https://dadosabertos.camara.leg.br/api/v2/deputados/139148</t>
  </si>
  <si>
    <t>ANTÔNIO CARLOS FRANCO</t>
  </si>
  <si>
    <t>Antônio Carlos Leite Franco</t>
  </si>
  <si>
    <t>https://dadosabertos.camara.leg.br/api/v2/deputados/139149</t>
  </si>
  <si>
    <t>ANTÔNIO GASPAR</t>
  </si>
  <si>
    <t>Antônio Pinheiro Gaspar</t>
  </si>
  <si>
    <t>Viana</t>
  </si>
  <si>
    <t>https://dadosabertos.camara.leg.br/api/v2/deputados/1522</t>
  </si>
  <si>
    <t>ANTONIO MARANGON</t>
  </si>
  <si>
    <t>Antonio Marangon</t>
  </si>
  <si>
    <t>Rodeio Bonito</t>
  </si>
  <si>
    <t>https://dadosabertos.camara.leg.br/api/v2/deputados/139150</t>
  </si>
  <si>
    <t>ANTONIO MARIZ</t>
  </si>
  <si>
    <t>Antonio Marques da Silva Mariz</t>
  </si>
  <si>
    <t>https://dadosabertos.camara.leg.br/api/v2/deputados/139151</t>
  </si>
  <si>
    <t>ANTÔNIO PEROSA</t>
  </si>
  <si>
    <t>Antônio de Pádua Perosa</t>
  </si>
  <si>
    <t>Urupês</t>
  </si>
  <si>
    <t>https://dadosabertos.camara.leg.br/api/v2/deputados/139152</t>
  </si>
  <si>
    <t>ANTÔNIO SALIM CURIATI</t>
  </si>
  <si>
    <t>Antônio Salim Curiati</t>
  </si>
  <si>
    <t>https://dadosabertos.camara.leg.br/api/v2/deputados/1525</t>
  </si>
  <si>
    <t>ARISTIDES CUNHA</t>
  </si>
  <si>
    <t>Aristides Cunha Filho</t>
  </si>
  <si>
    <t>https://dadosabertos.camara.leg.br/api/v2/deputados/139153</t>
  </si>
  <si>
    <t>ARNALDO MARTINS</t>
  </si>
  <si>
    <t>Arnaldo Lopes Martins</t>
  </si>
  <si>
    <t>https://dadosabertos.camara.leg.br/api/v2/deputados/139154</t>
  </si>
  <si>
    <t>ARNALDO MORAES</t>
  </si>
  <si>
    <t>Arnaldo Moraes Filho</t>
  </si>
  <si>
    <t>https://dadosabertos.camara.leg.br/api/v2/deputados/139155</t>
  </si>
  <si>
    <t>ARNALDO PRIETO</t>
  </si>
  <si>
    <t>Arnaldo da Costa Prieto</t>
  </si>
  <si>
    <t>São Francisco de Paula</t>
  </si>
  <si>
    <t>https://dadosabertos.camara.leg.br/api/v2/deputados/139156</t>
  </si>
  <si>
    <t>ARNOLD FIORAVANTE</t>
  </si>
  <si>
    <t>Arnold Fioravante</t>
  </si>
  <si>
    <t>https://dadosabertos.camara.leg.br/api/v2/deputados/139157</t>
  </si>
  <si>
    <t>ARTENIR WERNER</t>
  </si>
  <si>
    <t>Artenir Werner</t>
  </si>
  <si>
    <t>https://dadosabertos.camara.leg.br/api/v2/deputados/1531</t>
  </si>
  <si>
    <t>ARTHUR DE LIMA CAVALCANTI</t>
  </si>
  <si>
    <t>Artur Mello de Lima Cavalcanti</t>
  </si>
  <si>
    <t>https://dadosabertos.camara.leg.br/api/v2/deputados/139158</t>
  </si>
  <si>
    <t>BENEDICTO MONTEIRO</t>
  </si>
  <si>
    <t>Benedicto Wilfredo Monteiro</t>
  </si>
  <si>
    <t>https://dadosabertos.camara.leg.br/api/v2/deputados/139159</t>
  </si>
  <si>
    <t>BERNARDO CABRAL</t>
  </si>
  <si>
    <t>José Bernardo Cabral</t>
  </si>
  <si>
    <t>https://dadosabertos.camara.leg.br/api/v2/deputados/139160</t>
  </si>
  <si>
    <t>BETE MENDES</t>
  </si>
  <si>
    <t>Elizabete Mendes de Oliveira</t>
  </si>
  <si>
    <t>https://dadosabertos.camara.leg.br/api/v2/deputados/139161</t>
  </si>
  <si>
    <t>BEZERRA DE MELO</t>
  </si>
  <si>
    <t>Manoel Bezerra de Melo</t>
  </si>
  <si>
    <t>https://dadosabertos.camara.leg.br/api/v2/deputados/139162</t>
  </si>
  <si>
    <t>BORGES DA SILVEIRA</t>
  </si>
  <si>
    <t>Luiz Carlos Borges da Silveira</t>
  </si>
  <si>
    <t>Lapa</t>
  </si>
  <si>
    <t>https://dadosabertos.camara.leg.br/api/v2/deputados/139163</t>
  </si>
  <si>
    <t>CAIO POMPEU</t>
  </si>
  <si>
    <t>Caio Sérgio Pompeu de Toledo</t>
  </si>
  <si>
    <t>https://dadosabertos.camara.leg.br/api/v2/deputados/139164</t>
  </si>
  <si>
    <t>CARLOS ALBERTO CAÓ</t>
  </si>
  <si>
    <t>Carlos Alberto Oliveira dos Santos</t>
  </si>
  <si>
    <t>https://dadosabertos.camara.leg.br/api/v2/deputados/139165</t>
  </si>
  <si>
    <t>CARLOS COTTA</t>
  </si>
  <si>
    <t>CARLOS ALBERTO COTTA</t>
  </si>
  <si>
    <t>Dom Silvério</t>
  </si>
  <si>
    <t>https://dadosabertos.camara.leg.br/api/v2/deputados/139166</t>
  </si>
  <si>
    <t>CARLOS VINAGRE</t>
  </si>
  <si>
    <t>Carlos Alberto de Aragão Vinagre</t>
  </si>
  <si>
    <t>https://dadosabertos.camara.leg.br/api/v2/deputados/139167</t>
  </si>
  <si>
    <t>CARREL BENEVIDES</t>
  </si>
  <si>
    <t>Carrel Ypiranga Benevides</t>
  </si>
  <si>
    <t>https://dadosabertos.camara.leg.br/api/v2/deputados/139168</t>
  </si>
  <si>
    <t>CELSO DOURADO</t>
  </si>
  <si>
    <t>Celso Loula Dourado</t>
  </si>
  <si>
    <t>Irecê</t>
  </si>
  <si>
    <t>https://dadosabertos.camara.leg.br/api/v2/deputados/139169</t>
  </si>
  <si>
    <t>CHAGAS DUARTE</t>
  </si>
  <si>
    <t>Francisco das Chagas Duarte</t>
  </si>
  <si>
    <t>https://dadosabertos.camara.leg.br/api/v2/deputados/139170</t>
  </si>
  <si>
    <t>CHAGAS NETO</t>
  </si>
  <si>
    <t>Manoel Francisco das Chagas Neto</t>
  </si>
  <si>
    <t>https://dadosabertos.camara.leg.br/api/v2/deputados/139171</t>
  </si>
  <si>
    <t>CHAGAS VASCONCELOS</t>
  </si>
  <si>
    <t>Francisco das Chagas de Vasconcelos</t>
  </si>
  <si>
    <t>https://dadosabertos.camara.leg.br/api/v2/deputados/139172</t>
  </si>
  <si>
    <t>CHICO HUMBERTO</t>
  </si>
  <si>
    <t>Francisco Humberto de Freitas Azevedo</t>
  </si>
  <si>
    <t>https://dadosabertos.camara.leg.br/api/v2/deputados/139173</t>
  </si>
  <si>
    <t>CLÁUDIO ÁVILA</t>
  </si>
  <si>
    <t>Cláudio Ávila da Silva</t>
  </si>
  <si>
    <t>https://dadosabertos.camara.leg.br/api/v2/deputados/132144</t>
  </si>
  <si>
    <t>CLIMÉRIO VELLOSO</t>
  </si>
  <si>
    <t>Climerio Veloso</t>
  </si>
  <si>
    <t>Bom Jardim</t>
  </si>
  <si>
    <t>https://dadosabertos.camara.leg.br/api/v2/deputados/139174</t>
  </si>
  <si>
    <t>CRISTINA TAVARES</t>
  </si>
  <si>
    <t>Maria Cristina de Lima Tavares Correia</t>
  </si>
  <si>
    <t>https://dadosabertos.camara.leg.br/api/v2/deputados/139175</t>
  </si>
  <si>
    <t>DALTON CANABRAVA</t>
  </si>
  <si>
    <t>Dalton Moreira Canabrava</t>
  </si>
  <si>
    <t>https://dadosabertos.camara.leg.br/api/v2/deputados/139176</t>
  </si>
  <si>
    <t>DARCY DEITOS</t>
  </si>
  <si>
    <t>Darcy Deitos</t>
  </si>
  <si>
    <t>Joaçaba</t>
  </si>
  <si>
    <t>https://dadosabertos.camara.leg.br/api/v2/deputados/139177</t>
  </si>
  <si>
    <t>DARCY POZZA</t>
  </si>
  <si>
    <t>Darcy Pozza</t>
  </si>
  <si>
    <t>https://dadosabertos.camara.leg.br/api/v2/deputados/139178</t>
  </si>
  <si>
    <t>DASO COIMBRA</t>
  </si>
  <si>
    <t>Daso de Oliveira Coimbra</t>
  </si>
  <si>
    <t>https://dadosabertos.camara.leg.br/api/v2/deputados/139179</t>
  </si>
  <si>
    <t>DEL BOSCO AMARAL</t>
  </si>
  <si>
    <t>Joaquim Carlos del Bosco Amaral</t>
  </si>
  <si>
    <t>https://dadosabertos.camara.leg.br/api/v2/deputados/139180</t>
  </si>
  <si>
    <t>DENISAR ARNEIRO</t>
  </si>
  <si>
    <t>Denisar de Almeida Arneiro</t>
  </si>
  <si>
    <t>https://dadosabertos.camara.leg.br/api/v2/deputados/139181</t>
  </si>
  <si>
    <t>DIONÍSIO DAL-PRÁ</t>
  </si>
  <si>
    <t>Dionísio Assis dal-prá</t>
  </si>
  <si>
    <t>https://dadosabertos.camara.leg.br/api/v2/deputados/139182</t>
  </si>
  <si>
    <t>DIONÍSIO HAGE</t>
  </si>
  <si>
    <t>Dionísio João Hage</t>
  </si>
  <si>
    <t>https://dadosabertos.camara.leg.br/api/v2/deputados/139183</t>
  </si>
  <si>
    <t>DIRCE TUTU QUADROS</t>
  </si>
  <si>
    <t>Dirce Maria do Valle Quadros</t>
  </si>
  <si>
    <t>https://dadosabertos.camara.leg.br/api/v2/deputados/139184</t>
  </si>
  <si>
    <t>DORETO CAMPANARI</t>
  </si>
  <si>
    <t>Osvaldo Doreto Campanari</t>
  </si>
  <si>
    <t>https://dadosabertos.camara.leg.br/api/v2/deputados/1539</t>
  </si>
  <si>
    <t>DOUTEL DE ANDRADE</t>
  </si>
  <si>
    <t>Armindo Marcílio Doutel de Andrade</t>
  </si>
  <si>
    <t>https://dadosabertos.camara.leg.br/api/v2/deputados/139185</t>
  </si>
  <si>
    <t>EDIVALDO HOLANDA</t>
  </si>
  <si>
    <t>Edivaldo de Holanda Braga</t>
  </si>
  <si>
    <t>https://dadosabertos.camara.leg.br/api/v2/deputados/139186</t>
  </si>
  <si>
    <t>EDME TAVARES</t>
  </si>
  <si>
    <t>Edme Tavares de Albuquerque</t>
  </si>
  <si>
    <t>https://dadosabertos.camara.leg.br/api/v2/deputados/139188</t>
  </si>
  <si>
    <t>EDUARDO BOMFIM</t>
  </si>
  <si>
    <t>Eduardo Bomfim Gomes Ribeiro</t>
  </si>
  <si>
    <t>https://dadosabertos.camara.leg.br/api/v2/deputados/139189</t>
  </si>
  <si>
    <t>EGÍDIO FERREIRA LIMA</t>
  </si>
  <si>
    <t>Egídio Ferreira Lima</t>
  </si>
  <si>
    <t>https://dadosabertos.camara.leg.br/api/v2/deputados/139190</t>
  </si>
  <si>
    <t>ELIÉZER MOREIRA</t>
  </si>
  <si>
    <t>Eliézer Moreira Filho</t>
  </si>
  <si>
    <t>https://dadosabertos.camara.leg.br/api/v2/deputados/139191</t>
  </si>
  <si>
    <t>ENOC VIEIRA</t>
  </si>
  <si>
    <t>Enoc Almeida Vieira</t>
  </si>
  <si>
    <t>Esperantinópolis</t>
  </si>
  <si>
    <t>https://dadosabertos.camara.leg.br/api/v2/deputados/139192</t>
  </si>
  <si>
    <t>ÉRICO PEGORARO</t>
  </si>
  <si>
    <t>Érico André Pegoraro</t>
  </si>
  <si>
    <t>Canguçu</t>
  </si>
  <si>
    <t>https://dadosabertos.camara.leg.br/api/v2/deputados/1533</t>
  </si>
  <si>
    <t>ERNANI BOLDRIM</t>
  </si>
  <si>
    <t>Ernani Boldrim de Freitas Lima</t>
  </si>
  <si>
    <t>Patrocínio do Muriaé</t>
  </si>
  <si>
    <t>https://dadosabertos.camara.leg.br/api/v2/deputados/1511</t>
  </si>
  <si>
    <t>ESTENER SORATTO</t>
  </si>
  <si>
    <t>Estener Soratto da Silva</t>
  </si>
  <si>
    <t>Tubarão</t>
  </si>
  <si>
    <t>https://dadosabertos.camara.leg.br/api/v2/deputados/139193</t>
  </si>
  <si>
    <t>EUCLIDES SCALCO</t>
  </si>
  <si>
    <t>Euclides Girolamo Scalco</t>
  </si>
  <si>
    <t>https://dadosabertos.camara.leg.br/api/v2/deputados/139194</t>
  </si>
  <si>
    <t>EUNICE MICHILES</t>
  </si>
  <si>
    <t>Eunice Mafalda Michiles</t>
  </si>
  <si>
    <t>https://dadosabertos.camara.leg.br/api/v2/deputados/139195</t>
  </si>
  <si>
    <t>EXPEDITO MACHADO</t>
  </si>
  <si>
    <t>Expedito Machado da Ponte</t>
  </si>
  <si>
    <t>https://dadosabertos.camara.leg.br/api/v2/deputados/1507</t>
  </si>
  <si>
    <t>FADAH GATTASS</t>
  </si>
  <si>
    <t>Fadah Scaff Gattass</t>
  </si>
  <si>
    <t>https://dadosabertos.camara.leg.br/api/v2/deputados/139196</t>
  </si>
  <si>
    <t>FARABULINI JÚNIOR</t>
  </si>
  <si>
    <t>Anselmo Farabulini Júnior</t>
  </si>
  <si>
    <t>https://dadosabertos.camara.leg.br/api/v2/deputados/139197</t>
  </si>
  <si>
    <t>FAUSTO FERNANDES</t>
  </si>
  <si>
    <t>Fausto Fernandes</t>
  </si>
  <si>
    <t>https://dadosabertos.camara.leg.br/api/v2/deputados/139198</t>
  </si>
  <si>
    <t>FELIPE CHEIDDE</t>
  </si>
  <si>
    <t>https://dadosabertos.camara.leg.br/api/v2/deputados/1518</t>
  </si>
  <si>
    <t>FERNANDO BASTOS</t>
  </si>
  <si>
    <t>Fernando José Caldeira Bastos</t>
  </si>
  <si>
    <t>https://dadosabertos.camara.leg.br/api/v2/deputados/139199</t>
  </si>
  <si>
    <t>FERNANDO CUNHA</t>
  </si>
  <si>
    <t>Fernando Cunha Júnior</t>
  </si>
  <si>
    <t>https://dadosabertos.camara.leg.br/api/v2/deputados/139200</t>
  </si>
  <si>
    <t>FERNANDO GASPARIAN</t>
  </si>
  <si>
    <t>Fernando Gasparian</t>
  </si>
  <si>
    <t>https://dadosabertos.camara.leg.br/api/v2/deputados/139201</t>
  </si>
  <si>
    <t>FERNANDO SANTANNA</t>
  </si>
  <si>
    <t>Fernando dos Reis Sant'Anna</t>
  </si>
  <si>
    <t>Irará</t>
  </si>
  <si>
    <t>https://dadosabertos.camara.leg.br/api/v2/deputados/139202</t>
  </si>
  <si>
    <t>FERNANDO VELASCO</t>
  </si>
  <si>
    <t>Fernando Nilson Velasco</t>
  </si>
  <si>
    <t>https://dadosabertos.camara.leg.br/api/v2/deputados/139203</t>
  </si>
  <si>
    <t>FLÁVIO MARCÍLIO</t>
  </si>
  <si>
    <t>Flávio Portela Marcílio</t>
  </si>
  <si>
    <t>https://dadosabertos.camara.leg.br/api/v2/deputados/139204</t>
  </si>
  <si>
    <t>FLORICENO PAIXÃO</t>
  </si>
  <si>
    <t>Floriceno Paixão</t>
  </si>
  <si>
    <t>https://dadosabertos.camara.leg.br/api/v2/deputados/139205</t>
  </si>
  <si>
    <t>FRANÇA TEIXEIRA</t>
  </si>
  <si>
    <t>Antônio França Teixeira</t>
  </si>
  <si>
    <t>https://dadosabertos.camara.leg.br/api/v2/deputados/139206</t>
  </si>
  <si>
    <t>FRANCISCO BENJAMIM</t>
  </si>
  <si>
    <t>Francisco Benjamim Fonseca de Carvalho</t>
  </si>
  <si>
    <t>https://dadosabertos.camara.leg.br/api/v2/deputados/139207</t>
  </si>
  <si>
    <t>FRANCISCO CARNEIRO</t>
  </si>
  <si>
    <t>Francisco Aguiar Carneiro</t>
  </si>
  <si>
    <t>https://dadosabertos.camara.leg.br/api/v2/deputados/139208</t>
  </si>
  <si>
    <t>FRANCISCO DIAS</t>
  </si>
  <si>
    <t>Francisco Dias Alves</t>
  </si>
  <si>
    <t>Baturité</t>
  </si>
  <si>
    <t>https://dadosabertos.camara.leg.br/api/v2/deputados/139209</t>
  </si>
  <si>
    <t>FRANCISCO JATAHY</t>
  </si>
  <si>
    <t>Francisco José Chaves Jatahy</t>
  </si>
  <si>
    <t>https://dadosabertos.camara.leg.br/api/v2/deputados/139210</t>
  </si>
  <si>
    <t>FRANCISCO KUSTER</t>
  </si>
  <si>
    <t>Francisco de Assis Kuster</t>
  </si>
  <si>
    <t>São Joaquim</t>
  </si>
  <si>
    <t>https://dadosabertos.camara.leg.br/api/v2/deputados/139211</t>
  </si>
  <si>
    <t>FRANCISCO PINTO</t>
  </si>
  <si>
    <t>Francisco José Pinto dos Santos</t>
  </si>
  <si>
    <t>https://dadosabertos.camara.leg.br/api/v2/deputados/1517</t>
  </si>
  <si>
    <t>FRANCISCO ROLIM</t>
  </si>
  <si>
    <t>Francisco Matias Rolim</t>
  </si>
  <si>
    <t>Umari</t>
  </si>
  <si>
    <t>https://dadosabertos.camara.leg.br/api/v2/deputados/139213</t>
  </si>
  <si>
    <t>FRANCISCO SALES</t>
  </si>
  <si>
    <t>Francisco de Sales Duarte Azevedo</t>
  </si>
  <si>
    <t>Grossos</t>
  </si>
  <si>
    <t>https://dadosabertos.camara.leg.br/api/v2/deputados/139214</t>
  </si>
  <si>
    <t>FREITAS FILHO</t>
  </si>
  <si>
    <t>Francisco Alves Freitas Filho</t>
  </si>
  <si>
    <t>https://dadosabertos.camara.leg.br/api/v2/deputados/139215</t>
  </si>
  <si>
    <t>FURTADO LEITE</t>
  </si>
  <si>
    <t>Jorge Furtado Leite</t>
  </si>
  <si>
    <t>Santana do Cariri</t>
  </si>
  <si>
    <t>https://dadosabertos.camara.leg.br/api/v2/deputados/139216</t>
  </si>
  <si>
    <t>GABRIEL GUERREIRO</t>
  </si>
  <si>
    <t>Manoel Gabriel Siqueira Guerreiro</t>
  </si>
  <si>
    <t>https://dadosabertos.camara.leg.br/api/v2/deputados/1537</t>
  </si>
  <si>
    <t>GANDI JAMIL</t>
  </si>
  <si>
    <t>Gandi Jamil Georges</t>
  </si>
  <si>
    <t>https://dadosabertos.camara.leg.br/api/v2/deputados/1512</t>
  </si>
  <si>
    <t>GENESCO APARECIDO</t>
  </si>
  <si>
    <t>Genesco Aparecido de Oliveira</t>
  </si>
  <si>
    <t>https://dadosabertos.camara.leg.br/api/v2/deputados/139217</t>
  </si>
  <si>
    <t>GENÉSIO DE BARROS</t>
  </si>
  <si>
    <t>Genésio Vieira de Barros</t>
  </si>
  <si>
    <t>https://dadosabertos.camara.leg.br/api/v2/deputados/1505</t>
  </si>
  <si>
    <t>GEOVAH AMARANTE</t>
  </si>
  <si>
    <t>Geovah José de Freitas Amarante</t>
  </si>
  <si>
    <t>São Francisco do Sul</t>
  </si>
  <si>
    <t>https://dadosabertos.camara.leg.br/api/v2/deputados/139218</t>
  </si>
  <si>
    <t>GEOVANI BORGES</t>
  </si>
  <si>
    <t>Geovani Pinheiro Borges</t>
  </si>
  <si>
    <t>https://dadosabertos.camara.leg.br/api/v2/deputados/139219</t>
  </si>
  <si>
    <t>GERALDO BULHÕES</t>
  </si>
  <si>
    <t>Geraldo Bulhões Barros</t>
  </si>
  <si>
    <t>https://dadosabertos.camara.leg.br/api/v2/deputados/139220</t>
  </si>
  <si>
    <t>GERALDO CAMPOS</t>
  </si>
  <si>
    <t>Geraldo Campos</t>
  </si>
  <si>
    <t>https://dadosabertos.camara.leg.br/api/v2/deputados/139221</t>
  </si>
  <si>
    <t>GERALDO FLEMING</t>
  </si>
  <si>
    <t>Geraldo Reis Fleming</t>
  </si>
  <si>
    <t>Campanha</t>
  </si>
  <si>
    <t>https://dadosabertos.camara.leg.br/api/v2/deputados/139222</t>
  </si>
  <si>
    <t>GERALDO MACIEL</t>
  </si>
  <si>
    <t>José Geraldo Maciel</t>
  </si>
  <si>
    <t>https://dadosabertos.camara.leg.br/api/v2/deputados/139223</t>
  </si>
  <si>
    <t>GERALDO MELO</t>
  </si>
  <si>
    <t>Geraldo José de Almeida Melo</t>
  </si>
  <si>
    <t>Jaboatão dos Guararapes</t>
  </si>
  <si>
    <t>https://dadosabertos.camara.leg.br/api/v2/deputados/139224</t>
  </si>
  <si>
    <t>GERSON MARCONDES</t>
  </si>
  <si>
    <t>Gerson Marcondes Filho</t>
  </si>
  <si>
    <t>https://dadosabertos.camara.leg.br/api/v2/deputados/1529</t>
  </si>
  <si>
    <t>GERSON VILAS-BÔAS</t>
  </si>
  <si>
    <t>Gerson Vilas-bôas</t>
  </si>
  <si>
    <t>Laje</t>
  </si>
  <si>
    <t>https://dadosabertos.camara.leg.br/api/v2/deputados/139225</t>
  </si>
  <si>
    <t>GIDEL DANTAS</t>
  </si>
  <si>
    <t>Gidel Dantas Queiroz</t>
  </si>
  <si>
    <t>Caraúbas</t>
  </si>
  <si>
    <t>https://dadosabertos.camara.leg.br/api/v2/deputados/139226</t>
  </si>
  <si>
    <t>GIL CÉSAR</t>
  </si>
  <si>
    <t>Gil César Moreira de Abreu</t>
  </si>
  <si>
    <t>https://dadosabertos.camara.leg.br/api/v2/deputados/139227</t>
  </si>
  <si>
    <t>GILBERTO CARVALHO</t>
  </si>
  <si>
    <t>Gilberto Rezende de Carvalho</t>
  </si>
  <si>
    <t>https://dadosabertos.camara.leg.br/api/v2/deputados/139228</t>
  </si>
  <si>
    <t>GUMERCINDO MILHOMEM</t>
  </si>
  <si>
    <t>Gumercindo de Souza Milhomem Neto</t>
  </si>
  <si>
    <t>https://dadosabertos.camara.leg.br/api/v2/deputados/139229</t>
  </si>
  <si>
    <t>GUSTAVO DE FARIA</t>
  </si>
  <si>
    <t>Paulo Gustavo Coutinho de Faria</t>
  </si>
  <si>
    <t>https://dadosabertos.camara.leg.br/api/v2/deputados/139230</t>
  </si>
  <si>
    <t>HARLAN GADELHA</t>
  </si>
  <si>
    <t>Harlan de Albuquerque Gadelha Filho</t>
  </si>
  <si>
    <t>https://dadosabertos.camara.leg.br/api/v2/deputados/86494</t>
  </si>
  <si>
    <t>HAROLDO SANFORD</t>
  </si>
  <si>
    <t>Haroldo Sanford Barros</t>
  </si>
  <si>
    <t>https://dadosabertos.camara.leg.br/api/v2/deputados/139231</t>
  </si>
  <si>
    <t>HÉLIO DUQUE</t>
  </si>
  <si>
    <t>Hélio Moacyr de Sousa Duque</t>
  </si>
  <si>
    <t>Andaraí</t>
  </si>
  <si>
    <t>https://dadosabertos.camara.leg.br/api/v2/deputados/139232</t>
  </si>
  <si>
    <t>HELIO MANHÃES</t>
  </si>
  <si>
    <t>Helio Carlos Manhães</t>
  </si>
  <si>
    <t>https://dadosabertos.camara.leg.br/api/v2/deputados/139233</t>
  </si>
  <si>
    <t>HENRIQUE CÓRDOVA</t>
  </si>
  <si>
    <t>Henrique Helion Velho de Córdova</t>
  </si>
  <si>
    <t>https://dadosabertos.camara.leg.br/api/v2/deputados/139234</t>
  </si>
  <si>
    <t>HERMES ZANETI</t>
  </si>
  <si>
    <t>https://dadosabertos.camara.leg.br/api/v2/deputados/139235</t>
  </si>
  <si>
    <t>HOMERO SANTOS</t>
  </si>
  <si>
    <t>Homero Santos</t>
  </si>
  <si>
    <t>https://dadosabertos.camara.leg.br/api/v2/deputados/139236</t>
  </si>
  <si>
    <t>HORÁCIO FERRAZ</t>
  </si>
  <si>
    <t>Horácio Falcão Ferraz</t>
  </si>
  <si>
    <t>Floresta</t>
  </si>
  <si>
    <t>https://dadosabertos.camara.leg.br/api/v2/deputados/139237</t>
  </si>
  <si>
    <t>IRAJÁ RODRIGUES</t>
  </si>
  <si>
    <t>Irajá Andara Rodrigues</t>
  </si>
  <si>
    <t>https://dadosabertos.camara.leg.br/api/v2/deputados/1521</t>
  </si>
  <si>
    <t>IRANILDO PEREIRA</t>
  </si>
  <si>
    <t>Iranildo Pereira de Oliveira</t>
  </si>
  <si>
    <t>https://dadosabertos.camara.leg.br/api/v2/deputados/139238</t>
  </si>
  <si>
    <t>ISMAEL WANDERLEY</t>
  </si>
  <si>
    <t>Ismael Wanderley Gomes Filho</t>
  </si>
  <si>
    <t>https://dadosabertos.camara.leg.br/api/v2/deputados/139239</t>
  </si>
  <si>
    <t>ITURIVAL NASCIMENTO</t>
  </si>
  <si>
    <t>Iturival Nascimento</t>
  </si>
  <si>
    <t>https://dadosabertos.camara.leg.br/api/v2/deputados/139240</t>
  </si>
  <si>
    <t>IVO CERSÓSIMO</t>
  </si>
  <si>
    <t>Ivo Anunciato Cersósimo</t>
  </si>
  <si>
    <t>https://dadosabertos.camara.leg.br/api/v2/deputados/139241</t>
  </si>
  <si>
    <t>IVO LECH</t>
  </si>
  <si>
    <t>Ivo da Silva Lech</t>
  </si>
  <si>
    <t>https://dadosabertos.camara.leg.br/api/v2/deputados/139242</t>
  </si>
  <si>
    <t>IVO VANDERLINDE</t>
  </si>
  <si>
    <t>Ivo Vanderlinde</t>
  </si>
  <si>
    <t>Braço do Norte</t>
  </si>
  <si>
    <t>https://dadosabertos.camara.leg.br/api/v2/deputados/139243</t>
  </si>
  <si>
    <t>JACY SCANAGATTA</t>
  </si>
  <si>
    <t>Jacy Miguel Scanagatta</t>
  </si>
  <si>
    <t>https://dadosabertos.camara.leg.br/api/v2/deputados/139244</t>
  </si>
  <si>
    <t>JALLES FONTOURA</t>
  </si>
  <si>
    <t>Jalles Fontoura de Siqueira</t>
  </si>
  <si>
    <t>https://dadosabertos.camara.leg.br/api/v2/deputados/1528</t>
  </si>
  <si>
    <t>JAYME CAMPOS</t>
  </si>
  <si>
    <t>Jayme Mendonça de Campos</t>
  </si>
  <si>
    <t>https://dadosabertos.camara.leg.br/api/v2/deputados/139245</t>
  </si>
  <si>
    <t>JAYME PALIARIN</t>
  </si>
  <si>
    <t>Jayme Paliarin</t>
  </si>
  <si>
    <t>https://dadosabertos.camara.leg.br/api/v2/deputados/139246</t>
  </si>
  <si>
    <t>JESSÉ FREIRE</t>
  </si>
  <si>
    <t>Jessé Pinto Freire Filho</t>
  </si>
  <si>
    <t>https://dadosabertos.camara.leg.br/api/v2/deputados/139247</t>
  </si>
  <si>
    <t>JESUALDO CAVALCANTI</t>
  </si>
  <si>
    <t>Jesualdo Cavalcanti Barros</t>
  </si>
  <si>
    <t>Corrente</t>
  </si>
  <si>
    <t>https://dadosabertos.camara.leg.br/api/v2/deputados/139248</t>
  </si>
  <si>
    <t>JOACI GÓES</t>
  </si>
  <si>
    <t>Joaci Fonseca de Góes</t>
  </si>
  <si>
    <t>Ipirá</t>
  </si>
  <si>
    <t>https://dadosabertos.camara.leg.br/api/v2/deputados/139249</t>
  </si>
  <si>
    <t>JOÃO AGRIPINO</t>
  </si>
  <si>
    <t>João Agripino de Vasconcelos Maia</t>
  </si>
  <si>
    <t>https://dadosabertos.camara.leg.br/api/v2/deputados/139250</t>
  </si>
  <si>
    <t>JOÃO CUNHA</t>
  </si>
  <si>
    <t>JOÃO ORLANDO DUARTE DA CUNHA</t>
  </si>
  <si>
    <t>https://dadosabertos.camara.leg.br/api/v2/deputados/139251</t>
  </si>
  <si>
    <t>JOÃO DA MATA</t>
  </si>
  <si>
    <t>João da Mata de Souza</t>
  </si>
  <si>
    <t>https://dadosabertos.camara.leg.br/api/v2/deputados/139252</t>
  </si>
  <si>
    <t>JOÃO MACHADO ROLLEMBERG</t>
  </si>
  <si>
    <t>João Machado Rollemberg Mendonça</t>
  </si>
  <si>
    <t>Japoatã</t>
  </si>
  <si>
    <t>https://dadosabertos.camara.leg.br/api/v2/deputados/139253</t>
  </si>
  <si>
    <t>JOÃO REZEK</t>
  </si>
  <si>
    <t>João Jorge Rezek</t>
  </si>
  <si>
    <t>https://dadosabertos.camara.leg.br/api/v2/deputados/139254</t>
  </si>
  <si>
    <t>JOAQUIM BEVILACQUA</t>
  </si>
  <si>
    <t>Joaquim Vicente Ferreira Bevilacqua</t>
  </si>
  <si>
    <t>https://dadosabertos.camara.leg.br/api/v2/deputados/139255</t>
  </si>
  <si>
    <t>JOAQUIM HAICKEL</t>
  </si>
  <si>
    <t>Joaquim Elias Nagib Pinto Haickel</t>
  </si>
  <si>
    <t>https://dadosabertos.camara.leg.br/api/v2/deputados/139256</t>
  </si>
  <si>
    <t>JORGE ARBAGE</t>
  </si>
  <si>
    <t>Jorge Wilson Arbage</t>
  </si>
  <si>
    <t>https://dadosabertos.camara.leg.br/api/v2/deputados/1540</t>
  </si>
  <si>
    <t>JORGE CURY</t>
  </si>
  <si>
    <t>Jorge Said Cury</t>
  </si>
  <si>
    <t>https://dadosabertos.camara.leg.br/api/v2/deputados/132143</t>
  </si>
  <si>
    <t>JORGE GAMA</t>
  </si>
  <si>
    <t>Jorge Gama de Barros</t>
  </si>
  <si>
    <t>https://dadosabertos.camara.leg.br/api/v2/deputados/139257</t>
  </si>
  <si>
    <t>JORGE HAGE</t>
  </si>
  <si>
    <t>Jorge Hage Sobrinho</t>
  </si>
  <si>
    <t>https://dadosabertos.camara.leg.br/api/v2/deputados/139258</t>
  </si>
  <si>
    <t>JORGE LEITE</t>
  </si>
  <si>
    <t>Jorge Cordeiro Leite</t>
  </si>
  <si>
    <t>https://dadosabertos.camara.leg.br/api/v2/deputados/139259</t>
  </si>
  <si>
    <t>JORGE MEDAUAR</t>
  </si>
  <si>
    <t>Jorge Francisco Medauar</t>
  </si>
  <si>
    <t>https://dadosabertos.camara.leg.br/api/v2/deputados/139260</t>
  </si>
  <si>
    <t>JORGE VIANNA</t>
  </si>
  <si>
    <t>Jorge Vianna Dias da Silva</t>
  </si>
  <si>
    <t>https://dadosabertos.camara.leg.br/api/v2/deputados/1520</t>
  </si>
  <si>
    <t>JOSÉ AMANDO</t>
  </si>
  <si>
    <t>José Amando Barbosa Mota</t>
  </si>
  <si>
    <t>https://dadosabertos.camara.leg.br/api/v2/deputados/139261</t>
  </si>
  <si>
    <t>JOSÉ CAMARGO</t>
  </si>
  <si>
    <t>José de Camargo</t>
  </si>
  <si>
    <t>São Roque</t>
  </si>
  <si>
    <t>https://dadosabertos.camara.leg.br/api/v2/deputados/139262</t>
  </si>
  <si>
    <t>JOSÉ CARLOS GRECCO</t>
  </si>
  <si>
    <t>José Carlos Grecco</t>
  </si>
  <si>
    <t>Mauá</t>
  </si>
  <si>
    <t>https://dadosabertos.camara.leg.br/api/v2/deputados/139263</t>
  </si>
  <si>
    <t>JOSÉ DA CONCEIÇÃO</t>
  </si>
  <si>
    <t>José da Conceição Santos</t>
  </si>
  <si>
    <t>https://dadosabertos.camara.leg.br/api/v2/deputados/139264</t>
  </si>
  <si>
    <t>JOSÉ EGREJA</t>
  </si>
  <si>
    <t>José Silvestre Viana Egreja</t>
  </si>
  <si>
    <t>Timburi</t>
  </si>
  <si>
    <t>https://dadosabertos.camara.leg.br/api/v2/deputados/139265</t>
  </si>
  <si>
    <t>JOSÉ FERNANDES</t>
  </si>
  <si>
    <t>José de Oliveira Fernandes</t>
  </si>
  <si>
    <t>Careiro</t>
  </si>
  <si>
    <t>https://dadosabertos.camara.leg.br/api/v2/deputados/139266</t>
  </si>
  <si>
    <t>JOSÉ FREIRE</t>
  </si>
  <si>
    <t>José dos Santos Freire</t>
  </si>
  <si>
    <t>Arraias</t>
  </si>
  <si>
    <t>https://dadosabertos.camara.leg.br/api/v2/deputados/139267</t>
  </si>
  <si>
    <t>JOSÉ GUEDES</t>
  </si>
  <si>
    <t>José Alves Vieira Guedes</t>
  </si>
  <si>
    <t>Itacajá</t>
  </si>
  <si>
    <t>https://dadosabertos.camara.leg.br/api/v2/deputados/139268</t>
  </si>
  <si>
    <t>JOSÉ LINS</t>
  </si>
  <si>
    <t>José Lins Albuquerque</t>
  </si>
  <si>
    <t>https://dadosabertos.camara.leg.br/api/v2/deputados/139269</t>
  </si>
  <si>
    <t>JOSÉ LUIZ DE SÁ</t>
  </si>
  <si>
    <t>José Luiz de Sá</t>
  </si>
  <si>
    <t>https://dadosabertos.camara.leg.br/api/v2/deputados/1508</t>
  </si>
  <si>
    <t>JOSÉ MARINHO</t>
  </si>
  <si>
    <t>José Bezerra Marinho Júnior</t>
  </si>
  <si>
    <t>https://dadosabertos.camara.leg.br/api/v2/deputados/139270</t>
  </si>
  <si>
    <t>José Baptista de Melo</t>
  </si>
  <si>
    <t>https://dadosabertos.camara.leg.br/api/v2/deputados/139271</t>
  </si>
  <si>
    <t>JOSÉ MENDONÇA DE MORAIS</t>
  </si>
  <si>
    <t>José Mendonça de Morais</t>
  </si>
  <si>
    <t>https://dadosabertos.camara.leg.br/api/v2/deputados/139272</t>
  </si>
  <si>
    <t>JOSÉ QUEIROZ</t>
  </si>
  <si>
    <t>José Queiroz da Costa</t>
  </si>
  <si>
    <t>https://dadosabertos.camara.leg.br/api/v2/deputados/139273</t>
  </si>
  <si>
    <t>JOSÉ TAVARES</t>
  </si>
  <si>
    <t>José Tavares da Silva Neto</t>
  </si>
  <si>
    <t>Bela Vista do Paraíso</t>
  </si>
  <si>
    <t>https://dadosabertos.camara.leg.br/api/v2/deputados/139274</t>
  </si>
  <si>
    <t>JOSÉ TEIXEIRA</t>
  </si>
  <si>
    <t>José de Sousa Teixeira</t>
  </si>
  <si>
    <t>https://dadosabertos.camara.leg.br/api/v2/deputados/139275</t>
  </si>
  <si>
    <t>JOSÉ TINOCO</t>
  </si>
  <si>
    <t>José Tinoco Machado de Albuquerque</t>
  </si>
  <si>
    <t>https://dadosabertos.camara.leg.br/api/v2/deputados/139276</t>
  </si>
  <si>
    <t>JOSÉ VIANA</t>
  </si>
  <si>
    <t>José Viana dos Santos</t>
  </si>
  <si>
    <t>Brotas de Macaúbas</t>
  </si>
  <si>
    <t>https://dadosabertos.camara.leg.br/api/v2/deputados/139277</t>
  </si>
  <si>
    <t>JOSÉ YUNES</t>
  </si>
  <si>
    <t>José Yunes</t>
  </si>
  <si>
    <t>https://dadosabertos.camara.leg.br/api/v2/deputados/139278</t>
  </si>
  <si>
    <t>JOVANNI MASINI</t>
  </si>
  <si>
    <t>Jovanni Pedro Masini</t>
  </si>
  <si>
    <t>https://dadosabertos.camara.leg.br/api/v2/deputados/139279</t>
  </si>
  <si>
    <t>JUAREZ ANTUNES</t>
  </si>
  <si>
    <t>José Juarez Antunes</t>
  </si>
  <si>
    <t>https://dadosabertos.camara.leg.br/api/v2/deputados/1509</t>
  </si>
  <si>
    <t>JUAREZ MARQUES BATISTA</t>
  </si>
  <si>
    <t>Juarez Marques Batista</t>
  </si>
  <si>
    <t>Amambaí</t>
  </si>
  <si>
    <t>https://dadosabertos.camara.leg.br/api/v2/deputados/139281</t>
  </si>
  <si>
    <t>JULIO COSTAMILAN</t>
  </si>
  <si>
    <t>Julio Costamilan</t>
  </si>
  <si>
    <t>https://dadosabertos.camara.leg.br/api/v2/deputados/132145</t>
  </si>
  <si>
    <t>JÚLIO MARTINS</t>
  </si>
  <si>
    <t>JÚLIO AUGUSTO MAGALHÃES MARTINS</t>
  </si>
  <si>
    <t>https://dadosabertos.camara.leg.br/api/v2/deputados/139282</t>
  </si>
  <si>
    <t>JÚLIO PEREIRA</t>
  </si>
  <si>
    <t>Julio Maria Pinto Pereira</t>
  </si>
  <si>
    <t>https://dadosabertos.camara.leg.br/api/v2/deputados/1541</t>
  </si>
  <si>
    <t>LAURO MAIA</t>
  </si>
  <si>
    <t>Lauro Augusto do Prado Maia</t>
  </si>
  <si>
    <t>https://dadosabertos.camara.leg.br/api/v2/deputados/139283</t>
  </si>
  <si>
    <t>LÉLIO SOUZA</t>
  </si>
  <si>
    <t>Lélio Miguel Antunes de Souza</t>
  </si>
  <si>
    <t>Rosário do Sul</t>
  </si>
  <si>
    <t>https://dadosabertos.camara.leg.br/api/v2/deputados/1523</t>
  </si>
  <si>
    <t>LEONEL JÚLIO</t>
  </si>
  <si>
    <t>Leonel Júlio</t>
  </si>
  <si>
    <t>Duartina</t>
  </si>
  <si>
    <t>https://dadosabertos.camara.leg.br/api/v2/deputados/1513</t>
  </si>
  <si>
    <t>LEOPOLDO SOUZA</t>
  </si>
  <si>
    <t>Leopoldo de Araujo Souza Neto</t>
  </si>
  <si>
    <t>https://dadosabertos.camara.leg.br/api/v2/deputados/139284</t>
  </si>
  <si>
    <t>LEVY DIAS</t>
  </si>
  <si>
    <t>https://dadosabertos.camara.leg.br/api/v2/deputados/139286</t>
  </si>
  <si>
    <t>LÚCIO ALCÂNTARA</t>
  </si>
  <si>
    <t>Lúcio Gonçalo de Alcântara</t>
  </si>
  <si>
    <t>https://dadosabertos.camara.leg.br/api/v2/deputados/139287</t>
  </si>
  <si>
    <t>LUIZ ALBERTO RODRIGUES</t>
  </si>
  <si>
    <t>Luiz Alberto Rodrigues</t>
  </si>
  <si>
    <t>https://dadosabertos.camara.leg.br/api/v2/deputados/139288</t>
  </si>
  <si>
    <t>LUIZ FREIRE</t>
  </si>
  <si>
    <t>Luiz de Barros Freire Neto</t>
  </si>
  <si>
    <t>https://dadosabertos.camara.leg.br/api/v2/deputados/139289</t>
  </si>
  <si>
    <t>LUIZ INÁCIO LULA DA SILVA</t>
  </si>
  <si>
    <t>Luiz Inácio Lula da Silva</t>
  </si>
  <si>
    <t>https://dadosabertos.camara.leg.br/api/v2/deputados/139290</t>
  </si>
  <si>
    <t>LUIZ LEAL</t>
  </si>
  <si>
    <t>Luiz Gonzaga Soares Leal</t>
  </si>
  <si>
    <t>https://dadosabertos.camara.leg.br/api/v2/deputados/139291</t>
  </si>
  <si>
    <t>LUIZ MARQUES</t>
  </si>
  <si>
    <t>Luiz Gonzaga Nogueira Marques</t>
  </si>
  <si>
    <t>https://dadosabertos.camara.leg.br/api/v2/deputados/1530</t>
  </si>
  <si>
    <t>LURDINHA SAVIGNON</t>
  </si>
  <si>
    <t>Maria de Lourdes Savignon</t>
  </si>
  <si>
    <t>https://dadosabertos.camara.leg.br/api/v2/deputados/139292</t>
  </si>
  <si>
    <t>MAGUITO VILELA</t>
  </si>
  <si>
    <t>Luiz Alberto Maguito Vilela</t>
  </si>
  <si>
    <t>https://dadosabertos.camara.leg.br/api/v2/deputados/1542</t>
  </si>
  <si>
    <t>MANOEL MOTA</t>
  </si>
  <si>
    <t>Manoel de Oliveira Mota</t>
  </si>
  <si>
    <t>https://dadosabertos.camara.leg.br/api/v2/deputados/1532</t>
  </si>
  <si>
    <t>MANUEL DOMINGOS</t>
  </si>
  <si>
    <t>Manuel Domingos Neto</t>
  </si>
  <si>
    <t>https://dadosabertos.camara.leg.br/api/v2/deputados/139293</t>
  </si>
  <si>
    <t>MARCELO CORDEIRO</t>
  </si>
  <si>
    <t>Marcelo Ribeiro Cordeiro</t>
  </si>
  <si>
    <t>https://dadosabertos.camara.leg.br/api/v2/deputados/139294</t>
  </si>
  <si>
    <t>MÁRCIA KUBITSCHEK</t>
  </si>
  <si>
    <t>Márcia Kubitschek</t>
  </si>
  <si>
    <t>https://dadosabertos.camara.leg.br/api/v2/deputados/139295</t>
  </si>
  <si>
    <t>MÁRCIO BRAGA</t>
  </si>
  <si>
    <t>Márcio Baroukel de Souza Braga</t>
  </si>
  <si>
    <t>https://dadosabertos.camara.leg.br/api/v2/deputados/139296</t>
  </si>
  <si>
    <t>MARCO ANTONIO CAMPANELLA</t>
  </si>
  <si>
    <t>Marco Antonio Tofetti Campanella</t>
  </si>
  <si>
    <t>https://dadosabertos.camara.leg.br/api/v2/deputados/139297</t>
  </si>
  <si>
    <t>MARCOS QUEIROZ</t>
  </si>
  <si>
    <t>Marcos Perez Queiroz</t>
  </si>
  <si>
    <t>https://dadosabertos.camara.leg.br/api/v2/deputados/139298</t>
  </si>
  <si>
    <t>MARIA LÚCIA</t>
  </si>
  <si>
    <t>Maria Lúcia Mello de Araújo</t>
  </si>
  <si>
    <t>https://dadosabertos.camara.leg.br/api/v2/deputados/139299</t>
  </si>
  <si>
    <t>MÁRIO BOUCHARDET</t>
  </si>
  <si>
    <t>Mário Bouchardet Senior</t>
  </si>
  <si>
    <t>Visconde do Rio Branco</t>
  </si>
  <si>
    <t>https://dadosabertos.camara.leg.br/api/v2/deputados/1500</t>
  </si>
  <si>
    <t>MÁRIO LIMA</t>
  </si>
  <si>
    <t>MÁRIO SOARES LIMA</t>
  </si>
  <si>
    <t>Glória</t>
  </si>
  <si>
    <t>https://dadosabertos.camara.leg.br/api/v2/deputados/139300</t>
  </si>
  <si>
    <t>MARLUCE PINTO</t>
  </si>
  <si>
    <t>Maria Marluce Moreira Pinto</t>
  </si>
  <si>
    <t>Jaguaruana</t>
  </si>
  <si>
    <t>https://dadosabertos.camara.leg.br/api/v2/deputados/139301</t>
  </si>
  <si>
    <t>MATTOS LEÃO</t>
  </si>
  <si>
    <t>Aragão de Mattos Leão Filho</t>
  </si>
  <si>
    <t>Inácio Martins</t>
  </si>
  <si>
    <t>https://dadosabertos.camara.leg.br/api/v2/deputados/1501</t>
  </si>
  <si>
    <t>MAURÍCIO FRUET</t>
  </si>
  <si>
    <t>Maurício Roslindo Fruet</t>
  </si>
  <si>
    <t>https://dadosabertos.camara.leg.br/api/v2/deputados/139302</t>
  </si>
  <si>
    <t>MAURÍCIO NASSER</t>
  </si>
  <si>
    <t>Maurício Miguel Nasser Abrão</t>
  </si>
  <si>
    <t>Andradina</t>
  </si>
  <si>
    <t>https://dadosabertos.camara.leg.br/api/v2/deputados/139303</t>
  </si>
  <si>
    <t>MAURÍCIO PÁDUA</t>
  </si>
  <si>
    <t>Maurício Pádua Souza</t>
  </si>
  <si>
    <t>https://dadosabertos.camara.leg.br/api/v2/deputados/139304</t>
  </si>
  <si>
    <t>MAURO CAMPOS</t>
  </si>
  <si>
    <t>Mauro Fernando Orofino Campos</t>
  </si>
  <si>
    <t>https://dadosabertos.camara.leg.br/api/v2/deputados/139305</t>
  </si>
  <si>
    <t>MELLO REIS</t>
  </si>
  <si>
    <t>Francisco Antonio de Mello Reis</t>
  </si>
  <si>
    <t>https://dadosabertos.camara.leg.br/api/v2/deputados/139306</t>
  </si>
  <si>
    <t>MELO FREIRE</t>
  </si>
  <si>
    <t>Joaquim de Melo Freire</t>
  </si>
  <si>
    <t>https://dadosabertos.camara.leg.br/api/v2/deputados/139307</t>
  </si>
  <si>
    <t>MILTON LIMA</t>
  </si>
  <si>
    <t>Milton de Lima Filho</t>
  </si>
  <si>
    <t>https://dadosabertos.camara.leg.br/api/v2/deputados/139308</t>
  </si>
  <si>
    <t>MILTON REIS</t>
  </si>
  <si>
    <t>Milton Reis</t>
  </si>
  <si>
    <t>https://dadosabertos.camara.leg.br/api/v2/deputados/139309</t>
  </si>
  <si>
    <t>MIRALDO GOMES</t>
  </si>
  <si>
    <t>João Miraldo dos Santos Gomes</t>
  </si>
  <si>
    <t>Santo Estevão</t>
  </si>
  <si>
    <t>https://dadosabertos.camara.leg.br/api/v2/deputados/139310</t>
  </si>
  <si>
    <t>MOEMA SÃO THIAGO</t>
  </si>
  <si>
    <t>Moema Correia São Thiago</t>
  </si>
  <si>
    <t>Formiga</t>
  </si>
  <si>
    <t>https://dadosabertos.camara.leg.br/api/v2/deputados/139312</t>
  </si>
  <si>
    <t>MOYSÉS PIMENTEL</t>
  </si>
  <si>
    <t>Moysés Santiago Pimentel</t>
  </si>
  <si>
    <t>https://dadosabertos.camara.leg.br/api/v2/deputados/139313</t>
  </si>
  <si>
    <t>MOZARILDO CAVALCANTI</t>
  </si>
  <si>
    <t>Francisco Mozarildo de Melo Cavalcanti</t>
  </si>
  <si>
    <t>https://dadosabertos.camara.leg.br/api/v2/deputados/139314</t>
  </si>
  <si>
    <t>MURILO LEITE</t>
  </si>
  <si>
    <t>Arnaldo Murilo Nogueira Leite</t>
  </si>
  <si>
    <t>https://dadosabertos.camara.leg.br/api/v2/deputados/139315</t>
  </si>
  <si>
    <t>MYRIAM PORTELLA</t>
  </si>
  <si>
    <t>Myriam Nogueira Portella Nunes</t>
  </si>
  <si>
    <t>https://dadosabertos.camara.leg.br/api/v2/deputados/139316</t>
  </si>
  <si>
    <t>NELSON AGUIAR</t>
  </si>
  <si>
    <t>Nelson Alves Aguiar</t>
  </si>
  <si>
    <t>https://dadosabertos.camara.leg.br/api/v2/deputados/139317</t>
  </si>
  <si>
    <t>NELSON SABRÁ</t>
  </si>
  <si>
    <t>Nelson Aristeu Caminada Sabrá</t>
  </si>
  <si>
    <t>https://dadosabertos.camara.leg.br/api/v2/deputados/65519</t>
  </si>
  <si>
    <t>NELTON FRIEDRICH</t>
  </si>
  <si>
    <t>NELTON MIGUEL FRIEDRICH</t>
  </si>
  <si>
    <t>https://dadosabertos.camara.leg.br/api/v2/deputados/139319</t>
  </si>
  <si>
    <t>NILSO SGUAREZI</t>
  </si>
  <si>
    <t>Nilso Romeu Sguarezi</t>
  </si>
  <si>
    <t>https://dadosabertos.camara.leg.br/api/v2/deputados/139320</t>
  </si>
  <si>
    <t>NION ALBERNAZ</t>
  </si>
  <si>
    <t>Nion Albernaz</t>
  </si>
  <si>
    <t>https://dadosabertos.camara.leg.br/api/v2/deputados/139321</t>
  </si>
  <si>
    <t>NOEL DE CARVALHO</t>
  </si>
  <si>
    <t>Noel de Carvalho Neto</t>
  </si>
  <si>
    <t>https://dadosabertos.camara.leg.br/api/v2/deputados/1538</t>
  </si>
  <si>
    <t>NORBERTO SCHWANTES</t>
  </si>
  <si>
    <t>Norberto Schwantes</t>
  </si>
  <si>
    <t>https://dadosabertos.camara.leg.br/api/v2/deputados/132142</t>
  </si>
  <si>
    <t>NOSSER ALMEIDA</t>
  </si>
  <si>
    <t>Nosser Almeida Tóbu</t>
  </si>
  <si>
    <t>https://dadosabertos.camara.leg.br/api/v2/deputados/139322</t>
  </si>
  <si>
    <t>NYDER BARBOSA</t>
  </si>
  <si>
    <t>Nyder Barbosa de Menezes</t>
  </si>
  <si>
    <t>Itaguaçu</t>
  </si>
  <si>
    <t>https://dadosabertos.camara.leg.br/api/v2/deputados/139323</t>
  </si>
  <si>
    <t>OLÍVIO DUTRA</t>
  </si>
  <si>
    <t>Olívio de Oliveira Dutra</t>
  </si>
  <si>
    <t>https://dadosabertos.camara.leg.br/api/v2/deputados/139324</t>
  </si>
  <si>
    <t>OMAR SABINO</t>
  </si>
  <si>
    <t>Omar Sabino de Paula</t>
  </si>
  <si>
    <t>https://dadosabertos.camara.leg.br/api/v2/deputados/139325</t>
  </si>
  <si>
    <t>ONOFRE CORRÊA</t>
  </si>
  <si>
    <t>Onofre Rodrigues Corrêa</t>
  </si>
  <si>
    <t>Raul Soares</t>
  </si>
  <si>
    <t>https://dadosabertos.camara.leg.br/api/v2/deputados/139326</t>
  </si>
  <si>
    <t>OSCAR CORRÊA</t>
  </si>
  <si>
    <t>Oscar Dias Corrêa Júnior</t>
  </si>
  <si>
    <t>https://dadosabertos.camara.leg.br/api/v2/deputados/139327</t>
  </si>
  <si>
    <t>OSMUNDO REBOUÇAS</t>
  </si>
  <si>
    <t>Osmundo Evangelista Rebouças</t>
  </si>
  <si>
    <t>https://dadosabertos.camara.leg.br/api/v2/deputados/139328</t>
  </si>
  <si>
    <t>OSVALDO MACEDO</t>
  </si>
  <si>
    <t>Osvaldo Evangelista de Macedo</t>
  </si>
  <si>
    <t>https://dadosabertos.camara.leg.br/api/v2/deputados/1502</t>
  </si>
  <si>
    <t>OSWALDO ALMEIDA</t>
  </si>
  <si>
    <t>Oswaldo Barreto de Almeida</t>
  </si>
  <si>
    <t>https://dadosabertos.camara.leg.br/api/v2/deputados/1503</t>
  </si>
  <si>
    <t>OSWALDO LIMA FILHO</t>
  </si>
  <si>
    <t>Oswaldo Cavalcanti da Costa Lima Filho</t>
  </si>
  <si>
    <t>https://dadosabertos.camara.leg.br/api/v2/deputados/1506</t>
  </si>
  <si>
    <t>OSWALDO TREVISAN</t>
  </si>
  <si>
    <t>Oswaldo Trevisan</t>
  </si>
  <si>
    <t>https://dadosabertos.camara.leg.br/api/v2/deputados/1510</t>
  </si>
  <si>
    <t>OSWALDO TRIGUEIRO</t>
  </si>
  <si>
    <t>Oswaldo Trigueiro do Valle</t>
  </si>
  <si>
    <t>Cruz do Espírito Santo</t>
  </si>
  <si>
    <t>https://dadosabertos.camara.leg.br/api/v2/deputados/139329</t>
  </si>
  <si>
    <t>OTTOMAR PINTO</t>
  </si>
  <si>
    <t>Ottomar de Sousa Pinto</t>
  </si>
  <si>
    <t>https://dadosabertos.camara.leg.br/api/v2/deputados/139330</t>
  </si>
  <si>
    <t>PAULO ALMADA</t>
  </si>
  <si>
    <t>Paulo Marcos Almada de Abreu</t>
  </si>
  <si>
    <t>Dores do Rio Preto</t>
  </si>
  <si>
    <t>https://dadosabertos.camara.leg.br/api/v2/deputados/139331</t>
  </si>
  <si>
    <t>PAULO BORGES</t>
  </si>
  <si>
    <t>Paulo Borges Teixeira</t>
  </si>
  <si>
    <t>https://dadosabertos.camara.leg.br/api/v2/deputados/139332</t>
  </si>
  <si>
    <t>PAULO MACARINI</t>
  </si>
  <si>
    <t>Paulo Macarini</t>
  </si>
  <si>
    <t>Capinzal</t>
  </si>
  <si>
    <t>https://dadosabertos.camara.leg.br/api/v2/deputados/139333</t>
  </si>
  <si>
    <t>PAULO MARQUES</t>
  </si>
  <si>
    <t>Paulo Marques Pessoa</t>
  </si>
  <si>
    <t>Carpina</t>
  </si>
  <si>
    <t>https://dadosabertos.camara.leg.br/api/v2/deputados/1515</t>
  </si>
  <si>
    <t>PAULO MENICUCCI</t>
  </si>
  <si>
    <t>Paulo Roberto Menicucci</t>
  </si>
  <si>
    <t>https://dadosabertos.camara.leg.br/api/v2/deputados/139334</t>
  </si>
  <si>
    <t>PAULO MINCARONE</t>
  </si>
  <si>
    <t>Paulo Mincarone</t>
  </si>
  <si>
    <t>https://dadosabertos.camara.leg.br/api/v2/deputados/139335</t>
  </si>
  <si>
    <t>PAULO PIMENTEL</t>
  </si>
  <si>
    <t>Paulo Cruz Pimentel</t>
  </si>
  <si>
    <t>https://dadosabertos.camara.leg.br/api/v2/deputados/139336</t>
  </si>
  <si>
    <t>PAULO ROBERTO</t>
  </si>
  <si>
    <t>Paulo Roberto de Souza Matos</t>
  </si>
  <si>
    <t>https://dadosabertos.camara.leg.br/api/v2/deputados/139337</t>
  </si>
  <si>
    <t>PAULO ROBERTO CUNHA</t>
  </si>
  <si>
    <t>Paulo Roberto Cunha</t>
  </si>
  <si>
    <t>https://dadosabertos.camara.leg.br/api/v2/deputados/139338</t>
  </si>
  <si>
    <t>PAULO SIDNEI</t>
  </si>
  <si>
    <t>Paulo Sidnei Antunes</t>
  </si>
  <si>
    <t>https://dadosabertos.camara.leg.br/api/v2/deputados/139339</t>
  </si>
  <si>
    <t>PAULO ZARZUR</t>
  </si>
  <si>
    <t>Paulo Zarzur</t>
  </si>
  <si>
    <t>https://dadosabertos.camara.leg.br/api/v2/deputados/139340</t>
  </si>
  <si>
    <t>PEDRO CEOLIN</t>
  </si>
  <si>
    <t>Pedro Ceolin Sobrinho</t>
  </si>
  <si>
    <t>https://dadosabertos.camara.leg.br/api/v2/deputados/139341</t>
  </si>
  <si>
    <t>PERCIVAL MUNIZ</t>
  </si>
  <si>
    <t>Percival Santos Muniz</t>
  </si>
  <si>
    <t>Guiratinga</t>
  </si>
  <si>
    <t>https://dadosabertos.camara.leg.br/api/v2/deputados/139342</t>
  </si>
  <si>
    <t>PLÍNIO ARRUDA SAMPAIO</t>
  </si>
  <si>
    <t>Plínio Soares de Arruda Sampaio</t>
  </si>
  <si>
    <t>https://dadosabertos.camara.leg.br/api/v2/deputados/1536</t>
  </si>
  <si>
    <t>PLÍNIO MARTINS</t>
  </si>
  <si>
    <t>Plínio Barbosa Martins</t>
  </si>
  <si>
    <t>https://dadosabertos.camara.leg.br/api/v2/deputados/139343</t>
  </si>
  <si>
    <t>RAIMUNDO REZENDE</t>
  </si>
  <si>
    <t>Raimundo Monteiro de Rezende</t>
  </si>
  <si>
    <t>Diamantina</t>
  </si>
  <si>
    <t>https://dadosabertos.camara.leg.br/api/v2/deputados/139344</t>
  </si>
  <si>
    <t>RALPH BIASI</t>
  </si>
  <si>
    <t>Ralph Biasi</t>
  </si>
  <si>
    <t>https://dadosabertos.camara.leg.br/api/v2/deputados/139345</t>
  </si>
  <si>
    <t>RAUL FERRAZ</t>
  </si>
  <si>
    <t>Raul Carlos Andrade Ferraz</t>
  </si>
  <si>
    <t>https://dadosabertos.camara.leg.br/api/v2/deputados/139346</t>
  </si>
  <si>
    <t>RENAN CALHEIROS</t>
  </si>
  <si>
    <t>José Renan Vasconcelos Calheiros</t>
  </si>
  <si>
    <t>https://dadosabertos.camara.leg.br/api/v2/deputados/139347</t>
  </si>
  <si>
    <t>RENATO BERNARDI</t>
  </si>
  <si>
    <t>Renato Bernardi</t>
  </si>
  <si>
    <t>Ibirá</t>
  </si>
  <si>
    <t>https://dadosabertos.camara.leg.br/api/v2/deputados/139348</t>
  </si>
  <si>
    <t>RITA FURTADO</t>
  </si>
  <si>
    <t>Rita Isabel Gomes Furtado</t>
  </si>
  <si>
    <t>https://dadosabertos.camara.leg.br/api/v2/deputados/139349</t>
  </si>
  <si>
    <t>ROBERTO AUGUSTO</t>
  </si>
  <si>
    <t>Roberto Augusto Lopes</t>
  </si>
  <si>
    <t>https://dadosabertos.camara.leg.br/api/v2/deputados/139350</t>
  </si>
  <si>
    <t>ROBERTO D'AVILA</t>
  </si>
  <si>
    <t>Roberto Ferraretto D'avila</t>
  </si>
  <si>
    <t>https://dadosabertos.camara.leg.br/api/v2/deputados/139351</t>
  </si>
  <si>
    <t>ROBERTO VITAL</t>
  </si>
  <si>
    <t>ROBERTO VITAL FERREIRA</t>
  </si>
  <si>
    <t>https://dadosabertos.camara.leg.br/api/v2/deputados/139352</t>
  </si>
  <si>
    <t>ROBSON MARINHO</t>
  </si>
  <si>
    <t>Robson Riedel Marinho</t>
  </si>
  <si>
    <t>https://dadosabertos.camara.leg.br/api/v2/deputados/139353</t>
  </si>
  <si>
    <t>RONALDO CARVALHO</t>
  </si>
  <si>
    <t>Ronaldo de Azevedo Carvalho</t>
  </si>
  <si>
    <t>Santa Rita do Sapucaí</t>
  </si>
  <si>
    <t>https://dadosabertos.camara.leg.br/api/v2/deputados/139354</t>
  </si>
  <si>
    <t>RONARO CORRÊA</t>
  </si>
  <si>
    <t>Ronaro Machado Corrêa</t>
  </si>
  <si>
    <t>Rio Casca</t>
  </si>
  <si>
    <t>https://dadosabertos.camara.leg.br/api/v2/deputados/139355</t>
  </si>
  <si>
    <t>ROSA PRATA</t>
  </si>
  <si>
    <t>Arnaldo Rosa Prata</t>
  </si>
  <si>
    <t>https://dadosabertos.camara.leg.br/api/v2/deputados/139356</t>
  </si>
  <si>
    <t>ROSÁRIO CONGRO NETO</t>
  </si>
  <si>
    <t>Rosário Congro Neto</t>
  </si>
  <si>
    <t>https://dadosabertos.camara.leg.br/api/v2/deputados/139357</t>
  </si>
  <si>
    <t>ROSPIDE NETTO</t>
  </si>
  <si>
    <t>Rodolfo Rospide Netto</t>
  </si>
  <si>
    <t>https://dadosabertos.camara.leg.br/api/v2/deputados/139358</t>
  </si>
  <si>
    <t>RUBEM BRANQUINHO</t>
  </si>
  <si>
    <t>Rubem Soares Branquinho</t>
  </si>
  <si>
    <t>Carmo do Paranaíba</t>
  </si>
  <si>
    <t>https://dadosabertos.camara.leg.br/api/v2/deputados/139359</t>
  </si>
  <si>
    <t>RUBEN FIGUEIRÓ</t>
  </si>
  <si>
    <t>Ruben Figueiró de Oliveira</t>
  </si>
  <si>
    <t>Rio Brilhante</t>
  </si>
  <si>
    <t>https://dadosabertos.camara.leg.br/api/v2/deputados/139360</t>
  </si>
  <si>
    <t>RUY NEDEL</t>
  </si>
  <si>
    <t>Ruy Germano Nedel</t>
  </si>
  <si>
    <t>Cerro Largo</t>
  </si>
  <si>
    <t>https://dadosabertos.camara.leg.br/api/v2/deputados/139361</t>
  </si>
  <si>
    <t>SADIE HAUACHE</t>
  </si>
  <si>
    <t>Sadie Rodrigues Hauache</t>
  </si>
  <si>
    <t>https://dadosabertos.camara.leg.br/api/v2/deputados/139362</t>
  </si>
  <si>
    <t>SAMIR ACHÔA</t>
  </si>
  <si>
    <t>Samir Achôa</t>
  </si>
  <si>
    <t>Vera Cruz</t>
  </si>
  <si>
    <t>https://dadosabertos.camara.leg.br/api/v2/deputados/139363</t>
  </si>
  <si>
    <t>SANTINHO FURTADO</t>
  </si>
  <si>
    <t>Sebastião Santinho Vitral dos Santos Furtado</t>
  </si>
  <si>
    <t>https://dadosabertos.camara.leg.br/api/v2/deputados/1527</t>
  </si>
  <si>
    <t>Sérgio Ribeiro Miranda de Carvalho</t>
  </si>
  <si>
    <t>https://dadosabertos.camara.leg.br/api/v2/deputados/139364</t>
  </si>
  <si>
    <t>SÉRGIO MOREIRA</t>
  </si>
  <si>
    <t>Júlio Sérgio de Maya Pedrosa Moreira</t>
  </si>
  <si>
    <t>Capela</t>
  </si>
  <si>
    <t>https://dadosabertos.camara.leg.br/api/v2/deputados/139365</t>
  </si>
  <si>
    <t>SÉRGIO WERNECK</t>
  </si>
  <si>
    <t>Sérgio Ladeira Furquim Werneck</t>
  </si>
  <si>
    <t>https://dadosabertos.camara.leg.br/api/v2/deputados/139366</t>
  </si>
  <si>
    <t>SIQUEIRA CAMPOS</t>
  </si>
  <si>
    <t>José Wilson Siqueira Campos</t>
  </si>
  <si>
    <t>https://dadosabertos.camara.leg.br/api/v2/deputados/139367</t>
  </si>
  <si>
    <t>SOTERO CUNHA</t>
  </si>
  <si>
    <t>ALTOMIRES SOTERO DA CUNHA</t>
  </si>
  <si>
    <t>https://dadosabertos.camara.leg.br/api/v2/deputados/139368</t>
  </si>
  <si>
    <t>STÉLIO DIAS</t>
  </si>
  <si>
    <t>Stélio Dias</t>
  </si>
  <si>
    <t>https://dadosabertos.camara.leg.br/api/v2/deputados/139369</t>
  </si>
  <si>
    <t>TADEU FRANÇA</t>
  </si>
  <si>
    <t>José Tadeu Bento França</t>
  </si>
  <si>
    <t>Santa Fé</t>
  </si>
  <si>
    <t>https://dadosabertos.camara.leg.br/api/v2/deputados/1526</t>
  </si>
  <si>
    <t>TARSO GENRO</t>
  </si>
  <si>
    <t>Tarso Fernando Herz Genro</t>
  </si>
  <si>
    <t>https://dadosabertos.camara.leg.br/api/v2/deputados/1534</t>
  </si>
  <si>
    <t>TARZAN DE CASTRO</t>
  </si>
  <si>
    <t>Tarzan de Castro</t>
  </si>
  <si>
    <t>Alto Araguaia</t>
  </si>
  <si>
    <t>https://dadosabertos.camara.leg.br/api/v2/deputados/139370</t>
  </si>
  <si>
    <t>THEODORO MENDES</t>
  </si>
  <si>
    <t>José Theodoro Mendes</t>
  </si>
  <si>
    <t>https://dadosabertos.camara.leg.br/api/v2/deputados/1504</t>
  </si>
  <si>
    <t>TITO COSTA</t>
  </si>
  <si>
    <t>Antonio Tito Costa</t>
  </si>
  <si>
    <t>Torrinha</t>
  </si>
  <si>
    <t>https://dadosabertos.camara.leg.br/api/v2/deputados/139371</t>
  </si>
  <si>
    <t>UBIRATAN SPINELLI</t>
  </si>
  <si>
    <t>Ubiratan Francisco Vilela Spinelli</t>
  </si>
  <si>
    <t>Poxoréu</t>
  </si>
  <si>
    <t>https://dadosabertos.camara.leg.br/api/v2/deputados/139372</t>
  </si>
  <si>
    <t>VALMIR CAMPELO</t>
  </si>
  <si>
    <t>Antonio Valmir Campelo Bezerra</t>
  </si>
  <si>
    <t>https://dadosabertos.camara.leg.br/api/v2/deputados/139373</t>
  </si>
  <si>
    <t>VASCO ALVES</t>
  </si>
  <si>
    <t>VASCO ALVES DE OLIVEIRA JUNIOR</t>
  </si>
  <si>
    <t>https://dadosabertos.camara.leg.br/api/v2/deputados/139374</t>
  </si>
  <si>
    <t>VASCO NETO</t>
  </si>
  <si>
    <t>Vasco Azevedo Neto</t>
  </si>
  <si>
    <t>Guaxupé</t>
  </si>
  <si>
    <t>https://dadosabertos.camara.leg.br/api/v2/deputados/139375</t>
  </si>
  <si>
    <t>VICENTE BOGO</t>
  </si>
  <si>
    <t>Vicente Joaquim Bogo</t>
  </si>
  <si>
    <t>Rio do Oeste</t>
  </si>
  <si>
    <t>https://dadosabertos.camara.leg.br/api/v2/deputados/139376</t>
  </si>
  <si>
    <t>VICTOR FONTANA</t>
  </si>
  <si>
    <t>Victor Fontana</t>
  </si>
  <si>
    <t>https://dadosabertos.camara.leg.br/api/v2/deputados/139377</t>
  </si>
  <si>
    <t>VIEIRA DA SILVA</t>
  </si>
  <si>
    <t>Raimundo Lisboa Vieira da Silva</t>
  </si>
  <si>
    <t>https://dadosabertos.camara.leg.br/api/v2/deputados/139378</t>
  </si>
  <si>
    <t>VILSON SOUZA</t>
  </si>
  <si>
    <t>Vilson Luiz de Souza</t>
  </si>
  <si>
    <t>Luiz Alves</t>
  </si>
  <si>
    <t>https://dadosabertos.camara.leg.br/api/v2/deputados/139379</t>
  </si>
  <si>
    <t>VINGT ROSADO</t>
  </si>
  <si>
    <t>Jerônimo Vingt Rosado Maia</t>
  </si>
  <si>
    <t>https://dadosabertos.camara.leg.br/api/v2/deputados/139380</t>
  </si>
  <si>
    <t>VINICIUS CANSANÇÃO</t>
  </si>
  <si>
    <t>Vinícius Cansanção Filho</t>
  </si>
  <si>
    <t>https://dadosabertos.camara.leg.br/api/v2/deputados/139381</t>
  </si>
  <si>
    <t>VIRGILDÁSIO DE SENNA</t>
  </si>
  <si>
    <t>Virgildásio de Senna</t>
  </si>
  <si>
    <t>https://dadosabertos.camara.leg.br/api/v2/deputados/139382</t>
  </si>
  <si>
    <t>VIRGÍLIO GALASSI</t>
  </si>
  <si>
    <t>Virgílio Galassi</t>
  </si>
  <si>
    <t>https://dadosabertos.camara.leg.br/api/v2/deputados/139383</t>
  </si>
  <si>
    <t>VÍTOR BUAIZ</t>
  </si>
  <si>
    <t>Vítor Buaiz</t>
  </si>
  <si>
    <t>https://dadosabertos.camara.leg.br/api/v2/deputados/132141</t>
  </si>
  <si>
    <t>VITOR TROVÃO</t>
  </si>
  <si>
    <t>Vitor Dias Trovão</t>
  </si>
  <si>
    <t>Axixá</t>
  </si>
  <si>
    <t>https://dadosabertos.camara.leg.br/api/v2/deputados/139384</t>
  </si>
  <si>
    <t>WALDYR PUGLIESI</t>
  </si>
  <si>
    <t>Waldyr Ortêncio Pugliesi</t>
  </si>
  <si>
    <t>Monte Alto</t>
  </si>
  <si>
    <t>https://dadosabertos.camara.leg.br/api/v2/deputados/139385</t>
  </si>
  <si>
    <t>WALMOR DE LUCA</t>
  </si>
  <si>
    <t>Walmor Paulo de Luca</t>
  </si>
  <si>
    <t>https://dadosabertos.camara.leg.br/api/v2/deputados/139386</t>
  </si>
  <si>
    <t>WILMA MAIA</t>
  </si>
  <si>
    <t>Wilma Maria de Faria Maia</t>
  </si>
  <si>
    <t>https://dadosabertos.camara.leg.br/api/v2/deputados/139387</t>
  </si>
  <si>
    <t>ZIZA VALADARES</t>
  </si>
  <si>
    <t>Luiz Otávio Ziza Mota Valadares</t>
  </si>
  <si>
    <t>https://dadosabertos.camara.leg.br/api/v2/deputados/131826</t>
  </si>
  <si>
    <t>ABDIAS NASCIMENTO</t>
  </si>
  <si>
    <t>Abdias do Nascimento</t>
  </si>
  <si>
    <t>https://dadosabertos.camara.leg.br/api/v2/deputados/131827</t>
  </si>
  <si>
    <t>ADAIL VETTORAZZO</t>
  </si>
  <si>
    <t>Adail Vettorazzo</t>
  </si>
  <si>
    <t>https://dadosabertos.camara.leg.br/api/v2/deputados/131828</t>
  </si>
  <si>
    <t>ADHEMAR GHISI</t>
  </si>
  <si>
    <t>Adhemar Paladini Ghisi</t>
  </si>
  <si>
    <t>https://dadosabertos.camara.leg.br/api/v2/deputados/131829</t>
  </si>
  <si>
    <t>ADHEMAR SANTILLO</t>
  </si>
  <si>
    <t>https://dadosabertos.camara.leg.br/api/v2/deputados/131830</t>
  </si>
  <si>
    <t>ADROALDO CAMPOS</t>
  </si>
  <si>
    <t>Adroaldo Campos Filho</t>
  </si>
  <si>
    <t>https://dadosabertos.camara.leg.br/api/v2/deputados/131831</t>
  </si>
  <si>
    <t>AÉCIO CUNHA</t>
  </si>
  <si>
    <t>Aécio Ferreira da Cunha</t>
  </si>
  <si>
    <t>https://dadosabertos.camara.leg.br/api/v2/deputados/131832</t>
  </si>
  <si>
    <t>AGENOR MARIA</t>
  </si>
  <si>
    <t>Agenor Nunes de Maria</t>
  </si>
  <si>
    <t>Florânia</t>
  </si>
  <si>
    <t>https://dadosabertos.camara.leg.br/api/v2/deputados/131833</t>
  </si>
  <si>
    <t>AIRON RIOS</t>
  </si>
  <si>
    <t>Airon Carlos da Silva Rios</t>
  </si>
  <si>
    <t>https://dadosabertos.camara.leg.br/api/v2/deputados/131834</t>
  </si>
  <si>
    <t>AIRTON SOARES</t>
  </si>
  <si>
    <t>Airton Estevens Soares</t>
  </si>
  <si>
    <t>https://dadosabertos.camara.leg.br/api/v2/deputados/131836</t>
  </si>
  <si>
    <t>ALBINO COIMBRA</t>
  </si>
  <si>
    <t>Albino Coimbra Filho</t>
  </si>
  <si>
    <t>Corguinho</t>
  </si>
  <si>
    <t>https://dadosabertos.camara.leg.br/api/v2/deputados/131837</t>
  </si>
  <si>
    <t>ALCIDES FRANCISCATO</t>
  </si>
  <si>
    <t>Alcides Franciscato</t>
  </si>
  <si>
    <t>https://dadosabertos.camara.leg.br/api/v2/deputados/131967</t>
  </si>
  <si>
    <t>ALENCAR FURTADO</t>
  </si>
  <si>
    <t>José Alencar Furtado</t>
  </si>
  <si>
    <t>https://dadosabertos.camara.leg.br/api/v2/deputados/132123</t>
  </si>
  <si>
    <t>ALFREDO MARQUES</t>
  </si>
  <si>
    <t>Alfredo de Abreu Pereira Marques</t>
  </si>
  <si>
    <t>https://dadosabertos.camara.leg.br/api/v2/deputados/131839</t>
  </si>
  <si>
    <t>ALTAIR CHAGAS</t>
  </si>
  <si>
    <t>Altair Chagas</t>
  </si>
  <si>
    <t>Inhapim</t>
  </si>
  <si>
    <t>https://dadosabertos.camara.leg.br/api/v2/deputados/131838</t>
  </si>
  <si>
    <t>ALUÍZIO BEZERRA</t>
  </si>
  <si>
    <t>ALUÍZIO BEZERRA DE OLIVEIRA</t>
  </si>
  <si>
    <t>https://dadosabertos.camara.leg.br/api/v2/deputados/131840</t>
  </si>
  <si>
    <t>ÁLVARO GAUDÊNCIO</t>
  </si>
  <si>
    <t>Álvaro Gaudêncio Filho</t>
  </si>
  <si>
    <t>https://dadosabertos.camara.leg.br/api/v2/deputados/131841</t>
  </si>
  <si>
    <t>AMADEU GEARA</t>
  </si>
  <si>
    <t>Amadeu Luiz de Mio Geara</t>
  </si>
  <si>
    <t>https://dadosabertos.camara.leg.br/api/v2/deputados/131842</t>
  </si>
  <si>
    <t>ANSELMO PERARO</t>
  </si>
  <si>
    <t>Anselmo Santo Peraro</t>
  </si>
  <si>
    <t>https://dadosabertos.camara.leg.br/api/v2/deputados/131853</t>
  </si>
  <si>
    <t>ANTONIO AMARAL</t>
  </si>
  <si>
    <t>Antonio Nonato do Amaral</t>
  </si>
  <si>
    <t>https://dadosabertos.camara.leg.br/api/v2/deputados/132113</t>
  </si>
  <si>
    <t>ANTONIO CUNHA</t>
  </si>
  <si>
    <t>Francisco Antônio Ferreira da Cunha</t>
  </si>
  <si>
    <t>https://dadosabertos.camara.leg.br/api/v2/deputados/131857</t>
  </si>
  <si>
    <t>ANTÔNIO DIAS</t>
  </si>
  <si>
    <t>Antônio Soares Dias</t>
  </si>
  <si>
    <t>https://dadosabertos.camara.leg.br/api/v2/deputados/131845</t>
  </si>
  <si>
    <t>ANTÔNIO FARIAS</t>
  </si>
  <si>
    <t>Antônio Arruda de Farias</t>
  </si>
  <si>
    <t>https://dadosabertos.camara.leg.br/api/v2/deputados/131850</t>
  </si>
  <si>
    <t>ANTÔNIO FLORÊNCIO</t>
  </si>
  <si>
    <t>Antônio Florêncio de Queiroz</t>
  </si>
  <si>
    <t>Pau dos Ferros</t>
  </si>
  <si>
    <t>https://dadosabertos.camara.leg.br/api/v2/deputados/131849</t>
  </si>
  <si>
    <t>ANTONIO GOMES</t>
  </si>
  <si>
    <t>Antonio da Costa Gomes</t>
  </si>
  <si>
    <t>Umbuzeiro</t>
  </si>
  <si>
    <t>https://dadosabertos.camara.leg.br/api/v2/deputados/131852</t>
  </si>
  <si>
    <t>ANTONIO MAZUREK</t>
  </si>
  <si>
    <t>Antonio Mazurek</t>
  </si>
  <si>
    <t>https://dadosabertos.camara.leg.br/api/v2/deputados/131844</t>
  </si>
  <si>
    <t>ANTÔNIO MORAIS</t>
  </si>
  <si>
    <t>ANTÔNIO ALVES DE MORAIS</t>
  </si>
  <si>
    <t>https://dadosabertos.camara.leg.br/api/v2/deputados/131854</t>
  </si>
  <si>
    <t>ANTÔNIO OSÓRIO</t>
  </si>
  <si>
    <t>Antônio Osório Menezes Batista</t>
  </si>
  <si>
    <t>Porto Seguro</t>
  </si>
  <si>
    <t>https://dadosabertos.camara.leg.br/api/v2/deputados/131848</t>
  </si>
  <si>
    <t>ANTÔNIO PONTES</t>
  </si>
  <si>
    <t>Antônio Cordeiro Pontes</t>
  </si>
  <si>
    <t>https://dadosabertos.camara.leg.br/api/v2/deputados/131851</t>
  </si>
  <si>
    <t>ANTONIO VILLAÇA</t>
  </si>
  <si>
    <t>Antônio Luiz Villaça Mendes</t>
  </si>
  <si>
    <t>https://dadosabertos.camara.leg.br/api/v2/deputados/131858</t>
  </si>
  <si>
    <t>ARGILANO DARIO</t>
  </si>
  <si>
    <t>Argilano Dario</t>
  </si>
  <si>
    <t>https://dadosabertos.camara.leg.br/api/v2/deputados/131859</t>
  </si>
  <si>
    <t>ARILDO TELES</t>
  </si>
  <si>
    <t>Arildo Matos Teles</t>
  </si>
  <si>
    <t>https://dadosabertos.camara.leg.br/api/v2/deputados/131860</t>
  </si>
  <si>
    <t>ARLINDO PORTO</t>
  </si>
  <si>
    <t>Arlindo Augusto dos Santos Porto</t>
  </si>
  <si>
    <t>https://dadosabertos.camara.leg.br/api/v2/deputados/131861</t>
  </si>
  <si>
    <t>ARNALDO MACIEL</t>
  </si>
  <si>
    <t>Arnaldo Barbosa Maciel</t>
  </si>
  <si>
    <t>https://dadosabertos.camara.leg.br/api/v2/deputados/131862</t>
  </si>
  <si>
    <t>AROLDO MOLETTA</t>
  </si>
  <si>
    <t>Aroldo José Moletta</t>
  </si>
  <si>
    <t>Palmeira</t>
  </si>
  <si>
    <t>https://dadosabertos.camara.leg.br/api/v2/deputados/131863</t>
  </si>
  <si>
    <t>ARY KFFURI</t>
  </si>
  <si>
    <t>Ary Kffuri</t>
  </si>
  <si>
    <t>https://dadosabertos.camara.leg.br/api/v2/deputados/131915</t>
  </si>
  <si>
    <t>ASSUNCAO DE MACEDO</t>
  </si>
  <si>
    <t>Francisco Assunção de Macedo</t>
  </si>
  <si>
    <t>https://dadosabertos.camara.leg.br/api/v2/deputados/131864</t>
  </si>
  <si>
    <t>Augusto do Prado Franco</t>
  </si>
  <si>
    <t>Laranjeiras</t>
  </si>
  <si>
    <t>https://dadosabertos.camara.leg.br/api/v2/deputados/131998</t>
  </si>
  <si>
    <t>AUGUSTO TREIN</t>
  </si>
  <si>
    <t>Justiniano Augusto de Araújo Trein</t>
  </si>
  <si>
    <t>https://dadosabertos.camara.leg.br/api/v2/deputados/131865</t>
  </si>
  <si>
    <t>AURÉLIO PERES</t>
  </si>
  <si>
    <t>Aurélio Peres</t>
  </si>
  <si>
    <t>Bilac</t>
  </si>
  <si>
    <t>https://dadosabertos.camara.leg.br/api/v2/deputados/131866</t>
  </si>
  <si>
    <t>BALTAZAR DE BEM E CANTO</t>
  </si>
  <si>
    <t>Balthazar de Bem e Canto</t>
  </si>
  <si>
    <t>https://dadosabertos.camara.leg.br/api/v2/deputados/131969</t>
  </si>
  <si>
    <t>BATALHA DE GÓES</t>
  </si>
  <si>
    <t>José Batalha de Góes</t>
  </si>
  <si>
    <t>Tobias Barreto</t>
  </si>
  <si>
    <t>https://dadosabertos.camara.leg.br/api/v2/deputados/131855</t>
  </si>
  <si>
    <t>BAYMA JUNIOR</t>
  </si>
  <si>
    <t>Antônio Rodrigues Bayma Junior</t>
  </si>
  <si>
    <t>https://dadosabertos.camara.leg.br/api/v2/deputados/131867</t>
  </si>
  <si>
    <t>BENTO PORTO</t>
  </si>
  <si>
    <t>Bento Souza Porto</t>
  </si>
  <si>
    <t>https://dadosabertos.camara.leg.br/api/v2/deputados/132050</t>
  </si>
  <si>
    <t>BRABO DE CARVALHO</t>
  </si>
  <si>
    <t>Oswaldo Brabo de Carvalho</t>
  </si>
  <si>
    <t>Muaná</t>
  </si>
  <si>
    <t>https://dadosabertos.camara.leg.br/api/v2/deputados/131868</t>
  </si>
  <si>
    <t>BRASÍLIO CAIADO</t>
  </si>
  <si>
    <t>Brasílio Ramos Caiado</t>
  </si>
  <si>
    <t>https://dadosabertos.camara.leg.br/api/v2/deputados/131869</t>
  </si>
  <si>
    <t>CARLOS ALBERTO DE'CARLI</t>
  </si>
  <si>
    <t>Carlos Alberto de'Carli</t>
  </si>
  <si>
    <t>https://dadosabertos.camara.leg.br/api/v2/deputados/131870</t>
  </si>
  <si>
    <t>CARLOS ELOY</t>
  </si>
  <si>
    <t>Carlos Eloy Carvalho Guimarães</t>
  </si>
  <si>
    <t>Pompéu</t>
  </si>
  <si>
    <t>https://dadosabertos.camara.leg.br/api/v2/deputados/131872</t>
  </si>
  <si>
    <t>CARLOS MAGALHÃES</t>
  </si>
  <si>
    <t>CARLOS JOSÉ MAGALHÃES DE MELO</t>
  </si>
  <si>
    <t>https://dadosabertos.camara.leg.br/api/v2/deputados/132124</t>
  </si>
  <si>
    <t>CARLOS OLIVEIRA</t>
  </si>
  <si>
    <t>Carlos Augusto de Oliveira</t>
  </si>
  <si>
    <t>José de Freitas</t>
  </si>
  <si>
    <t>https://dadosabertos.camara.leg.br/api/v2/deputados/131871</t>
  </si>
  <si>
    <t>CARLOS PEÇANHA</t>
  </si>
  <si>
    <t>Carlos Ferreira Peçanha</t>
  </si>
  <si>
    <t>https://dadosabertos.camara.leg.br/api/v2/deputados/131847</t>
  </si>
  <si>
    <t>CARNEIRO ARNAUD</t>
  </si>
  <si>
    <t>Antônio Carneiro Arnaud</t>
  </si>
  <si>
    <t>https://dadosabertos.camara.leg.br/api/v2/deputados/131874</t>
  </si>
  <si>
    <t>CASILDO MALDANER</t>
  </si>
  <si>
    <t>Casildo João Maldaner</t>
  </si>
  <si>
    <t>https://dadosabertos.camara.leg.br/api/v2/deputados/131875</t>
  </si>
  <si>
    <t>CASSIO GONCALVES</t>
  </si>
  <si>
    <t>Cássio Gonçalves</t>
  </si>
  <si>
    <t>https://dadosabertos.camara.leg.br/api/v2/deputados/131948</t>
  </si>
  <si>
    <t>CASTEJON BRANCO</t>
  </si>
  <si>
    <t>João Batista Castejon Branco</t>
  </si>
  <si>
    <t>https://dadosabertos.camara.leg.br/api/v2/deputados/131877</t>
  </si>
  <si>
    <t>CELSO AMARAL</t>
  </si>
  <si>
    <t>Celso Fortes Amaral</t>
  </si>
  <si>
    <t>Assis</t>
  </si>
  <si>
    <t>https://dadosabertos.camara.leg.br/api/v2/deputados/132125</t>
  </si>
  <si>
    <t>CELSO BARROS</t>
  </si>
  <si>
    <t>CELSO BARROS COELHO</t>
  </si>
  <si>
    <t>https://dadosabertos.camara.leg.br/api/v2/deputados/132083</t>
  </si>
  <si>
    <t>CELSO CARVALHO</t>
  </si>
  <si>
    <t>Sebastião Celso de Carvalho</t>
  </si>
  <si>
    <t>https://dadosabertos.camara.leg.br/api/v2/deputados/131878</t>
  </si>
  <si>
    <t>CELSO PEÇANHA</t>
  </si>
  <si>
    <t>Celso Peçanha</t>
  </si>
  <si>
    <t>https://dadosabertos.camara.leg.br/api/v2/deputados/131876</t>
  </si>
  <si>
    <t>CELSO SABOIA</t>
  </si>
  <si>
    <t>Celso da Costa Sabóia</t>
  </si>
  <si>
    <t>https://dadosabertos.camara.leg.br/api/v2/deputados/131879</t>
  </si>
  <si>
    <t>CLARCK PLATON</t>
  </si>
  <si>
    <t>Clarck Charles Platon</t>
  </si>
  <si>
    <t>https://dadosabertos.camara.leg.br/api/v2/deputados/131924</t>
  </si>
  <si>
    <t>CLAUDINO SALES</t>
  </si>
  <si>
    <t>Gonçalo Claudino Sales</t>
  </si>
  <si>
    <t>Novo Oriente</t>
  </si>
  <si>
    <t>https://dadosabertos.camara.leg.br/api/v2/deputados/131880</t>
  </si>
  <si>
    <t>CLÁUDIO PHILOMENO</t>
  </si>
  <si>
    <t>Cláudio Moreira Philomeno Gomes</t>
  </si>
  <si>
    <t>https://dadosabertos.camara.leg.br/api/v2/deputados/131881</t>
  </si>
  <si>
    <t>CLEMIR RAMOS</t>
  </si>
  <si>
    <t>CLEMIR DA SILVA RAMOS</t>
  </si>
  <si>
    <t>https://dadosabertos.camara.leg.br/api/v2/deputados/132122</t>
  </si>
  <si>
    <t>CORREIA LIMA</t>
  </si>
  <si>
    <t>Adalberto Alexandrino Correia Lima</t>
  </si>
  <si>
    <t>https://dadosabertos.camara.leg.br/api/v2/deputados/132139</t>
  </si>
  <si>
    <t>COUTINHO JORGE</t>
  </si>
  <si>
    <t>Fernando Coutinho Jorge</t>
  </si>
  <si>
    <t>https://dadosabertos.camara.leg.br/api/v2/deputados/131999</t>
  </si>
  <si>
    <t>CRISTINO CÔRTES</t>
  </si>
  <si>
    <t>Ladislau Cristino Côrtes</t>
  </si>
  <si>
    <t>https://dadosabertos.camara.leg.br/api/v2/deputados/131883</t>
  </si>
  <si>
    <t>DANTE DE OLIVEIRA</t>
  </si>
  <si>
    <t>Dante Martins de Oliveira</t>
  </si>
  <si>
    <t>https://dadosabertos.camara.leg.br/api/v2/deputados/131884</t>
  </si>
  <si>
    <t>DARCILIO AYRES</t>
  </si>
  <si>
    <t>Darcílio Ayres Raunheitti</t>
  </si>
  <si>
    <t>https://dadosabertos.camara.leg.br/api/v2/deputados/131885</t>
  </si>
  <si>
    <t>DARCY PASSOS</t>
  </si>
  <si>
    <t>Darcy Paulillo dos Passos</t>
  </si>
  <si>
    <t>https://dadosabertos.camara.leg.br/api/v2/deputados/131886</t>
  </si>
  <si>
    <t>DARIO TAVARES</t>
  </si>
  <si>
    <t>Dario de Faria Tavares</t>
  </si>
  <si>
    <t>https://dadosabertos.camara.leg.br/api/v2/deputados/131887</t>
  </si>
  <si>
    <t>DÉLIO DOS SANTOS</t>
  </si>
  <si>
    <t>Délio dos Santos</t>
  </si>
  <si>
    <t>https://dadosabertos.camara.leg.br/api/v2/deputados/131888</t>
  </si>
  <si>
    <t>DELSON SCARANO</t>
  </si>
  <si>
    <t>Delson Scarano</t>
  </si>
  <si>
    <t>São Tomás de Aquino</t>
  </si>
  <si>
    <t>https://dadosabertos.camara.leg.br/api/v2/deputados/131889</t>
  </si>
  <si>
    <t>DILSON FANCHIN</t>
  </si>
  <si>
    <t>Dilson Fanchin</t>
  </si>
  <si>
    <t>https://dadosabertos.camara.leg.br/api/v2/deputados/131890</t>
  </si>
  <si>
    <t>DIMAS PERRIN</t>
  </si>
  <si>
    <t>Dimas da Annunciação Perrin</t>
  </si>
  <si>
    <t>Conselheiro Lafaiete</t>
  </si>
  <si>
    <t>https://dadosabertos.camara.leg.br/api/v2/deputados/131891</t>
  </si>
  <si>
    <t>DIRCEU CARNEIRO</t>
  </si>
  <si>
    <t>Dirceu José Carneiro</t>
  </si>
  <si>
    <t>Curitibanos</t>
  </si>
  <si>
    <t>https://dadosabertos.camara.leg.br/api/v2/deputados/131892</t>
  </si>
  <si>
    <t>DJALMA BESSA</t>
  </si>
  <si>
    <t>Djalma Alves Bessa</t>
  </si>
  <si>
    <t>https://dadosabertos.camara.leg.br/api/v2/deputados/131893</t>
  </si>
  <si>
    <t>DJALMA BOM</t>
  </si>
  <si>
    <t>Djalma de Souza Bom</t>
  </si>
  <si>
    <t>https://dadosabertos.camara.leg.br/api/v2/deputados/132127</t>
  </si>
  <si>
    <t>DJALMA FALCÃO</t>
  </si>
  <si>
    <t>Djalma Marinho Muniz Falcão</t>
  </si>
  <si>
    <t>Araripina</t>
  </si>
  <si>
    <t>https://dadosabertos.camara.leg.br/api/v2/deputados/131894</t>
  </si>
  <si>
    <t>EDISON GARCIA</t>
  </si>
  <si>
    <t>Edison Britto Garcia</t>
  </si>
  <si>
    <t>Cáceres</t>
  </si>
  <si>
    <t>https://dadosabertos.camara.leg.br/api/v2/deputados/131895</t>
  </si>
  <si>
    <t>EDISON LOBÃO</t>
  </si>
  <si>
    <t>Edison Lobão</t>
  </si>
  <si>
    <t>https://dadosabertos.camara.leg.br/api/v2/deputados/131896</t>
  </si>
  <si>
    <t>EDSON TESSIER</t>
  </si>
  <si>
    <t>Edson Tessier</t>
  </si>
  <si>
    <t>https://dadosabertos.camara.leg.br/api/v2/deputados/131897</t>
  </si>
  <si>
    <t>EDUARDO GALIL</t>
  </si>
  <si>
    <t>Eduardo Galil</t>
  </si>
  <si>
    <t>Trajano de Morais</t>
  </si>
  <si>
    <t>https://dadosabertos.camara.leg.br/api/v2/deputados/132128</t>
  </si>
  <si>
    <t>EDUARDO MATARAZZO SUPLICY</t>
  </si>
  <si>
    <t>Eduardo Matarazzo Suplicy</t>
  </si>
  <si>
    <t>https://dadosabertos.camara.leg.br/api/v2/deputados/131898</t>
  </si>
  <si>
    <t>ELQUISSON SOARES</t>
  </si>
  <si>
    <t>Elquisson Dias Soares</t>
  </si>
  <si>
    <t>Anagé</t>
  </si>
  <si>
    <t>https://dadosabertos.camara.leg.br/api/v2/deputados/131902</t>
  </si>
  <si>
    <t>EMÍDIO PERONDI</t>
  </si>
  <si>
    <t>Emídio Odosio Perondi</t>
  </si>
  <si>
    <t>https://dadosabertos.camara.leg.br/api/v2/deputados/131900</t>
  </si>
  <si>
    <t>EMILIO GALLO</t>
  </si>
  <si>
    <t>Emílio Eddstone Duarte Gallo</t>
  </si>
  <si>
    <t>Jaguaraçu</t>
  </si>
  <si>
    <t>https://dadosabertos.camara.leg.br/api/v2/deputados/131901</t>
  </si>
  <si>
    <t>EMÍLIO HADDAD</t>
  </si>
  <si>
    <t>Emílio Haddah Filho</t>
  </si>
  <si>
    <t>https://dadosabertos.camara.leg.br/api/v2/deputados/131899</t>
  </si>
  <si>
    <t>EMMANUEL CRUZ</t>
  </si>
  <si>
    <t>Emmanuel Martins da Cruz</t>
  </si>
  <si>
    <t>https://dadosabertos.camara.leg.br/api/v2/deputados/131903</t>
  </si>
  <si>
    <t>ENIO ANDRADE BRANCO</t>
  </si>
  <si>
    <t>Enio Andrade Branco</t>
  </si>
  <si>
    <t>https://dadosabertos.camara.leg.br/api/v2/deputados/131904</t>
  </si>
  <si>
    <t>EPITACIO BITTENCOURT</t>
  </si>
  <si>
    <t>Epitácio Bittencourt</t>
  </si>
  <si>
    <t>https://dadosabertos.camara.leg.br/api/v2/deputados/131905</t>
  </si>
  <si>
    <t>EPITÁCIO CAFETEIRA</t>
  </si>
  <si>
    <t>Epitácio Cafeteira Afonso Pereira</t>
  </si>
  <si>
    <t>https://dadosabertos.camara.leg.br/api/v2/deputados/132111</t>
  </si>
  <si>
    <t>ERANI MULLER</t>
  </si>
  <si>
    <t>Erani Guilherme Muller</t>
  </si>
  <si>
    <t>https://dadosabertos.camara.leg.br/api/v2/deputados/131906</t>
  </si>
  <si>
    <t>ERNANI SATYRO</t>
  </si>
  <si>
    <t>Ernâni Ayres Satyro e Sousa</t>
  </si>
  <si>
    <t>https://dadosabertos.camara.leg.br/api/v2/deputados/131907</t>
  </si>
  <si>
    <t>ERNESTO DE MARCO</t>
  </si>
  <si>
    <t>Ernesto José de Marco</t>
  </si>
  <si>
    <t>https://dadosabertos.camara.leg.br/api/v2/deputados/131908</t>
  </si>
  <si>
    <t>ESTEVAM GALVAO</t>
  </si>
  <si>
    <t>Estevam Galvão de Oliveira</t>
  </si>
  <si>
    <t>https://dadosabertos.camara.leg.br/api/v2/deputados/131916</t>
  </si>
  <si>
    <t>ETELVIR DANTAS</t>
  </si>
  <si>
    <t>Francisco Etelvir Dantas</t>
  </si>
  <si>
    <t>Saboeiro</t>
  </si>
  <si>
    <t>https://dadosabertos.camara.leg.br/api/v2/deputados/131909</t>
  </si>
  <si>
    <t>EVALDO AMARAL</t>
  </si>
  <si>
    <t>Evaldo Amaral</t>
  </si>
  <si>
    <t>https://dadosabertos.camara.leg.br/api/v2/deputados/131910</t>
  </si>
  <si>
    <t>EVANDRO AYRES DE MOURA</t>
  </si>
  <si>
    <t>Evandro Ayres de Moura</t>
  </si>
  <si>
    <t>Piancó</t>
  </si>
  <si>
    <t>https://dadosabertos.camara.leg.br/api/v2/deputados/131912</t>
  </si>
  <si>
    <t>FABIANO BRAGA CORTES</t>
  </si>
  <si>
    <t>Fabiano Braga Côrtes</t>
  </si>
  <si>
    <t>https://dadosabertos.camara.leg.br/api/v2/deputados/132130</t>
  </si>
  <si>
    <t>FERNANDO CARVALHO</t>
  </si>
  <si>
    <t>Fernado Souza Ribeiro de Carvalho</t>
  </si>
  <si>
    <t>https://dadosabertos.camara.leg.br/api/v2/deputados/132129</t>
  </si>
  <si>
    <t>FERNANDO COLLOR</t>
  </si>
  <si>
    <t>Fernando Affonso Collor de Mello</t>
  </si>
  <si>
    <t>https://dadosabertos.camara.leg.br/api/v2/deputados/131913</t>
  </si>
  <si>
    <t>FERNANDO MAGALHÃES</t>
  </si>
  <si>
    <t>Fernando Wilson Araújo Magalhães</t>
  </si>
  <si>
    <t>https://dadosabertos.camara.leg.br/api/v2/deputados/132112</t>
  </si>
  <si>
    <t>FERNANDO VIEGAS</t>
  </si>
  <si>
    <t>Fernando Bruggemann Viegas de Amorim</t>
  </si>
  <si>
    <t>https://dadosabertos.camara.leg.br/api/v2/deputados/132011</t>
  </si>
  <si>
    <t>FERREIRA MARTINS</t>
  </si>
  <si>
    <t>Luiz Ferreira Martins</t>
  </si>
  <si>
    <t>Itapetininga</t>
  </si>
  <si>
    <t>https://dadosabertos.camara.leg.br/api/v2/deputados/131981</t>
  </si>
  <si>
    <t>FIGUEIREDO FILHO</t>
  </si>
  <si>
    <t>José Joaquim de Figueiredo Filho</t>
  </si>
  <si>
    <t>https://dadosabertos.camara.leg.br/api/v2/deputados/131914</t>
  </si>
  <si>
    <t>FLAVIO BIERRENBACH</t>
  </si>
  <si>
    <t>Flávio Flores da Cunha Bierrenbach</t>
  </si>
  <si>
    <t>https://dadosabertos.camara.leg.br/api/v2/deputados/132131</t>
  </si>
  <si>
    <t>FRANCISCO ERSE</t>
  </si>
  <si>
    <t>Francisco José Chiquilito Coimbra Erse</t>
  </si>
  <si>
    <t>https://dadosabertos.camara.leg.br/api/v2/deputados/131920</t>
  </si>
  <si>
    <t>FRANCISCO ROLLEMBERG</t>
  </si>
  <si>
    <t>Francisco Guimarães Rollemberg</t>
  </si>
  <si>
    <t>https://dadosabertos.camara.leg.br/api/v2/deputados/131918</t>
  </si>
  <si>
    <t>FRANCISCO STUDART</t>
  </si>
  <si>
    <t>Francisco José Ferreira Studart</t>
  </si>
  <si>
    <t>https://dadosabertos.camara.leg.br/api/v2/deputados/131843</t>
  </si>
  <si>
    <t>FREITAS NETO</t>
  </si>
  <si>
    <t>Antônio de Almendra Freitas Neto</t>
  </si>
  <si>
    <t>https://dadosabertos.camara.leg.br/api/v2/deputados/131975</t>
  </si>
  <si>
    <t>FREITAS NOBRE</t>
  </si>
  <si>
    <t>José Freitas Nobre</t>
  </si>
  <si>
    <t>https://dadosabertos.camara.leg.br/api/v2/deputados/131921</t>
  </si>
  <si>
    <t>FUED DIB</t>
  </si>
  <si>
    <t>Fued José Dib</t>
  </si>
  <si>
    <t>https://dadosabertos.camara.leg.br/api/v2/deputados/131922</t>
  </si>
  <si>
    <t>GERARDO RENAULT</t>
  </si>
  <si>
    <t>Gerardo Henrique Machado Renault</t>
  </si>
  <si>
    <t>https://dadosabertos.camara.leg.br/api/v2/deputados/131923</t>
  </si>
  <si>
    <t>GILSON DE BARROS</t>
  </si>
  <si>
    <t>Gilson Duarte de Barros</t>
  </si>
  <si>
    <t>https://dadosabertos.camara.leg.br/api/v2/deputados/131977</t>
  </si>
  <si>
    <t>GILTON GARCIA</t>
  </si>
  <si>
    <t>José Gilton Pinto Garcia</t>
  </si>
  <si>
    <t>https://dadosabertos.camara.leg.br/api/v2/deputados/132061</t>
  </si>
  <si>
    <t>GIÓIA JUNIOR</t>
  </si>
  <si>
    <t>Rafael Gióia Martins Júnior</t>
  </si>
  <si>
    <t>https://dadosabertos.camara.leg.br/api/v2/deputados/132064</t>
  </si>
  <si>
    <t>GOMES DA SILVA</t>
  </si>
  <si>
    <t>Raimundo Gomes da Silva</t>
  </si>
  <si>
    <t>Uruburetama</t>
  </si>
  <si>
    <t>https://dadosabertos.camara.leg.br/api/v2/deputados/132012</t>
  </si>
  <si>
    <t>GONZAGA VASCONCELOS</t>
  </si>
  <si>
    <t>Luiz de Gonzaga Andrade Vasconcelos</t>
  </si>
  <si>
    <t>https://dadosabertos.camara.leg.br/api/v2/deputados/132140</t>
  </si>
  <si>
    <t>GORGONIO NETO</t>
  </si>
  <si>
    <t>Gorgonio José de Araújo Neto</t>
  </si>
  <si>
    <t>https://dadosabertos.camara.leg.br/api/v2/deputados/131925</t>
  </si>
  <si>
    <t>GUIDO MOESCH</t>
  </si>
  <si>
    <t>Guido Moesh</t>
  </si>
  <si>
    <t>https://dadosabertos.camara.leg.br/api/v2/deputados/131926</t>
  </si>
  <si>
    <t>HAMILTON XAVIER</t>
  </si>
  <si>
    <t>Hamilton Xavier</t>
  </si>
  <si>
    <t>https://dadosabertos.camara.leg.br/api/v2/deputados/131928</t>
  </si>
  <si>
    <t>HARRY AMORIM</t>
  </si>
  <si>
    <t>Harry Amorim Costa</t>
  </si>
  <si>
    <t>https://dadosabertos.camara.leg.br/api/v2/deputados/131927</t>
  </si>
  <si>
    <t>HARRY SAUER</t>
  </si>
  <si>
    <t>Harry Alziro Sauer</t>
  </si>
  <si>
    <t>https://dadosabertos.camara.leg.br/api/v2/deputados/131929</t>
  </si>
  <si>
    <t>HELIO CORREIA</t>
  </si>
  <si>
    <t>Hèlio Correia de Mello</t>
  </si>
  <si>
    <t>https://dadosabertos.camara.leg.br/api/v2/deputados/131930</t>
  </si>
  <si>
    <t>HÉLIO DANTAS</t>
  </si>
  <si>
    <t>Hélio Dantas</t>
  </si>
  <si>
    <t>https://dadosabertos.camara.leg.br/api/v2/deputados/131931</t>
  </si>
  <si>
    <t>HERBERT LEVY</t>
  </si>
  <si>
    <t>Herbert Victor Levy</t>
  </si>
  <si>
    <t>https://dadosabertos.camara.leg.br/api/v2/deputados/131932</t>
  </si>
  <si>
    <t>HERBERTO RAMOS</t>
  </si>
  <si>
    <t>Herberto Eugênio Nascimento Ramos</t>
  </si>
  <si>
    <t>https://dadosabertos.camara.leg.br/api/v2/deputados/131933</t>
  </si>
  <si>
    <t>HORÁCIO MATOS</t>
  </si>
  <si>
    <t>Horácio Matos Júnior</t>
  </si>
  <si>
    <t>Lençois</t>
  </si>
  <si>
    <t>https://dadosabertos.camara.leg.br/api/v2/deputados/131934</t>
  </si>
  <si>
    <t>HORACIO ORTIZ</t>
  </si>
  <si>
    <t>Horácio Ortiz</t>
  </si>
  <si>
    <t>Redenção da Serra</t>
  </si>
  <si>
    <t>https://dadosabertos.camara.leg.br/api/v2/deputados/131979</t>
  </si>
  <si>
    <t>HUGO MARDINI</t>
  </si>
  <si>
    <t>José Hugo Mardini</t>
  </si>
  <si>
    <t>https://dadosabertos.camara.leg.br/api/v2/deputados/131935</t>
  </si>
  <si>
    <t>IBSEN DE CASTRO</t>
  </si>
  <si>
    <t>Ibsen Henrique de Castro</t>
  </si>
  <si>
    <t>https://dadosabertos.camara.leg.br/api/v2/deputados/131936</t>
  </si>
  <si>
    <t>IRAM SARAIVA</t>
  </si>
  <si>
    <t>Iram de Almeida Saraiva</t>
  </si>
  <si>
    <t>https://dadosabertos.camara.leg.br/api/v2/deputados/131937</t>
  </si>
  <si>
    <t>IRAPUAM COSTA JUNIOR</t>
  </si>
  <si>
    <t>Irapuan Costa Júnior</t>
  </si>
  <si>
    <t>https://dadosabertos.camara.leg.br/api/v2/deputados/131917</t>
  </si>
  <si>
    <t>IRINEU BRZEZINSKI</t>
  </si>
  <si>
    <t>Francisco Irineu Brzezinski</t>
  </si>
  <si>
    <t>https://dadosabertos.camara.leg.br/api/v2/deputados/131938</t>
  </si>
  <si>
    <t>IRINEU COLATO</t>
  </si>
  <si>
    <t>Irineu Colato</t>
  </si>
  <si>
    <t>https://dadosabertos.camara.leg.br/api/v2/deputados/131939</t>
  </si>
  <si>
    <t>ISRAEL DIAS NOVAES</t>
  </si>
  <si>
    <t>Israel Dias Novaes</t>
  </si>
  <si>
    <t>https://dadosabertos.camara.leg.br/api/v2/deputados/131940</t>
  </si>
  <si>
    <t>ÍTALO CONTI</t>
  </si>
  <si>
    <t>Ítalo Conti</t>
  </si>
  <si>
    <t>Mallet</t>
  </si>
  <si>
    <t>https://dadosabertos.camara.leg.br/api/v2/deputados/1590</t>
  </si>
  <si>
    <t>IVETTE VARGAS</t>
  </si>
  <si>
    <t>Cândida Ivette Vargas Tatsch Martins</t>
  </si>
  <si>
    <t>https://dadosabertos.camara.leg.br/api/v2/deputados/132114</t>
  </si>
  <si>
    <t>IVO AMBRÓSIO</t>
  </si>
  <si>
    <t>Ivo Ambrósio</t>
  </si>
  <si>
    <t>https://dadosabertos.camara.leg.br/api/v2/deputados/131882</t>
  </si>
  <si>
    <t>JACQUES D'ORNELLAS</t>
  </si>
  <si>
    <t>DALTRO JACQUES D'ORNELLAS</t>
  </si>
  <si>
    <t>https://dadosabertos.camara.leg.br/api/v2/deputados/131941</t>
  </si>
  <si>
    <t>JAIME CÂMARA</t>
  </si>
  <si>
    <t>Jaime Câmara</t>
  </si>
  <si>
    <t>https://dadosabertos.camara.leg.br/api/v2/deputados/131942</t>
  </si>
  <si>
    <t>JAIRO MAGALHÃES</t>
  </si>
  <si>
    <t>Jairo Monteiro da Cunha Magalhães</t>
  </si>
  <si>
    <t>Serro</t>
  </si>
  <si>
    <t>https://dadosabertos.camara.leg.br/api/v2/deputados/131978</t>
  </si>
  <si>
    <t>JG DE ARAÚJO JORGE</t>
  </si>
  <si>
    <t>José Guilherme de Araújo Jorge</t>
  </si>
  <si>
    <t>https://dadosabertos.camara.leg.br/api/v2/deputados/131944</t>
  </si>
  <si>
    <t>JIULIO CARUSO</t>
  </si>
  <si>
    <t>Jiulio Caruso</t>
  </si>
  <si>
    <t>https://dadosabertos.camara.leg.br/api/v2/deputados/131945</t>
  </si>
  <si>
    <t>JOACIL PEREIRA</t>
  </si>
  <si>
    <t>Joacil de Brito Pereira</t>
  </si>
  <si>
    <t>https://dadosabertos.camara.leg.br/api/v2/deputados/131946</t>
  </si>
  <si>
    <t>João Agripino Filho</t>
  </si>
  <si>
    <t>https://dadosabertos.camara.leg.br/api/v2/deputados/132116</t>
  </si>
  <si>
    <t>JOÃO AUGUSTO</t>
  </si>
  <si>
    <t>João Augusto Figueiredo de Oliveira</t>
  </si>
  <si>
    <t>https://dadosabertos.camara.leg.br/api/v2/deputados/131947</t>
  </si>
  <si>
    <t>JOÃO BASTOS</t>
  </si>
  <si>
    <t>João Bastos Soares</t>
  </si>
  <si>
    <t>Lavrinhas</t>
  </si>
  <si>
    <t>https://dadosabertos.camara.leg.br/api/v2/deputados/131950</t>
  </si>
  <si>
    <t>JOÃO CARLOS DE CARLI</t>
  </si>
  <si>
    <t>João Carlos de Petribu De Carli</t>
  </si>
  <si>
    <t>https://dadosabertos.camara.leg.br/api/v2/deputados/132132</t>
  </si>
  <si>
    <t>JOÃO DIVINO</t>
  </si>
  <si>
    <t>João Divino Dorneles</t>
  </si>
  <si>
    <t>https://dadosabertos.camara.leg.br/api/v2/deputados/131951</t>
  </si>
  <si>
    <t>JOÃO GILBERTO</t>
  </si>
  <si>
    <t>João Gilberto Lucas Coelho</t>
  </si>
  <si>
    <t>Quaraí</t>
  </si>
  <si>
    <t>https://dadosabertos.camara.leg.br/api/v2/deputados/132126</t>
  </si>
  <si>
    <t>JOÃO HERCULINO</t>
  </si>
  <si>
    <t>João Herculino de Souza Lopes</t>
  </si>
  <si>
    <t>https://dadosabertos.camara.leg.br/api/v2/deputados/131949</t>
  </si>
  <si>
    <t>JOÃO MARQUES</t>
  </si>
  <si>
    <t>João Batista Figueira Marques</t>
  </si>
  <si>
    <t>https://dadosabertos.camara.leg.br/api/v2/deputados/131959</t>
  </si>
  <si>
    <t>JOÃO PAGANELLA</t>
  </si>
  <si>
    <t>João Valvite Paganella</t>
  </si>
  <si>
    <t>Esmeralda</t>
  </si>
  <si>
    <t>https://dadosabertos.camara.leg.br/api/v2/deputados/131957</t>
  </si>
  <si>
    <t>JOÃO REBELO</t>
  </si>
  <si>
    <t>João Rebelo Vieira</t>
  </si>
  <si>
    <t>https://dadosabertos.camara.leg.br/api/v2/deputados/131961</t>
  </si>
  <si>
    <t>JOAQUIM RORIZ</t>
  </si>
  <si>
    <t>Joaquim Domingos Roriz</t>
  </si>
  <si>
    <t>https://dadosabertos.camara.leg.br/api/v2/deputados/131963</t>
  </si>
  <si>
    <t>JÔNATHAS NUNES</t>
  </si>
  <si>
    <t>Jônathas de Barros Nunes</t>
  </si>
  <si>
    <t>https://dadosabertos.camara.leg.br/api/v2/deputados/131964</t>
  </si>
  <si>
    <t>JORGE CARONE</t>
  </si>
  <si>
    <t>JORGE CARONE FILHO</t>
  </si>
  <si>
    <t>https://dadosabertos.camara.leg.br/api/v2/deputados/132133</t>
  </si>
  <si>
    <t>JORGE FERRAZ</t>
  </si>
  <si>
    <t>Jorge Ferraz</t>
  </si>
  <si>
    <t>https://dadosabertos.camara.leg.br/api/v2/deputados/131965</t>
  </si>
  <si>
    <t>JORGE VARGAS</t>
  </si>
  <si>
    <t>Jorge Vargas</t>
  </si>
  <si>
    <t>Paracatu</t>
  </si>
  <si>
    <t>https://dadosabertos.camara.leg.br/api/v2/deputados/131968</t>
  </si>
  <si>
    <t>JOSÉ APARECIDO</t>
  </si>
  <si>
    <t>José Aparecido de Oliveira</t>
  </si>
  <si>
    <t>https://dadosabertos.camara.leg.br/api/v2/deputados/131972</t>
  </si>
  <si>
    <t>JOSÉ CARLOS FAGUNDES</t>
  </si>
  <si>
    <t>José Carlos Raposo Fagundes Netto</t>
  </si>
  <si>
    <t>https://dadosabertos.camara.leg.br/api/v2/deputados/131970</t>
  </si>
  <si>
    <t>JOSÉ CARLOS FONSECA</t>
  </si>
  <si>
    <t>José Carlos da Fonseca</t>
  </si>
  <si>
    <t>São José do Calçado</t>
  </si>
  <si>
    <t>https://dadosabertos.camara.leg.br/api/v2/deputados/131971</t>
  </si>
  <si>
    <t>JOSÉ CARLOS TEIXEIRA</t>
  </si>
  <si>
    <t>José Carlos Mesquita Teixeira</t>
  </si>
  <si>
    <t>https://dadosabertos.camara.leg.br/api/v2/deputados/131973</t>
  </si>
  <si>
    <t>JOSÉ COLAGROSSI</t>
  </si>
  <si>
    <t>José Colagrossi Filho</t>
  </si>
  <si>
    <t>Itapuí</t>
  </si>
  <si>
    <t>https://dadosabertos.camara.leg.br/api/v2/deputados/131974</t>
  </si>
  <si>
    <t>JOSÉ EUDES</t>
  </si>
  <si>
    <t>José Eudes Freitas</t>
  </si>
  <si>
    <t>Parnamirim</t>
  </si>
  <si>
    <t>https://dadosabertos.camara.leg.br/api/v2/deputados/131976</t>
  </si>
  <si>
    <t>JOSÉ FREJAT</t>
  </si>
  <si>
    <t>José Frejat</t>
  </si>
  <si>
    <t>Cururupu</t>
  </si>
  <si>
    <t>https://dadosabertos.camara.leg.br/api/v2/deputados/131980</t>
  </si>
  <si>
    <t>JOSÉ LINS DE ALBUQUERQUE</t>
  </si>
  <si>
    <t>José de Jesus Lins de Albuquerque</t>
  </si>
  <si>
    <t>https://dadosabertos.camara.leg.br/api/v2/deputados/131984</t>
  </si>
  <si>
    <t>José Machado Sobrinho</t>
  </si>
  <si>
    <t>Guanhães</t>
  </si>
  <si>
    <t>https://dadosabertos.camara.leg.br/api/v2/deputados/131988</t>
  </si>
  <si>
    <t>JOSÉ MARIA MAGALHÃES</t>
  </si>
  <si>
    <t>José Maria Magalhães</t>
  </si>
  <si>
    <t>https://dadosabertos.camara.leg.br/api/v2/deputados/131991</t>
  </si>
  <si>
    <t>JOSÉ RIBAMAR MACHADO</t>
  </si>
  <si>
    <t>José Ribamar de Faria Machado</t>
  </si>
  <si>
    <t>https://dadosabertos.camara.leg.br/api/v2/deputados/131995</t>
  </si>
  <si>
    <t>JOSIAS LEITE</t>
  </si>
  <si>
    <t>Josias Ferreira Leite</t>
  </si>
  <si>
    <t>São José do Egito</t>
  </si>
  <si>
    <t>https://dadosabertos.camara.leg.br/api/v2/deputados/131996</t>
  </si>
  <si>
    <t>JOSUÉ DE SOUZA</t>
  </si>
  <si>
    <t>Josué Cláudio de Souza</t>
  </si>
  <si>
    <t>https://dadosabertos.camara.leg.br/api/v2/deputados/131997</t>
  </si>
  <si>
    <t>JUAREZ BATISTA</t>
  </si>
  <si>
    <t>Juarez Batista</t>
  </si>
  <si>
    <t>https://dadosabertos.camara.leg.br/api/v2/deputados/131952</t>
  </si>
  <si>
    <t>JUAREZ BERNARDES</t>
  </si>
  <si>
    <t>João Juarez Bernardes</t>
  </si>
  <si>
    <t>Planaltina</t>
  </si>
  <si>
    <t>https://dadosabertos.camara.leg.br/api/v2/deputados/1712</t>
  </si>
  <si>
    <t>JÚNIA MARISE</t>
  </si>
  <si>
    <t>Junia Marise Azeredo Coutinho</t>
  </si>
  <si>
    <t>https://dadosabertos.camara.leg.br/api/v2/deputados/132115</t>
  </si>
  <si>
    <t>JURACY PALHANO</t>
  </si>
  <si>
    <t>João Juracy Palhano Freire</t>
  </si>
  <si>
    <t>Remígio</t>
  </si>
  <si>
    <t>https://dadosabertos.camara.leg.br/api/v2/deputados/132000</t>
  </si>
  <si>
    <t>LÁZARO DE CARVALHO</t>
  </si>
  <si>
    <t>Lázaro José de Carvalho</t>
  </si>
  <si>
    <t>https://dadosabertos.camara.leg.br/api/v2/deputados/132001</t>
  </si>
  <si>
    <t>LÉO NEVES</t>
  </si>
  <si>
    <t>Léo de Almeida Neves</t>
  </si>
  <si>
    <t>https://dadosabertos.camara.leg.br/api/v2/deputados/132002</t>
  </si>
  <si>
    <t>LÉO SIMÕES</t>
  </si>
  <si>
    <t>Léo Mello Simões</t>
  </si>
  <si>
    <t>https://dadosabertos.camara.leg.br/api/v2/deputados/132003</t>
  </si>
  <si>
    <t>LEÔNIDAS RACHID</t>
  </si>
  <si>
    <t>Leônidas Rachid Jaudy</t>
  </si>
  <si>
    <t>https://dadosabertos.camara.leg.br/api/v2/deputados/132004</t>
  </si>
  <si>
    <t>LEÔNIDAS SAMPAIO</t>
  </si>
  <si>
    <t>Leônidas Sampaio Fernandes</t>
  </si>
  <si>
    <t>https://dadosabertos.camara.leg.br/api/v2/deputados/132005</t>
  </si>
  <si>
    <t>LEORNE BELEM</t>
  </si>
  <si>
    <t>Leorne Menescal Belem de Holanda</t>
  </si>
  <si>
    <t>https://dadosabertos.camara.leg.br/api/v2/deputados/131953</t>
  </si>
  <si>
    <t>LUCENA LEAL</t>
  </si>
  <si>
    <t>João Lucena Leal</t>
  </si>
  <si>
    <t>Brejo Santo</t>
  </si>
  <si>
    <t>https://dadosabertos.camara.leg.br/api/v2/deputados/1784</t>
  </si>
  <si>
    <t>LÚCIA VIVEIROS</t>
  </si>
  <si>
    <t>Lúcia Daltro Viveiros</t>
  </si>
  <si>
    <t>https://dadosabertos.camara.leg.br/api/v2/deputados/132007</t>
  </si>
  <si>
    <t>LUDGERO RAULINO</t>
  </si>
  <si>
    <t>Ludgero Raulino da Silva Neto</t>
  </si>
  <si>
    <t>Altos</t>
  </si>
  <si>
    <t>https://dadosabertos.camara.leg.br/api/v2/deputados/132009</t>
  </si>
  <si>
    <t>LUIZ ANTÔNIO FAYET</t>
  </si>
  <si>
    <t>Luiz Antônio de Camargo Fayet</t>
  </si>
  <si>
    <t>https://dadosabertos.camara.leg.br/api/v2/deputados/131982</t>
  </si>
  <si>
    <t>LUIZ BACCARINI</t>
  </si>
  <si>
    <t>José Luiz Bacarini</t>
  </si>
  <si>
    <t>São João Del Rei</t>
  </si>
  <si>
    <t>https://dadosabertos.camara.leg.br/api/v2/deputados/132010</t>
  </si>
  <si>
    <t>LUIZ BAPTISTA</t>
  </si>
  <si>
    <t>Luiz Baptista</t>
  </si>
  <si>
    <t>https://dadosabertos.camara.leg.br/api/v2/deputados/132013</t>
  </si>
  <si>
    <t>LUIZ DULCI</t>
  </si>
  <si>
    <t>Luiz Soares Dulci</t>
  </si>
  <si>
    <t>https://dadosabertos.camara.leg.br/api/v2/deputados/131983</t>
  </si>
  <si>
    <t>LUIZ GUEDES</t>
  </si>
  <si>
    <t>José Luiz Moreira Guedes</t>
  </si>
  <si>
    <t>https://dadosabertos.camara.leg.br/api/v2/deputados/132008</t>
  </si>
  <si>
    <t>LUIZ SEFAIR</t>
  </si>
  <si>
    <t>LUIZ ABRAHAO SEFAIR</t>
  </si>
  <si>
    <t>https://dadosabertos.camara.leg.br/api/v2/deputados/131960</t>
  </si>
  <si>
    <t>MAC DOWELL LEITE DE CASTRO</t>
  </si>
  <si>
    <t>Joaquim Affonso Mac Dowell Leite de Castro</t>
  </si>
  <si>
    <t>https://dadosabertos.camara.leg.br/api/v2/deputados/132014</t>
  </si>
  <si>
    <t>MAÇAO TADANO</t>
  </si>
  <si>
    <t>Maçao Tadano</t>
  </si>
  <si>
    <t>Cornélio Procópio</t>
  </si>
  <si>
    <t>https://dadosabertos.camara.leg.br/api/v2/deputados/131985</t>
  </si>
  <si>
    <t>MAGALHÃES PINTO</t>
  </si>
  <si>
    <t>José de Magalhães Pinto</t>
  </si>
  <si>
    <t>https://dadosabertos.camara.leg.br/api/v2/deputados/132015</t>
  </si>
  <si>
    <t>MANOEL AFFONSO</t>
  </si>
  <si>
    <t>Manoel Affonso de Mello Neto</t>
  </si>
  <si>
    <t>https://dadosabertos.camara.leg.br/api/v2/deputados/132019</t>
  </si>
  <si>
    <t>MANOEL COSTA JÚNIOR</t>
  </si>
  <si>
    <t>Manoel da Silva Costa Júnior</t>
  </si>
  <si>
    <t>Itanhandu</t>
  </si>
  <si>
    <t>https://dadosabertos.camara.leg.br/api/v2/deputados/132016</t>
  </si>
  <si>
    <t>MANOEL DE SOUZA</t>
  </si>
  <si>
    <t>Manoel Carlos de Souza</t>
  </si>
  <si>
    <t>Orleans</t>
  </si>
  <si>
    <t>https://dadosabertos.camara.leg.br/api/v2/deputados/132018</t>
  </si>
  <si>
    <t>MANOEL GONÇALVES</t>
  </si>
  <si>
    <t>Manoel Gonçalves e Silva</t>
  </si>
  <si>
    <t>Assaré</t>
  </si>
  <si>
    <t>https://dadosabertos.camara.leg.br/api/v2/deputados/132017</t>
  </si>
  <si>
    <t>MANOEL NOVAES</t>
  </si>
  <si>
    <t>Manoel Cavalcanti Novaes</t>
  </si>
  <si>
    <t>https://dadosabertos.camara.leg.br/api/v2/deputados/132059</t>
  </si>
  <si>
    <t>MANSUETO DE LAVOR</t>
  </si>
  <si>
    <t>Pedro Mansueto de Lavor</t>
  </si>
  <si>
    <t>Barbalha</t>
  </si>
  <si>
    <t>https://dadosabertos.camara.leg.br/api/v2/deputados/131835</t>
  </si>
  <si>
    <t>MARCELO GATO</t>
  </si>
  <si>
    <t>Alberto Marcelo Gato</t>
  </si>
  <si>
    <t>Sertãozinho</t>
  </si>
  <si>
    <t>https://dadosabertos.camara.leg.br/api/v2/deputados/132020</t>
  </si>
  <si>
    <t>MARCELO LINHARES</t>
  </si>
  <si>
    <t>Marcelo Caracas Linhares</t>
  </si>
  <si>
    <t>https://dadosabertos.camara.leg.br/api/v2/deputados/132021</t>
  </si>
  <si>
    <t>MARCELO MEDEIROS</t>
  </si>
  <si>
    <t>Marcelo Machado Medeiros</t>
  </si>
  <si>
    <t>https://dadosabertos.camara.leg.br/api/v2/deputados/131986</t>
  </si>
  <si>
    <t>MARCIO LACERDA</t>
  </si>
  <si>
    <t>José Marcio Panoff de Lacerda</t>
  </si>
  <si>
    <t>https://dadosabertos.camara.leg.br/api/v2/deputados/132023</t>
  </si>
  <si>
    <t>MÁRCIO MACEDO</t>
  </si>
  <si>
    <t>Márcio José de Carneiro Macedo</t>
  </si>
  <si>
    <t>https://dadosabertos.camara.leg.br/api/v2/deputados/132022</t>
  </si>
  <si>
    <t>MÁRCIO SANTILLI</t>
  </si>
  <si>
    <t>Márcio José Brando Santilli</t>
  </si>
  <si>
    <t>https://dadosabertos.camara.leg.br/api/v2/deputados/131987</t>
  </si>
  <si>
    <t>MARCONDES PEREIRA</t>
  </si>
  <si>
    <t>José Marcondes Pereira</t>
  </si>
  <si>
    <t>https://dadosabertos.camara.leg.br/api/v2/deputados/132024</t>
  </si>
  <si>
    <t>MÁRIO COVAS</t>
  </si>
  <si>
    <t>Mário Covas Júnior</t>
  </si>
  <si>
    <t>https://dadosabertos.camara.leg.br/api/v2/deputados/131989</t>
  </si>
  <si>
    <t>MÁRIO FROTA</t>
  </si>
  <si>
    <t>José Mário Frota Moreira</t>
  </si>
  <si>
    <t>https://dadosabertos.camara.leg.br/api/v2/deputados/132025</t>
  </si>
  <si>
    <t>MARIO HATO</t>
  </si>
  <si>
    <t>Mário Hato</t>
  </si>
  <si>
    <t>https://dadosabertos.camara.leg.br/api/v2/deputados/132026</t>
  </si>
  <si>
    <t>MÁRIO JURUNA</t>
  </si>
  <si>
    <t>Mário Juruna</t>
  </si>
  <si>
    <t>https://dadosabertos.camara.leg.br/api/v2/deputados/131954</t>
  </si>
  <si>
    <t>MENDONÇA FALCÃO</t>
  </si>
  <si>
    <t>João Mendonça Falcão</t>
  </si>
  <si>
    <t>https://dadosabertos.camara.leg.br/api/v2/deputados/132089</t>
  </si>
  <si>
    <t>MILTON BRANDÃO</t>
  </si>
  <si>
    <t>Tertuliano Milton Brandão</t>
  </si>
  <si>
    <t>https://dadosabertos.camara.leg.br/api/v2/deputados/132027</t>
  </si>
  <si>
    <t>MILTON FIGUEIREDO</t>
  </si>
  <si>
    <t>Milton Teixeira de Figueiredo</t>
  </si>
  <si>
    <t>Barão de Melgaco</t>
  </si>
  <si>
    <t>https://dadosabertos.camara.leg.br/api/v2/deputados/132029</t>
  </si>
  <si>
    <t>MOACIR FRANCO</t>
  </si>
  <si>
    <t>Moacir de Oliveira Franco</t>
  </si>
  <si>
    <t>https://dadosabertos.camara.leg.br/api/v2/deputados/132030</t>
  </si>
  <si>
    <t>MÚCIO ATHAYDE</t>
  </si>
  <si>
    <t>Múcio Athayde</t>
  </si>
  <si>
    <t>https://dadosabertos.camara.leg.br/api/v2/deputados/132028</t>
  </si>
  <si>
    <t>MYRTHES BEVILACQUA</t>
  </si>
  <si>
    <t>Myrthes Bevilacqua Corradi</t>
  </si>
  <si>
    <t>https://dadosabertos.camara.leg.br/api/v2/deputados/132031</t>
  </si>
  <si>
    <t>NADYR ROSSETTI</t>
  </si>
  <si>
    <t>Nadyr Rosseti</t>
  </si>
  <si>
    <t>https://dadosabertos.camara.leg.br/api/v2/deputados/132032</t>
  </si>
  <si>
    <t>NAGIB HAICKEL</t>
  </si>
  <si>
    <t>Nagib Haickel</t>
  </si>
  <si>
    <t>https://dadosabertos.camara.leg.br/api/v2/deputados/132033</t>
  </si>
  <si>
    <t>NATAL GALE</t>
  </si>
  <si>
    <t>Natal Gale</t>
  </si>
  <si>
    <t>https://dadosabertos.camara.leg.br/api/v2/deputados/132084</t>
  </si>
  <si>
    <t>NAVARRO VIEIRA FILHO</t>
  </si>
  <si>
    <t>Sebastião Navarro Vieira Filho</t>
  </si>
  <si>
    <t>Botelhos</t>
  </si>
  <si>
    <t>https://dadosabertos.camara.leg.br/api/v2/deputados/132036</t>
  </si>
  <si>
    <t>NELSON COSTA</t>
  </si>
  <si>
    <t>Nelson Simões Costa</t>
  </si>
  <si>
    <t>Piacabuçú</t>
  </si>
  <si>
    <t>https://dadosabertos.camara.leg.br/api/v2/deputados/132035</t>
  </si>
  <si>
    <t>NELSON DO CARMO</t>
  </si>
  <si>
    <t>Nelson do Carmo</t>
  </si>
  <si>
    <t>https://dadosabertos.camara.leg.br/api/v2/deputados/132134</t>
  </si>
  <si>
    <t>NELSON WEDEKIN</t>
  </si>
  <si>
    <t>Nelson Wedekin</t>
  </si>
  <si>
    <t>Mondaí</t>
  </si>
  <si>
    <t>https://dadosabertos.camara.leg.br/api/v2/deputados/132121</t>
  </si>
  <si>
    <t>NETTO CAMPOS</t>
  </si>
  <si>
    <t>Sebastião Netto Campos</t>
  </si>
  <si>
    <t>https://dadosabertos.camara.leg.br/api/v2/deputados/131919</t>
  </si>
  <si>
    <t>NEY FERREIRA</t>
  </si>
  <si>
    <t>Francisco Ney Ferreira</t>
  </si>
  <si>
    <t>https://dadosabertos.camara.leg.br/api/v2/deputados/132037</t>
  </si>
  <si>
    <t>NILTON ALVES</t>
  </si>
  <si>
    <t>Nilton Alves da Silva</t>
  </si>
  <si>
    <t>https://dadosabertos.camara.leg.br/api/v2/deputados/132038</t>
  </si>
  <si>
    <t>NORTON MACEDO</t>
  </si>
  <si>
    <t>Norton Macedo Correia</t>
  </si>
  <si>
    <t>https://dadosabertos.camara.leg.br/api/v2/deputados/132039</t>
  </si>
  <si>
    <t>NYLTON VELLOSO</t>
  </si>
  <si>
    <t>Nylton Moreira Velloso</t>
  </si>
  <si>
    <t>https://dadosabertos.camara.leg.br/api/v2/deputados/132040</t>
  </si>
  <si>
    <t>OCTACÍLIO ALMEIDA</t>
  </si>
  <si>
    <t>Octacílio Alves de Almeida</t>
  </si>
  <si>
    <t>https://dadosabertos.camara.leg.br/api/v2/deputados/132041</t>
  </si>
  <si>
    <t>OCTACÍLIO QUEIROZ</t>
  </si>
  <si>
    <t>Octacilio Nóbrega de Queiroz</t>
  </si>
  <si>
    <t>https://dadosabertos.camara.leg.br/api/v2/deputados/132042</t>
  </si>
  <si>
    <t>OCTÁVIO CESÁRIO</t>
  </si>
  <si>
    <t>Octávio Cesário Pereira Júnior</t>
  </si>
  <si>
    <t>https://dadosabertos.camara.leg.br/api/v2/deputados/132135</t>
  </si>
  <si>
    <t>ODILON SALMORIA</t>
  </si>
  <si>
    <t>Odilon Sebastião Salmoria</t>
  </si>
  <si>
    <t>https://dadosabertos.camara.leg.br/api/v2/deputados/132043</t>
  </si>
  <si>
    <t>OLAVO PIRES</t>
  </si>
  <si>
    <t>Olavo Gomes Pires Filho</t>
  </si>
  <si>
    <t>https://dadosabertos.camara.leg.br/api/v2/deputados/131955</t>
  </si>
  <si>
    <t>OLIVIR GABARDO</t>
  </si>
  <si>
    <t>João Olivir Gabardo</t>
  </si>
  <si>
    <t>https://dadosabertos.camara.leg.br/api/v2/deputados/132044</t>
  </si>
  <si>
    <t>OLY FACHIN</t>
  </si>
  <si>
    <t>Oly Erico da Costa Fachin</t>
  </si>
  <si>
    <t>São Sepé</t>
  </si>
  <si>
    <t>https://dadosabertos.camara.leg.br/api/v2/deputados/132045</t>
  </si>
  <si>
    <t>ONÍSIO LUDOVICO</t>
  </si>
  <si>
    <t>Onísio Ludovico de Almeida</t>
  </si>
  <si>
    <t>Itaberaí</t>
  </si>
  <si>
    <t>https://dadosabertos.camara.leg.br/api/v2/deputados/132046</t>
  </si>
  <si>
    <t>ORESTES MUNIZ</t>
  </si>
  <si>
    <t>Orestes Muniz Filho</t>
  </si>
  <si>
    <t>Conselheiro Pena</t>
  </si>
  <si>
    <t>https://dadosabertos.camara.leg.br/api/v2/deputados/132047</t>
  </si>
  <si>
    <t>OSCAR ALVES</t>
  </si>
  <si>
    <t>Oscar Alves</t>
  </si>
  <si>
    <t>Birigüi</t>
  </si>
  <si>
    <t>https://dadosabertos.camara.leg.br/api/v2/deputados/132117</t>
  </si>
  <si>
    <t>OSÉAS CARDOSO</t>
  </si>
  <si>
    <t>Oséas Cardoso Paes</t>
  </si>
  <si>
    <t>https://dadosabertos.camara.leg.br/api/v2/deputados/132048</t>
  </si>
  <si>
    <t>OSSIAN ARARIPE</t>
  </si>
  <si>
    <t>Ossian Alencar Araripe</t>
  </si>
  <si>
    <t>https://dadosabertos.camara.leg.br/api/v2/deputados/132051</t>
  </si>
  <si>
    <t>OSVALDO MURTA</t>
  </si>
  <si>
    <t>Osvaldo Miranda Murta</t>
  </si>
  <si>
    <t>Joaíma</t>
  </si>
  <si>
    <t>https://dadosabertos.camara.leg.br/api/v2/deputados/132049</t>
  </si>
  <si>
    <t>OSVALDO NASCIMENTO</t>
  </si>
  <si>
    <t>Osvaldo Nascimento da Silva</t>
  </si>
  <si>
    <t>https://dadosabertos.camara.leg.br/api/v2/deputados/132006</t>
  </si>
  <si>
    <t>OZANAM COELHO</t>
  </si>
  <si>
    <t>Levindo Ozanam Coelho</t>
  </si>
  <si>
    <t>https://dadosabertos.camara.leg.br/api/v2/deputados/131956</t>
  </si>
  <si>
    <t>PACHECO CHAVES</t>
  </si>
  <si>
    <t>João Pacheco e Chaves</t>
  </si>
  <si>
    <t>https://dadosabertos.camara.leg.br/api/v2/deputados/132119</t>
  </si>
  <si>
    <t>PAULO CARNEIRO</t>
  </si>
  <si>
    <t>Paulo Germano Carneiro Pordeus</t>
  </si>
  <si>
    <t>https://dadosabertos.camara.leg.br/api/v2/deputados/132054</t>
  </si>
  <si>
    <t>PAULO GUERRA</t>
  </si>
  <si>
    <t>Paulo Fernando Batista Guerra</t>
  </si>
  <si>
    <t>https://dadosabertos.camara.leg.br/api/v2/deputados/132053</t>
  </si>
  <si>
    <t>Paulo David da Costa Marques</t>
  </si>
  <si>
    <t>https://dadosabertos.camara.leg.br/api/v2/deputados/132052</t>
  </si>
  <si>
    <t>PAULO MELRO</t>
  </si>
  <si>
    <t>Paulo Affonso de Freitas Melro</t>
  </si>
  <si>
    <t>https://dadosabertos.camara.leg.br/api/v2/deputados/132055</t>
  </si>
  <si>
    <t>PAULO NOGUEIRA</t>
  </si>
  <si>
    <t>Paulo Pereira Nogueira</t>
  </si>
  <si>
    <t>Alto Garças</t>
  </si>
  <si>
    <t>https://dadosabertos.camara.leg.br/api/v2/deputados/132118</t>
  </si>
  <si>
    <t>PAULO XAVIER</t>
  </si>
  <si>
    <t>Paulo Carvalho Xavier</t>
  </si>
  <si>
    <t>https://dadosabertos.camara.leg.br/api/v2/deputados/132060</t>
  </si>
  <si>
    <t>PEDRO COLIN</t>
  </si>
  <si>
    <t>Pedro Paulo Hings Colin</t>
  </si>
  <si>
    <t>https://dadosabertos.camara.leg.br/api/v2/deputados/132058</t>
  </si>
  <si>
    <t>PEDRO GERMANO</t>
  </si>
  <si>
    <t>Pedro Chafik Germano</t>
  </si>
  <si>
    <t>https://dadosabertos.camara.leg.br/api/v2/deputados/132057</t>
  </si>
  <si>
    <t>PEDRO SAMPAIO</t>
  </si>
  <si>
    <t>Pedro Arthur Sampaio</t>
  </si>
  <si>
    <t>https://dadosabertos.camara.leg.br/api/v2/deputados/132063</t>
  </si>
  <si>
    <t>RAIMUNDO LEITE</t>
  </si>
  <si>
    <t>Raimundo da Cunha Leite</t>
  </si>
  <si>
    <t>https://dadosabertos.camara.leg.br/api/v2/deputados/132067</t>
  </si>
  <si>
    <t>RANDOLFO BITTENCOURT</t>
  </si>
  <si>
    <t>Randolpho de Souza Bittencourt</t>
  </si>
  <si>
    <t>https://dadosabertos.camara.leg.br/api/v2/deputados/132068</t>
  </si>
  <si>
    <t>RAUL BERNARDO</t>
  </si>
  <si>
    <t>Raul Bernardo Nelson de Senna</t>
  </si>
  <si>
    <t>https://dadosabertos.camara.leg.br/api/v2/deputados/132062</t>
  </si>
  <si>
    <t>RAYMUNDO ASFÓRA</t>
  </si>
  <si>
    <t>Raymundo Asfóra</t>
  </si>
  <si>
    <t>https://dadosabertos.camara.leg.br/api/v2/deputados/132065</t>
  </si>
  <si>
    <t>RAYMUNDO URBANO</t>
  </si>
  <si>
    <t>Raymundo Urbano</t>
  </si>
  <si>
    <t>https://dadosabertos.camara.leg.br/api/v2/deputados/132071</t>
  </si>
  <si>
    <t>RENATO AZEREDO</t>
  </si>
  <si>
    <t>Renato Mário de Avelar Azeredo</t>
  </si>
  <si>
    <t>https://dadosabertos.camara.leg.br/api/v2/deputados/132070</t>
  </si>
  <si>
    <t>RENATO BUENO</t>
  </si>
  <si>
    <t>Renato Loures Bueno</t>
  </si>
  <si>
    <t>https://dadosabertos.camara.leg.br/api/v2/deputados/132069</t>
  </si>
  <si>
    <t>RENATO CORDEIRO</t>
  </si>
  <si>
    <t>Renato Cordeiro</t>
  </si>
  <si>
    <t>https://dadosabertos.camara.leg.br/api/v2/deputados/132072</t>
  </si>
  <si>
    <t>RICARDO RIBEIRO</t>
  </si>
  <si>
    <t>Ricardo Christiano Ribeiro</t>
  </si>
  <si>
    <t>https://dadosabertos.camara.leg.br/api/v2/deputados/132073</t>
  </si>
  <si>
    <t>RÔMULO GALVÃO</t>
  </si>
  <si>
    <t>Rômulo Galvão de Carvalho</t>
  </si>
  <si>
    <t>https://dadosabertos.camara.leg.br/api/v2/deputados/131992</t>
  </si>
  <si>
    <t>RONALDO CAMPOS</t>
  </si>
  <si>
    <t>José Ronaldo Campos de Souza</t>
  </si>
  <si>
    <t>https://dadosabertos.camara.leg.br/api/v2/deputados/132074</t>
  </si>
  <si>
    <t>RONALDO CANÊDO</t>
  </si>
  <si>
    <t>Ronaldo Passos Canêdo</t>
  </si>
  <si>
    <t>https://dadosabertos.camara.leg.br/api/v2/deputados/132075</t>
  </si>
  <si>
    <t>RONAN TITO</t>
  </si>
  <si>
    <t>Ronan Tito de Almeida</t>
  </si>
  <si>
    <t>Pratinha</t>
  </si>
  <si>
    <t>https://dadosabertos.camara.leg.br/api/v2/deputados/132076</t>
  </si>
  <si>
    <t>RONDON PACHECO</t>
  </si>
  <si>
    <t>Rondon Pacheco</t>
  </si>
  <si>
    <t>https://dadosabertos.camara.leg.br/api/v2/deputados/131846</t>
  </si>
  <si>
    <t>ROSA FLORES</t>
  </si>
  <si>
    <t>Antônio Carlos Rosa Flores</t>
  </si>
  <si>
    <t>https://dadosabertos.camara.leg.br/api/v2/deputados/132077</t>
  </si>
  <si>
    <t>ROSEMBURGO ROMANO</t>
  </si>
  <si>
    <t>Rosemburgo Romano</t>
  </si>
  <si>
    <t>Guidoval</t>
  </si>
  <si>
    <t>https://dadosabertos.camara.leg.br/api/v2/deputados/132078</t>
  </si>
  <si>
    <t>RUBENS ARDENGHI</t>
  </si>
  <si>
    <t>Rubens Ardengui</t>
  </si>
  <si>
    <t>https://dadosabertos.camara.leg.br/api/v2/deputados/131962</t>
  </si>
  <si>
    <t>RUY BACELAR</t>
  </si>
  <si>
    <t>Joaquim Ruy Paulilo Bacelar</t>
  </si>
  <si>
    <t>https://dadosabertos.camara.leg.br/api/v2/deputados/132079</t>
  </si>
  <si>
    <t>RUY CÔDO</t>
  </si>
  <si>
    <t>Ruy Oswaldo Côdo</t>
  </si>
  <si>
    <t>Santa Gertrudes</t>
  </si>
  <si>
    <t>https://dadosabertos.camara.leg.br/api/v2/deputados/131993</t>
  </si>
  <si>
    <t>RUY LINO</t>
  </si>
  <si>
    <t>José Ruy da Silveira Lino</t>
  </si>
  <si>
    <t>https://dadosabertos.camara.leg.br/api/v2/deputados/131856</t>
  </si>
  <si>
    <t>SALLES LEITE</t>
  </si>
  <si>
    <t>Antonio Salles Leite</t>
  </si>
  <si>
    <t>https://dadosabertos.camara.leg.br/api/v2/deputados/131994</t>
  </si>
  <si>
    <t>SALVADOR JULIANELLI</t>
  </si>
  <si>
    <t>José Salvador Julianelli</t>
  </si>
  <si>
    <t>https://dadosabertos.camara.leg.br/api/v2/deputados/131911</t>
  </si>
  <si>
    <t>SARAMAGO PINHEIRO</t>
  </si>
  <si>
    <t>Ewaldo Saramago Pinheiro</t>
  </si>
  <si>
    <t>https://dadosabertos.camara.leg.br/api/v2/deputados/132120</t>
  </si>
  <si>
    <t>SATURNINO DADAM</t>
  </si>
  <si>
    <t>Saturnino Dadam</t>
  </si>
  <si>
    <t>Tijucas</t>
  </si>
  <si>
    <t>https://dadosabertos.camara.leg.br/api/v2/deputados/132080</t>
  </si>
  <si>
    <t>SEBASTIÃO ATAIDE</t>
  </si>
  <si>
    <t>Sebastião Ataide de Melo</t>
  </si>
  <si>
    <t>https://dadosabertos.camara.leg.br/api/v2/deputados/132081</t>
  </si>
  <si>
    <t>SEBASTIÃO CURIÓ</t>
  </si>
  <si>
    <t>Sebastião Curió Rodrigues de Moura</t>
  </si>
  <si>
    <t>https://dadosabertos.camara.leg.br/api/v2/deputados/132082</t>
  </si>
  <si>
    <t>SEBASTIÃO NERY</t>
  </si>
  <si>
    <t>Sebastião Augusto de Souza Nery</t>
  </si>
  <si>
    <t>Jaguaquara</t>
  </si>
  <si>
    <t>https://dadosabertos.camara.leg.br/api/v2/deputados/132136</t>
  </si>
  <si>
    <t>SEBASTIÃO RODRIGUES JÚNIOR</t>
  </si>
  <si>
    <t>Sebastião Rodrigues de Souza Júnior</t>
  </si>
  <si>
    <t>https://dadosabertos.camara.leg.br/api/v2/deputados/131958</t>
  </si>
  <si>
    <t>SEIXAS DÓRIA</t>
  </si>
  <si>
    <t>João de Seixas Dória</t>
  </si>
  <si>
    <t>https://dadosabertos.camara.leg.br/api/v2/deputados/132137</t>
  </si>
  <si>
    <t>SERGIO CRUZ</t>
  </si>
  <si>
    <t>Sérgio Manoel da Cruz</t>
  </si>
  <si>
    <t>https://dadosabertos.camara.leg.br/api/v2/deputados/132085</t>
  </si>
  <si>
    <t>SÉRGIO LOMBA</t>
  </si>
  <si>
    <t>Sérgio Antônio Lessa Lomba</t>
  </si>
  <si>
    <t>https://dadosabertos.camara.leg.br/api/v2/deputados/132138</t>
  </si>
  <si>
    <t>SÉRGIO MURILO</t>
  </si>
  <si>
    <t>Sérgio Murilo Santa Cruz Silva</t>
  </si>
  <si>
    <t>https://dadosabertos.camara.leg.br/api/v2/deputados/132086</t>
  </si>
  <si>
    <t>SÉRGIO PHILOMENO</t>
  </si>
  <si>
    <t>Sérgio Moreira Philomeno Gomes</t>
  </si>
  <si>
    <t>https://dadosabertos.camara.leg.br/api/v2/deputados/132087</t>
  </si>
  <si>
    <t>SIEGRIED HEUSER</t>
  </si>
  <si>
    <t>Siegfried Emanuel Heuser</t>
  </si>
  <si>
    <t>https://dadosabertos.camara.leg.br/api/v2/deputados/131990</t>
  </si>
  <si>
    <t>TAPETY JÚNIOR</t>
  </si>
  <si>
    <t>José Nogueira Tapety Júnior</t>
  </si>
  <si>
    <t>https://dadosabertos.camara.leg.br/api/v2/deputados/132088</t>
  </si>
  <si>
    <t>TARCÍSIO BURITY</t>
  </si>
  <si>
    <t>Tarcísio de Miranda Burity</t>
  </si>
  <si>
    <t>https://dadosabertos.camara.leg.br/api/v2/deputados/132090</t>
  </si>
  <si>
    <t>THALES RAMALHO</t>
  </si>
  <si>
    <t>Thales Bezerra de Albuquerque Ramalho</t>
  </si>
  <si>
    <t>https://dadosabertos.camara.leg.br/api/v2/deputados/3141</t>
  </si>
  <si>
    <t>THOMAZ COELHO</t>
  </si>
  <si>
    <t>Thomaz José Coelho de Almeida</t>
  </si>
  <si>
    <t>https://dadosabertos.camara.leg.br/api/v2/deputados/132091</t>
  </si>
  <si>
    <t>TOBIAS ALVES</t>
  </si>
  <si>
    <t>Tobias Alves Rodrigues</t>
  </si>
  <si>
    <t>Miguelópolis</t>
  </si>
  <si>
    <t>https://dadosabertos.camara.leg.br/api/v2/deputados/132092</t>
  </si>
  <si>
    <t>UBALDINO MEIRELLES</t>
  </si>
  <si>
    <t>Ubaldino Meirelles da Silva</t>
  </si>
  <si>
    <t>https://dadosabertos.camara.leg.br/api/v2/deputados/132093</t>
  </si>
  <si>
    <t>UBALDO BARÉM</t>
  </si>
  <si>
    <t>Ubaldo Barém</t>
  </si>
  <si>
    <t>https://dadosabertos.camara.leg.br/api/v2/deputados/132094</t>
  </si>
  <si>
    <t>VALDON VARJÃO</t>
  </si>
  <si>
    <t>Valdon Varjão</t>
  </si>
  <si>
    <t>https://dadosabertos.camara.leg.br/api/v2/deputados/132095</t>
  </si>
  <si>
    <t>VALMOR GIAVARINA</t>
  </si>
  <si>
    <t>Valmor Santos Giavarina</t>
  </si>
  <si>
    <t>https://dadosabertos.camara.leg.br/api/v2/deputados/132096</t>
  </si>
  <si>
    <t>VICENTE GUABIROBA</t>
  </si>
  <si>
    <t>Vicente Fernandes Guabiroba</t>
  </si>
  <si>
    <t>Itamarandiba</t>
  </si>
  <si>
    <t>https://dadosabertos.camara.leg.br/api/v2/deputados/132098</t>
  </si>
  <si>
    <t>VICENTE PENIDO</t>
  </si>
  <si>
    <t>Vicente de Paulo Penido</t>
  </si>
  <si>
    <t>Resende Costa</t>
  </si>
  <si>
    <t>https://dadosabertos.camara.leg.br/api/v2/deputados/132097</t>
  </si>
  <si>
    <t>VICENTE QUEIROZ</t>
  </si>
  <si>
    <t>Vicente de Paula Queiroz</t>
  </si>
  <si>
    <t>Mocajuba</t>
  </si>
  <si>
    <t>https://dadosabertos.camara.leg.br/api/v2/deputados/132099</t>
  </si>
  <si>
    <t>VILSON KLEINÜBING</t>
  </si>
  <si>
    <t>Vilson Pedro Kleinübing</t>
  </si>
  <si>
    <t>https://dadosabertos.camara.leg.br/api/v2/deputados/132100</t>
  </si>
  <si>
    <t>VIVALDO FROTA</t>
  </si>
  <si>
    <t>Vivaldo Barros Frota</t>
  </si>
  <si>
    <t>https://dadosabertos.camara.leg.br/api/v2/deputados/132101</t>
  </si>
  <si>
    <t>WALBER GUIMARÃES</t>
  </si>
  <si>
    <t>Walber Sousa Guimarães</t>
  </si>
  <si>
    <t>https://dadosabertos.camara.leg.br/api/v2/deputados/132066</t>
  </si>
  <si>
    <t>WALL FERRAZ</t>
  </si>
  <si>
    <t>Raimundo Wall Ferraz</t>
  </si>
  <si>
    <t>https://dadosabertos.camara.leg.br/api/v2/deputados/132103</t>
  </si>
  <si>
    <t>WALTER BAPTISTA</t>
  </si>
  <si>
    <t>Walter de Assis Ferreira Baptista</t>
  </si>
  <si>
    <t>https://dadosabertos.camara.leg.br/api/v2/deputados/132104</t>
  </si>
  <si>
    <t>WALTER CASANOVA</t>
  </si>
  <si>
    <t>Walter Ribeiro Casanova</t>
  </si>
  <si>
    <t>https://dadosabertos.camara.leg.br/api/v2/deputados/132102</t>
  </si>
  <si>
    <t>WANDERLEY MARIZ</t>
  </si>
  <si>
    <t>Vigolvino Vanderley Mariz</t>
  </si>
  <si>
    <t>https://dadosabertos.camara.leg.br/api/v2/deputados/132105</t>
  </si>
  <si>
    <t>WILDY VIANNA</t>
  </si>
  <si>
    <t>Wildy Vianna das Neves</t>
  </si>
  <si>
    <t>https://dadosabertos.camara.leg.br/api/v2/deputados/132106</t>
  </si>
  <si>
    <t>WILMAR PALIS</t>
  </si>
  <si>
    <t>Wilmar Palis</t>
  </si>
  <si>
    <t>https://dadosabertos.camara.leg.br/api/v2/deputados/132108</t>
  </si>
  <si>
    <t>WILSON FALCÃO</t>
  </si>
  <si>
    <t>Wilson da Costa Falcão</t>
  </si>
  <si>
    <t>https://dadosabertos.camara.leg.br/api/v2/deputados/132107</t>
  </si>
  <si>
    <t>WILSON HAESE</t>
  </si>
  <si>
    <t>Wilson Haese</t>
  </si>
  <si>
    <t>Pancas</t>
  </si>
  <si>
    <t>https://dadosabertos.camara.leg.br/api/v2/deputados/132109</t>
  </si>
  <si>
    <t>WILSON VAZ</t>
  </si>
  <si>
    <t>Wilson Vaz</t>
  </si>
  <si>
    <t>https://dadosabertos.camara.leg.br/api/v2/deputados/132110</t>
  </si>
  <si>
    <t>WOLNEY SIQUEIRA</t>
  </si>
  <si>
    <t>Wolney Wagner de Siqueira</t>
  </si>
  <si>
    <t>Pirenópolis</t>
  </si>
  <si>
    <t>https://dadosabertos.camara.leg.br/api/v2/deputados/131628</t>
  </si>
  <si>
    <t>ABEL AVILA DOS SANTOS</t>
  </si>
  <si>
    <t>Abel Ávila dos Santos</t>
  </si>
  <si>
    <t>https://dadosabertos.camara.leg.br/api/v2/deputados/131629</t>
  </si>
  <si>
    <t>ACACIO PEREIRA</t>
  </si>
  <si>
    <t>Acácio Pereira</t>
  </si>
  <si>
    <t>Canoinhas</t>
  </si>
  <si>
    <t>https://dadosabertos.camara.leg.br/api/v2/deputados/131630</t>
  </si>
  <si>
    <t>ADALBERTO CAMARGO</t>
  </si>
  <si>
    <t>Adalberto Camargo</t>
  </si>
  <si>
    <t>https://dadosabertos.camara.leg.br/api/v2/deputados/131631</t>
  </si>
  <si>
    <t>ADAUTO BEZERRA</t>
  </si>
  <si>
    <t>José Adauto Bezerra</t>
  </si>
  <si>
    <t>https://dadosabertos.camara.leg.br/api/v2/deputados/131632</t>
  </si>
  <si>
    <t>ADEMAR PEREIRA</t>
  </si>
  <si>
    <t>Ademar Pereira Vieira</t>
  </si>
  <si>
    <t>https://dadosabertos.camara.leg.br/api/v2/deputados/131633</t>
  </si>
  <si>
    <t>ADOLPHO FRANCO</t>
  </si>
  <si>
    <t>Adolpho de Oliveira Franco Júnior</t>
  </si>
  <si>
    <t>https://dadosabertos.camara.leg.br/api/v2/deputados/131634</t>
  </si>
  <si>
    <t>ADRIANO VALENTE</t>
  </si>
  <si>
    <t>Adriano José Valente</t>
  </si>
  <si>
    <t>https://dadosabertos.camara.leg.br/api/v2/deputados/131635</t>
  </si>
  <si>
    <t>AFRO STEFANINI</t>
  </si>
  <si>
    <t>Afro Stefanini</t>
  </si>
  <si>
    <t>https://dadosabertos.camara.leg.br/api/v2/deputados/131636</t>
  </si>
  <si>
    <t>AIRTON REIS</t>
  </si>
  <si>
    <t>Airton dos Reis</t>
  </si>
  <si>
    <t>https://dadosabertos.camara.leg.br/api/v2/deputados/131637</t>
  </si>
  <si>
    <t>ALBERTO HOFFMANN</t>
  </si>
  <si>
    <t>Alberto Hoffmann</t>
  </si>
  <si>
    <t>https://dadosabertos.camara.leg.br/api/v2/deputados/131739</t>
  </si>
  <si>
    <t>ALCEBÍADES DE OLIVEIRA</t>
  </si>
  <si>
    <t>José Alcebíades de oliveira</t>
  </si>
  <si>
    <t>https://dadosabertos.camara.leg.br/api/v2/deputados/131638</t>
  </si>
  <si>
    <t>ALCIR PIMENTA</t>
  </si>
  <si>
    <t>Alcir de Melo Pimenta</t>
  </si>
  <si>
    <t>https://dadosabertos.camara.leg.br/api/v2/deputados/131639</t>
  </si>
  <si>
    <t>ALDO FAGUNDES</t>
  </si>
  <si>
    <t>Aldo da Silva Fagundes</t>
  </si>
  <si>
    <t>https://dadosabertos.camara.leg.br/api/v2/deputados/131640</t>
  </si>
  <si>
    <t>ALEXANDRE MACHADO</t>
  </si>
  <si>
    <t>Alexandre Machado da Silva</t>
  </si>
  <si>
    <t>Arroio Grande</t>
  </si>
  <si>
    <t>https://dadosabertos.camara.leg.br/api/v2/deputados/131641</t>
  </si>
  <si>
    <t>ALÍPIO DE CARVALHO</t>
  </si>
  <si>
    <t>Alípio Ayres de Carvalho</t>
  </si>
  <si>
    <t>Carolina</t>
  </si>
  <si>
    <t>https://dadosabertos.camara.leg.br/api/v2/deputados/131822</t>
  </si>
  <si>
    <t>ALUIZIO PARAGUASSU</t>
  </si>
  <si>
    <t>Aluizio Paraguassu Ferreira</t>
  </si>
  <si>
    <t>https://dadosabertos.camara.leg.br/api/v2/deputados/131642</t>
  </si>
  <si>
    <t>ALVARO DIAS</t>
  </si>
  <si>
    <t>Álvaro Fernandes Dias</t>
  </si>
  <si>
    <t>Quatá</t>
  </si>
  <si>
    <t>https://dadosabertos.camara.leg.br/api/v2/deputados/131819</t>
  </si>
  <si>
    <t>AMANCIO AZEVEDO</t>
  </si>
  <si>
    <t>Amancio Mario de Azevedo</t>
  </si>
  <si>
    <t>https://dadosabertos.camara.leg.br/api/v2/deputados/131643</t>
  </si>
  <si>
    <t>ANGELINO ROSA</t>
  </si>
  <si>
    <t>Angelino Rosa</t>
  </si>
  <si>
    <t>https://dadosabertos.camara.leg.br/api/v2/deputados/131644</t>
  </si>
  <si>
    <t>ANISIO DE SOUZA</t>
  </si>
  <si>
    <t>Anisio de Souza</t>
  </si>
  <si>
    <t>https://dadosabertos.camara.leg.br/api/v2/deputados/131652</t>
  </si>
  <si>
    <t>ANTONIO ANNIBELLI</t>
  </si>
  <si>
    <t>Antonio Martins Annibelli</t>
  </si>
  <si>
    <t>https://dadosabertos.camara.leg.br/api/v2/deputados/131645</t>
  </si>
  <si>
    <t>ANTÔNIO BRESOLIN</t>
  </si>
  <si>
    <t>Antônio Bresolin</t>
  </si>
  <si>
    <t>https://dadosabertos.camara.leg.br/api/v2/deputados/131646</t>
  </si>
  <si>
    <t>ANTONIO CARLOS DE OLIVEIRA</t>
  </si>
  <si>
    <t>Antonio Carlos de Oliveira</t>
  </si>
  <si>
    <t>https://dadosabertos.camara.leg.br/api/v2/deputados/131655</t>
  </si>
  <si>
    <t>ANTONIO RUSSO</t>
  </si>
  <si>
    <t>Antonio Russo</t>
  </si>
  <si>
    <t>https://dadosabertos.camara.leg.br/api/v2/deputados/131647</t>
  </si>
  <si>
    <t>ANTONIO VALADARES</t>
  </si>
  <si>
    <t>Antonio Carlos Valadares</t>
  </si>
  <si>
    <t>https://dadosabertos.camara.leg.br/api/v2/deputados/131656</t>
  </si>
  <si>
    <t>ANTONIO ZACHARIAS</t>
  </si>
  <si>
    <t>https://dadosabertos.camara.leg.br/api/v2/deputados/131658</t>
  </si>
  <si>
    <t>ARNALDO BUSATO</t>
  </si>
  <si>
    <t>Arnaldo Faivro Busato</t>
  </si>
  <si>
    <t>https://dadosabertos.camara.leg.br/api/v2/deputados/131657</t>
  </si>
  <si>
    <t>ARNALDO LAFAYETTE</t>
  </si>
  <si>
    <t>Arnaldo Bezerra Lafayette</t>
  </si>
  <si>
    <t>Monteiro</t>
  </si>
  <si>
    <t>https://dadosabertos.camara.leg.br/api/v2/deputados/131659</t>
  </si>
  <si>
    <t>ARNALDO SCHMITT JUNIOR</t>
  </si>
  <si>
    <t>Arnaldo Schmitt Júnior</t>
  </si>
  <si>
    <t>https://dadosabertos.camara.leg.br/api/v2/deputados/131660</t>
  </si>
  <si>
    <t>ARY ALCÂNTARA</t>
  </si>
  <si>
    <t>Ary Rodrigues Alcântara</t>
  </si>
  <si>
    <t>https://dadosabertos.camara.leg.br/api/v2/deputados/131661</t>
  </si>
  <si>
    <t>ATHIÊ COURY</t>
  </si>
  <si>
    <t>Athiê Jorge Coury</t>
  </si>
  <si>
    <t>https://dadosabertos.camara.leg.br/api/v2/deputados/131662</t>
  </si>
  <si>
    <t>AUDÁLIO DANTAS</t>
  </si>
  <si>
    <t>Audálio Ferreira Dantas</t>
  </si>
  <si>
    <t>https://dadosabertos.camara.leg.br/api/v2/deputados/131663</t>
  </si>
  <si>
    <t>AUGUSTO LUCENA</t>
  </si>
  <si>
    <t>Augusto da Silva Lucena</t>
  </si>
  <si>
    <t>https://dadosabertos.camara.leg.br/api/v2/deputados/131793</t>
  </si>
  <si>
    <t>BALDACCI FILHO</t>
  </si>
  <si>
    <t>Raphael Baldacci Filho</t>
  </si>
  <si>
    <t>https://dadosabertos.camara.leg.br/api/v2/deputados/131721</t>
  </si>
  <si>
    <t>BATISTA MIRANDA</t>
  </si>
  <si>
    <t>João Batista Miranda</t>
  </si>
  <si>
    <t>https://dadosabertos.camara.leg.br/api/v2/deputados/131664</t>
  </si>
  <si>
    <t>BELMIRO TEIXEIRA</t>
  </si>
  <si>
    <t>Belmiro Texeira Pimenta</t>
  </si>
  <si>
    <t>https://dadosabertos.camara.leg.br/api/v2/deputados/131665</t>
  </si>
  <si>
    <t>BENEDITO MARCÍLIO</t>
  </si>
  <si>
    <t>Benedito Marcílio Alves da Silva</t>
  </si>
  <si>
    <t>https://dadosabertos.camara.leg.br/api/v2/deputados/131666</t>
  </si>
  <si>
    <t>BENJAMIM FARAH</t>
  </si>
  <si>
    <t>Benjamim Miguel Farah</t>
  </si>
  <si>
    <t>https://dadosabertos.camara.leg.br/api/v2/deputados/131667</t>
  </si>
  <si>
    <t>BENTO GONÇALVES</t>
  </si>
  <si>
    <t>Bento Gonçalves Filho</t>
  </si>
  <si>
    <t>Matosinhos</t>
  </si>
  <si>
    <t>https://dadosabertos.camara.leg.br/api/v2/deputados/131668</t>
  </si>
  <si>
    <t>BENTO LÔBO</t>
  </si>
  <si>
    <t>Bento Machado Lôbo</t>
  </si>
  <si>
    <t>https://dadosabertos.camara.leg.br/api/v2/deputados/130741</t>
  </si>
  <si>
    <t>BIAS FORTES</t>
  </si>
  <si>
    <t>Chrispim Jacques Bias Fortes</t>
  </si>
  <si>
    <t>https://dadosabertos.camara.leg.br/api/v2/deputados/131767</t>
  </si>
  <si>
    <t>BRAGA RAMOS</t>
  </si>
  <si>
    <t>Mário Braga Ramos</t>
  </si>
  <si>
    <t>Teixeira Soares</t>
  </si>
  <si>
    <t>https://dadosabertos.camara.leg.br/api/v2/deputados/131671</t>
  </si>
  <si>
    <t>CANTÍDIO SAMPAIO</t>
  </si>
  <si>
    <t>Cantídio Nogueira Sampaio</t>
  </si>
  <si>
    <t>https://dadosabertos.camara.leg.br/api/v2/deputados/131804</t>
  </si>
  <si>
    <t>CARDOSO DE ALMEIDA</t>
  </si>
  <si>
    <t>Sérgio Cardoso de Almeida</t>
  </si>
  <si>
    <t>https://dadosabertos.camara.leg.br/api/v2/deputados/131742</t>
  </si>
  <si>
    <t>CARDOSO FREGAPANI</t>
  </si>
  <si>
    <t>José Bonifácio Cardoso Fregapani</t>
  </si>
  <si>
    <t>https://dadosabertos.camara.leg.br/api/v2/deputados/131669</t>
  </si>
  <si>
    <t>CARLOS CHIARELLI</t>
  </si>
  <si>
    <t>Carlos Alberto Gomes Chiarelli</t>
  </si>
  <si>
    <t>https://dadosabertos.camara.leg.br/api/v2/deputados/131670</t>
  </si>
  <si>
    <t>CARLOS SANTOS</t>
  </si>
  <si>
    <t>Carlos da Silva Santos</t>
  </si>
  <si>
    <t>https://dadosabertos.camara.leg.br/api/v2/deputados/131672</t>
  </si>
  <si>
    <t>CÉLIO BORJA</t>
  </si>
  <si>
    <t>Célio de Oliveira Borja</t>
  </si>
  <si>
    <t>https://dadosabertos.camara.leg.br/api/v2/deputados/131673</t>
  </si>
  <si>
    <t>CESÁRIO BARRETO</t>
  </si>
  <si>
    <t>Cesário Barreto Lima</t>
  </si>
  <si>
    <t>https://dadosabertos.camara.leg.br/api/v2/deputados/131677</t>
  </si>
  <si>
    <t>CHRISTIANO DIAS LOPES</t>
  </si>
  <si>
    <t>Christiano Dias Lopes Filho</t>
  </si>
  <si>
    <t>Bom Jesus do Norte</t>
  </si>
  <si>
    <t>https://dadosabertos.camara.leg.br/api/v2/deputados/131675</t>
  </si>
  <si>
    <t>CLÁUDIO STRASSBURGER</t>
  </si>
  <si>
    <t>Cláudio Ennio Strassburger</t>
  </si>
  <si>
    <t>https://dadosabertos.camara.leg.br/api/v2/deputados/131648</t>
  </si>
  <si>
    <t>CORRÊA DA COSTA</t>
  </si>
  <si>
    <t>Antônio Corrêa da Costa Neto</t>
  </si>
  <si>
    <t>https://dadosabertos.camara.leg.br/api/v2/deputados/131678</t>
  </si>
  <si>
    <t>Daniel da Silva Filho</t>
  </si>
  <si>
    <t>https://dadosabertos.camara.leg.br/api/v2/deputados/131679</t>
  </si>
  <si>
    <t>DJALMA MARINHO</t>
  </si>
  <si>
    <t>Djalma Aranha Marinho</t>
  </si>
  <si>
    <t>Nova Cruz</t>
  </si>
  <si>
    <t>https://dadosabertos.camara.leg.br/api/v2/deputados/131743</t>
  </si>
  <si>
    <t>EDGARD AMORIM</t>
  </si>
  <si>
    <t>José Edgard Amorim Pereira</t>
  </si>
  <si>
    <t>https://dadosabertos.camara.leg.br/api/v2/deputados/131681</t>
  </si>
  <si>
    <t>EDILSON LAMARTINE MENDES</t>
  </si>
  <si>
    <t>Edilson Lamartine Mendes</t>
  </si>
  <si>
    <t>https://dadosabertos.camara.leg.br/api/v2/deputados/131682</t>
  </si>
  <si>
    <t>EDSON KHAIR</t>
  </si>
  <si>
    <t>Edson Correa Khair</t>
  </si>
  <si>
    <t>https://dadosabertos.camara.leg.br/api/v2/deputados/131683</t>
  </si>
  <si>
    <t>EDSON VIDIGAL</t>
  </si>
  <si>
    <t>Edson Carvalho Vidigal</t>
  </si>
  <si>
    <t>https://dadosabertos.camara.leg.br/api/v2/deputados/131685</t>
  </si>
  <si>
    <t>EDVALDO FLÔRES</t>
  </si>
  <si>
    <t>Edvaldo de Oliveira Flôres</t>
  </si>
  <si>
    <t>https://dadosabertos.camara.leg.br/api/v2/deputados/131686</t>
  </si>
  <si>
    <t>ELOAR GUAZZELLI</t>
  </si>
  <si>
    <t>Eloar Guazzelli</t>
  </si>
  <si>
    <t>https://dadosabertos.camara.leg.br/api/v2/deputados/131687</t>
  </si>
  <si>
    <t>ELOY LENZI</t>
  </si>
  <si>
    <t>Eloy Lenzi</t>
  </si>
  <si>
    <t>https://dadosabertos.camara.leg.br/api/v2/deputados/131649</t>
  </si>
  <si>
    <t>ERASMO DIAS</t>
  </si>
  <si>
    <t>Antonio Erasmo Dias</t>
  </si>
  <si>
    <t>https://dadosabertos.camara.leg.br/api/v2/deputados/131689</t>
  </si>
  <si>
    <t>ERASMO MARTINS PEDRO</t>
  </si>
  <si>
    <t>Erasmo Martins Pedro</t>
  </si>
  <si>
    <t>https://dadosabertos.camara.leg.br/api/v2/deputados/131690</t>
  </si>
  <si>
    <t>ERNESTO DALL'OGLIO</t>
  </si>
  <si>
    <t>Ernesto Dall'Oglio</t>
  </si>
  <si>
    <t>https://dadosabertos.camara.leg.br/api/v2/deputados/131761</t>
  </si>
  <si>
    <t>FELIPPE PENNA</t>
  </si>
  <si>
    <t>Luiz Felippe de Oliveira Penna</t>
  </si>
  <si>
    <t>https://dadosabertos.camara.leg.br/api/v2/deputados/131692</t>
  </si>
  <si>
    <t>FERNANDO COELHO</t>
  </si>
  <si>
    <t>Fernando de Vasconcellos Coelho</t>
  </si>
  <si>
    <t>https://dadosabertos.camara.leg.br/api/v2/deputados/131691</t>
  </si>
  <si>
    <t>Fernando Gonçalves</t>
  </si>
  <si>
    <t>https://dadosabertos.camara.leg.br/api/v2/deputados/131651</t>
  </si>
  <si>
    <t>Antônio José Miguel Feu Rosa</t>
  </si>
  <si>
    <t>https://dadosabertos.camara.leg.br/api/v2/deputados/131730</t>
  </si>
  <si>
    <t>FIGUEIREDO CORREIA</t>
  </si>
  <si>
    <t>Joaquim de Figueiredo Correia</t>
  </si>
  <si>
    <t>https://dadosabertos.camara.leg.br/api/v2/deputados/131693</t>
  </si>
  <si>
    <t>FLÁVIO CHAVES</t>
  </si>
  <si>
    <t>Flávio Nelson da Costa Chaves</t>
  </si>
  <si>
    <t>https://dadosabertos.camara.leg.br/api/v2/deputados/131694</t>
  </si>
  <si>
    <t>FLORIM COUTINHO</t>
  </si>
  <si>
    <t>Florim Ferreira Coutinho</t>
  </si>
  <si>
    <t>https://dadosabertos.camara.leg.br/api/v2/deputados/131695</t>
  </si>
  <si>
    <t>FRANCISCO DE CASTRO</t>
  </si>
  <si>
    <t>Francisco de Freitas Castro</t>
  </si>
  <si>
    <t>https://dadosabertos.camara.leg.br/api/v2/deputados/131782</t>
  </si>
  <si>
    <t>FRANCISCO LEÃO</t>
  </si>
  <si>
    <t>Francisco Leão</t>
  </si>
  <si>
    <t>Arceburgo</t>
  </si>
  <si>
    <t>https://dadosabertos.camara.leg.br/api/v2/deputados/131697</t>
  </si>
  <si>
    <t>FRANCISCO LIBARDONI</t>
  </si>
  <si>
    <t>Francisco Oreste Libardoni</t>
  </si>
  <si>
    <t>https://dadosabertos.camara.leg.br/api/v2/deputados/131680</t>
  </si>
  <si>
    <t>FREITAS DINIZ</t>
  </si>
  <si>
    <t>Domingos de Freitas Diniz Neto</t>
  </si>
  <si>
    <t>https://dadosabertos.camara.leg.br/api/v2/deputados/131769</t>
  </si>
  <si>
    <t>GENIVAL TOURINHO</t>
  </si>
  <si>
    <t>Mário Genival Tourinho</t>
  </si>
  <si>
    <t>https://dadosabertos.camara.leg.br/api/v2/deputados/131650</t>
  </si>
  <si>
    <t>GERALDO GUEDES</t>
  </si>
  <si>
    <t>Antonio Geraldo de Azevedo Guedes</t>
  </si>
  <si>
    <t>https://dadosabertos.camara.leg.br/api/v2/deputados/131698</t>
  </si>
  <si>
    <t>GERLES GAMA</t>
  </si>
  <si>
    <t>Gerles Gama</t>
  </si>
  <si>
    <t>https://dadosabertos.camara.leg.br/api/v2/deputados/131699</t>
  </si>
  <si>
    <t>GERSON CAMATA</t>
  </si>
  <si>
    <t>Gerson Camata</t>
  </si>
  <si>
    <t>https://dadosabertos.camara.leg.br/api/v2/deputados/131700</t>
  </si>
  <si>
    <t>GETÚLIO DIAS</t>
  </si>
  <si>
    <t>Getúlio Pereira Dias</t>
  </si>
  <si>
    <t>https://dadosabertos.camara.leg.br/api/v2/deputados/131701</t>
  </si>
  <si>
    <t>GUIDO ARANTES</t>
  </si>
  <si>
    <t>GUIDO MAGALHAES ARANTES</t>
  </si>
  <si>
    <t>Posse</t>
  </si>
  <si>
    <t>https://dadosabertos.camara.leg.br/api/v2/deputados/131703</t>
  </si>
  <si>
    <t>HEITOR ALENCAR FURTADO</t>
  </si>
  <si>
    <t>Heitor Cavalcanti Alencar Furtado</t>
  </si>
  <si>
    <t>https://dadosabertos.camara.leg.br/api/v2/deputados/131704</t>
  </si>
  <si>
    <t>HÉLIO CAMPOS</t>
  </si>
  <si>
    <t>Hélio da Costa Campos</t>
  </si>
  <si>
    <t>https://dadosabertos.camara.leg.br/api/v2/deputados/131705</t>
  </si>
  <si>
    <t>HÉLIO GARCIA</t>
  </si>
  <si>
    <t>Hélio Carvalho Garcia</t>
  </si>
  <si>
    <t>https://dadosabertos.camara.leg.br/api/v2/deputados/131706</t>
  </si>
  <si>
    <t>HÉLIO LEVY</t>
  </si>
  <si>
    <t>Hélio Levy da Rocha</t>
  </si>
  <si>
    <t>1887-08-20</t>
  </si>
  <si>
    <t>https://dadosabertos.camara.leg.br/api/v2/deputados/131707</t>
  </si>
  <si>
    <t>HENRIQUE BRITO</t>
  </si>
  <si>
    <t>Henrique Brito Filho</t>
  </si>
  <si>
    <t>https://dadosabertos.camara.leg.br/api/v2/deputados/131745</t>
  </si>
  <si>
    <t>HENRIQUE TURNER</t>
  </si>
  <si>
    <t>José Henrique Turner</t>
  </si>
  <si>
    <t>Cruzeiro</t>
  </si>
  <si>
    <t>https://dadosabertos.camara.leg.br/api/v2/deputados/131708</t>
  </si>
  <si>
    <t>HERMES MACEDO</t>
  </si>
  <si>
    <t>Hermes Farias Macedo</t>
  </si>
  <si>
    <t>Rio Pardo</t>
  </si>
  <si>
    <t>https://dadosabertos.camara.leg.br/api/v2/deputados/131709</t>
  </si>
  <si>
    <t>HILDÉRICO OLIVEIRA</t>
  </si>
  <si>
    <t>Hildérico Pereira Oliveira</t>
  </si>
  <si>
    <t>Mundo Novo</t>
  </si>
  <si>
    <t>https://dadosabertos.camara.leg.br/api/v2/deputados/131710</t>
  </si>
  <si>
    <t>HONORATO VIANNA</t>
  </si>
  <si>
    <t>Honorato Vianna de Castro</t>
  </si>
  <si>
    <t>Casa Nova</t>
  </si>
  <si>
    <t>https://dadosabertos.camara.leg.br/api/v2/deputados/131712</t>
  </si>
  <si>
    <t>HYDEKEL FREITAS</t>
  </si>
  <si>
    <t>HYDEKEL MENEZES FREITAS LIMA</t>
  </si>
  <si>
    <t>https://dadosabertos.camara.leg.br/api/v2/deputados/131713</t>
  </si>
  <si>
    <t>IGO LOSSO</t>
  </si>
  <si>
    <t>Igo Iwant Losso</t>
  </si>
  <si>
    <t>https://dadosabertos.camara.leg.br/api/v2/deputados/131714</t>
  </si>
  <si>
    <t>ISAAC NEWTON</t>
  </si>
  <si>
    <t>Isaac Newton da Silva Pessoa</t>
  </si>
  <si>
    <t>https://dadosabertos.camara.leg.br/api/v2/deputados/131720</t>
  </si>
  <si>
    <t>JAIRO BRUM</t>
  </si>
  <si>
    <t>Jethro Jairo de Macêdo Brum</t>
  </si>
  <si>
    <t>Guaporé</t>
  </si>
  <si>
    <t>https://dadosabertos.camara.leg.br/api/v2/deputados/131716</t>
  </si>
  <si>
    <t>JAMEL CECÍLIO</t>
  </si>
  <si>
    <t>Jamel Cecílio</t>
  </si>
  <si>
    <t>https://dadosabertos.camara.leg.br/api/v2/deputados/131717</t>
  </si>
  <si>
    <t>JANUÁRIO FEITOSA</t>
  </si>
  <si>
    <t>Januário Alves Feitosa</t>
  </si>
  <si>
    <t>https://dadosabertos.camara.leg.br/api/v2/deputados/131718</t>
  </si>
  <si>
    <t>JAYRO MALTONI</t>
  </si>
  <si>
    <t>Jayro Maltoni</t>
  </si>
  <si>
    <t>https://dadosabertos.camara.leg.br/api/v2/deputados/131719</t>
  </si>
  <si>
    <t>JERÔNIMO SANTANA</t>
  </si>
  <si>
    <t>Jerônimo Garcia de Santana</t>
  </si>
  <si>
    <t>https://dadosabertos.camara.leg.br/api/v2/deputados/131728</t>
  </si>
  <si>
    <t>João Paulo de Arruda Filho</t>
  </si>
  <si>
    <t>https://dadosabertos.camara.leg.br/api/v2/deputados/131722</t>
  </si>
  <si>
    <t>JOÃO CÂMARA</t>
  </si>
  <si>
    <t>João da Câmara</t>
  </si>
  <si>
    <t>https://dadosabertos.camara.leg.br/api/v2/deputados/131724</t>
  </si>
  <si>
    <t>JOÃO CLÍMACO</t>
  </si>
  <si>
    <t>João Clímaco de Almeida</t>
  </si>
  <si>
    <t>https://dadosabertos.camara.leg.br/api/v2/deputados/131824</t>
  </si>
  <si>
    <t>JOÃO DURVAL</t>
  </si>
  <si>
    <t>João Durval Carneiro</t>
  </si>
  <si>
    <t>https://dadosabertos.camara.leg.br/api/v2/deputados/131723</t>
  </si>
  <si>
    <t>JOÃO LINHARES</t>
  </si>
  <si>
    <t>João Cândido Linhares</t>
  </si>
  <si>
    <t>https://dadosabertos.camara.leg.br/api/v2/deputados/131727</t>
  </si>
  <si>
    <t>JOÃO MENEZES</t>
  </si>
  <si>
    <t>João de Paiva Menezes</t>
  </si>
  <si>
    <t>https://dadosabertos.camara.leg.br/api/v2/deputados/131729</t>
  </si>
  <si>
    <t>JOAQUIM COUTINHO</t>
  </si>
  <si>
    <t>Joaquim Coutinho Corrêa de Oliveira</t>
  </si>
  <si>
    <t>Nazaré da Mata</t>
  </si>
  <si>
    <t>https://dadosabertos.camara.leg.br/api/v2/deputados/131731</t>
  </si>
  <si>
    <t>JOAQUIM GUERRA</t>
  </si>
  <si>
    <t>Joaquim Pessoa Guerra</t>
  </si>
  <si>
    <t>https://dadosabertos.camara.leg.br/api/v2/deputados/131732</t>
  </si>
  <si>
    <t>JOEL FERREIRA</t>
  </si>
  <si>
    <t>Joel Ferreira da Silva</t>
  </si>
  <si>
    <t>https://dadosabertos.camara.leg.br/api/v2/deputados/131734</t>
  </si>
  <si>
    <t>JOEL LIMA</t>
  </si>
  <si>
    <t>Joel Pereira Lima</t>
  </si>
  <si>
    <t>https://dadosabertos.camara.leg.br/api/v2/deputados/131733</t>
  </si>
  <si>
    <t>JOEL RIBEIRO</t>
  </si>
  <si>
    <t>Joel da Silva Ribeiro</t>
  </si>
  <si>
    <t>https://dadosabertos.camara.leg.br/api/v2/deputados/131735</t>
  </si>
  <si>
    <t>JOEL VIVAS</t>
  </si>
  <si>
    <t>Joel Vivas de Souza</t>
  </si>
  <si>
    <t>https://dadosabertos.camara.leg.br/api/v2/deputados/131736</t>
  </si>
  <si>
    <t>JORGE MOURA</t>
  </si>
  <si>
    <t>JORGE LUIZ MOURA</t>
  </si>
  <si>
    <t>https://dadosabertos.camara.leg.br/api/v2/deputados/131737</t>
  </si>
  <si>
    <t>JORGE PAULO</t>
  </si>
  <si>
    <t>JORGE PAULO NOGUEIRA</t>
  </si>
  <si>
    <t>https://dadosabertos.camara.leg.br/api/v2/deputados/131740</t>
  </si>
  <si>
    <t>JOSÉ ALVES</t>
  </si>
  <si>
    <t>José Alves de Oliveira</t>
  </si>
  <si>
    <t>Delmiro Gouveia</t>
  </si>
  <si>
    <t>https://dadosabertos.camara.leg.br/api/v2/deputados/131738</t>
  </si>
  <si>
    <t>JOSÉ AMORIM</t>
  </si>
  <si>
    <t>José de Albuquerque Amorim</t>
  </si>
  <si>
    <t>https://dadosabertos.camara.leg.br/api/v2/deputados/131744</t>
  </si>
  <si>
    <t>JOSÉ BRUNO</t>
  </si>
  <si>
    <t>José Fernando Bruno</t>
  </si>
  <si>
    <t>https://dadosabertos.camara.leg.br/api/v2/deputados/131820</t>
  </si>
  <si>
    <t>JOSÉ DE ASSIS</t>
  </si>
  <si>
    <t>José Alves de Assis</t>
  </si>
  <si>
    <t>https://dadosabertos.camara.leg.br/api/v2/deputados/131751</t>
  </si>
  <si>
    <t>JOSÉ MARÃO FILHO</t>
  </si>
  <si>
    <t>José Ribamar Marão Filho</t>
  </si>
  <si>
    <t>https://dadosabertos.camara.leg.br/api/v2/deputados/131747</t>
  </si>
  <si>
    <t>JOSÉ MARIA DE CARVALHO</t>
  </si>
  <si>
    <t>José Maria de Carvalho Júnior</t>
  </si>
  <si>
    <t>https://dadosabertos.camara.leg.br/api/v2/deputados/131753</t>
  </si>
  <si>
    <t>JOSÉ THOMÉ</t>
  </si>
  <si>
    <t>José Thomé</t>
  </si>
  <si>
    <t>Rebouças</t>
  </si>
  <si>
    <t>https://dadosabertos.camara.leg.br/api/v2/deputados/131741</t>
  </si>
  <si>
    <t>JOSÉ TORRES</t>
  </si>
  <si>
    <t>José Alves Torres</t>
  </si>
  <si>
    <t>Itaboraí</t>
  </si>
  <si>
    <t>https://dadosabertos.camara.leg.br/api/v2/deputados/131754</t>
  </si>
  <si>
    <t>JUAREZ FURTADO</t>
  </si>
  <si>
    <t>Juarez Rogério Furtado</t>
  </si>
  <si>
    <t>https://dadosabertos.camara.leg.br/api/v2/deputados/131725</t>
  </si>
  <si>
    <t>LEITE SCHIMIDT</t>
  </si>
  <si>
    <t>João Leite Schimidt</t>
  </si>
  <si>
    <t>https://dadosabertos.camara.leg.br/api/v2/deputados/131755</t>
  </si>
  <si>
    <t>LIDOVINO FANTON</t>
  </si>
  <si>
    <t>Lidovino Antônio Fanton</t>
  </si>
  <si>
    <t>https://dadosabertos.camara.leg.br/api/v2/deputados/131756</t>
  </si>
  <si>
    <t>LOUREMBERG NUNES ROCHA</t>
  </si>
  <si>
    <t>Louremberg Ribeiro Nunes Rocha</t>
  </si>
  <si>
    <t>https://dadosabertos.camara.leg.br/api/v2/deputados/131746</t>
  </si>
  <si>
    <t>LUCIO CIONI</t>
  </si>
  <si>
    <t>José Lúcio Cioni</t>
  </si>
  <si>
    <t>Sabará</t>
  </si>
  <si>
    <t>https://dadosabertos.camara.leg.br/api/v2/deputados/131759</t>
  </si>
  <si>
    <t>LUIZ BRAZ</t>
  </si>
  <si>
    <t>Luiz de Araújo Braz</t>
  </si>
  <si>
    <t>Itaocara</t>
  </si>
  <si>
    <t>https://dadosabertos.camara.leg.br/api/v2/deputados/131758</t>
  </si>
  <si>
    <t>LUIZ CECHINEL</t>
  </si>
  <si>
    <t>Luiz Antônio Cechinel</t>
  </si>
  <si>
    <t>https://dadosabertos.camara.leg.br/api/v2/deputados/131757</t>
  </si>
  <si>
    <t>LUIZ ROCHA</t>
  </si>
  <si>
    <t>Luiz Alves Coelho Rocha</t>
  </si>
  <si>
    <t>https://dadosabertos.camara.leg.br/api/v2/deputados/131760</t>
  </si>
  <si>
    <t>LUIZ VASCONCELLOS</t>
  </si>
  <si>
    <t>Luiz Augusto de Barros e Vasconcellos</t>
  </si>
  <si>
    <t>https://dadosabertos.camara.leg.br/api/v2/deputados/1701</t>
  </si>
  <si>
    <t>LYGIA LESSA BASTOS</t>
  </si>
  <si>
    <t>Lygia Maria Lessa Bastos</t>
  </si>
  <si>
    <t>https://dadosabertos.camara.leg.br/api/v2/deputados/131762</t>
  </si>
  <si>
    <t>MAGNUS GUIMARAES</t>
  </si>
  <si>
    <t>Magnus Francisco Antunes Guimarães</t>
  </si>
  <si>
    <t>https://dadosabertos.camara.leg.br/api/v2/deputados/131825</t>
  </si>
  <si>
    <t>MANOEL OSÉAS</t>
  </si>
  <si>
    <t>Manoel Oséas Ferreira</t>
  </si>
  <si>
    <t>Inhambupe</t>
  </si>
  <si>
    <t>https://dadosabertos.camara.leg.br/api/v2/deputados/131763</t>
  </si>
  <si>
    <t>MANUEL ARRUDA</t>
  </si>
  <si>
    <t>Manuel Aguiar de Arruda</t>
  </si>
  <si>
    <t>Massapê</t>
  </si>
  <si>
    <t>https://dadosabertos.camara.leg.br/api/v2/deputados/131764</t>
  </si>
  <si>
    <t>MARCELLO CERQUEIRA</t>
  </si>
  <si>
    <t>Marcelo Augusto Diniz Cerqueira</t>
  </si>
  <si>
    <t>https://dadosabertos.camara.leg.br/api/v2/deputados/131765</t>
  </si>
  <si>
    <t>MARCUS CUNHA</t>
  </si>
  <si>
    <t>Marcus Antônio Soares da Cunha</t>
  </si>
  <si>
    <t>Bezerros</t>
  </si>
  <si>
    <t>https://dadosabertos.camara.leg.br/api/v2/deputados/131770</t>
  </si>
  <si>
    <t>MARIO HADDAD</t>
  </si>
  <si>
    <t>Mário Haddad</t>
  </si>
  <si>
    <t>https://dadosabertos.camara.leg.br/api/v2/deputados/131766</t>
  </si>
  <si>
    <t>MARIO MOREIRA</t>
  </si>
  <si>
    <t>Mário Alves Moreira</t>
  </si>
  <si>
    <t>https://dadosabertos.camara.leg.br/api/v2/deputados/131768</t>
  </si>
  <si>
    <t>MÁRIO STAMM</t>
  </si>
  <si>
    <t>Mário César Stamm</t>
  </si>
  <si>
    <t>https://dadosabertos.camara.leg.br/api/v2/deputados/131771</t>
  </si>
  <si>
    <t>MENANDRO MINAHIM</t>
  </si>
  <si>
    <t>Menandro José Minahim</t>
  </si>
  <si>
    <t>https://dadosabertos.camara.leg.br/api/v2/deputados/131696</t>
  </si>
  <si>
    <t>MENDES DE MELO</t>
  </si>
  <si>
    <t>Francisco Mendes de Melo</t>
  </si>
  <si>
    <t>Santo Antônio da Platina</t>
  </si>
  <si>
    <t>https://dadosabertos.camara.leg.br/api/v2/deputados/131772</t>
  </si>
  <si>
    <t>MILVERNES LIMA</t>
  </si>
  <si>
    <t>Milvernes Cruz Lima</t>
  </si>
  <si>
    <t>https://dadosabertos.camara.leg.br/api/v2/deputados/131773</t>
  </si>
  <si>
    <t>MOACIR LOPES</t>
  </si>
  <si>
    <t>Moacir Lopes</t>
  </si>
  <si>
    <t>https://dadosabertos.camara.leg.br/api/v2/deputados/131653</t>
  </si>
  <si>
    <t>MODESTO DA SILVEIRA</t>
  </si>
  <si>
    <t>Antônio Modesto da Silveira</t>
  </si>
  <si>
    <t>https://dadosabertos.camara.leg.br/api/v2/deputados/131774</t>
  </si>
  <si>
    <t>MURILLO MENDES</t>
  </si>
  <si>
    <t>Murilo Mendes Rocha</t>
  </si>
  <si>
    <t>https://dadosabertos.camara.leg.br/api/v2/deputados/131775</t>
  </si>
  <si>
    <t>NABOR JÚNIOR</t>
  </si>
  <si>
    <t>Nabor Teles da Rocha Júnior</t>
  </si>
  <si>
    <t>https://dadosabertos.camara.leg.br/api/v2/deputados/131776</t>
  </si>
  <si>
    <t>NÉLIO LOBATO</t>
  </si>
  <si>
    <t>Nélio Dacier Lobato</t>
  </si>
  <si>
    <t>https://dadosabertos.camara.leg.br/api/v2/deputados/131777</t>
  </si>
  <si>
    <t>NEREU GUIDI</t>
  </si>
  <si>
    <t>Nereu Guidi</t>
  </si>
  <si>
    <t>https://dadosabertos.camara.leg.br/api/v2/deputados/131688</t>
  </si>
  <si>
    <t>NINA RIBEIRO</t>
  </si>
  <si>
    <t>Emílio Antônio Souza Aguiar Nina Ribeiro</t>
  </si>
  <si>
    <t>https://dadosabertos.camara.leg.br/api/v2/deputados/131778</t>
  </si>
  <si>
    <t>NIVALDO KRÜGER</t>
  </si>
  <si>
    <t>Nivaldo Passos Krüger</t>
  </si>
  <si>
    <t>https://dadosabertos.camara.leg.br/api/v2/deputados/131726</t>
  </si>
  <si>
    <t>NOGUEIRA DE REZENDE</t>
  </si>
  <si>
    <t>João Nogueira de Rezende</t>
  </si>
  <si>
    <t>https://dadosabertos.camara.leg.br/api/v2/deputados/131779</t>
  </si>
  <si>
    <t>OCTÁVIO TORRECILLA</t>
  </si>
  <si>
    <t>Octávio Torrecilla</t>
  </si>
  <si>
    <t>https://dadosabertos.camara.leg.br/api/v2/deputados/131780</t>
  </si>
  <si>
    <t>ODACIR SOARES</t>
  </si>
  <si>
    <t>ODACIR SOARES RODRIGUES</t>
  </si>
  <si>
    <t>https://dadosabertos.camara.leg.br/api/v2/deputados/1559</t>
  </si>
  <si>
    <t>ODULFO DOMINGUES</t>
  </si>
  <si>
    <t>Odulfo Vieira Domingues</t>
  </si>
  <si>
    <t>Jacaraci</t>
  </si>
  <si>
    <t>https://dadosabertos.camara.leg.br/api/v2/deputados/131781</t>
  </si>
  <si>
    <t>OSWALDO LIMA</t>
  </si>
  <si>
    <t>Oswaldo Lima</t>
  </si>
  <si>
    <t>https://dadosabertos.camara.leg.br/api/v2/deputados/131748</t>
  </si>
  <si>
    <t>PARENTE FROTA</t>
  </si>
  <si>
    <t>José Parente Frota</t>
  </si>
  <si>
    <t>https://dadosabertos.camara.leg.br/api/v2/deputados/131785</t>
  </si>
  <si>
    <t>PAULO FERRAZ</t>
  </si>
  <si>
    <t>Paulo da Silva Ferraz</t>
  </si>
  <si>
    <t>https://dadosabertos.camara.leg.br/api/v2/deputados/131783</t>
  </si>
  <si>
    <t>PAULO STUDART</t>
  </si>
  <si>
    <t>Paulo Ferreira Studart</t>
  </si>
  <si>
    <t>https://dadosabertos.camara.leg.br/api/v2/deputados/131784</t>
  </si>
  <si>
    <t>PAULO TORRES</t>
  </si>
  <si>
    <t>Paulo Francisco Torres</t>
  </si>
  <si>
    <t>Cantagalo</t>
  </si>
  <si>
    <t>https://dadosabertos.camara.leg.br/api/v2/deputados/131715</t>
  </si>
  <si>
    <t>PEDRO CAROLO</t>
  </si>
  <si>
    <t>Jacob Pedro Carolo</t>
  </si>
  <si>
    <t>Pontal</t>
  </si>
  <si>
    <t>https://dadosabertos.camara.leg.br/api/v2/deputados/131786</t>
  </si>
  <si>
    <t>PEDRO FARIA</t>
  </si>
  <si>
    <t>Pedro Alves de Faria</t>
  </si>
  <si>
    <t>https://dadosabertos.camara.leg.br/api/v2/deputados/131787</t>
  </si>
  <si>
    <t>PEDRO GERALDO COSTA</t>
  </si>
  <si>
    <t>Pedro Geraldo Costa</t>
  </si>
  <si>
    <t>https://dadosabertos.camara.leg.br/api/v2/deputados/131788</t>
  </si>
  <si>
    <t>PEDRO IVO</t>
  </si>
  <si>
    <t>Pedro Ivo Figueiredo de Campos</t>
  </si>
  <si>
    <t>https://dadosabertos.camara.leg.br/api/v2/deputados/131789</t>
  </si>
  <si>
    <t>PEDRO LAURO DOMARADZKI</t>
  </si>
  <si>
    <t>https://dadosabertos.camara.leg.br/api/v2/deputados/131790</t>
  </si>
  <si>
    <t>PEDRO LUCENA</t>
  </si>
  <si>
    <t>Pedro de Lucena Dias</t>
  </si>
  <si>
    <t>Pirpirituba</t>
  </si>
  <si>
    <t>https://dadosabertos.camara.leg.br/api/v2/deputados/131749</t>
  </si>
  <si>
    <t>PEIXOTO FILHO</t>
  </si>
  <si>
    <t>José Peixoto Filho</t>
  </si>
  <si>
    <t>https://dadosabertos.camara.leg.br/api/v2/deputados/131791</t>
  </si>
  <si>
    <t>PÉRICLES GONCALVES</t>
  </si>
  <si>
    <t>Péricles Gonçalves</t>
  </si>
  <si>
    <t>https://dadosabertos.camara.leg.br/api/v2/deputados/131750</t>
  </si>
  <si>
    <t>PINHEIRO MACHADO</t>
  </si>
  <si>
    <t>José Pinheiro Machado</t>
  </si>
  <si>
    <t>https://dadosabertos.camara.leg.br/api/v2/deputados/131792</t>
  </si>
  <si>
    <t>RAFAEL FARACO</t>
  </si>
  <si>
    <t>Rafael Faraco</t>
  </si>
  <si>
    <t>Maués</t>
  </si>
  <si>
    <t>https://dadosabertos.camara.leg.br/api/v2/deputados/131794</t>
  </si>
  <si>
    <t>RAYMUNDO DINIZ</t>
  </si>
  <si>
    <t>Raymundo Menezes Diniz</t>
  </si>
  <si>
    <t>https://dadosabertos.camara.leg.br/api/v2/deputados/131654</t>
  </si>
  <si>
    <t>REZENDE MONTEIRO</t>
  </si>
  <si>
    <t>Antônio Rezende Monteiro</t>
  </si>
  <si>
    <t>Caiapônia</t>
  </si>
  <si>
    <t>https://dadosabertos.camara.leg.br/api/v2/deputados/131795</t>
  </si>
  <si>
    <t>ROBERTO DE CARVALHO</t>
  </si>
  <si>
    <t>Roberto Dahas de Carvalho</t>
  </si>
  <si>
    <t>https://dadosabertos.camara.leg.br/api/v2/deputados/131796</t>
  </si>
  <si>
    <t>ROBERTO GALVANI</t>
  </si>
  <si>
    <t>Roberto Galvani</t>
  </si>
  <si>
    <t>https://dadosabertos.camara.leg.br/api/v2/deputados/131797</t>
  </si>
  <si>
    <t>ROGÉRIO REGO</t>
  </si>
  <si>
    <t>Rogério da Silva Rego</t>
  </si>
  <si>
    <t>https://dadosabertos.camara.leg.br/api/v2/deputados/131798</t>
  </si>
  <si>
    <t>RONALDO FERREIRA DIAS</t>
  </si>
  <si>
    <t>Ronaldo Ferreira Dias</t>
  </si>
  <si>
    <t>https://dadosabertos.camara.leg.br/api/v2/deputados/131799</t>
  </si>
  <si>
    <t>ROQUE ARAS</t>
  </si>
  <si>
    <t>Roque Aras</t>
  </si>
  <si>
    <t>https://dadosabertos.camara.leg.br/api/v2/deputados/131800</t>
  </si>
  <si>
    <t>RUBEM DOURADO</t>
  </si>
  <si>
    <t>Rubem Guanais Dourado</t>
  </si>
  <si>
    <t>https://dadosabertos.camara.leg.br/api/v2/deputados/131801</t>
  </si>
  <si>
    <t>RUY SILVA</t>
  </si>
  <si>
    <t>Ruy Silva</t>
  </si>
  <si>
    <t>https://dadosabertos.camara.leg.br/api/v2/deputados/131802</t>
  </si>
  <si>
    <t>SADY MARINHO</t>
  </si>
  <si>
    <t>Sady Cavalheiro Marinho</t>
  </si>
  <si>
    <t>https://dadosabertos.camara.leg.br/api/v2/deputados/131752</t>
  </si>
  <si>
    <t>SANTILLI SOBRINHO</t>
  </si>
  <si>
    <t>José Santilli Sobrinho</t>
  </si>
  <si>
    <t>https://dadosabertos.camara.leg.br/api/v2/deputados/131803</t>
  </si>
  <si>
    <t>SEBASTIÃO ANDRADE</t>
  </si>
  <si>
    <t>Sebastião Andrade</t>
  </si>
  <si>
    <t>https://dadosabertos.camara.leg.br/api/v2/deputados/131805</t>
  </si>
  <si>
    <t>SÍLVIO LOPES</t>
  </si>
  <si>
    <t>Sílvio Fernandes Lopes</t>
  </si>
  <si>
    <t>https://dadosabertos.camara.leg.br/api/v2/deputados/131806</t>
  </si>
  <si>
    <t>STOESSEL DOURADO</t>
  </si>
  <si>
    <t>Stoessel de Oliveira Dourado</t>
  </si>
  <si>
    <t>https://dadosabertos.camara.leg.br/api/v2/deputados/131807</t>
  </si>
  <si>
    <t>TELÊMACO POMPEI</t>
  </si>
  <si>
    <t>Telêmaco Coriolano Pompei</t>
  </si>
  <si>
    <t>https://dadosabertos.camara.leg.br/api/v2/deputados/131808</t>
  </si>
  <si>
    <t>TEMISTOCLES TEIXEIRA</t>
  </si>
  <si>
    <t>Temístocles Carneiro Teixeira</t>
  </si>
  <si>
    <t>https://dadosabertos.camara.leg.br/api/v2/deputados/131809</t>
  </si>
  <si>
    <t>TERTULIANO AZEVEDO</t>
  </si>
  <si>
    <t>Tertuliano Azevedo</t>
  </si>
  <si>
    <t>https://dadosabertos.camara.leg.br/api/v2/deputados/131821</t>
  </si>
  <si>
    <t>THEÓDULO ALBUQUERQUE</t>
  </si>
  <si>
    <t>Theódulo Lins de Albuquerque</t>
  </si>
  <si>
    <t>Pilão Arcado</t>
  </si>
  <si>
    <t>https://dadosabertos.camara.leg.br/api/v2/deputados/131684</t>
  </si>
  <si>
    <t>TULIO BARCELLOS</t>
  </si>
  <si>
    <t>Eduardo Túlio Sarmento Barcellos</t>
  </si>
  <si>
    <t>https://dadosabertos.camara.leg.br/api/v2/deputados/131810</t>
  </si>
  <si>
    <t>ULISSES POTIGUAR</t>
  </si>
  <si>
    <t>Ulisses Bezerra Potiguar</t>
  </si>
  <si>
    <t>Parelhas</t>
  </si>
  <si>
    <t>https://dadosabertos.camara.leg.br/api/v2/deputados/131811</t>
  </si>
  <si>
    <t>VALTER GARCIA</t>
  </si>
  <si>
    <t>Valter Roberto Garcia</t>
  </si>
  <si>
    <t>https://dadosabertos.camara.leg.br/api/v2/deputados/131702</t>
  </si>
  <si>
    <t>VILELA DE MAGALHÃES</t>
  </si>
  <si>
    <t>Hamilton Vilela de Magalhães</t>
  </si>
  <si>
    <t>https://dadosabertos.camara.leg.br/api/v2/deputados/131812</t>
  </si>
  <si>
    <t>WALDIR WALTER</t>
  </si>
  <si>
    <t>Waldir Walter</t>
  </si>
  <si>
    <t>https://dadosabertos.camara.leg.br/api/v2/deputados/131813</t>
  </si>
  <si>
    <t>WALDMIR BELINATI</t>
  </si>
  <si>
    <t>Waldmir Belinati</t>
  </si>
  <si>
    <t>https://dadosabertos.camara.leg.br/api/v2/deputados/131814</t>
  </si>
  <si>
    <t>WALTER DE CASTRO</t>
  </si>
  <si>
    <t>Walter de Castro</t>
  </si>
  <si>
    <t>https://dadosabertos.camara.leg.br/api/v2/deputados/131815</t>
  </si>
  <si>
    <t>WALTER DE PRÁ</t>
  </si>
  <si>
    <t>Walter de Prá</t>
  </si>
  <si>
    <t>https://dadosabertos.camara.leg.br/api/v2/deputados/131816</t>
  </si>
  <si>
    <t>WALTER SILVA</t>
  </si>
  <si>
    <t>Walter da Silva</t>
  </si>
  <si>
    <t>https://dadosabertos.camara.leg.br/api/v2/deputados/131817</t>
  </si>
  <si>
    <t>WILMAR GUIMARÃES</t>
  </si>
  <si>
    <t>Wilmar da Silva Guimarães</t>
  </si>
  <si>
    <t>https://dadosabertos.camara.leg.br/api/v2/deputados/131818</t>
  </si>
  <si>
    <t>ZANY GONZAGA</t>
  </si>
  <si>
    <t>Zany Gonzaga</t>
  </si>
  <si>
    <t>https://dadosabertos.camara.leg.br/api/v2/deputados/131497</t>
  </si>
  <si>
    <t>ABDON GONCALVES</t>
  </si>
  <si>
    <t>Abdon Gonçalves Nanhay</t>
  </si>
  <si>
    <t>https://dadosabertos.camara.leg.br/api/v2/deputados/131498</t>
  </si>
  <si>
    <t>ADERBAL JUREMA</t>
  </si>
  <si>
    <t>Aderbal de Araújo Jurema</t>
  </si>
  <si>
    <t>https://dadosabertos.camara.leg.br/api/v2/deputados/131499</t>
  </si>
  <si>
    <t>AGOSTINHO RODRIGUES</t>
  </si>
  <si>
    <t>Agostinho José Rodrigues</t>
  </si>
  <si>
    <t>https://dadosabertos.camara.leg.br/api/v2/deputados/131501</t>
  </si>
  <si>
    <t>ALBERTO LAVINAS</t>
  </si>
  <si>
    <t>Alberto da Silva Lavinas</t>
  </si>
  <si>
    <t>https://dadosabertos.camara.leg.br/api/v2/deputados/131502</t>
  </si>
  <si>
    <t>ALBINO ZENI</t>
  </si>
  <si>
    <t>Albino Zeni</t>
  </si>
  <si>
    <t>Piraquara</t>
  </si>
  <si>
    <t>https://dadosabertos.camara.leg.br/api/v2/deputados/131512</t>
  </si>
  <si>
    <t>AMARAL FURLAN</t>
  </si>
  <si>
    <t>Antônio Oswaldo do Amaral Furlan</t>
  </si>
  <si>
    <t>https://dadosabertos.camara.leg.br/api/v2/deputados/131507</t>
  </si>
  <si>
    <t>ANTONIO BELINATI</t>
  </si>
  <si>
    <t>Antonio Casemiro Belinati</t>
  </si>
  <si>
    <t>https://dadosabertos.camara.leg.br/api/v2/deputados/131506</t>
  </si>
  <si>
    <t>ANTONIO DE ANDRADE</t>
  </si>
  <si>
    <t>Antonio de Andrade</t>
  </si>
  <si>
    <t>https://dadosabertos.camara.leg.br/api/v2/deputados/131510</t>
  </si>
  <si>
    <t>ANTONIO JOSÉ</t>
  </si>
  <si>
    <t>Antônio José Sá Nascimento</t>
  </si>
  <si>
    <t>https://dadosabertos.camara.leg.br/api/v2/deputados/131508</t>
  </si>
  <si>
    <t>ANTONIO MOTA</t>
  </si>
  <si>
    <t>Antonio Ferreira da Mota</t>
  </si>
  <si>
    <t>https://dadosabertos.camara.leg.br/api/v2/deputados/131500</t>
  </si>
  <si>
    <t>ANTUNES DE OLIVEIRA</t>
  </si>
  <si>
    <t>Alberico Antunes de Oliveira</t>
  </si>
  <si>
    <t>https://dadosabertos.camara.leg.br/api/v2/deputados/131513</t>
  </si>
  <si>
    <t>ÁRIO TEODORO</t>
  </si>
  <si>
    <t>Ário Wolz Teodoro</t>
  </si>
  <si>
    <t>https://dadosabertos.camara.leg.br/api/v2/deputados/131563</t>
  </si>
  <si>
    <t>ARLINDO KUNZLER</t>
  </si>
  <si>
    <t>José Arlindo Kunzler</t>
  </si>
  <si>
    <t>https://dadosabertos.camara.leg.br/api/v2/deputados/131503</t>
  </si>
  <si>
    <t>AROLDO CARVALHO</t>
  </si>
  <si>
    <t>Aroldo Carneiro de Carvalho</t>
  </si>
  <si>
    <t>https://dadosabertos.camara.leg.br/api/v2/deputados/131505</t>
  </si>
  <si>
    <t>AURELIO CAMPOS</t>
  </si>
  <si>
    <t>Aurélio Roslindo Campos</t>
  </si>
  <si>
    <t>https://dadosabertos.camara.leg.br/api/v2/deputados/131564</t>
  </si>
  <si>
    <t>BENEDITO CANELLAS</t>
  </si>
  <si>
    <t>José Benedito Canellas</t>
  </si>
  <si>
    <t>https://dadosabertos.camara.leg.br/api/v2/deputados/131565</t>
  </si>
  <si>
    <t>BLOTA JUNIOR</t>
  </si>
  <si>
    <t>José Blota Junior</t>
  </si>
  <si>
    <t>Ribeirão Bonito</t>
  </si>
  <si>
    <t>https://dadosabertos.camara.leg.br/api/v2/deputados/131514</t>
  </si>
  <si>
    <t>BRÍGIDO TINOCO</t>
  </si>
  <si>
    <t>Brígido Fernandes Tinoco</t>
  </si>
  <si>
    <t>https://dadosabertos.camara.leg.br/api/v2/deputados/131516</t>
  </si>
  <si>
    <t>CARLOS ALBERTO OLIVEIRA</t>
  </si>
  <si>
    <t>Carlos Alberto Gomes de Oliveira</t>
  </si>
  <si>
    <t>https://dadosabertos.camara.leg.br/api/v2/deputados/131518</t>
  </si>
  <si>
    <t>CÉLIO MARQUES FERNANDES</t>
  </si>
  <si>
    <t>Célio Marques Fernandes</t>
  </si>
  <si>
    <t>https://dadosabertos.camara.leg.br/api/v2/deputados/131519</t>
  </si>
  <si>
    <t>CÉSAR NASCIMENTO</t>
  </si>
  <si>
    <t>César Corrêa do Nascimento</t>
  </si>
  <si>
    <t>https://dadosabertos.camara.leg.br/api/v2/deputados/131674</t>
  </si>
  <si>
    <t>CID FURTADO</t>
  </si>
  <si>
    <t>Cid Furtado</t>
  </si>
  <si>
    <t>https://dadosabertos.camara.leg.br/api/v2/deputados/131520</t>
  </si>
  <si>
    <t>CLEVERSON TEIXEIRA</t>
  </si>
  <si>
    <t>Cleverson Teixeira</t>
  </si>
  <si>
    <t>https://dadosabertos.camara.leg.br/api/v2/deputados/131554</t>
  </si>
  <si>
    <t>COTTA BARBOSA</t>
  </si>
  <si>
    <t>Ivan Cotta Barbosa</t>
  </si>
  <si>
    <t>Abre Campo</t>
  </si>
  <si>
    <t>https://dadosabertos.camara.leg.br/api/v2/deputados/131521</t>
  </si>
  <si>
    <t>DANIEL FARACO</t>
  </si>
  <si>
    <t>Daniel Agostinho Faraco</t>
  </si>
  <si>
    <t>https://dadosabertos.camara.leg.br/api/v2/deputados/131522</t>
  </si>
  <si>
    <t>DAYL DE ALMEIDA</t>
  </si>
  <si>
    <t>Dayl do Carmo Guimarães de Almeida</t>
  </si>
  <si>
    <t>https://dadosabertos.camara.leg.br/api/v2/deputados/131559</t>
  </si>
  <si>
    <t>DIAS MENEZES</t>
  </si>
  <si>
    <t>Joaquim Mariano Dias Menezes</t>
  </si>
  <si>
    <t>https://dadosabertos.camara.leg.br/api/v2/deputados/131523</t>
  </si>
  <si>
    <t>DIB CHEREM</t>
  </si>
  <si>
    <t>Dib Cherem</t>
  </si>
  <si>
    <t>https://dadosabertos.camara.leg.br/api/v2/deputados/131524</t>
  </si>
  <si>
    <t>DYRNO PIRES</t>
  </si>
  <si>
    <t>Dyrno Jurandyr Pires Ferreira</t>
  </si>
  <si>
    <t>https://dadosabertos.camara.leg.br/api/v2/deputados/131525</t>
  </si>
  <si>
    <t>EDGAR MARTINS</t>
  </si>
  <si>
    <t>Edgar Martins</t>
  </si>
  <si>
    <t>https://dadosabertos.camara.leg.br/api/v2/deputados/131526</t>
  </si>
  <si>
    <t>ÉDISON BONNA</t>
  </si>
  <si>
    <t>Édison Burlamaqui Simões Bonna</t>
  </si>
  <si>
    <t>https://dadosabertos.camara.leg.br/api/v2/deputados/131527</t>
  </si>
  <si>
    <t>ELCIVAL CAIADO</t>
  </si>
  <si>
    <t>Elcival Ramos Caiado</t>
  </si>
  <si>
    <t>https://dadosabertos.camara.leg.br/api/v2/deputados/131528</t>
  </si>
  <si>
    <t>EMANOEL WAISMANN</t>
  </si>
  <si>
    <t>Emmanoel Waismann</t>
  </si>
  <si>
    <t>https://dadosabertos.camara.leg.br/api/v2/deputados/131529</t>
  </si>
  <si>
    <t>ERNESTO VALENTE</t>
  </si>
  <si>
    <t>Ernesto Gurgel Valente</t>
  </si>
  <si>
    <t>https://dadosabertos.camara.leg.br/api/v2/deputados/131530</t>
  </si>
  <si>
    <t>EXPEDITO ZANOTTI</t>
  </si>
  <si>
    <t>Expedito Zanotti</t>
  </si>
  <si>
    <t>https://dadosabertos.camara.leg.br/api/v2/deputados/131531</t>
  </si>
  <si>
    <t>FÁBIO FONSECA</t>
  </si>
  <si>
    <t>Fábio Fonseca e Silva</t>
  </si>
  <si>
    <t>https://dadosabertos.camara.leg.br/api/v2/deputados/131574</t>
  </si>
  <si>
    <t>FARIA LIMA</t>
  </si>
  <si>
    <t>JOSE ROBERTO FARIA LIMA</t>
  </si>
  <si>
    <t>https://dadosabertos.camara.leg.br/api/v2/deputados/131533</t>
  </si>
  <si>
    <t>FERNANDO FAGUNDES NETTO</t>
  </si>
  <si>
    <t>Fernando Jorge Fagundes Netto</t>
  </si>
  <si>
    <t>https://dadosabertos.camara.leg.br/api/v2/deputados/131532</t>
  </si>
  <si>
    <t>FERNANDO GAMA</t>
  </si>
  <si>
    <t>Fernando da Gama e Souza</t>
  </si>
  <si>
    <t>https://dadosabertos.camara.leg.br/api/v2/deputados/131616</t>
  </si>
  <si>
    <t>FERRAZ EGREJA</t>
  </si>
  <si>
    <t>Sylvestre Ferraz Egreja</t>
  </si>
  <si>
    <t>Cristina</t>
  </si>
  <si>
    <t>https://dadosabertos.camara.leg.br/api/v2/deputados/131534</t>
  </si>
  <si>
    <t>FLÁVIO GIOVINE</t>
  </si>
  <si>
    <t>Flávio Ettore Giovine</t>
  </si>
  <si>
    <t>https://dadosabertos.camara.leg.br/api/v2/deputados/131517</t>
  </si>
  <si>
    <t>FLEXA RIBEIRO</t>
  </si>
  <si>
    <t>Carlos Octávio Flexa Ribeiro</t>
  </si>
  <si>
    <t>https://dadosabertos.camara.leg.br/api/v2/deputados/131535</t>
  </si>
  <si>
    <t>FRANCELINO PEREIRA</t>
  </si>
  <si>
    <t>Francelino Pereira dos Santos</t>
  </si>
  <si>
    <t>Angical do Piauí</t>
  </si>
  <si>
    <t>https://dadosabertos.camara.leg.br/api/v2/deputados/131536</t>
  </si>
  <si>
    <t>FRANCISCO BILAC PINTO</t>
  </si>
  <si>
    <t>Francisco Bilac Moreira Pinto</t>
  </si>
  <si>
    <t>https://dadosabertos.camara.leg.br/api/v2/deputados/131538</t>
  </si>
  <si>
    <t>FRANCISCO ROCHA</t>
  </si>
  <si>
    <t>Francisco de Oliveira Rocha</t>
  </si>
  <si>
    <t>https://dadosabertos.camara.leg.br/api/v2/deputados/131541</t>
  </si>
  <si>
    <t>FREDERICO BRANDÃO</t>
  </si>
  <si>
    <t>Frederico José Ribeiro Brandão</t>
  </si>
  <si>
    <t>https://dadosabertos.camara.leg.br/api/v2/deputados/131542</t>
  </si>
  <si>
    <t>GABRIEL HERMES</t>
  </si>
  <si>
    <t>Gabriel Hermes Filho</t>
  </si>
  <si>
    <t>https://dadosabertos.camara.leg.br/api/v2/deputados/131543</t>
  </si>
  <si>
    <t>GAMALIEL GALVÃO</t>
  </si>
  <si>
    <t>Gamaliel Bueno Galvão</t>
  </si>
  <si>
    <t>https://dadosabertos.camara.leg.br/api/v2/deputados/131544</t>
  </si>
  <si>
    <t>GASTÃO MÜLLER</t>
  </si>
  <si>
    <t>Gastão de Mattos Müller</t>
  </si>
  <si>
    <t>https://dadosabertos.camara.leg.br/api/v2/deputados/131545</t>
  </si>
  <si>
    <t>GENERVINO FONSECA</t>
  </si>
  <si>
    <t>Generviono Evangelista Fonseca</t>
  </si>
  <si>
    <t>https://dadosabertos.camara.leg.br/api/v2/deputados/131546</t>
  </si>
  <si>
    <t>GERALDO FREIRE</t>
  </si>
  <si>
    <t>Geraldo Freire da Silva</t>
  </si>
  <si>
    <t>Boa Esperança</t>
  </si>
  <si>
    <t>https://dadosabertos.camara.leg.br/api/v2/deputados/131568</t>
  </si>
  <si>
    <t>GOMES DO AMARAL</t>
  </si>
  <si>
    <t>José Gomes do Amaral</t>
  </si>
  <si>
    <t>Taquarituba</t>
  </si>
  <si>
    <t>https://dadosabertos.camara.leg.br/api/v2/deputados/131509</t>
  </si>
  <si>
    <t>GUAÇU PITERI</t>
  </si>
  <si>
    <t>Antonio Guaçu Dinaer Piteri</t>
  </si>
  <si>
    <t>Pindorama</t>
  </si>
  <si>
    <t>https://dadosabertos.camara.leg.br/api/v2/deputados/131548</t>
  </si>
  <si>
    <t>HÉLIO DE ALMEIDA</t>
  </si>
  <si>
    <t>Hélio Mello de Almeida</t>
  </si>
  <si>
    <t>https://dadosabertos.camara.leg.br/api/v2/deputados/131547</t>
  </si>
  <si>
    <t>HÉLIO MAURO</t>
  </si>
  <si>
    <t>Hélio Mauro Umbelino Lobo</t>
  </si>
  <si>
    <t>https://dadosabertos.camara.leg.br/api/v2/deputados/131551</t>
  </si>
  <si>
    <t>HENRIQUE CARDOSO</t>
  </si>
  <si>
    <t>Henrique Weyll Cardoso e Silva</t>
  </si>
  <si>
    <t>https://dadosabertos.camara.leg.br/api/v2/deputados/131549</t>
  </si>
  <si>
    <t>HENRIQUE FANSTONE</t>
  </si>
  <si>
    <t>Henrique Maurício Fanstone</t>
  </si>
  <si>
    <t>https://dadosabertos.camara.leg.br/api/v2/deputados/131550</t>
  </si>
  <si>
    <t>HENRIQUE PRETTI</t>
  </si>
  <si>
    <t>Henrique Pretti</t>
  </si>
  <si>
    <t>https://dadosabertos.camara.leg.br/api/v2/deputados/131537</t>
  </si>
  <si>
    <t>HUMBERTO BEZERRA</t>
  </si>
  <si>
    <t>Francisco Humberto Bezerra</t>
  </si>
  <si>
    <t>https://dadosabertos.camara.leg.br/api/v2/deputados/131552</t>
  </si>
  <si>
    <t>HUMBERTO LUCENA</t>
  </si>
  <si>
    <t>Humberto Coutinho de Lucena</t>
  </si>
  <si>
    <t>https://dadosabertos.camara.leg.br/api/v2/deputados/131553</t>
  </si>
  <si>
    <t>IVAHIR GARCIA</t>
  </si>
  <si>
    <t>Ivahir Freitas Garcia</t>
  </si>
  <si>
    <t>https://dadosabertos.camara.leg.br/api/v2/deputados/131555</t>
  </si>
  <si>
    <t>JAISON BARRETO</t>
  </si>
  <si>
    <t>Jaison Tupy Barreto</t>
  </si>
  <si>
    <t>https://dadosabertos.camara.leg.br/api/v2/deputados/131570</t>
  </si>
  <si>
    <t>JANDUHY CARNEIRO</t>
  </si>
  <si>
    <t>José Janduhy Carneiro</t>
  </si>
  <si>
    <t>https://dadosabertos.camara.leg.br/api/v2/deputados/131556</t>
  </si>
  <si>
    <t>JARMUND NASSER</t>
  </si>
  <si>
    <t>Jarmund Nasser</t>
  </si>
  <si>
    <t>https://dadosabertos.camara.leg.br/api/v2/deputados/131557</t>
  </si>
  <si>
    <t>JOÃO PEDRO</t>
  </si>
  <si>
    <t>João Pedro de Carvalho Neto</t>
  </si>
  <si>
    <t>Lins</t>
  </si>
  <si>
    <t>https://dadosabertos.camara.leg.br/api/v2/deputados/131558</t>
  </si>
  <si>
    <t>JOÃO VARGAS</t>
  </si>
  <si>
    <t>João Vargas de Oliveira</t>
  </si>
  <si>
    <t>https://dadosabertos.camara.leg.br/api/v2/deputados/131561</t>
  </si>
  <si>
    <t>JOIR BRASILEIRO</t>
  </si>
  <si>
    <t>Joir da Silva Martins Brasileiro</t>
  </si>
  <si>
    <t>https://dadosabertos.camara.leg.br/api/v2/deputados/131562</t>
  </si>
  <si>
    <t>JONAS CARLOS</t>
  </si>
  <si>
    <t>Jonas Carlos da Silva</t>
  </si>
  <si>
    <t>Almino Afonso</t>
  </si>
  <si>
    <t>https://dadosabertos.camara.leg.br/api/v2/deputados/131567</t>
  </si>
  <si>
    <t>JOSÉ BONIFÁCIO</t>
  </si>
  <si>
    <t>José Bonifácio Lafayette de Andrada</t>
  </si>
  <si>
    <t>https://dadosabertos.camara.leg.br/api/v2/deputados/131566</t>
  </si>
  <si>
    <t>JOSÉ BONIFÁCIO NETO</t>
  </si>
  <si>
    <t>José Bonifácio Diniz de Andrada Neto</t>
  </si>
  <si>
    <t>https://dadosabertos.camara.leg.br/api/v2/deputados/131569</t>
  </si>
  <si>
    <t>JOSÉ HADDAD</t>
  </si>
  <si>
    <t>José Haddad</t>
  </si>
  <si>
    <t>https://dadosabertos.camara.leg.br/api/v2/deputados/131571</t>
  </si>
  <si>
    <t>JOSÉ MANDELLI</t>
  </si>
  <si>
    <t>José Mandelli Filho</t>
  </si>
  <si>
    <t>https://dadosabertos.camara.leg.br/api/v2/deputados/131575</t>
  </si>
  <si>
    <t>JOSÉ SALLY</t>
  </si>
  <si>
    <t>José Sally</t>
  </si>
  <si>
    <t>https://dadosabertos.camara.leg.br/api/v2/deputados/131577</t>
  </si>
  <si>
    <t>JOSÉ ZAVAGLIA</t>
  </si>
  <si>
    <t>José Zavaglia</t>
  </si>
  <si>
    <t>https://dadosabertos.camara.leg.br/api/v2/deputados/131578</t>
  </si>
  <si>
    <t>JOSIAS GOMES</t>
  </si>
  <si>
    <t>Josias Ferreira Gomes</t>
  </si>
  <si>
    <t>https://dadosabertos.camara.leg.br/api/v2/deputados/131579</t>
  </si>
  <si>
    <t>JÚLIO VIVEIROS</t>
  </si>
  <si>
    <t>Júlio Costa de Viveiros</t>
  </si>
  <si>
    <t>https://dadosabertos.camara.leg.br/api/v2/deputados/131580</t>
  </si>
  <si>
    <t>JUTAHY MAGALHÃES</t>
  </si>
  <si>
    <t>Jutahy Borges Magalhães</t>
  </si>
  <si>
    <t>https://dadosabertos.camara.leg.br/api/v2/deputados/131581</t>
  </si>
  <si>
    <t>JUVÊNCIO DIAS</t>
  </si>
  <si>
    <t>Juvêncio Antônio Vergolino Dias</t>
  </si>
  <si>
    <t>https://dadosabertos.camara.leg.br/api/v2/deputados/131582</t>
  </si>
  <si>
    <t>LAERTE VIEIRA</t>
  </si>
  <si>
    <t>Laerte Ramos Vieira</t>
  </si>
  <si>
    <t>https://dadosabertos.camara.leg.br/api/v2/deputados/131583</t>
  </si>
  <si>
    <t>LAURO LEITÃO</t>
  </si>
  <si>
    <t>Lauro Franco Leitão</t>
  </si>
  <si>
    <t>https://dadosabertos.camara.leg.br/api/v2/deputados/131584</t>
  </si>
  <si>
    <t>LAURO RODRIGUES</t>
  </si>
  <si>
    <t>Lauro Pereira Rodrigues</t>
  </si>
  <si>
    <t>General Câmara</t>
  </si>
  <si>
    <t>https://dadosabertos.camara.leg.br/api/v2/deputados/131585</t>
  </si>
  <si>
    <t>LINCOLN GRILLO</t>
  </si>
  <si>
    <t>LINCOLN DOS SANTOS GRILLO</t>
  </si>
  <si>
    <t>https://dadosabertos.camara.leg.br/api/v2/deputados/131504</t>
  </si>
  <si>
    <t>LINS E SILVA</t>
  </si>
  <si>
    <t>Augusto Lins e Silva Netto</t>
  </si>
  <si>
    <t>https://dadosabertos.camara.leg.br/api/v2/deputados/131511</t>
  </si>
  <si>
    <t>LOMANTO JÚNIOR</t>
  </si>
  <si>
    <t>Antônio Lomanto Júnior</t>
  </si>
  <si>
    <t>https://dadosabertos.camara.leg.br/api/v2/deputados/131586</t>
  </si>
  <si>
    <t>LUIZ COUTO</t>
  </si>
  <si>
    <t>https://dadosabertos.camara.leg.br/api/v2/deputados/131587</t>
  </si>
  <si>
    <t>LUIZ FERNANDO</t>
  </si>
  <si>
    <t>Luiz Fernando Faria de Azevedo</t>
  </si>
  <si>
    <t>https://dadosabertos.camara.leg.br/api/v2/deputados/131588</t>
  </si>
  <si>
    <t>MANOEL DE ALMEIDA</t>
  </si>
  <si>
    <t>Manoel José de Almeida</t>
  </si>
  <si>
    <t>https://dadosabertos.camara.leg.br/api/v2/deputados/131589</t>
  </si>
  <si>
    <t>MANOEL RODRIGUES</t>
  </si>
  <si>
    <t>Manoel Rodrigues dos Santos</t>
  </si>
  <si>
    <t>Cariré</t>
  </si>
  <si>
    <t>https://dadosabertos.camara.leg.br/api/v2/deputados/2286</t>
  </si>
  <si>
    <t>MARCO MACIEL</t>
  </si>
  <si>
    <t>Marco Antônio de Oliveira Maciel</t>
  </si>
  <si>
    <t>https://dadosabertos.camara.leg.br/api/v2/deputados/131590</t>
  </si>
  <si>
    <t>MARCOS TITO</t>
  </si>
  <si>
    <t>Marcos Wellington de Castro Tito</t>
  </si>
  <si>
    <t>https://dadosabertos.camara.leg.br/api/v2/deputados/131591</t>
  </si>
  <si>
    <t>MÁRIO MONDINO</t>
  </si>
  <si>
    <t>Mário Mondino</t>
  </si>
  <si>
    <t>https://dadosabertos.camara.leg.br/api/v2/deputados/131592</t>
  </si>
  <si>
    <t>MAURÍCIO LEITE</t>
  </si>
  <si>
    <t>Maurício Brasilino Leite</t>
  </si>
  <si>
    <t>https://dadosabertos.camara.leg.br/api/v2/deputados/131593</t>
  </si>
  <si>
    <t>MILTON STEINBRUCH</t>
  </si>
  <si>
    <t>MILTON STEINBRUCH LOMACINSKY</t>
  </si>
  <si>
    <t>https://dadosabertos.camara.leg.br/api/v2/deputados/131594</t>
  </si>
  <si>
    <t>MINORO MIYAMOTO</t>
  </si>
  <si>
    <t>Minoro Miyamoto</t>
  </si>
  <si>
    <t>https://dadosabertos.camara.leg.br/api/v2/deputados/131595</t>
  </si>
  <si>
    <t>MINORU MASSUDA</t>
  </si>
  <si>
    <t>Minoru Massuda</t>
  </si>
  <si>
    <t>https://dadosabertos.camara.leg.br/api/v2/deputados/131596</t>
  </si>
  <si>
    <t>MOACYR DALLA</t>
  </si>
  <si>
    <t>Moacyr Dalla</t>
  </si>
  <si>
    <t>https://dadosabertos.camara.leg.br/api/v2/deputados/131597</t>
  </si>
  <si>
    <t>MONSENHOR FERREIRA LIMA</t>
  </si>
  <si>
    <t>Monsenhor Luiz Ferreira Lima</t>
  </si>
  <si>
    <t>https://dadosabertos.camara.leg.br/api/v2/deputados/131598</t>
  </si>
  <si>
    <t>MURILO BADARÓ</t>
  </si>
  <si>
    <t>Murilo Paulino Badaró</t>
  </si>
  <si>
    <t>https://dadosabertos.camara.leg.br/api/v2/deputados/131615</t>
  </si>
  <si>
    <t>NAVARRO VIEIRA</t>
  </si>
  <si>
    <t>Sebastião Navarro Vieira</t>
  </si>
  <si>
    <t>https://dadosabertos.camara.leg.br/api/v2/deputados/131600</t>
  </si>
  <si>
    <t>NELSON MACULAN</t>
  </si>
  <si>
    <t>Nelson Maculan</t>
  </si>
  <si>
    <t>Santana de Parnaíba</t>
  </si>
  <si>
    <t>https://dadosabertos.camara.leg.br/api/v2/deputados/131599</t>
  </si>
  <si>
    <t>NELSON THIBAU</t>
  </si>
  <si>
    <t>Nelson Luiz Thibau</t>
  </si>
  <si>
    <t>https://dadosabertos.camara.leg.br/api/v2/deputados/131601</t>
  </si>
  <si>
    <t>NEWTON BARREIRA</t>
  </si>
  <si>
    <t>Newton Burlamaqui Barreira</t>
  </si>
  <si>
    <t>https://dadosabertos.camara.leg.br/api/v2/deputados/131515</t>
  </si>
  <si>
    <t>NOGUEIRA DA GAMA</t>
  </si>
  <si>
    <t>Camilo Nogueira da Gama</t>
  </si>
  <si>
    <t>1899-04-18</t>
  </si>
  <si>
    <t>https://dadosabertos.camara.leg.br/api/v2/deputados/131602</t>
  </si>
  <si>
    <t>NOIDE CERQUEIRA</t>
  </si>
  <si>
    <t>Noide Ferreira de Cerqueira</t>
  </si>
  <si>
    <t>https://dadosabertos.camara.leg.br/api/v2/deputados/131603</t>
  </si>
  <si>
    <t>NORBERTO SCHMIDT</t>
  </si>
  <si>
    <t>Norberto Harald Schmidt</t>
  </si>
  <si>
    <t>https://dadosabertos.camara.leg.br/api/v2/deputados/131611</t>
  </si>
  <si>
    <t>NUNES LEAL</t>
  </si>
  <si>
    <t>Paulo Nunes Leal</t>
  </si>
  <si>
    <t>https://dadosabertos.camara.leg.br/api/v2/deputados/131560</t>
  </si>
  <si>
    <t>NUNES ROCHA</t>
  </si>
  <si>
    <t>Joaquim Nunes Rocha</t>
  </si>
  <si>
    <t>https://dadosabertos.camara.leg.br/api/v2/deputados/131605</t>
  </si>
  <si>
    <t>OCTÁVIO CARDOSO</t>
  </si>
  <si>
    <t>Octávio Omar Cardoso</t>
  </si>
  <si>
    <t>https://dadosabertos.camara.leg.br/api/v2/deputados/131604</t>
  </si>
  <si>
    <t>OCTAVIO GERMANO</t>
  </si>
  <si>
    <t>Octavio Badui Germano</t>
  </si>
  <si>
    <t>https://dadosabertos.camara.leg.br/api/v2/deputados/131606</t>
  </si>
  <si>
    <t>ODEMIR FURLAN</t>
  </si>
  <si>
    <t>Odemir Furlan</t>
  </si>
  <si>
    <t>Itajobi</t>
  </si>
  <si>
    <t>https://dadosabertos.camara.leg.br/api/v2/deputados/131608</t>
  </si>
  <si>
    <t>OSVALDO BUSKEI</t>
  </si>
  <si>
    <t>https://dadosabertos.camara.leg.br/api/v2/deputados/131609</t>
  </si>
  <si>
    <t>OSWALDO ZANELLO</t>
  </si>
  <si>
    <t>Oswaldo Zanello Vieira da Costa</t>
  </si>
  <si>
    <t>https://dadosabertos.camara.leg.br/api/v2/deputados/131610</t>
  </si>
  <si>
    <t>OTÁVIO CECCATO</t>
  </si>
  <si>
    <t>Otávio Ceccato</t>
  </si>
  <si>
    <t>https://dadosabertos.camara.leg.br/api/v2/deputados/131576</t>
  </si>
  <si>
    <t>PADRE NOBRE</t>
  </si>
  <si>
    <t>José de Souza Nobre</t>
  </si>
  <si>
    <t>https://dadosabertos.camara.leg.br/api/v2/deputados/131572</t>
  </si>
  <si>
    <t>PARSIFAL BARROSO</t>
  </si>
  <si>
    <t>José Parsifal Barroso</t>
  </si>
  <si>
    <t>https://dadosabertos.camara.leg.br/api/v2/deputados/131573</t>
  </si>
  <si>
    <t>PASSOS PORTO</t>
  </si>
  <si>
    <t>José Passos Porto</t>
  </si>
  <si>
    <t>https://dadosabertos.camara.leg.br/api/v2/deputados/131612</t>
  </si>
  <si>
    <t>PETRÔNIO FIGUEIREDO</t>
  </si>
  <si>
    <t>Petrônio Ramos Figueiredo</t>
  </si>
  <si>
    <t>https://dadosabertos.camara.leg.br/api/v2/deputados/131613</t>
  </si>
  <si>
    <t>RAIMUNDO PARENTE</t>
  </si>
  <si>
    <t>Raimundo Gomes de Araújo Parente</t>
  </si>
  <si>
    <t>https://dadosabertos.camara.leg.br/api/v2/deputados/131627</t>
  </si>
  <si>
    <t>RUY BRITO</t>
  </si>
  <si>
    <t>Ruy Brito de Oliveira Pedroza</t>
  </si>
  <si>
    <t>Codajás</t>
  </si>
  <si>
    <t>https://dadosabertos.camara.leg.br/api/v2/deputados/131614</t>
  </si>
  <si>
    <t>SAMUEL RODRIGUES</t>
  </si>
  <si>
    <t>Samuel de Souza Rodrigues</t>
  </si>
  <si>
    <t>https://dadosabertos.camara.leg.br/api/v2/deputados/131618</t>
  </si>
  <si>
    <t>SINVAL BOAVENTURA</t>
  </si>
  <si>
    <t>Sinval Boaventura</t>
  </si>
  <si>
    <t>https://dadosabertos.camara.leg.br/api/v2/deputados/131617</t>
  </si>
  <si>
    <t>SYLVIO VENTUROLI</t>
  </si>
  <si>
    <t>Sylvio José Venturoli</t>
  </si>
  <si>
    <t>Corumbataí</t>
  </si>
  <si>
    <t>https://dadosabertos.camara.leg.br/api/v2/deputados/131619</t>
  </si>
  <si>
    <t>TANCREDO NEVES</t>
  </si>
  <si>
    <t>Tancredo de Almeida Neves</t>
  </si>
  <si>
    <t>https://dadosabertos.camara.leg.br/api/v2/deputados/131539</t>
  </si>
  <si>
    <t>TEOTÔNIO NETO</t>
  </si>
  <si>
    <t>Francisco Teotônio Neto</t>
  </si>
  <si>
    <t>Santana dos Garrotes</t>
  </si>
  <si>
    <t>https://dadosabertos.camara.leg.br/api/v2/deputados/131620</t>
  </si>
  <si>
    <t>THEOBALDO BARBOSA</t>
  </si>
  <si>
    <t>Theobaldo Vasconcelos Barbosa</t>
  </si>
  <si>
    <t>https://dadosabertos.camara.leg.br/api/v2/deputados/131607</t>
  </si>
  <si>
    <t>TÚLIO VARGAS</t>
  </si>
  <si>
    <t>Odilon Túlio Vargas</t>
  </si>
  <si>
    <t>Piraí do Sul</t>
  </si>
  <si>
    <t>https://dadosabertos.camara.leg.br/api/v2/deputados/131621</t>
  </si>
  <si>
    <t>VALDOMIRO GONÇALVES</t>
  </si>
  <si>
    <t>Valdomiro Alves Gonçalves</t>
  </si>
  <si>
    <t>https://dadosabertos.camara.leg.br/api/v2/deputados/131622</t>
  </si>
  <si>
    <t>VALÉRIO RODRIGUES</t>
  </si>
  <si>
    <t>Valério de Castro Rodrigues de Souza</t>
  </si>
  <si>
    <t>https://dadosabertos.camara.leg.br/api/v2/deputados/131623</t>
  </si>
  <si>
    <t>VASCO AMARO</t>
  </si>
  <si>
    <t>Vasco Amaro da Silveira Filho</t>
  </si>
  <si>
    <t>https://dadosabertos.camara.leg.br/api/v2/deputados/131624</t>
  </si>
  <si>
    <t>VICENTE VUOLO</t>
  </si>
  <si>
    <t>Vicente Emílio Vuolo</t>
  </si>
  <si>
    <t>https://dadosabertos.camara.leg.br/api/v2/deputados/131540</t>
  </si>
  <si>
    <t>VILMAR PONTES</t>
  </si>
  <si>
    <t>Francisco Vilmar Pontes</t>
  </si>
  <si>
    <t>https://dadosabertos.camara.leg.br/api/v2/deputados/131625</t>
  </si>
  <si>
    <t>WILMAR DALLANHOL</t>
  </si>
  <si>
    <t>Wilmar Dallanhol</t>
  </si>
  <si>
    <t>https://dadosabertos.camara.leg.br/api/v2/deputados/131626</t>
  </si>
  <si>
    <t>YASUNORI KUNIGO</t>
  </si>
  <si>
    <t>Yasunori Kunigo</t>
  </si>
  <si>
    <t>https://dadosabertos.camara.leg.br/api/v2/deputados/131388</t>
  </si>
  <si>
    <t>ADALBERTO NADER</t>
  </si>
  <si>
    <t>Adalberto Simão Nader</t>
  </si>
  <si>
    <t>https://dadosabertos.camara.leg.br/api/v2/deputados/131389</t>
  </si>
  <si>
    <t>ALBERTO COSTA</t>
  </si>
  <si>
    <t>Alberto Franco Ferreira da Costa</t>
  </si>
  <si>
    <t>https://dadosabertos.camara.leg.br/api/v2/deputados/131390</t>
  </si>
  <si>
    <t>ALDO LUPO</t>
  </si>
  <si>
    <t>Aldo Lupo</t>
  </si>
  <si>
    <t>https://dadosabertos.camara.leg.br/api/v2/deputados/131391</t>
  </si>
  <si>
    <t>ALFEU GASPARINI</t>
  </si>
  <si>
    <t>Alfeu Gasparini</t>
  </si>
  <si>
    <t>https://dadosabertos.camara.leg.br/api/v2/deputados/131392</t>
  </si>
  <si>
    <t>ÁLVARO LINS</t>
  </si>
  <si>
    <t>Álvaro Lins Cavalcante</t>
  </si>
  <si>
    <t>Pedra Branca</t>
  </si>
  <si>
    <t>https://dadosabertos.camara.leg.br/api/v2/deputados/131437</t>
  </si>
  <si>
    <t>AMARAL DE SOUZA</t>
  </si>
  <si>
    <t>José Augusto Amaral de Souza</t>
  </si>
  <si>
    <t>https://dadosabertos.camara.leg.br/api/v2/deputados/131393</t>
  </si>
  <si>
    <t>AMÉRICO BRASIL</t>
  </si>
  <si>
    <t>Américo Natalino Carneiro Brasil</t>
  </si>
  <si>
    <t>https://dadosabertos.camara.leg.br/api/v2/deputados/131429</t>
  </si>
  <si>
    <t>AMÉRICO DE SOUZA</t>
  </si>
  <si>
    <t>João Américo de Souza</t>
  </si>
  <si>
    <t>Coroatá</t>
  </si>
  <si>
    <t>https://dadosabertos.camara.leg.br/api/v2/deputados/131394</t>
  </si>
  <si>
    <t>ANAPOLINO DE FARIA</t>
  </si>
  <si>
    <t>Anapolino Silvério de Faria</t>
  </si>
  <si>
    <t>https://dadosabertos.camara.leg.br/api/v2/deputados/131395</t>
  </si>
  <si>
    <t>ANTÔNIO ANNIBELLI</t>
  </si>
  <si>
    <t>Antônio Annibellli</t>
  </si>
  <si>
    <t>https://dadosabertos.camara.leg.br/api/v2/deputados/131399</t>
  </si>
  <si>
    <t>ARDINAL RIBAS</t>
  </si>
  <si>
    <t>Ardinal Ribas</t>
  </si>
  <si>
    <t>https://dadosabertos.camara.leg.br/api/v2/deputados/131401</t>
  </si>
  <si>
    <t>ARTHUR FONSECA</t>
  </si>
  <si>
    <t>Athur Fonseca</t>
  </si>
  <si>
    <t>https://dadosabertos.camara.leg.br/api/v2/deputados/131400</t>
  </si>
  <si>
    <t>ARTHUR SANTOS</t>
  </si>
  <si>
    <t>Arthur Claudino dos Santos</t>
  </si>
  <si>
    <t>https://dadosabertos.camara.leg.br/api/v2/deputados/131494</t>
  </si>
  <si>
    <t>ARY DE LIMA</t>
  </si>
  <si>
    <t>Ary de Lima</t>
  </si>
  <si>
    <t>https://dadosabertos.camara.leg.br/api/v2/deputados/131402</t>
  </si>
  <si>
    <t>ATHOS DE ANDRADE</t>
  </si>
  <si>
    <t>Athos Vieira de Andrade</t>
  </si>
  <si>
    <t>Itanhomi</t>
  </si>
  <si>
    <t>https://dadosabertos.camara.leg.br/api/v2/deputados/131396</t>
  </si>
  <si>
    <t>AURELIANO CHAVES</t>
  </si>
  <si>
    <t>Antônio Aureliano Chaves de Mendonça</t>
  </si>
  <si>
    <t>Três Pontas</t>
  </si>
  <si>
    <t>https://dadosabertos.camara.leg.br/api/v2/deputados/131430</t>
  </si>
  <si>
    <t>BAPTISTA RAMOS</t>
  </si>
  <si>
    <t>João Baptista Ramos</t>
  </si>
  <si>
    <t>Queluz</t>
  </si>
  <si>
    <t>https://dadosabertos.camara.leg.br/api/v2/deputados/131438</t>
  </si>
  <si>
    <t>BEZERRA DE NORÕES</t>
  </si>
  <si>
    <t>José Bezerra de Norões Filho</t>
  </si>
  <si>
    <t>https://dadosabertos.camara.leg.br/api/v2/deputados/131403</t>
  </si>
  <si>
    <t>BRAZ NOGUEIRA</t>
  </si>
  <si>
    <t>Braz de Assis Nogueira</t>
  </si>
  <si>
    <t>https://dadosabertos.camara.leg.br/api/v2/deputados/131440</t>
  </si>
  <si>
    <t>CARVALHO SOBRINHO</t>
  </si>
  <si>
    <t>José de Carvalho Sobrinho</t>
  </si>
  <si>
    <t>https://dadosabertos.camara.leg.br/api/v2/deputados/131490</t>
  </si>
  <si>
    <t>CASTRO E SILVA</t>
  </si>
  <si>
    <t>Themistocles de Castro e Silva</t>
  </si>
  <si>
    <t>Canindé</t>
  </si>
  <si>
    <t>https://dadosabertos.camara.leg.br/api/v2/deputados/131436</t>
  </si>
  <si>
    <t>CHAVES AMARANTE</t>
  </si>
  <si>
    <t>José Adolpho Chaves de Amarante</t>
  </si>
  <si>
    <t>https://dadosabertos.camara.leg.br/api/v2/deputados/131404</t>
  </si>
  <si>
    <t>CLÁUDIO LEITE</t>
  </si>
  <si>
    <t>Claudio de Paiva Leite</t>
  </si>
  <si>
    <t>https://dadosabertos.camara.leg.br/api/v2/deputados/131495</t>
  </si>
  <si>
    <t>CLÓVIS STENZEL</t>
  </si>
  <si>
    <t>Clóvis Stenzel</t>
  </si>
  <si>
    <t>https://dadosabertos.camara.leg.br/api/v2/deputados/131405</t>
  </si>
  <si>
    <t>DIRCEU CARDOSO</t>
  </si>
  <si>
    <t>Dirceu Cardoso</t>
  </si>
  <si>
    <t>https://dadosabertos.camara.leg.br/api/v2/deputados/131406</t>
  </si>
  <si>
    <t>EDGARD PEREIRA</t>
  </si>
  <si>
    <t>Edgar Martins Pereira</t>
  </si>
  <si>
    <t>https://dadosabertos.camara.leg.br/api/v2/deputados/131442</t>
  </si>
  <si>
    <t>EDILSON MELO TÁVORA</t>
  </si>
  <si>
    <t>José Edilson Melo Távora</t>
  </si>
  <si>
    <t>https://dadosabertos.camara.leg.br/api/v2/deputados/131407</t>
  </si>
  <si>
    <t>EDYL FERRAZ</t>
  </si>
  <si>
    <t>Edyl Pereira Ferraz</t>
  </si>
  <si>
    <t>https://dadosabertos.camara.leg.br/api/v2/deputados/131408</t>
  </si>
  <si>
    <t>ÉLCIO ÁLVARES</t>
  </si>
  <si>
    <t>Élcio Álvares</t>
  </si>
  <si>
    <t>https://dadosabertos.camara.leg.br/api/v2/deputados/131409</t>
  </si>
  <si>
    <t>ELIAS CARMO</t>
  </si>
  <si>
    <t>Elias de Sousa Carmo</t>
  </si>
  <si>
    <t>https://dadosabertos.camara.leg.br/api/v2/deputados/131410</t>
  </si>
  <si>
    <t>EMANUEL PINHEIRO</t>
  </si>
  <si>
    <t>Emanuel Pinheiro da Silva Primo</t>
  </si>
  <si>
    <t>https://dadosabertos.camara.leg.br/api/v2/deputados/131411</t>
  </si>
  <si>
    <t>EMÍLIO GOMES</t>
  </si>
  <si>
    <t>Emílio Hoffmann Gomes</t>
  </si>
  <si>
    <t>https://dadosabertos.camara.leg.br/api/v2/deputados/131412</t>
  </si>
  <si>
    <t>ERALDO LEMOS</t>
  </si>
  <si>
    <t>Eraldo Machado de Lemos</t>
  </si>
  <si>
    <t>https://dadosabertos.camara.leg.br/api/v2/deputados/131413</t>
  </si>
  <si>
    <t>ETELVINO LINS</t>
  </si>
  <si>
    <t>Etelvino Lins de Abuquerque</t>
  </si>
  <si>
    <t>https://dadosabertos.camara.leg.br/api/v2/deputados/131414</t>
  </si>
  <si>
    <t>EURIPEDES CARDOSO DE MENEZES</t>
  </si>
  <si>
    <t>Eurípides Cardoso de Menezes</t>
  </si>
  <si>
    <t>https://dadosabertos.camara.leg.br/api/v2/deputados/131426</t>
  </si>
  <si>
    <t>FERREIRA DO AMARAL</t>
  </si>
  <si>
    <t>Ivan Ferreira do Amaral e Silva Filho</t>
  </si>
  <si>
    <t>https://dadosabertos.camara.leg.br/api/v2/deputados/131415</t>
  </si>
  <si>
    <t>FRANCISCO GRILLO</t>
  </si>
  <si>
    <t>Francisco Arcanjo Grillo</t>
  </si>
  <si>
    <t>https://dadosabertos.camara.leg.br/api/v2/deputados/131443</t>
  </si>
  <si>
    <t>GARCIA NETO</t>
  </si>
  <si>
    <t>José Garcia Neto</t>
  </si>
  <si>
    <t>Rosário do Catete</t>
  </si>
  <si>
    <t>https://dadosabertos.camara.leg.br/api/v2/deputados/131417</t>
  </si>
  <si>
    <t>GILBERTO ALMEIDA</t>
  </si>
  <si>
    <t>Gilberto Antunes de Almeida</t>
  </si>
  <si>
    <t>https://dadosabertos.camara.leg.br/api/v2/deputados/131418</t>
  </si>
  <si>
    <t>GRIMALDI RIBEIRO</t>
  </si>
  <si>
    <t>Grimaldi Ribeiro de Paiva</t>
  </si>
  <si>
    <t>https://dadosabertos.camara.leg.br/api/v2/deputados/131416</t>
  </si>
  <si>
    <t>HANNEQUIM DANTAS</t>
  </si>
  <si>
    <t>Geminiano Hanequim Dantas</t>
  </si>
  <si>
    <t>https://dadosabertos.camara.leg.br/api/v2/deputados/131419</t>
  </si>
  <si>
    <t>HEITOR CAVALCANTI</t>
  </si>
  <si>
    <t>Heitor de Albuquerque Cavalcanti</t>
  </si>
  <si>
    <t>Paulistana</t>
  </si>
  <si>
    <t>https://dadosabertos.camara.leg.br/api/v2/deputados/131420</t>
  </si>
  <si>
    <t>HELBERT DOS SANTOS</t>
  </si>
  <si>
    <t>Hélio Helbert dos Santos</t>
  </si>
  <si>
    <t>https://dadosabertos.camara.leg.br/api/v2/deputados/131421</t>
  </si>
  <si>
    <t>HENRIQUE LA ROCQUE</t>
  </si>
  <si>
    <t>Henrique de La Rocque Almeida</t>
  </si>
  <si>
    <t>https://dadosabertos.camara.leg.br/api/v2/deputados/131422</t>
  </si>
  <si>
    <t>HILDEBRANDO GUIMARÃES</t>
  </si>
  <si>
    <t>Hildebrando Almeida Guimarães</t>
  </si>
  <si>
    <t>https://dadosabertos.camara.leg.br/api/v2/deputados/131423</t>
  </si>
  <si>
    <t>HUGO AGUIAR</t>
  </si>
  <si>
    <t>Hugo Aguiar</t>
  </si>
  <si>
    <t>https://dadosabertos.camara.leg.br/api/v2/deputados/131424</t>
  </si>
  <si>
    <t>ILDÉLIO MARTINS</t>
  </si>
  <si>
    <t>Ildélio Martins</t>
  </si>
  <si>
    <t>https://dadosabertos.camara.leg.br/api/v2/deputados/131425</t>
  </si>
  <si>
    <t>ÍTALO FITTIPALDI</t>
  </si>
  <si>
    <t>Ítalo Fittipaldi</t>
  </si>
  <si>
    <t>https://dadosabertos.camara.leg.br/api/v2/deputados/131427</t>
  </si>
  <si>
    <t>IVO BRAGA</t>
  </si>
  <si>
    <t>Ivo Braga</t>
  </si>
  <si>
    <t>https://dadosabertos.camara.leg.br/api/v2/deputados/131428</t>
  </si>
  <si>
    <t>JAIR MARTINS</t>
  </si>
  <si>
    <t>Jair Dormund Martins</t>
  </si>
  <si>
    <t>https://dadosabertos.camara.leg.br/api/v2/deputados/131431</t>
  </si>
  <si>
    <t>JOÃO BORGES</t>
  </si>
  <si>
    <t>João Borges de Figueiredo</t>
  </si>
  <si>
    <t>https://dadosabertos.camara.leg.br/api/v2/deputados/131433</t>
  </si>
  <si>
    <t>JOÃO GUIDO</t>
  </si>
  <si>
    <t>João Guido</t>
  </si>
  <si>
    <t>https://dadosabertos.camara.leg.br/api/v2/deputados/131435</t>
  </si>
  <si>
    <t>JOAQUIM MACÊDO</t>
  </si>
  <si>
    <t>Joaquim Falcão Macêdo</t>
  </si>
  <si>
    <t>https://dadosabertos.camara.leg.br/api/v2/deputados/131439</t>
  </si>
  <si>
    <t>JOSÉ CARLOS LEPREVOST</t>
  </si>
  <si>
    <t>José Carlos Leprevost</t>
  </si>
  <si>
    <t>https://dadosabertos.camara.leg.br/api/v2/deputados/131444</t>
  </si>
  <si>
    <t>JOSÉ MARIA ALKMIM</t>
  </si>
  <si>
    <t>JOSÉ MARIA ALKMIN</t>
  </si>
  <si>
    <t>https://dadosabertos.camara.leg.br/api/v2/deputados/131441</t>
  </si>
  <si>
    <t>JOSÉ SAMPAIO</t>
  </si>
  <si>
    <t>José Costa Sampaio</t>
  </si>
  <si>
    <t>https://dadosabertos.camara.leg.br/api/v2/deputados/131449</t>
  </si>
  <si>
    <t>LEÃO SAMPAIO</t>
  </si>
  <si>
    <t>Leão Sampaio</t>
  </si>
  <si>
    <t>1897-02-06</t>
  </si>
  <si>
    <t>https://dadosabertos.camara.leg.br/api/v2/deputados/131450</t>
  </si>
  <si>
    <t>LEO RIFFEL</t>
  </si>
  <si>
    <t>Leo Bernhard Riffel</t>
  </si>
  <si>
    <t>https://dadosabertos.camara.leg.br/api/v2/deputados/131451</t>
  </si>
  <si>
    <t>LEOPOLDO PERES</t>
  </si>
  <si>
    <t>Leopoldo Peres Sobrinho</t>
  </si>
  <si>
    <t>https://dadosabertos.camara.leg.br/api/v2/deputados/131473</t>
  </si>
  <si>
    <t>LOPES DA COSTA</t>
  </si>
  <si>
    <t>Paulino Lopes da Costa</t>
  </si>
  <si>
    <t>https://dadosabertos.camara.leg.br/api/v2/deputados/131452</t>
  </si>
  <si>
    <t>LOPO COELHO</t>
  </si>
  <si>
    <t>Lopo de Carvalho Coelho</t>
  </si>
  <si>
    <t>https://dadosabertos.camara.leg.br/api/v2/deputados/131453</t>
  </si>
  <si>
    <t>Luiz Carlos Leal Braga</t>
  </si>
  <si>
    <t>https://dadosabertos.camara.leg.br/api/v2/deputados/131454</t>
  </si>
  <si>
    <t>LUIZ GARCIA</t>
  </si>
  <si>
    <t>Luiz Garcia</t>
  </si>
  <si>
    <t>https://dadosabertos.camara.leg.br/api/v2/deputados/131455</t>
  </si>
  <si>
    <t>LUIZ LOSSO</t>
  </si>
  <si>
    <t>Luiz Losso</t>
  </si>
  <si>
    <t>https://dadosabertos.camara.leg.br/api/v2/deputados/131456</t>
  </si>
  <si>
    <t>MAGALHÃES MELO</t>
  </si>
  <si>
    <t>Luiz de Magalhães Melo</t>
  </si>
  <si>
    <t>https://dadosabertos.camara.leg.br/api/v2/deputados/131448</t>
  </si>
  <si>
    <t>MAIA NETO</t>
  </si>
  <si>
    <t>Kalil Maia Neto</t>
  </si>
  <si>
    <t>https://dadosabertos.camara.leg.br/api/v2/deputados/131458</t>
  </si>
  <si>
    <t>MANOEL TAVEIRA</t>
  </si>
  <si>
    <t>Manoel Taveira de Souza</t>
  </si>
  <si>
    <t>https://dadosabertos.camara.leg.br/api/v2/deputados/131459</t>
  </si>
  <si>
    <t>MARCÍLIO LIMA</t>
  </si>
  <si>
    <t>Marcílio de Oliveira Lima</t>
  </si>
  <si>
    <t>https://dadosabertos.camara.leg.br/api/v2/deputados/131460</t>
  </si>
  <si>
    <t>MÁRCIO PAES</t>
  </si>
  <si>
    <t>Márcio Moreira Paes</t>
  </si>
  <si>
    <t>https://dadosabertos.camara.leg.br/api/v2/deputados/131461</t>
  </si>
  <si>
    <t>MARCOS FREIRE</t>
  </si>
  <si>
    <t>Marcos de Barros Freire</t>
  </si>
  <si>
    <t>https://dadosabertos.camara.leg.br/api/v2/deputados/131462</t>
  </si>
  <si>
    <t>MÁRIO TELLES</t>
  </si>
  <si>
    <t>Mário Telles</t>
  </si>
  <si>
    <t>https://dadosabertos.camara.leg.br/api/v2/deputados/131463</t>
  </si>
  <si>
    <t>MAURÍCIO TOLEDO</t>
  </si>
  <si>
    <t>Maurício Leite de Toledo</t>
  </si>
  <si>
    <t>https://dadosabertos.camara.leg.br/api/v2/deputados/131464</t>
  </si>
  <si>
    <t>MILTON CASSEL</t>
  </si>
  <si>
    <t>Milton Albino Cassel</t>
  </si>
  <si>
    <t>https://dadosabertos.camara.leg.br/api/v2/deputados/131465</t>
  </si>
  <si>
    <t>MOACYR CHIESSE</t>
  </si>
  <si>
    <t>Moacyr Arthur Chiesse</t>
  </si>
  <si>
    <t>https://dadosabertos.camara.leg.br/api/v2/deputados/131483</t>
  </si>
  <si>
    <t>MONTEIRO DE BARROS</t>
  </si>
  <si>
    <t>Sebastião Monteiro de Barros</t>
  </si>
  <si>
    <t>https://dadosabertos.camara.leg.br/api/v2/deputados/1668</t>
  </si>
  <si>
    <t>NECY NOVAES</t>
  </si>
  <si>
    <t>Necy Santos Novaes</t>
  </si>
  <si>
    <t>https://dadosabertos.camara.leg.br/api/v2/deputados/131470</t>
  </si>
  <si>
    <t>NUNES FREIRE</t>
  </si>
  <si>
    <t>Osvaldo da Costa Nunes Freire</t>
  </si>
  <si>
    <t>https://dadosabertos.camara.leg.br/api/v2/deputados/131466</t>
  </si>
  <si>
    <t>OCEANO CARLEIAL</t>
  </si>
  <si>
    <t>Oceano Carleial</t>
  </si>
  <si>
    <t>https://dadosabertos.camara.leg.br/api/v2/deputados/131467</t>
  </si>
  <si>
    <t>ORENSY RODRIGUES</t>
  </si>
  <si>
    <t>Orensy Rodrigues da Silva</t>
  </si>
  <si>
    <t>https://dadosabertos.camara.leg.br/api/v2/deputados/131471</t>
  </si>
  <si>
    <t>ORTIZ MONTEIRO</t>
  </si>
  <si>
    <t>Oswaldo Junqueira Ortiz Monteiro</t>
  </si>
  <si>
    <t>1898-11-13</t>
  </si>
  <si>
    <t>https://dadosabertos.camara.leg.br/api/v2/deputados/131469</t>
  </si>
  <si>
    <t>OSNÉLLI MARTINELLI</t>
  </si>
  <si>
    <t>Osnélli Leite Martinelli</t>
  </si>
  <si>
    <t>https://dadosabertos.camara.leg.br/api/v2/deputados/131472</t>
  </si>
  <si>
    <t>OZIRIS PONTES</t>
  </si>
  <si>
    <t>Oziris Pontes</t>
  </si>
  <si>
    <t>https://dadosabertos.camara.leg.br/api/v2/deputados/131474</t>
  </si>
  <si>
    <t>PAULO ABREU</t>
  </si>
  <si>
    <t>Paulo Abreu</t>
  </si>
  <si>
    <t>https://dadosabertos.camara.leg.br/api/v2/deputados/131475</t>
  </si>
  <si>
    <t>PAULO ALBERTO</t>
  </si>
  <si>
    <t>Paulo Alberto de Oliveira</t>
  </si>
  <si>
    <t>https://dadosabertos.camara.leg.br/api/v2/deputados/131476</t>
  </si>
  <si>
    <t>PEDRO CARNEIRO</t>
  </si>
  <si>
    <t>Pedro Carneiro de Moraes e Silva</t>
  </si>
  <si>
    <t>https://dadosabertos.camara.leg.br/api/v2/deputados/131468</t>
  </si>
  <si>
    <t>PEDROSO HORTA</t>
  </si>
  <si>
    <t>Oscar Pedroso Horta</t>
  </si>
  <si>
    <t>https://dadosabertos.camara.leg.br/api/v2/deputados/131496</t>
  </si>
  <si>
    <t>PEREIRA LOPES</t>
  </si>
  <si>
    <t>Ernesto Pereira Lopes</t>
  </si>
  <si>
    <t>https://dadosabertos.camara.leg.br/api/v2/deputados/131445</t>
  </si>
  <si>
    <t>PIRES SABÓIA</t>
  </si>
  <si>
    <t>José Pires Sabóia Filho</t>
  </si>
  <si>
    <t>Independência</t>
  </si>
  <si>
    <t>https://dadosabertos.camara.leg.br/api/v2/deputados/131477</t>
  </si>
  <si>
    <t>PLÍNIO SALGADO</t>
  </si>
  <si>
    <t>Plínio Salgado</t>
  </si>
  <si>
    <t>1895-01-22</t>
  </si>
  <si>
    <t>São Bento do Sapucaí</t>
  </si>
  <si>
    <t>https://dadosabertos.camara.leg.br/api/v2/deputados/131478</t>
  </si>
  <si>
    <t>REYNALDO SANT'ANNA</t>
  </si>
  <si>
    <t>Reynaldo Gomes Sant'Anna</t>
  </si>
  <si>
    <t>https://dadosabertos.camara.leg.br/api/v2/deputados/131479</t>
  </si>
  <si>
    <t>ROBERTO GEBARA</t>
  </si>
  <si>
    <t>Roberto Gebara</t>
  </si>
  <si>
    <t>https://dadosabertos.camara.leg.br/api/v2/deputados/131480</t>
  </si>
  <si>
    <t>ROZENDO DE SOUZA</t>
  </si>
  <si>
    <t>Rozendo de Souza</t>
  </si>
  <si>
    <t>https://dadosabertos.camara.leg.br/api/v2/deputados/131481</t>
  </si>
  <si>
    <t>RUBENS BERARDO</t>
  </si>
  <si>
    <t>Rubens Berardo Carneiro da Cunha</t>
  </si>
  <si>
    <t>https://dadosabertos.camara.leg.br/api/v2/deputados/131482</t>
  </si>
  <si>
    <t>RUY D'ALMEIDA BARBOSA</t>
  </si>
  <si>
    <t>Ruy de Almeida Barbosa</t>
  </si>
  <si>
    <t>São Simão</t>
  </si>
  <si>
    <t>https://dadosabertos.camara.leg.br/api/v2/deputados/131397</t>
  </si>
  <si>
    <t>SALLES FILHO</t>
  </si>
  <si>
    <t>Antônio Carlos de Salles Filho</t>
  </si>
  <si>
    <t>https://dadosabertos.camara.leg.br/api/v2/deputados/131484</t>
  </si>
  <si>
    <t>SEVERO EULÁLIO</t>
  </si>
  <si>
    <t>Severo Maria Eulálio</t>
  </si>
  <si>
    <t>https://dadosabertos.camara.leg.br/api/v2/deputados/131446</t>
  </si>
  <si>
    <t>SILVA BARROS</t>
  </si>
  <si>
    <t>José da Silva Barros</t>
  </si>
  <si>
    <t>https://dadosabertos.camara.leg.br/api/v2/deputados/131485</t>
  </si>
  <si>
    <t>SILVIO DE ABREU</t>
  </si>
  <si>
    <t>Sylvio de Andrade Abreu</t>
  </si>
  <si>
    <t>Rio Preto</t>
  </si>
  <si>
    <t>https://dadosabertos.camara.leg.br/api/v2/deputados/131487</t>
  </si>
  <si>
    <t>SÍLVIO DE BARROS</t>
  </si>
  <si>
    <t>Sílvio Magalhães Barros</t>
  </si>
  <si>
    <t>Aiuruoca</t>
  </si>
  <si>
    <t>https://dadosabertos.camara.leg.br/api/v2/deputados/131457</t>
  </si>
  <si>
    <t>SOUSA SANTOS</t>
  </si>
  <si>
    <t>Manoel de Sousa Santos</t>
  </si>
  <si>
    <t>https://dadosabertos.camara.leg.br/api/v2/deputados/131488</t>
  </si>
  <si>
    <t>STÉLIO MAROJA</t>
  </si>
  <si>
    <t>Stélio de Mendonça Maroja</t>
  </si>
  <si>
    <t>Bragança</t>
  </si>
  <si>
    <t>https://dadosabertos.camara.leg.br/api/v2/deputados/131434</t>
  </si>
  <si>
    <t>SUSSUMU HIRATA</t>
  </si>
  <si>
    <t>João Sussumu Hirata</t>
  </si>
  <si>
    <t>https://dadosabertos.camara.leg.br/api/v2/deputados/131486</t>
  </si>
  <si>
    <t>SYLVIO BOTELHO</t>
  </si>
  <si>
    <t>Sylvio Lofêgo Botelho</t>
  </si>
  <si>
    <t>Iúna</t>
  </si>
  <si>
    <t>https://dadosabertos.camara.leg.br/api/v2/deputados/131447</t>
  </si>
  <si>
    <t>TASSO ANDRADE</t>
  </si>
  <si>
    <t>José Tasso Oliveira de Andrade</t>
  </si>
  <si>
    <t>https://dadosabertos.camara.leg.br/api/v2/deputados/131432</t>
  </si>
  <si>
    <t>João Carlos Tourinho Dantas</t>
  </si>
  <si>
    <t>https://dadosabertos.camara.leg.br/api/v2/deputados/131491</t>
  </si>
  <si>
    <t>VICTOR ISSLER</t>
  </si>
  <si>
    <t>Victor Loureiro Issler</t>
  </si>
  <si>
    <t>https://dadosabertos.camara.leg.br/api/v2/deputados/131489</t>
  </si>
  <si>
    <t>VIEIRA DE MELO</t>
  </si>
  <si>
    <t>Tarcílio Vieira de Melo Filho</t>
  </si>
  <si>
    <t>https://dadosabertos.camara.leg.br/api/v2/deputados/131398</t>
  </si>
  <si>
    <t>VINÍCIUS CÂMARA</t>
  </si>
  <si>
    <t>Antônio Vinícius Raposo da Câmara</t>
  </si>
  <si>
    <t>https://dadosabertos.camara.leg.br/api/v2/deputados/131492</t>
  </si>
  <si>
    <t>WALSON LOPES</t>
  </si>
  <si>
    <t>Walson Lopes Alves</t>
  </si>
  <si>
    <t>Nazaré</t>
  </si>
  <si>
    <t>https://dadosabertos.camara.leg.br/api/v2/deputados/131493</t>
  </si>
  <si>
    <t>ZACHARIAS SELEME</t>
  </si>
  <si>
    <t>Zacharias Emiliano Seleme</t>
  </si>
  <si>
    <t>https://dadosabertos.camara.leg.br/api/v2/deputados/131146</t>
  </si>
  <si>
    <t>ABEL RAFAEL</t>
  </si>
  <si>
    <t>Abel Rafael Pinto</t>
  </si>
  <si>
    <t>https://dadosabertos.camara.leg.br/api/v2/deputados/131147</t>
  </si>
  <si>
    <t>ABRAHÃO SABBÁ</t>
  </si>
  <si>
    <t>Abrahão Sabbá</t>
  </si>
  <si>
    <t>https://dadosabertos.camara.leg.br/api/v2/deputados/131232</t>
  </si>
  <si>
    <t>ACCIOLY FILHO</t>
  </si>
  <si>
    <t>Francisco Accioly Rodrigues da Costa Filho</t>
  </si>
  <si>
    <t>https://dadosabertos.camara.leg.br/api/v2/deputados/131149</t>
  </si>
  <si>
    <t>ADAUCTO CARDOSO</t>
  </si>
  <si>
    <t>Adaucto Lúcio Cardoso</t>
  </si>
  <si>
    <t>https://dadosabertos.camara.leg.br/api/v2/deputados/3067</t>
  </si>
  <si>
    <t>ADELMAR CARVALHO</t>
  </si>
  <si>
    <t>Adelmar da Costa Carvalho</t>
  </si>
  <si>
    <t>https://dadosabertos.camara.leg.br/api/v2/deputados/131151</t>
  </si>
  <si>
    <t>ADRIANO GONÇALVES</t>
  </si>
  <si>
    <t>Adriano Fernandes Gonçalves</t>
  </si>
  <si>
    <t>https://dadosabertos.camara.leg.br/api/v2/deputados/131152</t>
  </si>
  <si>
    <t>ADYLIO VIANNA</t>
  </si>
  <si>
    <t>Adylio Martins Vianna</t>
  </si>
  <si>
    <t>https://dadosabertos.camara.leg.br/api/v2/deputados/131153</t>
  </si>
  <si>
    <t>AFFONSO CELSO</t>
  </si>
  <si>
    <t>Affonso Celso Ribeiro de Castro</t>
  </si>
  <si>
    <t>https://dadosabertos.camara.leg.br/api/v2/deputados/131154</t>
  </si>
  <si>
    <t>AFONSO MATOS</t>
  </si>
  <si>
    <t>Afonso da Silva Matos</t>
  </si>
  <si>
    <t>https://dadosabertos.camara.leg.br/api/v2/deputados/3123</t>
  </si>
  <si>
    <t>ALBERTO ABOUD</t>
  </si>
  <si>
    <t>Alberto Wadih Chames Aboud</t>
  </si>
  <si>
    <t>https://dadosabertos.camara.leg.br/api/v2/deputados/131155</t>
  </si>
  <si>
    <t>ALCEU DE CARVALHO</t>
  </si>
  <si>
    <t>Alceu Barroso de Carvalho</t>
  </si>
  <si>
    <t>https://dadosabertos.camara.leg.br/api/v2/deputados/131157</t>
  </si>
  <si>
    <t>ALDE SAMPAIO</t>
  </si>
  <si>
    <t>Alde Feijó Sampaio</t>
  </si>
  <si>
    <t>1894-05-13</t>
  </si>
  <si>
    <t>Catende</t>
  </si>
  <si>
    <t>https://dadosabertos.camara.leg.br/api/v2/deputados/3143</t>
  </si>
  <si>
    <t>ALDENIR SILVA</t>
  </si>
  <si>
    <t>Aldenir José da Silva</t>
  </si>
  <si>
    <t>https://dadosabertos.camara.leg.br/api/v2/deputados/131158</t>
  </si>
  <si>
    <t>ALEXANDRE COSTA</t>
  </si>
  <si>
    <t>Alexandre Alves Costa</t>
  </si>
  <si>
    <t>https://dadosabertos.camara.leg.br/api/v2/deputados/131160</t>
  </si>
  <si>
    <t>ALMIR TURISCO</t>
  </si>
  <si>
    <t>Almir Turisco de Araújo</t>
  </si>
  <si>
    <t>https://dadosabertos.camara.leg.br/api/v2/deputados/131162</t>
  </si>
  <si>
    <t>ALOYSIO NONÔ</t>
  </si>
  <si>
    <t>Aloysio Ubaldo da Silva Nonô</t>
  </si>
  <si>
    <t>Atalaia</t>
  </si>
  <si>
    <t>https://dadosabertos.camara.leg.br/api/v2/deputados/131163</t>
  </si>
  <si>
    <t>ALTAIR LIMA</t>
  </si>
  <si>
    <t>Altair de Oliveira Lima</t>
  </si>
  <si>
    <t>https://dadosabertos.camara.leg.br/api/v2/deputados/131161</t>
  </si>
  <si>
    <t>ALUISIO BEZERRA</t>
  </si>
  <si>
    <t>Aluisio Gonçalves Bezerra</t>
  </si>
  <si>
    <t>https://dadosabertos.camara.leg.br/api/v2/deputados/131164</t>
  </si>
  <si>
    <t>ALVARO MOTA</t>
  </si>
  <si>
    <t>Alvaro Coutinho da Mota</t>
  </si>
  <si>
    <t>https://dadosabertos.camara.leg.br/api/v2/deputados/130995</t>
  </si>
  <si>
    <t>ALVES MACÊDO</t>
  </si>
  <si>
    <t>João Batista Alves de Macêdo</t>
  </si>
  <si>
    <t>https://dadosabertos.camara.leg.br/api/v2/deputados/131223</t>
  </si>
  <si>
    <t>AMARAL PEIXOTO</t>
  </si>
  <si>
    <t>Ernani do Amaral Peixoto</t>
  </si>
  <si>
    <t>https://dadosabertos.camara.leg.br/api/v2/deputados/3144</t>
  </si>
  <si>
    <t>AMAURY KRUEL</t>
  </si>
  <si>
    <t>Amaury Kruel</t>
  </si>
  <si>
    <t>https://dadosabertos.camara.leg.br/api/v2/deputados/131165</t>
  </si>
  <si>
    <t>ANACLETO CAMPANELLA</t>
  </si>
  <si>
    <t>Anacleto Campanella</t>
  </si>
  <si>
    <t>https://dadosabertos.camara.leg.br/api/v2/deputados/131169</t>
  </si>
  <si>
    <t>ANDRADE LIMA FILHO</t>
  </si>
  <si>
    <t>Antônio de Andrade Lima Filho</t>
  </si>
  <si>
    <t>https://dadosabertos.camara.leg.br/api/v2/deputados/131168</t>
  </si>
  <si>
    <t>ANIZ BADRA</t>
  </si>
  <si>
    <t>Aniz Badra</t>
  </si>
  <si>
    <t>Santa Cruz das Palmeiras</t>
  </si>
  <si>
    <t>https://dadosabertos.camara.leg.br/api/v2/deputados/131176</t>
  </si>
  <si>
    <t>ANTÔNIO ALMEIDA</t>
  </si>
  <si>
    <t>Antônio Gomes de Almeida</t>
  </si>
  <si>
    <t>https://dadosabertos.camara.leg.br/api/v2/deputados/131170</t>
  </si>
  <si>
    <t>ANTÔNIO CARLOS MAGALHÃES</t>
  </si>
  <si>
    <t>Antônio Carlos Peixoto de Magalhães</t>
  </si>
  <si>
    <t>https://dadosabertos.camara.leg.br/api/v2/deputados/131172</t>
  </si>
  <si>
    <t>ANTONIO CAVALCANTI NEVES</t>
  </si>
  <si>
    <t>Antônio Cavalcanti Neves</t>
  </si>
  <si>
    <t>https://dadosabertos.camara.leg.br/api/v2/deputados/131173</t>
  </si>
  <si>
    <t>ANTÔNIO FELICIANO</t>
  </si>
  <si>
    <t>Antônio Ezequiel Feliciano da Silva</t>
  </si>
  <si>
    <t>1899-04-22</t>
  </si>
  <si>
    <t>Paraibuna</t>
  </si>
  <si>
    <t>https://dadosabertos.camara.leg.br/api/v2/deputados/131175</t>
  </si>
  <si>
    <t>ANTÔNIO MAGALHÃES</t>
  </si>
  <si>
    <t>Antônio Francisco de Almeida Magalhães</t>
  </si>
  <si>
    <t>https://dadosabertos.camara.leg.br/api/v2/deputados/131183</t>
  </si>
  <si>
    <t>AQUILES DINIZ</t>
  </si>
  <si>
    <t>Aquiles Diniz</t>
  </si>
  <si>
    <t>https://dadosabertos.camara.leg.br/api/v2/deputados/131185</t>
  </si>
  <si>
    <t>ARMANDO CARNEIRO</t>
  </si>
  <si>
    <t>Armando Rodrigues Carneiro</t>
  </si>
  <si>
    <t>https://dadosabertos.camara.leg.br/api/v2/deputados/131186</t>
  </si>
  <si>
    <t>ARMANDO CORRÊA</t>
  </si>
  <si>
    <t>Armando de Souza Corrêa</t>
  </si>
  <si>
    <t>https://dadosabertos.camara.leg.br/api/v2/deputados/131184</t>
  </si>
  <si>
    <t>ARMANDO FALCÃO</t>
  </si>
  <si>
    <t>Armando Ribeiro Falcão</t>
  </si>
  <si>
    <t>https://dadosabertos.camara.leg.br/api/v2/deputados/131187</t>
  </si>
  <si>
    <t>ARMINDO MASTROCOLA</t>
  </si>
  <si>
    <t>Armindo Mastrocola</t>
  </si>
  <si>
    <t>https://dadosabertos.camara.leg.br/api/v2/deputados/131190</t>
  </si>
  <si>
    <t>ARNALDO CERDEIRA</t>
  </si>
  <si>
    <t>Arnaldo dos Santos Cerdeira</t>
  </si>
  <si>
    <t>https://dadosabertos.camara.leg.br/api/v2/deputados/131189</t>
  </si>
  <si>
    <t>ARNALDO GARCEZ</t>
  </si>
  <si>
    <t>Arnaldo Rolemberg Garcez</t>
  </si>
  <si>
    <t>https://dadosabertos.camara.leg.br/api/v2/deputados/131188</t>
  </si>
  <si>
    <t>ARNALDO NOGUEIRA</t>
  </si>
  <si>
    <t>Arnaldo de Castro Nogueira</t>
  </si>
  <si>
    <t>https://dadosabertos.camara.leg.br/api/v2/deputados/131159</t>
  </si>
  <si>
    <t>ARRUDA CÂMARA</t>
  </si>
  <si>
    <t>Alfredo de Arruda Camara</t>
  </si>
  <si>
    <t>Afogados da Ingazeira</t>
  </si>
  <si>
    <t>https://dadosabertos.camara.leg.br/api/v2/deputados/3145</t>
  </si>
  <si>
    <t>ARY RODRIGUES</t>
  </si>
  <si>
    <t>Ary Rodrigues</t>
  </si>
  <si>
    <t>https://dadosabertos.camara.leg.br/api/v2/deputados/131191</t>
  </si>
  <si>
    <t>ATLAS CATANHEDE</t>
  </si>
  <si>
    <t>Atlas Brasil Cantanhede</t>
  </si>
  <si>
    <t>https://dadosabertos.camara.leg.br/api/v2/deputados/131192</t>
  </si>
  <si>
    <t>AUGUSTO NOVAES</t>
  </si>
  <si>
    <t>Augusto Oliveira Carneiro Novaes</t>
  </si>
  <si>
    <t>Escada</t>
  </si>
  <si>
    <t>https://dadosabertos.camara.leg.br/api/v2/deputados/131193</t>
  </si>
  <si>
    <t>AURINO VALOIS</t>
  </si>
  <si>
    <t>Aurino do Nascimento Valois</t>
  </si>
  <si>
    <t>https://dadosabertos.camara.leg.br/api/v2/deputados/131194</t>
  </si>
  <si>
    <t>AUSTREGÉSILO DE MENDONÇA</t>
  </si>
  <si>
    <t>Austregésilo Ribeiro de Mendonça</t>
  </si>
  <si>
    <t>https://dadosabertos.camara.leg.br/api/v2/deputados/131386</t>
  </si>
  <si>
    <t>BENEDITO FERREIRA</t>
  </si>
  <si>
    <t>Benedito Vicente Ferreira</t>
  </si>
  <si>
    <t>https://dadosabertos.camara.leg.br/api/v2/deputados/131320</t>
  </si>
  <si>
    <t>BENEDITO NETO</t>
  </si>
  <si>
    <t>Nelson Benedito Neto</t>
  </si>
  <si>
    <t>https://dadosabertos.camara.leg.br/api/v2/deputados/131214</t>
  </si>
  <si>
    <t>BEZERRA LEITE</t>
  </si>
  <si>
    <t>Edgard Bezerra Leite</t>
  </si>
  <si>
    <t>Bonito</t>
  </si>
  <si>
    <t>https://dadosabertos.camara.leg.br/api/v2/deputados/131195</t>
  </si>
  <si>
    <t>BIVAR OLYNTHO</t>
  </si>
  <si>
    <t>Bivar Olyntho de Mello e Silva</t>
  </si>
  <si>
    <t>Serra Negra</t>
  </si>
  <si>
    <t>https://dadosabertos.camara.leg.br/api/v2/deputados/131196</t>
  </si>
  <si>
    <t>BRENO DA SILVEIRA</t>
  </si>
  <si>
    <t>Breno Dhalia da Silveira</t>
  </si>
  <si>
    <t>https://dadosabertos.camara.leg.br/api/v2/deputados/131198</t>
  </si>
  <si>
    <t>BRITTO VELHO</t>
  </si>
  <si>
    <t>Carlos de Britto Velho</t>
  </si>
  <si>
    <t>https://dadosabertos.camara.leg.br/api/v2/deputados/131166</t>
  </si>
  <si>
    <t>BROCA FILHO</t>
  </si>
  <si>
    <t>André Broca Filho</t>
  </si>
  <si>
    <t>https://dadosabertos.camara.leg.br/api/v2/deputados/131363</t>
  </si>
  <si>
    <t>CAMPOS VERGAL</t>
  </si>
  <si>
    <t>Romeu de Campos Vergal</t>
  </si>
  <si>
    <t>https://dadosabertos.camara.leg.br/api/v2/deputados/131199</t>
  </si>
  <si>
    <t>CARLOS QUINTELLA</t>
  </si>
  <si>
    <t>Carlos de Freitas Quintella</t>
  </si>
  <si>
    <t>https://dadosabertos.camara.leg.br/api/v2/deputados/131292</t>
  </si>
  <si>
    <t>CARNEIRO DE LOYOLA</t>
  </si>
  <si>
    <t>Lauro Carneiro de Loyola</t>
  </si>
  <si>
    <t>https://dadosabertos.camara.leg.br/api/v2/deputados/131331</t>
  </si>
  <si>
    <t>CARUSO DA ROCHA</t>
  </si>
  <si>
    <t>Otávio Francisco Caruso da Rocha</t>
  </si>
  <si>
    <t>https://dadosabertos.camara.leg.br/api/v2/deputados/132148</t>
  </si>
  <si>
    <t>CARVALHO LEAL</t>
  </si>
  <si>
    <t>Deoclydes de Carvalho Leal</t>
  </si>
  <si>
    <t>Urucará</t>
  </si>
  <si>
    <t>https://dadosabertos.camara.leg.br/api/v2/deputados/131340</t>
  </si>
  <si>
    <t>CELESTINO FILHO</t>
  </si>
  <si>
    <t>Pedro Celestino da Silva Filho</t>
  </si>
  <si>
    <t>Corumbaíba</t>
  </si>
  <si>
    <t>https://dadosabertos.camara.leg.br/api/v2/deputados/131200</t>
  </si>
  <si>
    <t>CELSO PASSOS</t>
  </si>
  <si>
    <t>Celso Gabriel de Rezende Passos</t>
  </si>
  <si>
    <t>https://dadosabertos.camara.leg.br/api/v2/deputados/131180</t>
  </si>
  <si>
    <t>CHAGAS FREITAS</t>
  </si>
  <si>
    <t>Antônio de Pádua Chagas Freitas</t>
  </si>
  <si>
    <t>https://dadosabertos.camara.leg.br/api/v2/deputados/131201</t>
  </si>
  <si>
    <t>CHAGAS RODRIGUES</t>
  </si>
  <si>
    <t>Francisco das Chagas Caldas Rodrigues</t>
  </si>
  <si>
    <t>https://dadosabertos.camara.leg.br/api/v2/deputados/3124</t>
  </si>
  <si>
    <t>CÍCERO DANTAS</t>
  </si>
  <si>
    <t>Cícero Dantas Martins</t>
  </si>
  <si>
    <t>1897-01-29</t>
  </si>
  <si>
    <t>https://dadosabertos.camara.leg.br/api/v2/deputados/131203</t>
  </si>
  <si>
    <t>CID ROCHA</t>
  </si>
  <si>
    <t>Cid Rocha</t>
  </si>
  <si>
    <t>https://dadosabertos.camara.leg.br/api/v2/deputados/131202</t>
  </si>
  <si>
    <t>CID SAMPAIO</t>
  </si>
  <si>
    <t>Cid Feijó Sampaio</t>
  </si>
  <si>
    <t>https://dadosabertos.camara.leg.br/api/v2/deputados/131204</t>
  </si>
  <si>
    <t>CLEMENS SAMPAIO</t>
  </si>
  <si>
    <t>Clemens Vaz Sampaio</t>
  </si>
  <si>
    <t>https://dadosabertos.camara.leg.br/api/v2/deputados/131205</t>
  </si>
  <si>
    <t>CLETO MARQUES</t>
  </si>
  <si>
    <t>Cleto Marques Luz</t>
  </si>
  <si>
    <t>https://dadosabertos.camara.leg.br/api/v2/deputados/131206</t>
  </si>
  <si>
    <t>CLODOALDO COSTA</t>
  </si>
  <si>
    <t>Clodoaldo de Oliveira Costa</t>
  </si>
  <si>
    <t>Conceição da Feira</t>
  </si>
  <si>
    <t>https://dadosabertos.camara.leg.br/api/v2/deputados/131207</t>
  </si>
  <si>
    <t>CLODOMIR LEITE</t>
  </si>
  <si>
    <t>Clodomir Alcoforado Leite</t>
  </si>
  <si>
    <t>https://dadosabertos.camara.leg.br/api/v2/deputados/131208</t>
  </si>
  <si>
    <t>CLÓVIS PESTANA</t>
  </si>
  <si>
    <t>Clóvis Pestana</t>
  </si>
  <si>
    <t>https://dadosabertos.camara.leg.br/api/v2/deputados/131276</t>
  </si>
  <si>
    <t>COSTA CAVALCANTI</t>
  </si>
  <si>
    <t>José Costa Cavalcânti</t>
  </si>
  <si>
    <t>https://dadosabertos.camara.leg.br/api/v2/deputados/131365</t>
  </si>
  <si>
    <t>COSTA VAL</t>
  </si>
  <si>
    <t>Ruy da Costa Val</t>
  </si>
  <si>
    <t>https://dadosabertos.camara.leg.br/api/v2/deputados/131182</t>
  </si>
  <si>
    <t>Antonio Sylvio Cunha Bueno</t>
  </si>
  <si>
    <t>https://dadosabertos.camara.leg.br/api/v2/deputados/131209</t>
  </si>
  <si>
    <t>DAVID LERER</t>
  </si>
  <si>
    <t>David José Lerer</t>
  </si>
  <si>
    <t>https://dadosabertos.camara.leg.br/api/v2/deputados/131233</t>
  </si>
  <si>
    <t>DELMIRO D'OLIVEIRA</t>
  </si>
  <si>
    <t>Francisco Delmiro d'Oliveira</t>
  </si>
  <si>
    <t>1894-09-06</t>
  </si>
  <si>
    <t>https://dadosabertos.camara.leg.br/api/v2/deputados/131299</t>
  </si>
  <si>
    <t>DIAS LINS</t>
  </si>
  <si>
    <t>Luiz Dias Lins</t>
  </si>
  <si>
    <t>1898-05-26</t>
  </si>
  <si>
    <t>https://dadosabertos.camara.leg.br/api/v2/deputados/131277</t>
  </si>
  <si>
    <t>DIAS MACEDO</t>
  </si>
  <si>
    <t>José Dias Macêdo</t>
  </si>
  <si>
    <t>https://dadosabertos.camara.leg.br/api/v2/deputados/131210</t>
  </si>
  <si>
    <t>DNAR MENDES</t>
  </si>
  <si>
    <t>Dnar Mendes Ferreira</t>
  </si>
  <si>
    <t>https://dadosabertos.camara.leg.br/api/v2/deputados/131226</t>
  </si>
  <si>
    <t>DOIN VIEIRA</t>
  </si>
  <si>
    <t>Eugênio Doin Vieira</t>
  </si>
  <si>
    <t>https://dadosabertos.camara.leg.br/api/v2/deputados/131211</t>
  </si>
  <si>
    <t>DORIVAL DE ABREU</t>
  </si>
  <si>
    <t>Dorival Masci de Abreu</t>
  </si>
  <si>
    <t>https://dadosabertos.camara.leg.br/api/v2/deputados/131212</t>
  </si>
  <si>
    <t>EDÉSIO NUNES</t>
  </si>
  <si>
    <t>Edésio da Cruz Nunes</t>
  </si>
  <si>
    <t>https://dadosabertos.camara.leg.br/api/v2/deputados/131216</t>
  </si>
  <si>
    <t>EDGARD DE ALMEIDA</t>
  </si>
  <si>
    <t>Edgard Guimarães de Almeida</t>
  </si>
  <si>
    <t>https://dadosabertos.camara.leg.br/api/v2/deputados/131213</t>
  </si>
  <si>
    <t>Edgard Agnello Pereira</t>
  </si>
  <si>
    <t>https://dadosabertos.camara.leg.br/api/v2/deputados/131218</t>
  </si>
  <si>
    <t>EDMUNDO MONTEIRO</t>
  </si>
  <si>
    <t>Edmundo Monteiro</t>
  </si>
  <si>
    <t>https://dadosabertos.camara.leg.br/api/v2/deputados/3146</t>
  </si>
  <si>
    <t>EMANUEL PINTO</t>
  </si>
  <si>
    <t>Emanuel Pontes Pinto</t>
  </si>
  <si>
    <t>https://dadosabertos.camara.leg.br/api/v2/deputados/131219</t>
  </si>
  <si>
    <t>EMERENCIANO DE BARROS</t>
  </si>
  <si>
    <t>Emerenciano Prestes de Barros</t>
  </si>
  <si>
    <t>https://dadosabertos.camara.leg.br/api/v2/deputados/131220</t>
  </si>
  <si>
    <t>EMÍLIO MURAD</t>
  </si>
  <si>
    <t>Emílio Biló Murad</t>
  </si>
  <si>
    <t>https://dadosabertos.camara.leg.br/api/v2/deputados/131221</t>
  </si>
  <si>
    <t>EMIVAL CAIADO</t>
  </si>
  <si>
    <t>Emival Ramos Caiado</t>
  </si>
  <si>
    <t>https://dadosabertos.camara.leg.br/api/v2/deputados/131222</t>
  </si>
  <si>
    <t>ERIVAN FRANÇA</t>
  </si>
  <si>
    <t>Erivan Santiago França</t>
  </si>
  <si>
    <t>https://dadosabertos.camara.leg.br/api/v2/deputados/131225</t>
  </si>
  <si>
    <t>EUCLIDES TRICHES</t>
  </si>
  <si>
    <t>Euclides Triches</t>
  </si>
  <si>
    <t>https://dadosabertos.camara.leg.br/api/v2/deputados/131227</t>
  </si>
  <si>
    <t>EWALDO PINTO</t>
  </si>
  <si>
    <t>Ewaldo de Almeida Pinto</t>
  </si>
  <si>
    <t>https://dadosabertos.camara.leg.br/api/v2/deputados/131228</t>
  </si>
  <si>
    <t>EZEQUIAS COSTA</t>
  </si>
  <si>
    <t>Ezequias Gonçalves da Costa</t>
  </si>
  <si>
    <t>Barras</t>
  </si>
  <si>
    <t>https://dadosabertos.camara.leg.br/api/v2/deputados/131229</t>
  </si>
  <si>
    <t>FAUSTO GAYOSO</t>
  </si>
  <si>
    <t>Fausto Gayoso Castelo Branco</t>
  </si>
  <si>
    <t>https://dadosabertos.camara.leg.br/api/v2/deputados/131278</t>
  </si>
  <si>
    <t>FELICIANO DE FIGUEIREDO</t>
  </si>
  <si>
    <t>José Feliciano de Figueiredo</t>
  </si>
  <si>
    <t>https://dadosabertos.camara.leg.br/api/v2/deputados/131230</t>
  </si>
  <si>
    <t>FLAVIANO RIBEIRO</t>
  </si>
  <si>
    <t>Flaviano Ribeiro Coutinho Filho</t>
  </si>
  <si>
    <t>https://dadosabertos.camara.leg.br/api/v2/deputados/131156</t>
  </si>
  <si>
    <t>FLÔRES SOARES</t>
  </si>
  <si>
    <t>Alcides Flôres Soares Junior</t>
  </si>
  <si>
    <t>https://dadosabertos.camara.leg.br/api/v2/deputados/131231</t>
  </si>
  <si>
    <t>FLORIANO RUBIM</t>
  </si>
  <si>
    <t>Floriano Lopes Rubim</t>
  </si>
  <si>
    <t>https://dadosabertos.camara.leg.br/api/v2/deputados/131236</t>
  </si>
  <si>
    <t>GASTÃO PEDREIRA</t>
  </si>
  <si>
    <t>Gastão Otávio Lacerda Pedreira</t>
  </si>
  <si>
    <t>https://dadosabertos.camara.leg.br/api/v2/deputados/131237</t>
  </si>
  <si>
    <t>GENESIO MIRANDA LINS</t>
  </si>
  <si>
    <t>Genésio Miranda Lins</t>
  </si>
  <si>
    <t>https://dadosabertos.camara.leg.br/api/v2/deputados/1579</t>
  </si>
  <si>
    <t>GERALDO DE PINA</t>
  </si>
  <si>
    <t>Geraldo D'Abadia de Pina</t>
  </si>
  <si>
    <t>https://dadosabertos.camara.leg.br/api/v2/deputados/131238</t>
  </si>
  <si>
    <t>GERALDO MESQUITA</t>
  </si>
  <si>
    <t>Geraldo Gurgel de Mesquita</t>
  </si>
  <si>
    <t>https://dadosabertos.camara.leg.br/api/v2/deputados/131239</t>
  </si>
  <si>
    <t>GETÚLIO MOURA</t>
  </si>
  <si>
    <t>Getúlio Barbosa de Moura</t>
  </si>
  <si>
    <t>Itaguaí</t>
  </si>
  <si>
    <t>https://dadosabertos.camara.leg.br/api/v2/deputados/131241</t>
  </si>
  <si>
    <t>GILBERTO AZEVEDO</t>
  </si>
  <si>
    <t>Gilberto Ronaldo Campello de Azevedo</t>
  </si>
  <si>
    <t>https://dadosabertos.camara.leg.br/api/v2/deputados/131240</t>
  </si>
  <si>
    <t>GILBERTO FARIA</t>
  </si>
  <si>
    <t>Gilberto de Andrade Faria</t>
  </si>
  <si>
    <t>https://dadosabertos.camara.leg.br/api/v2/deputados/131242</t>
  </si>
  <si>
    <t>GLÊNIO MARTINS</t>
  </si>
  <si>
    <t>Glênio Martins Peçanha</t>
  </si>
  <si>
    <t>https://dadosabertos.camara.leg.br/api/v2/deputados/131300</t>
  </si>
  <si>
    <t>GONZAGA DA GAMA</t>
  </si>
  <si>
    <t>Luiz Gonzaga Prado Ferreira da Gama</t>
  </si>
  <si>
    <t>GB</t>
  </si>
  <si>
    <t>https://dadosabertos.camara.leg.br/api/v2/deputados/131243</t>
  </si>
  <si>
    <t>GUILHERME MACHADO</t>
  </si>
  <si>
    <t>Guilherme Machado</t>
  </si>
  <si>
    <t>https://dadosabertos.camara.leg.br/api/v2/deputados/131244</t>
  </si>
  <si>
    <t>GUILHERMINO DE OLIVEIRA</t>
  </si>
  <si>
    <t>Guilhermino de Oliveira</t>
  </si>
  <si>
    <t>https://dadosabertos.camara.leg.br/api/v2/deputados/1567</t>
  </si>
  <si>
    <t>GUSTAVO CAPANEMA</t>
  </si>
  <si>
    <t>Gustavo Capanema</t>
  </si>
  <si>
    <t>https://dadosabertos.camara.leg.br/api/v2/deputados/131245</t>
  </si>
  <si>
    <t>HAMILTON PRADO</t>
  </si>
  <si>
    <t>Hamilton Prado</t>
  </si>
  <si>
    <t>https://dadosabertos.camara.leg.br/api/v2/deputados/131247</t>
  </si>
  <si>
    <t>HAROLDO VELLOSO</t>
  </si>
  <si>
    <t>Haroldo Coimbra Velloso</t>
  </si>
  <si>
    <t>https://dadosabertos.camara.leg.br/api/v2/deputados/131246</t>
  </si>
  <si>
    <t>HARY NORMANTON</t>
  </si>
  <si>
    <t>Hary Normanton</t>
  </si>
  <si>
    <t>https://dadosabertos.camara.leg.br/api/v2/deputados/131249</t>
  </si>
  <si>
    <t>HEITOR DIAS</t>
  </si>
  <si>
    <t>Heitor Dias Pereira</t>
  </si>
  <si>
    <t>https://dadosabertos.camara.leg.br/api/v2/deputados/131251</t>
  </si>
  <si>
    <t>HÉLIO GUEIROS</t>
  </si>
  <si>
    <t>Hélio Mota Gueiros</t>
  </si>
  <si>
    <t>https://dadosabertos.camara.leg.br/api/v2/deputados/131250</t>
  </si>
  <si>
    <t>HÉLIO NAVARRO</t>
  </si>
  <si>
    <t>Hélio Henrique Pereira Navarro</t>
  </si>
  <si>
    <t>https://dadosabertos.camara.leg.br/api/v2/deputados/131252</t>
  </si>
  <si>
    <t>HENIO ROMAGNOLLI</t>
  </si>
  <si>
    <t>Henio Romagnolli</t>
  </si>
  <si>
    <t>https://dadosabertos.camara.leg.br/api/v2/deputados/131253</t>
  </si>
  <si>
    <t>HENRIQUE HENKIN</t>
  </si>
  <si>
    <t>Henrique Henkin</t>
  </si>
  <si>
    <t>https://dadosabertos.camara.leg.br/api/v2/deputados/131254</t>
  </si>
  <si>
    <t>HERÁCLIO REGO</t>
  </si>
  <si>
    <t>Heráclio Moraes do Rego</t>
  </si>
  <si>
    <t>https://dadosabertos.camara.leg.br/api/v2/deputados/131255</t>
  </si>
  <si>
    <t>HERMANO ALVES</t>
  </si>
  <si>
    <t>Hermano de Deus Nobre Alves</t>
  </si>
  <si>
    <t>https://dadosabertos.camara.leg.br/api/v2/deputados/131257</t>
  </si>
  <si>
    <t>IVALDO PERDIGAO</t>
  </si>
  <si>
    <t>Ivaldo Perdigão Freire</t>
  </si>
  <si>
    <t>https://dadosabertos.camara.leg.br/api/v2/deputados/131387</t>
  </si>
  <si>
    <t>IVAR SALDANHA</t>
  </si>
  <si>
    <t>Ivar Figueiredo Saldanha</t>
  </si>
  <si>
    <t>https://dadosabertos.camara.leg.br/api/v2/deputados/131258</t>
  </si>
  <si>
    <t>JAEDER ALBERGARIA</t>
  </si>
  <si>
    <t>Jaeder Soares Albergaria</t>
  </si>
  <si>
    <t>https://dadosabertos.camara.leg.br/api/v2/deputados/131259</t>
  </si>
  <si>
    <t>JALLES MACHADO</t>
  </si>
  <si>
    <t>Jalles Machado de Siqueira</t>
  </si>
  <si>
    <t>1894-04-14</t>
  </si>
  <si>
    <t>https://dadosabertos.camara.leg.br/api/v2/deputados/131260</t>
  </si>
  <si>
    <t>JAMIL AMIDEN</t>
  </si>
  <si>
    <t>Jamil Amiden</t>
  </si>
  <si>
    <t>https://dadosabertos.camara.leg.br/api/v2/deputados/131261</t>
  </si>
  <si>
    <t>JANARY NUNES</t>
  </si>
  <si>
    <t>Janary Gentil Nunes</t>
  </si>
  <si>
    <t>https://dadosabertos.camara.leg.br/api/v2/deputados/131262</t>
  </si>
  <si>
    <t>Jessé Pinto Freire</t>
  </si>
  <si>
    <t>Macaíba</t>
  </si>
  <si>
    <t>https://dadosabertos.camara.leg.br/api/v2/deputados/131265</t>
  </si>
  <si>
    <t>JOÃO CALMON</t>
  </si>
  <si>
    <t>João de Medeiros Calmon</t>
  </si>
  <si>
    <t>https://dadosabertos.camara.leg.br/api/v2/deputados/131263</t>
  </si>
  <si>
    <t>JOÃO FERNANDES</t>
  </si>
  <si>
    <t>João Fernandes de Lima</t>
  </si>
  <si>
    <t>https://dadosabertos.camara.leg.br/api/v2/deputados/131264</t>
  </si>
  <si>
    <t>João Lyra Filho</t>
  </si>
  <si>
    <t>Lagoa dos Patos</t>
  </si>
  <si>
    <t>https://dadosabertos.camara.leg.br/api/v2/deputados/131266</t>
  </si>
  <si>
    <t>JOÃO MENDES OLÍMPIO</t>
  </si>
  <si>
    <t>João Mendes Olimpio de Mello</t>
  </si>
  <si>
    <t>https://dadosabertos.camara.leg.br/api/v2/deputados/131267</t>
  </si>
  <si>
    <t>JOÃO PAULINO</t>
  </si>
  <si>
    <t>João Paulino Vieira Filho</t>
  </si>
  <si>
    <t>Antonina</t>
  </si>
  <si>
    <t>https://dadosabertos.camara.leg.br/api/v2/deputados/131273</t>
  </si>
  <si>
    <t>JOÃO ROMA</t>
  </si>
  <si>
    <t>João Inácio Ribeiro Roma</t>
  </si>
  <si>
    <t>https://dadosabertos.camara.leg.br/api/v2/deputados/3147</t>
  </si>
  <si>
    <t>JOÃO VAZ</t>
  </si>
  <si>
    <t>João Carneiro de Castro Vaz</t>
  </si>
  <si>
    <t>https://dadosabertos.camara.leg.br/api/v2/deputados/131268</t>
  </si>
  <si>
    <t>JOAQUIM CORDEIRO</t>
  </si>
  <si>
    <t>Joaquim Baptista d'Abreu Cordeiro</t>
  </si>
  <si>
    <t>https://dadosabertos.camara.leg.br/api/v2/deputados/131270</t>
  </si>
  <si>
    <t>JOAQUIM PARENTE</t>
  </si>
  <si>
    <t>Joaquim Santos Parente</t>
  </si>
  <si>
    <t>https://dadosabertos.camara.leg.br/api/v2/deputados/131269</t>
  </si>
  <si>
    <t>JOAQUIM RAMOS</t>
  </si>
  <si>
    <t>Joaquim Fiuza Ramos</t>
  </si>
  <si>
    <t>https://dadosabertos.camara.leg.br/api/v2/deputados/131271</t>
  </si>
  <si>
    <t>JORGE CURI</t>
  </si>
  <si>
    <t>Jorge Curi</t>
  </si>
  <si>
    <t>https://dadosabertos.camara.leg.br/api/v2/deputados/131272</t>
  </si>
  <si>
    <t>JORGE LAVOCAT</t>
  </si>
  <si>
    <t>Jorge Felix Lavocat</t>
  </si>
  <si>
    <t>https://dadosabertos.camara.leg.br/api/v2/deputados/3129</t>
  </si>
  <si>
    <t>JOSAPHAT AZEVEDO</t>
  </si>
  <si>
    <t>Josaphat Paranhos de Azevedo</t>
  </si>
  <si>
    <t>https://dadosabertos.camara.leg.br/api/v2/deputados/131275</t>
  </si>
  <si>
    <t>JOSÉ CARLOS GUERRA</t>
  </si>
  <si>
    <t>José Carlos Estelita Guerra</t>
  </si>
  <si>
    <t>https://dadosabertos.camara.leg.br/api/v2/deputados/131289</t>
  </si>
  <si>
    <t>JOSÉ ESTEVES</t>
  </si>
  <si>
    <t>José Raimundo Esteves</t>
  </si>
  <si>
    <t>https://dadosabertos.camara.leg.br/api/v2/deputados/131287</t>
  </si>
  <si>
    <t>JOSÉ GADELHA</t>
  </si>
  <si>
    <t>José de Paiva Gadelha</t>
  </si>
  <si>
    <t>https://dadosabertos.camara.leg.br/api/v2/deputados/131274</t>
  </si>
  <si>
    <t>JOSÉ LINDOSO</t>
  </si>
  <si>
    <t>José Bernardino Lindoso</t>
  </si>
  <si>
    <t>https://dadosabertos.camara.leg.br/api/v2/deputados/131282</t>
  </si>
  <si>
    <t>JOSÉ MARIA RIBEIRO</t>
  </si>
  <si>
    <t>José Maria Alves Ribeiro</t>
  </si>
  <si>
    <t>https://dadosabertos.camara.leg.br/api/v2/deputados/131290</t>
  </si>
  <si>
    <t>JOSÉ MEIRA</t>
  </si>
  <si>
    <t>José do Rego Barros Meira de Araújo</t>
  </si>
  <si>
    <t>https://dadosabertos.camara.leg.br/api/v2/deputados/130468</t>
  </si>
  <si>
    <t>JOSÉ ONIAS</t>
  </si>
  <si>
    <t>José Onias de Carvalho</t>
  </si>
  <si>
    <t>São José do Belmonte</t>
  </si>
  <si>
    <t>https://dadosabertos.camara.leg.br/api/v2/deputados/131279</t>
  </si>
  <si>
    <t>JOSÉ RESEGUE</t>
  </si>
  <si>
    <t>José Jorge Resegue</t>
  </si>
  <si>
    <t>Bariri</t>
  </si>
  <si>
    <t>https://dadosabertos.camara.leg.br/api/v2/deputados/131291</t>
  </si>
  <si>
    <t>JOSÉ RICHA</t>
  </si>
  <si>
    <t>José Richa</t>
  </si>
  <si>
    <t>São Fidélis</t>
  </si>
  <si>
    <t>https://dadosabertos.camara.leg.br/api/v2/deputados/1688</t>
  </si>
  <si>
    <t>JÚLIA STEINBRUCH</t>
  </si>
  <si>
    <t>Júlia Vaena Steinbruch</t>
  </si>
  <si>
    <t>https://dadosabertos.camara.leg.br/api/v2/deputados/131280</t>
  </si>
  <si>
    <t>JUSTINO PEREIRA</t>
  </si>
  <si>
    <t>José Justino Filgueiras Alves Pereira</t>
  </si>
  <si>
    <t>Miraí</t>
  </si>
  <si>
    <t>https://dadosabertos.camara.leg.br/api/v2/deputados/131256</t>
  </si>
  <si>
    <t>LACÔRTE VITALE</t>
  </si>
  <si>
    <t>Hugo Lacôrte Vitale</t>
  </si>
  <si>
    <t>https://dadosabertos.camara.leg.br/api/v2/deputados/131293</t>
  </si>
  <si>
    <t>LAURO CRUZ</t>
  </si>
  <si>
    <t>Lauro Monteiro da Cruz</t>
  </si>
  <si>
    <t>https://dadosabertos.camara.leg.br/api/v2/deputados/131294</t>
  </si>
  <si>
    <t>LENOIR VARGAS</t>
  </si>
  <si>
    <t>Lenoir Vargas Ferreira</t>
  </si>
  <si>
    <t>https://dadosabertos.camara.leg.br/api/v2/deputados/131248</t>
  </si>
  <si>
    <t>LEON PERES</t>
  </si>
  <si>
    <t>Haroldo Leon Peres</t>
  </si>
  <si>
    <t>https://dadosabertos.camara.leg.br/api/v2/deputados/131295</t>
  </si>
  <si>
    <t>LEONARDO MÔNACO</t>
  </si>
  <si>
    <t>Leonardo Mônaco</t>
  </si>
  <si>
    <t>https://dadosabertos.camara.leg.br/api/v2/deputados/131296</t>
  </si>
  <si>
    <t>LEVY TAVARES</t>
  </si>
  <si>
    <t>Levy Gonçalves Tavares</t>
  </si>
  <si>
    <t>https://dadosabertos.camara.leg.br/api/v2/deputados/1695</t>
  </si>
  <si>
    <t>LÍGIA DOUTEL DE ANDRADE</t>
  </si>
  <si>
    <t>Lígia Doutel de Andrade</t>
  </si>
  <si>
    <t>https://dadosabertos.camara.leg.br/api/v2/deputados/131177</t>
  </si>
  <si>
    <t>LISBOA MACHADO</t>
  </si>
  <si>
    <t>Antônio de Lisboa Machado</t>
  </si>
  <si>
    <t>Monte Alegre de Minas</t>
  </si>
  <si>
    <t>https://dadosabertos.camara.leg.br/api/v2/deputados/131297</t>
  </si>
  <si>
    <t>LUÍS COELHO</t>
  </si>
  <si>
    <t>Luis Gonzaga Barros Coelho</t>
  </si>
  <si>
    <t>Benedito Leite</t>
  </si>
  <si>
    <t>https://dadosabertos.camara.leg.br/api/v2/deputados/131302</t>
  </si>
  <si>
    <t>LUIZ ATHAYDE</t>
  </si>
  <si>
    <t>Luiz Paulo Athayde</t>
  </si>
  <si>
    <t>https://dadosabertos.camara.leg.br/api/v2/deputados/131305</t>
  </si>
  <si>
    <t>LUIZ CAVALCANTE</t>
  </si>
  <si>
    <t>Luiz de Souza Cavalcante</t>
  </si>
  <si>
    <t>https://dadosabertos.camara.leg.br/api/v2/deputados/131301</t>
  </si>
  <si>
    <t>LUIZ DE PAULA</t>
  </si>
  <si>
    <t>Luiz de Paula Ferreira</t>
  </si>
  <si>
    <t>Várzea da Palma</t>
  </si>
  <si>
    <t>https://dadosabertos.camara.leg.br/api/v2/deputados/131326</t>
  </si>
  <si>
    <t>LUNA FREIRE</t>
  </si>
  <si>
    <t>Oscar de Luna Freire</t>
  </si>
  <si>
    <t>https://dadosabertos.camara.leg.br/api/v2/deputados/131281</t>
  </si>
  <si>
    <t>LURTZ SABIÁ</t>
  </si>
  <si>
    <t>José Lurtz Sabiá</t>
  </si>
  <si>
    <t>https://dadosabertos.camara.leg.br/api/v2/deputados/131306</t>
  </si>
  <si>
    <t>LYRIO BERTOLI</t>
  </si>
  <si>
    <t>Lyrio Bertoli</t>
  </si>
  <si>
    <t>https://dadosabertos.camara.leg.br/api/v2/deputados/131342</t>
  </si>
  <si>
    <t>MANSO CABRAL</t>
  </si>
  <si>
    <t>Pedro Manso Cabral</t>
  </si>
  <si>
    <t>https://dadosabertos.camara.leg.br/api/v2/deputados/131307</t>
  </si>
  <si>
    <t>MARCIAL DO LAGO</t>
  </si>
  <si>
    <t>Marcial do Lago</t>
  </si>
  <si>
    <t>https://dadosabertos.camara.leg.br/api/v2/deputados/131308</t>
  </si>
  <si>
    <t>MÁRCIO MOREIRA ALVES</t>
  </si>
  <si>
    <t>Márcio Emmanuel Moreira Alves</t>
  </si>
  <si>
    <t>https://dadosabertos.camara.leg.br/api/v2/deputados/131309</t>
  </si>
  <si>
    <t>MARCOS KERTZMANN</t>
  </si>
  <si>
    <t>Marcos Kertzmann</t>
  </si>
  <si>
    <t>https://dadosabertos.camara.leg.br/api/v2/deputados/131283</t>
  </si>
  <si>
    <t>MARIANO BECK</t>
  </si>
  <si>
    <t>José Mariano de Freitas Beck</t>
  </si>
  <si>
    <t>https://dadosabertos.camara.leg.br/api/v2/deputados/131311</t>
  </si>
  <si>
    <t>MARIO DE ABREU</t>
  </si>
  <si>
    <t>Mário Monteiro de Abreu Pinto</t>
  </si>
  <si>
    <t>https://dadosabertos.camara.leg.br/api/v2/deputados/1543</t>
  </si>
  <si>
    <t>MÁRIO GURGEL</t>
  </si>
  <si>
    <t>Mário Gurgel</t>
  </si>
  <si>
    <t>https://dadosabertos.camara.leg.br/api/v2/deputados/131310</t>
  </si>
  <si>
    <t>MÁRIO MAIA</t>
  </si>
  <si>
    <t>Mário Maia</t>
  </si>
  <si>
    <t>https://dadosabertos.camara.leg.br/api/v2/deputados/131312</t>
  </si>
  <si>
    <t>MÁRIO PIVA</t>
  </si>
  <si>
    <t>Mário Piva</t>
  </si>
  <si>
    <t>https://dadosabertos.camara.leg.br/api/v2/deputados/131313</t>
  </si>
  <si>
    <t>MÁRIO TAMBORINDEGUY</t>
  </si>
  <si>
    <t>Mário Tamborindeguy</t>
  </si>
  <si>
    <t>https://dadosabertos.camara.leg.br/api/v2/deputados/131181</t>
  </si>
  <si>
    <t>MARTINS JUNIOR</t>
  </si>
  <si>
    <t>Antônio Pedro Martins Júnior</t>
  </si>
  <si>
    <t>1897-06-10</t>
  </si>
  <si>
    <t>https://dadosabertos.camara.leg.br/api/v2/deputados/131284</t>
  </si>
  <si>
    <t>MARTINS RODRIGUES</t>
  </si>
  <si>
    <t>José Martins Rodrigues</t>
  </si>
  <si>
    <t>https://dadosabertos.camara.leg.br/api/v2/deputados/131215</t>
  </si>
  <si>
    <t>MATA MACHADO</t>
  </si>
  <si>
    <t>Edgard de Godói da Mata Machado</t>
  </si>
  <si>
    <t>https://dadosabertos.camara.leg.br/api/v2/deputados/131285</t>
  </si>
  <si>
    <t>MAURÍCIO DE ANDRADE</t>
  </si>
  <si>
    <t>José Maurício de Andrade</t>
  </si>
  <si>
    <t>https://dadosabertos.camara.leg.br/api/v2/deputados/131314</t>
  </si>
  <si>
    <t>MAURÍCIO GOULART</t>
  </si>
  <si>
    <t>Maurício Goulart</t>
  </si>
  <si>
    <t>https://dadosabertos.camara.leg.br/api/v2/deputados/131298</t>
  </si>
  <si>
    <t>MEDEIROS NETO</t>
  </si>
  <si>
    <t>Luiz de Menezes Medeiros Neto</t>
  </si>
  <si>
    <t>Traipu</t>
  </si>
  <si>
    <t>https://dadosabertos.camara.leg.br/api/v2/deputados/131167</t>
  </si>
  <si>
    <t>MENDES DE MORAES</t>
  </si>
  <si>
    <t>Ângelo Mendes de Moraes</t>
  </si>
  <si>
    <t>1894-12-17</t>
  </si>
  <si>
    <t>https://dadosabertos.camara.leg.br/api/v2/deputados/131315</t>
  </si>
  <si>
    <t>MIGUEL COUTO</t>
  </si>
  <si>
    <t>Miguel Couto Filho</t>
  </si>
  <si>
    <t>1898-05-08</t>
  </si>
  <si>
    <t>https://dadosabertos.camara.leg.br/api/v2/deputados/131316</t>
  </si>
  <si>
    <t>MILTON CABRAL</t>
  </si>
  <si>
    <t>Milton Bezerra Cabral</t>
  </si>
  <si>
    <t>https://dadosabertos.camara.leg.br/api/v2/deputados/131317</t>
  </si>
  <si>
    <t>MOACYR SILVESTRI</t>
  </si>
  <si>
    <t>Moacyr Júlio Silvestri</t>
  </si>
  <si>
    <t>https://dadosabertos.camara.leg.br/api/v2/deputados/131318</t>
  </si>
  <si>
    <t>MONSENHOR VIEIRA</t>
  </si>
  <si>
    <t>Monsenhor Manuel Vieira</t>
  </si>
  <si>
    <t>https://dadosabertos.camara.leg.br/api/v2/deputados/131286</t>
  </si>
  <si>
    <t>MONTEIRO DE CASTRO</t>
  </si>
  <si>
    <t>José Monteiro de Castro</t>
  </si>
  <si>
    <t>https://dadosabertos.camara.leg.br/api/v2/deputados/131197</t>
  </si>
  <si>
    <t>MONTENEGRO DUARTE</t>
  </si>
  <si>
    <t>Camillo Silva Montenegro Duarte</t>
  </si>
  <si>
    <t>https://dadosabertos.camara.leg.br/api/v2/deputados/131217</t>
  </si>
  <si>
    <t>MOURY FERNANDES</t>
  </si>
  <si>
    <t>Edson Moury Fernandes</t>
  </si>
  <si>
    <t>https://dadosabertos.camara.leg.br/api/v2/deputados/131319</t>
  </si>
  <si>
    <t>NAZIR MIGUEL</t>
  </si>
  <si>
    <t>Nazir Miguel</t>
  </si>
  <si>
    <t>https://dadosabertos.camara.leg.br/api/v2/deputados/131321</t>
  </si>
  <si>
    <t>NELSON CARNEIRO</t>
  </si>
  <si>
    <t>Nelson de Souza Carneiro</t>
  </si>
  <si>
    <t>https://dadosabertos.camara.leg.br/api/v2/deputados/131322</t>
  </si>
  <si>
    <t>NEY MARANHÃO</t>
  </si>
  <si>
    <t>Ney Albuquerque Maranhão</t>
  </si>
  <si>
    <t>https://dadosabertos.camara.leg.br/api/v2/deputados/131323</t>
  </si>
  <si>
    <t>NICOLAU TUMA</t>
  </si>
  <si>
    <t>Nicolau Tuma</t>
  </si>
  <si>
    <t>https://dadosabertos.camara.leg.br/api/v2/deputados/131178</t>
  </si>
  <si>
    <t>NONATO MARQUES</t>
  </si>
  <si>
    <t>Antonio Nonato Marques</t>
  </si>
  <si>
    <t>https://dadosabertos.camara.leg.br/api/v2/deputados/1681</t>
  </si>
  <si>
    <t>NYSIA CARONE</t>
  </si>
  <si>
    <t>Nysia Coimbra Flôres Carone</t>
  </si>
  <si>
    <t>https://dadosabertos.camara.leg.br/api/v2/deputados/131174</t>
  </si>
  <si>
    <t>OLIVEIRA BRITO</t>
  </si>
  <si>
    <t>Antonio Ferreira de Oliveira Brito</t>
  </si>
  <si>
    <t>https://dadosabertos.camara.leg.br/api/v2/deputados/131324</t>
  </si>
  <si>
    <t>ORLANDO BÉRTOLI</t>
  </si>
  <si>
    <t>Orlando Bértoli</t>
  </si>
  <si>
    <t>https://dadosabertos.camara.leg.br/api/v2/deputados/131325</t>
  </si>
  <si>
    <t>OSCAR CARDOSO</t>
  </si>
  <si>
    <t>Oscar Cardoso da Silva</t>
  </si>
  <si>
    <t>Uauá</t>
  </si>
  <si>
    <t>https://dadosabertos.camara.leg.br/api/v2/deputados/131328</t>
  </si>
  <si>
    <t>OSMAR CUNHA</t>
  </si>
  <si>
    <t>Osmar Cunha</t>
  </si>
  <si>
    <t>https://dadosabertos.camara.leg.br/api/v2/deputados/131327</t>
  </si>
  <si>
    <t>OSMAR DE AQUINO</t>
  </si>
  <si>
    <t>Osmar de Araújo Aquino</t>
  </si>
  <si>
    <t>https://dadosabertos.camara.leg.br/api/v2/deputados/131329</t>
  </si>
  <si>
    <t>OSMAR DUTRA</t>
  </si>
  <si>
    <t>Osmar Dutra</t>
  </si>
  <si>
    <t>https://dadosabertos.camara.leg.br/api/v2/deputados/131330</t>
  </si>
  <si>
    <t>OSNI RÉGIS</t>
  </si>
  <si>
    <t>Osni de Medeiros Regis</t>
  </si>
  <si>
    <t>https://dadosabertos.camara.leg.br/api/v2/deputados/131332</t>
  </si>
  <si>
    <t>OVÍDIO DE ABREU</t>
  </si>
  <si>
    <t>Ovídio Xavier de Abreu</t>
  </si>
  <si>
    <t>1898-09-28</t>
  </si>
  <si>
    <t>https://dadosabertos.camara.leg.br/api/v2/deputados/131179</t>
  </si>
  <si>
    <t>PADRE GODINHO</t>
  </si>
  <si>
    <t>Antonio de Oliveira Godinho</t>
  </si>
  <si>
    <t>Carmo da Cachoeira</t>
  </si>
  <si>
    <t>https://dadosabertos.camara.leg.br/api/v2/deputados/131333</t>
  </si>
  <si>
    <t>PADRE VIEIRA</t>
  </si>
  <si>
    <t>Antônio Batista Vieira</t>
  </si>
  <si>
    <t>https://dadosabertos.camara.leg.br/api/v2/deputados/131338</t>
  </si>
  <si>
    <t>PAULO BIAR</t>
  </si>
  <si>
    <t>Paulo Norair Biar de Souza</t>
  </si>
  <si>
    <t>https://dadosabertos.camara.leg.br/api/v2/deputados/131334</t>
  </si>
  <si>
    <t>PAULO BROSSARD</t>
  </si>
  <si>
    <t>Paulo Brossard de Sousa Pinto</t>
  </si>
  <si>
    <t>https://dadosabertos.camara.leg.br/api/v2/deputados/131335</t>
  </si>
  <si>
    <t>PAULO CAMPOS</t>
  </si>
  <si>
    <t>Paulo Campos</t>
  </si>
  <si>
    <t>https://dadosabertos.camara.leg.br/api/v2/deputados/131337</t>
  </si>
  <si>
    <t>PAULO FREIRE</t>
  </si>
  <si>
    <t>Paulo Freire de Araújo</t>
  </si>
  <si>
    <t>Riachão do Dantas</t>
  </si>
  <si>
    <t>https://dadosabertos.camara.leg.br/api/v2/deputados/131336</t>
  </si>
  <si>
    <t>PAULO MACIEL</t>
  </si>
  <si>
    <t>Paulo Frederico do Rêgo Maciel</t>
  </si>
  <si>
    <t>https://dadosabertos.camara.leg.br/api/v2/deputados/131344</t>
  </si>
  <si>
    <t>PEDRO GONDIM</t>
  </si>
  <si>
    <t>Pedro Moreno Gondim</t>
  </si>
  <si>
    <t>Alagoa Nova</t>
  </si>
  <si>
    <t>https://dadosabertos.camara.leg.br/api/v2/deputados/131343</t>
  </si>
  <si>
    <t>PEDRO MARÃO</t>
  </si>
  <si>
    <t>Pedro Marão</t>
  </si>
  <si>
    <t>https://dadosabertos.camara.leg.br/api/v2/deputados/131341</t>
  </si>
  <si>
    <t>PEDRO VIDIGAL</t>
  </si>
  <si>
    <t>Pedro Maciel Vidigal</t>
  </si>
  <si>
    <t>https://dadosabertos.camara.leg.br/api/v2/deputados/131288</t>
  </si>
  <si>
    <t>PEREIRA LÚCIO</t>
  </si>
  <si>
    <t>José Pereira Lúcio</t>
  </si>
  <si>
    <t>https://dadosabertos.camara.leg.br/api/v2/deputados/131171</t>
  </si>
  <si>
    <t>PEREIRA PINTO</t>
  </si>
  <si>
    <t>Antonio Carlos Pereira Pinto</t>
  </si>
  <si>
    <t>https://dadosabertos.camara.leg.br/api/v2/deputados/131345</t>
  </si>
  <si>
    <t>PETRONILO SANTA CRUZ</t>
  </si>
  <si>
    <t>Petronilo Santa Cruz de Oliveira</t>
  </si>
  <si>
    <t>https://dadosabertos.camara.leg.br/api/v2/deputados/131339</t>
  </si>
  <si>
    <t>PINHEIRO CHAGAS</t>
  </si>
  <si>
    <t>Paulo Pinheiro Chagas</t>
  </si>
  <si>
    <t>https://dadosabertos.camara.leg.br/api/v2/deputados/131346</t>
  </si>
  <si>
    <t>PLÍNIO LEMOS</t>
  </si>
  <si>
    <t>Plínio Lemos</t>
  </si>
  <si>
    <t>Areia</t>
  </si>
  <si>
    <t>https://dadosabertos.camara.leg.br/api/v2/deputados/131347</t>
  </si>
  <si>
    <t>RACHID MAMED</t>
  </si>
  <si>
    <t>Rachid Jorge Mamed</t>
  </si>
  <si>
    <t>https://dadosabertos.camara.leg.br/api/v2/deputados/131352</t>
  </si>
  <si>
    <t>RAIMUNDO BOGEÁ</t>
  </si>
  <si>
    <t>Raimundo Rodrigues Bogeá</t>
  </si>
  <si>
    <t>https://dadosabertos.camara.leg.br/api/v2/deputados/131353</t>
  </si>
  <si>
    <t>RAIMUNDO BRITO</t>
  </si>
  <si>
    <t>Raymundo de Souza Brito</t>
  </si>
  <si>
    <t>https://dadosabertos.camara.leg.br/api/v2/deputados/131349</t>
  </si>
  <si>
    <t>RAPHAEL MAGALHÃES</t>
  </si>
  <si>
    <t>Raphael Hermeto de Almeida Magalhães</t>
  </si>
  <si>
    <t>https://dadosabertos.camara.leg.br/api/v2/deputados/131355</t>
  </si>
  <si>
    <t>RAUL BRUNINI</t>
  </si>
  <si>
    <t>Raul Brunini Filho</t>
  </si>
  <si>
    <t>https://dadosabertos.camara.leg.br/api/v2/deputados/131350</t>
  </si>
  <si>
    <t>RAYMUNDO DE ANDRADE</t>
  </si>
  <si>
    <t>Raymundo de Araújo Andrade</t>
  </si>
  <si>
    <t>https://dadosabertos.camara.leg.br/api/v2/deputados/131351</t>
  </si>
  <si>
    <t>RAYMUNDO PADILHA</t>
  </si>
  <si>
    <t>Raymundo Delmiriano Padilha</t>
  </si>
  <si>
    <t>1899-04-08</t>
  </si>
  <si>
    <t>https://dadosabertos.camara.leg.br/api/v2/deputados/131234</t>
  </si>
  <si>
    <t>RÉGIS BARROSO</t>
  </si>
  <si>
    <t>Francisco Régis Monte Barroso</t>
  </si>
  <si>
    <t>https://dadosabertos.camara.leg.br/api/v2/deputados/131303</t>
  </si>
  <si>
    <t>RÉGIS PACHECO</t>
  </si>
  <si>
    <t>Luís Régis Pacheco Pereira</t>
  </si>
  <si>
    <t>1895-11-25</t>
  </si>
  <si>
    <t>https://dadosabertos.camara.leg.br/api/v2/deputados/131356</t>
  </si>
  <si>
    <t>RENATO ARCHER</t>
  </si>
  <si>
    <t>Renato Bayma Archer da Silva</t>
  </si>
  <si>
    <t>https://dadosabertos.camara.leg.br/api/v2/deputados/131357</t>
  </si>
  <si>
    <t>RENATO CELIDÔNIO</t>
  </si>
  <si>
    <t>Renato Celidônio</t>
  </si>
  <si>
    <t>https://dadosabertos.camara.leg.br/api/v2/deputados/131358</t>
  </si>
  <si>
    <t>RENATO RIBEIRO</t>
  </si>
  <si>
    <t>Renato Ribeiro Coutinho</t>
  </si>
  <si>
    <t>https://dadosabertos.camara.leg.br/api/v2/deputados/131359</t>
  </si>
  <si>
    <t>ROBERTO SATURNINO</t>
  </si>
  <si>
    <t>Roberto Saturnino Braga</t>
  </si>
  <si>
    <t>https://dadosabertos.camara.leg.br/api/v2/deputados/131360</t>
  </si>
  <si>
    <t>ROCKFELLER FELISBERTO DE LIMA</t>
  </si>
  <si>
    <t>Rockefeller Felisberto de Lima</t>
  </si>
  <si>
    <t>https://dadosabertos.camara.leg.br/api/v2/deputados/131361</t>
  </si>
  <si>
    <t>ROMANO EVANGELISTA</t>
  </si>
  <si>
    <t>Romano Evangelista da Silva</t>
  </si>
  <si>
    <t>https://dadosabertos.camara.leg.br/api/v2/deputados/131362</t>
  </si>
  <si>
    <t>ROMANO MASSIGNAN</t>
  </si>
  <si>
    <t>Romano Massignan</t>
  </si>
  <si>
    <t>Alfredo Chaves</t>
  </si>
  <si>
    <t>https://dadosabertos.camara.leg.br/api/v2/deputados/131364</t>
  </si>
  <si>
    <t>RUBEM NOGUEIRA</t>
  </si>
  <si>
    <t>Rubem Rodrigues Nogueira</t>
  </si>
  <si>
    <t>Serrinha</t>
  </si>
  <si>
    <t>https://dadosabertos.camara.leg.br/api/v2/deputados/131366</t>
  </si>
  <si>
    <t>RUY SANTOS</t>
  </si>
  <si>
    <t>Rui Santos</t>
  </si>
  <si>
    <t>https://dadosabertos.camara.leg.br/api/v2/deputados/131367</t>
  </si>
  <si>
    <t>SADI BOGADO</t>
  </si>
  <si>
    <t>Sadi Coube Bogado</t>
  </si>
  <si>
    <t>https://dadosabertos.camara.leg.br/api/v2/deputados/131348</t>
  </si>
  <si>
    <t>SALDANHA DERZI</t>
  </si>
  <si>
    <t>Rachid Saldanha Derzi</t>
  </si>
  <si>
    <t>https://dadosabertos.camara.leg.br/api/v2/deputados/131368</t>
  </si>
  <si>
    <t>SEGISMUNDO ANDRADE</t>
  </si>
  <si>
    <t>Segismundo Andrade</t>
  </si>
  <si>
    <t>Pão de Açúcar</t>
  </si>
  <si>
    <t>https://dadosabertos.camara.leg.br/api/v2/deputados/131369</t>
  </si>
  <si>
    <t>SIMÃO DA CUNHA</t>
  </si>
  <si>
    <t>Simão Vianna da Cunha Pereira</t>
  </si>
  <si>
    <t>https://dadosabertos.camara.leg.br/api/v2/deputados/131224</t>
  </si>
  <si>
    <t>SOUTO MAIOR</t>
  </si>
  <si>
    <t>Estácio Gonçalves Souto Maior</t>
  </si>
  <si>
    <t>https://dadosabertos.camara.leg.br/api/v2/deputados/131148</t>
  </si>
  <si>
    <t>TABOSA DE ALMEIDA</t>
  </si>
  <si>
    <t>Adalberto Tabosa de Almeida</t>
  </si>
  <si>
    <t>https://dadosabertos.camara.leg.br/api/v2/deputados/131370</t>
  </si>
  <si>
    <t>TARSO DUTRA</t>
  </si>
  <si>
    <t>Tarso de Moraes Dutra</t>
  </si>
  <si>
    <t>https://dadosabertos.camara.leg.br/api/v2/deputados/131371</t>
  </si>
  <si>
    <t>THEODORICO BEZERRA</t>
  </si>
  <si>
    <t>Theodorico Bezerra</t>
  </si>
  <si>
    <t>https://dadosabertos.camara.leg.br/api/v2/deputados/3135</t>
  </si>
  <si>
    <t>THEOPHILO PIRES</t>
  </si>
  <si>
    <t>Theophilo Ribeiro Pires</t>
  </si>
  <si>
    <t>Coração de Jesus</t>
  </si>
  <si>
    <t>https://dadosabertos.camara.leg.br/api/v2/deputados/131372</t>
  </si>
  <si>
    <t>ÚLTIMO DE CARVALHO</t>
  </si>
  <si>
    <t>Último de Carvalho</t>
  </si>
  <si>
    <t>1899-12-19</t>
  </si>
  <si>
    <t>https://dadosabertos.camara.leg.br/api/v2/deputados/131373</t>
  </si>
  <si>
    <t>UNÍRIO MACHADO</t>
  </si>
  <si>
    <t>Unírio Carrera Machado</t>
  </si>
  <si>
    <t>https://dadosabertos.camara.leg.br/api/v2/deputados/131374</t>
  </si>
  <si>
    <t>VASCO FILHO</t>
  </si>
  <si>
    <t>Vasco Azevedo Filho</t>
  </si>
  <si>
    <t>1892-12-18</t>
  </si>
  <si>
    <t>https://dadosabertos.camara.leg.br/api/v2/deputados/131304</t>
  </si>
  <si>
    <t>VEIGA BRITO</t>
  </si>
  <si>
    <t>Luiz Roberto Veiga de Brito</t>
  </si>
  <si>
    <t>https://dadosabertos.camara.leg.br/api/v2/deputados/131375</t>
  </si>
  <si>
    <t>VICENTE AUGUSTO</t>
  </si>
  <si>
    <t>Vicente Férrer Augusto Lima</t>
  </si>
  <si>
    <t>https://dadosabertos.camara.leg.br/api/v2/deputados/131376</t>
  </si>
  <si>
    <t>VIRGÍLIO TÁVORA</t>
  </si>
  <si>
    <t>Virgílio Fernandes Távora</t>
  </si>
  <si>
    <t>https://dadosabertos.camara.leg.br/api/v2/deputados/131377</t>
  </si>
  <si>
    <t>WALDYR SIMÕES</t>
  </si>
  <si>
    <t>Waldyr de Mello Simões</t>
  </si>
  <si>
    <t>https://dadosabertos.camara.leg.br/api/v2/deputados/131379</t>
  </si>
  <si>
    <t>WALTER PASSOS</t>
  </si>
  <si>
    <t>Walter Passos</t>
  </si>
  <si>
    <t>https://dadosabertos.camara.leg.br/api/v2/deputados/131378</t>
  </si>
  <si>
    <t>WALTER SÁ</t>
  </si>
  <si>
    <t>Walter Bezerra de Sá</t>
  </si>
  <si>
    <t>https://dadosabertos.camara.leg.br/api/v2/deputados/131235</t>
  </si>
  <si>
    <t>WANDERLEY DANTAS</t>
  </si>
  <si>
    <t>Francisco Wanderley Dantas</t>
  </si>
  <si>
    <t>https://dadosabertos.camara.leg.br/api/v2/deputados/131380</t>
  </si>
  <si>
    <t>WEIMAR TORRES</t>
  </si>
  <si>
    <t>Weimar Gonçalves Torres</t>
  </si>
  <si>
    <t>https://dadosabertos.camara.leg.br/api/v2/deputados/131382</t>
  </si>
  <si>
    <t>WILSON CALMON</t>
  </si>
  <si>
    <t>Wilson de Medeiros Calmon</t>
  </si>
  <si>
    <t>https://dadosabertos.camara.leg.br/api/v2/deputados/131381</t>
  </si>
  <si>
    <t>WILSON MARTINS</t>
  </si>
  <si>
    <t>Wilson Barbosa Martins</t>
  </si>
  <si>
    <t>https://dadosabertos.camara.leg.br/api/v2/deputados/131383</t>
  </si>
  <si>
    <t>WILSON RORIZ</t>
  </si>
  <si>
    <t>Wilson Roriz</t>
  </si>
  <si>
    <t>Jardim</t>
  </si>
  <si>
    <t>https://dadosabertos.camara.leg.br/api/v2/deputados/131354</t>
  </si>
  <si>
    <t>XAVIER FERNANDES</t>
  </si>
  <si>
    <t>Raimundo Xavier Fernandes</t>
  </si>
  <si>
    <t>https://dadosabertos.camara.leg.br/api/v2/deputados/131384</t>
  </si>
  <si>
    <t>YUKISHIGUE TAMURA</t>
  </si>
  <si>
    <t>Yukishigue Tamura</t>
  </si>
  <si>
    <t>https://dadosabertos.camara.leg.br/api/v2/deputados/131385</t>
  </si>
  <si>
    <t>ZAIRE NUNES</t>
  </si>
  <si>
    <t>Zaire Nunes Pereira</t>
  </si>
  <si>
    <t>https://dadosabertos.camara.leg.br/api/v2/deputados/3148</t>
  </si>
  <si>
    <t>ZULMAR BAPTISTA</t>
  </si>
  <si>
    <t>Zulmar Batista de Almeida</t>
  </si>
  <si>
    <t>https://dadosabertos.camara.leg.br/api/v2/deputados/130880</t>
  </si>
  <si>
    <t>ABELARDO JUREMA</t>
  </si>
  <si>
    <t>Abelardo de Araújo Jurema</t>
  </si>
  <si>
    <t>https://dadosabertos.camara.leg.br/api/v2/deputados/130881</t>
  </si>
  <si>
    <t>ABRAHÃO MOURA</t>
  </si>
  <si>
    <t>Abrahão Fidelis de Moura</t>
  </si>
  <si>
    <t>https://dadosabertos.camara.leg.br/api/v2/deputados/130883</t>
  </si>
  <si>
    <t>ADAHIL CAVALCANTI</t>
  </si>
  <si>
    <t>Adahil Barreto Cavalcanti</t>
  </si>
  <si>
    <t>https://dadosabertos.camara.leg.br/api/v2/deputados/130885</t>
  </si>
  <si>
    <t>ADAHURY FERNANDES</t>
  </si>
  <si>
    <t>Adahury Fernandes</t>
  </si>
  <si>
    <t>https://dadosabertos.camara.leg.br/api/v2/deputados/130882</t>
  </si>
  <si>
    <t>ADAIR MURTA</t>
  </si>
  <si>
    <t>Adair Fernandes Murta</t>
  </si>
  <si>
    <t>https://dadosabertos.camara.leg.br/api/v2/deputados/130905</t>
  </si>
  <si>
    <t>ADIB CHAMMAS</t>
  </si>
  <si>
    <t>Antônio Adib Chammas</t>
  </si>
  <si>
    <t>https://dadosabertos.camara.leg.br/api/v2/deputados/130886</t>
  </si>
  <si>
    <t>ADRIÃO BERNARDES</t>
  </si>
  <si>
    <t>Adrião Bernardes</t>
  </si>
  <si>
    <t>1891-03-01</t>
  </si>
  <si>
    <t>Baixa Grande</t>
  </si>
  <si>
    <t>https://dadosabertos.camara.leg.br/api/v2/deputados/2639</t>
  </si>
  <si>
    <t>AFFONSO ARINOS FILHO</t>
  </si>
  <si>
    <t>Affonso Arinos de Mello Franco Filho</t>
  </si>
  <si>
    <t>https://dadosabertos.camara.leg.br/api/v2/deputados/130888</t>
  </si>
  <si>
    <t>AFRÂNIO DE OLIVEIRA</t>
  </si>
  <si>
    <t>Afrânio de Oliveira</t>
  </si>
  <si>
    <t>https://dadosabertos.camara.leg.br/api/v2/deputados/130889</t>
  </si>
  <si>
    <t>AGUINALDO COSTA</t>
  </si>
  <si>
    <t>Aguinaldo Costa Pereira</t>
  </si>
  <si>
    <t>1899-11-20</t>
  </si>
  <si>
    <t>https://dadosabertos.camara.leg.br/api/v2/deputados/130890</t>
  </si>
  <si>
    <t>ALBANYR LEAL</t>
  </si>
  <si>
    <t>Albanyr Leal</t>
  </si>
  <si>
    <t>https://dadosabertos.camara.leg.br/api/v2/deputados/130891</t>
  </si>
  <si>
    <t>ALBERTO LUZ</t>
  </si>
  <si>
    <t>Alberto Bessa Luz</t>
  </si>
  <si>
    <t>Jaicós</t>
  </si>
  <si>
    <t>https://dadosabertos.camara.leg.br/api/v2/deputados/130893</t>
  </si>
  <si>
    <t>ALDO TINOCO</t>
  </si>
  <si>
    <t>Aldo da Fonseca Tinoco</t>
  </si>
  <si>
    <t>São Gonçalo do Amarante</t>
  </si>
  <si>
    <t>https://dadosabertos.camara.leg.br/api/v2/deputados/130894</t>
  </si>
  <si>
    <t>ALFREDO BARREIRA</t>
  </si>
  <si>
    <t>Alfredo Barreira Filho</t>
  </si>
  <si>
    <t>https://dadosabertos.camara.leg.br/api/v2/deputados/130896</t>
  </si>
  <si>
    <t>ALFREDO NASSER</t>
  </si>
  <si>
    <t>Alfredo Nasser</t>
  </si>
  <si>
    <t>https://dadosabertos.camara.leg.br/api/v2/deputados/130897</t>
  </si>
  <si>
    <t>ALIOMAR BALEEIRO</t>
  </si>
  <si>
    <t>Aliomar de Andrade Baleeiro</t>
  </si>
  <si>
    <t>https://dadosabertos.camara.leg.br/api/v2/deputados/131037</t>
  </si>
  <si>
    <t>ALMEIDA PRADO</t>
  </si>
  <si>
    <t>José Ulpiano de Almeida Prado</t>
  </si>
  <si>
    <t>https://dadosabertos.camara.leg.br/api/v2/deputados/130898</t>
  </si>
  <si>
    <t>ALOYSIO DE CASTRO</t>
  </si>
  <si>
    <t>Aloysio de Souza Castro</t>
  </si>
  <si>
    <t>https://dadosabertos.camara.leg.br/api/v2/deputados/130899</t>
  </si>
  <si>
    <t>ALOYSIO SHORT</t>
  </si>
  <si>
    <t>Aloysio da Costa Short</t>
  </si>
  <si>
    <t>https://dadosabertos.camara.leg.br/api/v2/deputados/131012</t>
  </si>
  <si>
    <t>ALTINO MACHADO</t>
  </si>
  <si>
    <t>José Altino Machado</t>
  </si>
  <si>
    <t>https://dadosabertos.camara.leg.br/api/v2/deputados/130900</t>
  </si>
  <si>
    <t>ÁLVARO CATÃO</t>
  </si>
  <si>
    <t>Álvaro Luiz Bocayuva Catão</t>
  </si>
  <si>
    <t>Imbituba</t>
  </si>
  <si>
    <t>https://dadosabertos.camara.leg.br/api/v2/deputados/130901</t>
  </si>
  <si>
    <t>AMÉRICO SILVA</t>
  </si>
  <si>
    <t>Américo Silva</t>
  </si>
  <si>
    <t>https://dadosabertos.camara.leg.br/api/v2/deputados/130903</t>
  </si>
  <si>
    <t>AMINTAS DE BARROS</t>
  </si>
  <si>
    <t>Amintas Ferreira de Barros</t>
  </si>
  <si>
    <t>https://dadosabertos.camara.leg.br/api/v2/deputados/130904</t>
  </si>
  <si>
    <t>ANÍSIO ROCHA</t>
  </si>
  <si>
    <t>Anísio de Alcântara Rocha</t>
  </si>
  <si>
    <t>Palmeiras</t>
  </si>
  <si>
    <t>https://dadosabertos.camara.leg.br/api/v2/deputados/130906</t>
  </si>
  <si>
    <t>ANTÔNIO BABY</t>
  </si>
  <si>
    <t>Antônio Baby</t>
  </si>
  <si>
    <t>https://dadosabertos.camara.leg.br/api/v2/deputados/130911</t>
  </si>
  <si>
    <t>ANTÔNIO DE BARROS</t>
  </si>
  <si>
    <t>Antônio Mendes de Barros</t>
  </si>
  <si>
    <t>https://dadosabertos.camara.leg.br/api/v2/deputados/3087</t>
  </si>
  <si>
    <t>ANTÔNIO JUCÁ</t>
  </si>
  <si>
    <t>Antônio Jorge de Queiroz Jucá</t>
  </si>
  <si>
    <t>https://dadosabertos.camara.leg.br/api/v2/deputados/130910</t>
  </si>
  <si>
    <t>ANTÔNIO LUCIANO</t>
  </si>
  <si>
    <t>Antônio Luciano Pereira Filho</t>
  </si>
  <si>
    <t>São Gotardo</t>
  </si>
  <si>
    <t>https://dadosabertos.camara.leg.br/api/v2/deputados/130913</t>
  </si>
  <si>
    <t>ARIOSTO AMADO</t>
  </si>
  <si>
    <t>Ariosto Mesquita Amado</t>
  </si>
  <si>
    <t>https://dadosabertos.camara.leg.br/api/v2/deputados/130914</t>
  </si>
  <si>
    <t>ARISTÓFANES FERNANDES</t>
  </si>
  <si>
    <t>Aristófanes Fernandes e Silva</t>
  </si>
  <si>
    <t>https://dadosabertos.camara.leg.br/api/v2/deputados/130915</t>
  </si>
  <si>
    <t>ARMANDO LEITE</t>
  </si>
  <si>
    <t>Armando Leite</t>
  </si>
  <si>
    <t>https://dadosabertos.camara.leg.br/api/v2/deputados/130916</t>
  </si>
  <si>
    <t>ARMANDO ROLLEMBERG</t>
  </si>
  <si>
    <t>Armando Leite Rollemberg</t>
  </si>
  <si>
    <t>Japaratuba</t>
  </si>
  <si>
    <t>https://dadosabertos.camara.leg.br/api/v2/deputados/130918</t>
  </si>
  <si>
    <t>ARNO ARNT</t>
  </si>
  <si>
    <t>Arno Fernando Arnt</t>
  </si>
  <si>
    <t>https://dadosabertos.camara.leg.br/api/v2/deputados/130919</t>
  </si>
  <si>
    <t>ARTUR EVARISTO</t>
  </si>
  <si>
    <t>Artur Evaristo de Aragão</t>
  </si>
  <si>
    <t>https://dadosabertos.camara.leg.br/api/v2/deputados/130920</t>
  </si>
  <si>
    <t>ARY PITOMBO</t>
  </si>
  <si>
    <t>Ary Botto Pitombo</t>
  </si>
  <si>
    <t>https://dadosabertos.camara.leg.br/api/v2/deputados/130922</t>
  </si>
  <si>
    <t>AUDÍZIO PINHEIRO</t>
  </si>
  <si>
    <t>Audízio Pinheiro</t>
  </si>
  <si>
    <t>https://dadosabertos.camara.leg.br/api/v2/deputados/130923</t>
  </si>
  <si>
    <t>AUGUSTO DE GREGÓRIO</t>
  </si>
  <si>
    <t>Augusto de Gregório</t>
  </si>
  <si>
    <t>https://dadosabertos.camara.leg.br/api/v2/deputados/130924</t>
  </si>
  <si>
    <t>ÁUREO DE MELLO</t>
  </si>
  <si>
    <t>Áureo Bringel de Mello</t>
  </si>
  <si>
    <t>https://dadosabertos.camara.leg.br/api/v2/deputados/131094</t>
  </si>
  <si>
    <t>BAETA NEVES</t>
  </si>
  <si>
    <t>Paulo Baeta Neves</t>
  </si>
  <si>
    <t>1898-08-02</t>
  </si>
  <si>
    <t>https://dadosabertos.camara.leg.br/api/v2/deputados/130921</t>
  </si>
  <si>
    <t>BAGUEIRA LEAL</t>
  </si>
  <si>
    <t>Asthenio Bagueira Leal</t>
  </si>
  <si>
    <t>1899-06-01</t>
  </si>
  <si>
    <t>https://dadosabertos.camara.leg.br/api/v2/deputados/130925</t>
  </si>
  <si>
    <t>BENEDITO CERQUEIRA</t>
  </si>
  <si>
    <t>Benedito Cerqueira</t>
  </si>
  <si>
    <t>https://dadosabertos.camara.leg.br/api/v2/deputados/130926</t>
  </si>
  <si>
    <t>BENEDITO VAZ</t>
  </si>
  <si>
    <t>Benedito Vaz</t>
  </si>
  <si>
    <t>https://dadosabertos.camara.leg.br/api/v2/deputados/130927</t>
  </si>
  <si>
    <t>BERNARDO BELLO</t>
  </si>
  <si>
    <t>Bernardo Bello Pimentel Barbosa</t>
  </si>
  <si>
    <t>1894-08-20</t>
  </si>
  <si>
    <t>https://dadosabertos.camara.leg.br/api/v2/deputados/131085</t>
  </si>
  <si>
    <t>BILAC PINTO</t>
  </si>
  <si>
    <t>Olavo Bilac Pereira Pinto</t>
  </si>
  <si>
    <t>https://dadosabertos.camara.leg.br/api/v2/deputados/131019</t>
  </si>
  <si>
    <t>BURLAMAQUI DE MIRANDA</t>
  </si>
  <si>
    <t>José Edson Burlamaqui de Miranda</t>
  </si>
  <si>
    <t>Altamira</t>
  </si>
  <si>
    <t>https://dadosabertos.camara.leg.br/api/v2/deputados/130928</t>
  </si>
  <si>
    <t>Carlos Alberto Cincurá</t>
  </si>
  <si>
    <t>https://dadosabertos.camara.leg.br/api/v2/deputados/130930</t>
  </si>
  <si>
    <t>CARLOS GOMES</t>
  </si>
  <si>
    <t>Carlos Gomes de Barros</t>
  </si>
  <si>
    <t>https://dadosabertos.camara.leg.br/api/v2/deputados/130931</t>
  </si>
  <si>
    <t>CARLOS MURILO</t>
  </si>
  <si>
    <t>Carlos Murilo Felício dos Santos</t>
  </si>
  <si>
    <t>https://dadosabertos.camara.leg.br/api/v2/deputados/130929</t>
  </si>
  <si>
    <t>CARLOS WERNECK</t>
  </si>
  <si>
    <t>Carlos Alberto Werneck</t>
  </si>
  <si>
    <t>https://dadosabertos.camara.leg.br/api/v2/deputados/130902</t>
  </si>
  <si>
    <t>CARVALHO DA SILVA</t>
  </si>
  <si>
    <t>Amílcar Carvalho da Silva</t>
  </si>
  <si>
    <t>https://dadosabertos.camara.leg.br/api/v2/deputados/131006</t>
  </si>
  <si>
    <t>CARVALHO NETO</t>
  </si>
  <si>
    <t>Joaquim Inácio de Carvalho Netto</t>
  </si>
  <si>
    <t>https://dadosabertos.camara.leg.br/api/v2/deputados/130976</t>
  </si>
  <si>
    <t>CASTRO COSTA</t>
  </si>
  <si>
    <t>Gerson de Castro Costa</t>
  </si>
  <si>
    <t>Trindade</t>
  </si>
  <si>
    <t>https://dadosabertos.camara.leg.br/api/v2/deputados/130932</t>
  </si>
  <si>
    <t>CELSO GENEROSO</t>
  </si>
  <si>
    <t>Celso Generoso Pereira</t>
  </si>
  <si>
    <t>Sabinópolis</t>
  </si>
  <si>
    <t>https://dadosabertos.camara.leg.br/api/v2/deputados/130878</t>
  </si>
  <si>
    <t>CELSO MURTA</t>
  </si>
  <si>
    <t>Celso Claro Horta Murta</t>
  </si>
  <si>
    <t>https://dadosabertos.camara.leg.br/api/v2/deputados/130933</t>
  </si>
  <si>
    <t>CÉSAR PRIETO</t>
  </si>
  <si>
    <t>César Prieto</t>
  </si>
  <si>
    <t>https://dadosabertos.camara.leg.br/api/v2/deputados/130934</t>
  </si>
  <si>
    <t>CESÁRIO COIMBRA</t>
  </si>
  <si>
    <t>Cesário Guilherme Coimbra</t>
  </si>
  <si>
    <t>https://dadosabertos.camara.leg.br/api/v2/deputados/130936</t>
  </si>
  <si>
    <t>CLAY ARAÚJO</t>
  </si>
  <si>
    <t>Clay Hardmann de Araújo</t>
  </si>
  <si>
    <t>https://dadosabertos.camara.leg.br/api/v2/deputados/130937</t>
  </si>
  <si>
    <t>CLODOMIR MILLET</t>
  </si>
  <si>
    <t>Clodomir Teixeira Millet</t>
  </si>
  <si>
    <t>https://dadosabertos.camara.leg.br/api/v2/deputados/130938</t>
  </si>
  <si>
    <t>CLOVIS MOTTA</t>
  </si>
  <si>
    <t>Clovis Coutinho da Motta</t>
  </si>
  <si>
    <t>https://dadosabertos.camara.leg.br/api/v2/deputados/130895</t>
  </si>
  <si>
    <t>CONDEIXA FILHO</t>
  </si>
  <si>
    <t>Alfredo Condeixa Filho</t>
  </si>
  <si>
    <t>https://dadosabertos.camara.leg.br/api/v2/deputados/131138</t>
  </si>
  <si>
    <t>Yttrio Corrêa da Costa</t>
  </si>
  <si>
    <t>1895-07-07</t>
  </si>
  <si>
    <t>https://dadosabertos.camara.leg.br/api/v2/deputados/131020</t>
  </si>
  <si>
    <t>COSTA LIMA</t>
  </si>
  <si>
    <t>José Flávio Leite Costa Lima</t>
  </si>
  <si>
    <t>https://dadosabertos.camara.leg.br/api/v2/deputados/131074</t>
  </si>
  <si>
    <t>COSTA REGO</t>
  </si>
  <si>
    <t>Murilo Barros Costa Rego</t>
  </si>
  <si>
    <t>https://dadosabertos.camara.leg.br/api/v2/deputados/130941</t>
  </si>
  <si>
    <t>CROACY OLIVEIRA</t>
  </si>
  <si>
    <t>Croacy Cavalheiro de Oliveira</t>
  </si>
  <si>
    <t>https://dadosabertos.camara.leg.br/api/v2/deputados/130935</t>
  </si>
  <si>
    <t>CYRO AGUIAR MACIEL</t>
  </si>
  <si>
    <t>Cyro de Aguiar Maciel</t>
  </si>
  <si>
    <t>Piranga</t>
  </si>
  <si>
    <t>https://dadosabertos.camara.leg.br/api/v2/deputados/130907</t>
  </si>
  <si>
    <t>D'ÁVILA LINS</t>
  </si>
  <si>
    <t>Antônio d'Ávila Lins</t>
  </si>
  <si>
    <t>https://dadosabertos.camara.leg.br/api/v2/deputados/130942</t>
  </si>
  <si>
    <t>DAGER SERRA</t>
  </si>
  <si>
    <t>Dager de Souza Serra</t>
  </si>
  <si>
    <t>https://dadosabertos.camara.leg.br/api/v2/deputados/130943</t>
  </si>
  <si>
    <t>DALTON LIMA</t>
  </si>
  <si>
    <t>Dalton Cordeiro de Lima</t>
  </si>
  <si>
    <t>https://dadosabertos.camara.leg.br/api/v2/deputados/130944</t>
  </si>
  <si>
    <t>DEMISTHOCLIDES BATISTA</t>
  </si>
  <si>
    <t>Demisthoclides Batista</t>
  </si>
  <si>
    <t>https://dadosabertos.camara.leg.br/api/v2/deputados/130945</t>
  </si>
  <si>
    <t>DERVILLE ALLEGRETTI</t>
  </si>
  <si>
    <t>Derville Allegretti</t>
  </si>
  <si>
    <t>https://dadosabertos.camara.leg.br/api/v2/deputados/130946</t>
  </si>
  <si>
    <t>DIOMÍCIO FREITAS</t>
  </si>
  <si>
    <t>Diomício Manoel de Freitas</t>
  </si>
  <si>
    <t>https://dadosabertos.camara.leg.br/api/v2/deputados/130947</t>
  </si>
  <si>
    <t>DJACIR ARRUDA</t>
  </si>
  <si>
    <t>Djacir Cavalcanti de Arruda</t>
  </si>
  <si>
    <t>https://dadosabertos.camara.leg.br/api/v2/deputados/130948</t>
  </si>
  <si>
    <t>DJALMA PASSOS</t>
  </si>
  <si>
    <t>Djalma Vieira Passos</t>
  </si>
  <si>
    <t>https://dadosabertos.camara.leg.br/api/v2/deputados/130949</t>
  </si>
  <si>
    <t>DULCINO MONTEIRO</t>
  </si>
  <si>
    <t>Dulcino Monteiro de Castro</t>
  </si>
  <si>
    <t>https://dadosabertos.camara.leg.br/api/v2/deputados/130950</t>
  </si>
  <si>
    <t>EDILBERTO CASTRO</t>
  </si>
  <si>
    <t>Edilberto Ribeiro de Castro</t>
  </si>
  <si>
    <t>https://dadosabertos.camara.leg.br/api/v2/deputados/130951</t>
  </si>
  <si>
    <t>EDISON FERREIRA</t>
  </si>
  <si>
    <t>Edison Dias Ferreira</t>
  </si>
  <si>
    <t>https://dadosabertos.camara.leg.br/api/v2/deputados/130952</t>
  </si>
  <si>
    <t>ELIAS NACLE</t>
  </si>
  <si>
    <t>Elias Nacle</t>
  </si>
  <si>
    <t>Borebi</t>
  </si>
  <si>
    <t>https://dadosabertos.camara.leg.br/api/v2/deputados/130953</t>
  </si>
  <si>
    <t>ELIAS SALAME</t>
  </si>
  <si>
    <t>Elias Salame da Silva</t>
  </si>
  <si>
    <t>Benevides</t>
  </si>
  <si>
    <t>https://dadosabertos.camara.leg.br/api/v2/deputados/130954</t>
  </si>
  <si>
    <t>ELOY DUTRA</t>
  </si>
  <si>
    <t>Eloy Ângelo Coutinho Dutra</t>
  </si>
  <si>
    <t>https://dadosabertos.camara.leg.br/api/v2/deputados/130955</t>
  </si>
  <si>
    <t>EPAMINONDAS DOS SANTOS</t>
  </si>
  <si>
    <t>Epaminondas Gomes dos Santos</t>
  </si>
  <si>
    <t>1891-11-04</t>
  </si>
  <si>
    <t>https://dadosabertos.camara.leg.br/api/v2/deputados/130956</t>
  </si>
  <si>
    <t>EPÍLOGO DE CAMPOS</t>
  </si>
  <si>
    <t>Epílogo de Gonçalves Campos</t>
  </si>
  <si>
    <t>https://dadosabertos.camara.leg.br/api/v2/deputados/130957</t>
  </si>
  <si>
    <t>ESMERINO ARRUDA</t>
  </si>
  <si>
    <t>Esmerino Oliveira Arruda Coelho</t>
  </si>
  <si>
    <t>https://dadosabertos.camara.leg.br/api/v2/deputados/131005</t>
  </si>
  <si>
    <t>ESPEDITO RODRIGUES</t>
  </si>
  <si>
    <t>Joaquim Espedito Rodrigues</t>
  </si>
  <si>
    <t>https://dadosabertos.camara.leg.br/api/v2/deputados/3133</t>
  </si>
  <si>
    <t>EUCLIDES MENDONÇA</t>
  </si>
  <si>
    <t>Euclides Paes Mendonça</t>
  </si>
  <si>
    <t>https://dadosabertos.camara.leg.br/api/v2/deputados/130959</t>
  </si>
  <si>
    <t>EUCLIDES WICAR</t>
  </si>
  <si>
    <t>Euclides Wicar de Castro Parente Pessoa</t>
  </si>
  <si>
    <t>https://dadosabertos.camara.leg.br/api/v2/deputados/130960</t>
  </si>
  <si>
    <t>EURICO DE OLIVEIRA</t>
  </si>
  <si>
    <t>Eurico Garcia Alves de Oliveira</t>
  </si>
  <si>
    <t>https://dadosabertos.camara.leg.br/api/v2/deputados/130961</t>
  </si>
  <si>
    <t>EUVALDO DINIZ</t>
  </si>
  <si>
    <t>Euvaldo Diniz Gonçalves</t>
  </si>
  <si>
    <t>https://dadosabertos.camara.leg.br/api/v2/deputados/130962</t>
  </si>
  <si>
    <t>FAUSTO BRASIL</t>
  </si>
  <si>
    <t>Fausto Lobo Brasil</t>
  </si>
  <si>
    <t>https://dadosabertos.camara.leg.br/api/v2/deputados/130963</t>
  </si>
  <si>
    <t>FELIPE ASSEF</t>
  </si>
  <si>
    <t>Felipe Assef</t>
  </si>
  <si>
    <t>https://dadosabertos.camara.leg.br/api/v2/deputados/130964</t>
  </si>
  <si>
    <t>FELIX VALOIS</t>
  </si>
  <si>
    <t>Felix Valois de Araújo</t>
  </si>
  <si>
    <t>https://dadosabertos.camara.leg.br/api/v2/deputados/130939</t>
  </si>
  <si>
    <t>FERRO COSTA</t>
  </si>
  <si>
    <t>Clóvis Ferro Costa</t>
  </si>
  <si>
    <t>Passagem Franca</t>
  </si>
  <si>
    <t>https://dadosabertos.camara.leg.br/api/v2/deputados/131021</t>
  </si>
  <si>
    <t>FONTES TORRES</t>
  </si>
  <si>
    <t>José Fontes Torres</t>
  </si>
  <si>
    <t>https://dadosabertos.camara.leg.br/api/v2/deputados/130968</t>
  </si>
  <si>
    <t>FRANCISCO ADEODATO</t>
  </si>
  <si>
    <t>Francisco Mendes Adeodato</t>
  </si>
  <si>
    <t>https://dadosabertos.camara.leg.br/api/v2/deputados/131145</t>
  </si>
  <si>
    <t>FRANCISCO ELESBÃO</t>
  </si>
  <si>
    <t>Francisco Elesbão da Silva</t>
  </si>
  <si>
    <t>https://dadosabertos.camara.leg.br/api/v2/deputados/130967</t>
  </si>
  <si>
    <t>FRANCISCO JULIÃO</t>
  </si>
  <si>
    <t>Francisco Julião Arruda de Paula</t>
  </si>
  <si>
    <t>https://dadosabertos.camara.leg.br/api/v2/deputados/130965</t>
  </si>
  <si>
    <t>FRANCISCO MACEDO</t>
  </si>
  <si>
    <t>Francisco de Araújo Macedo</t>
  </si>
  <si>
    <t>1897-09-08</t>
  </si>
  <si>
    <t>https://dadosabertos.camara.leg.br/api/v2/deputados/130969</t>
  </si>
  <si>
    <t>FRANCISCO SCARPA</t>
  </si>
  <si>
    <t>Francisco Scarpa</t>
  </si>
  <si>
    <t>https://dadosabertos.camara.leg.br/api/v2/deputados/130970</t>
  </si>
  <si>
    <t>GABRIEL GONÇALVES</t>
  </si>
  <si>
    <t>Gabriel Gonçalves da Silva</t>
  </si>
  <si>
    <t>https://dadosabertos.camara.leg.br/api/v2/deputados/130908</t>
  </si>
  <si>
    <t>GARCIA FILHO</t>
  </si>
  <si>
    <t>Antônio Garcia Filho</t>
  </si>
  <si>
    <t>https://dadosabertos.camara.leg.br/api/v2/deputados/130993</t>
  </si>
  <si>
    <t>GAYOSO E ALMENDRA</t>
  </si>
  <si>
    <t>Jacob Manoel Gayoso e Almendra</t>
  </si>
  <si>
    <t>1899-10-03</t>
  </si>
  <si>
    <t>https://dadosabertos.camara.leg.br/api/v2/deputados/130973</t>
  </si>
  <si>
    <t>GERALDO BARROS</t>
  </si>
  <si>
    <t>Geraldo Pereira de Barros</t>
  </si>
  <si>
    <t>https://dadosabertos.camara.leg.br/api/v2/deputados/130971</t>
  </si>
  <si>
    <t>GERALDO SAMPAIO</t>
  </si>
  <si>
    <t>Geraldo Costa Sampaio</t>
  </si>
  <si>
    <t>https://dadosabertos.camara.leg.br/api/v2/deputados/130974</t>
  </si>
  <si>
    <t>GEREMIAS FONTES</t>
  </si>
  <si>
    <t>Geremias de Mattos Fontes</t>
  </si>
  <si>
    <t>https://dadosabertos.camara.leg.br/api/v2/deputados/130975</t>
  </si>
  <si>
    <t>GERMINAL FEIJÓ</t>
  </si>
  <si>
    <t>Germinal Feijó</t>
  </si>
  <si>
    <t>https://dadosabertos.camara.leg.br/api/v2/deputados/130909</t>
  </si>
  <si>
    <t>GIL VELLOZO</t>
  </si>
  <si>
    <t>Antônio Gil Vellozo</t>
  </si>
  <si>
    <t>https://dadosabertos.camara.leg.br/api/v2/deputados/130977</t>
  </si>
  <si>
    <t>GILBERTO MESTRINHO</t>
  </si>
  <si>
    <t>Gilberto Mestrinho de Medeiros Raposo</t>
  </si>
  <si>
    <t>https://dadosabertos.camara.leg.br/api/v2/deputados/131134</t>
  </si>
  <si>
    <t>GIORDANO ALVES</t>
  </si>
  <si>
    <t>Walter Giordano Alves</t>
  </si>
  <si>
    <t>Itaqui</t>
  </si>
  <si>
    <t>https://dadosabertos.camara.leg.br/api/v2/deputados/130892</t>
  </si>
  <si>
    <t>GUERREIRO RAMOS</t>
  </si>
  <si>
    <t>Alberto Guerreiro Ramos</t>
  </si>
  <si>
    <t>https://dadosabertos.camara.leg.br/api/v2/deputados/130978</t>
  </si>
  <si>
    <t>HAMILTON NOGUEIRA</t>
  </si>
  <si>
    <t>Hamilton de Lacerda Nogueira</t>
  </si>
  <si>
    <t>1897-01-14</t>
  </si>
  <si>
    <t>https://dadosabertos.camara.leg.br/api/v2/deputados/130979</t>
  </si>
  <si>
    <t>HAROLDO CAVALCANTI</t>
  </si>
  <si>
    <t>Haroldo Correa Cavalcanti</t>
  </si>
  <si>
    <t>https://dadosabertos.camara.leg.br/api/v2/deputados/130980</t>
  </si>
  <si>
    <t>HAROLDO DUARTE</t>
  </si>
  <si>
    <t>Haroldo Silva Duarte</t>
  </si>
  <si>
    <t>https://dadosabertos.camara.leg.br/api/v2/deputados/130981</t>
  </si>
  <si>
    <t>HEGEL MORHY</t>
  </si>
  <si>
    <t>Hegel Morhy</t>
  </si>
  <si>
    <t>https://dadosabertos.camara.leg.br/api/v2/deputados/130982</t>
  </si>
  <si>
    <t>HÉLCIO MAGHENZANI</t>
  </si>
  <si>
    <t>Hélcio Maghenzani</t>
  </si>
  <si>
    <t>https://dadosabertos.camara.leg.br/api/v2/deputados/130983</t>
  </si>
  <si>
    <t>HELI RIBEIRO</t>
  </si>
  <si>
    <t>Heli Ribeiro Gomes</t>
  </si>
  <si>
    <t>https://dadosabertos.camara.leg.br/api/v2/deputados/130984</t>
  </si>
  <si>
    <t>HÉLIO RAMOS</t>
  </si>
  <si>
    <t>Hélio Vitor Ramos</t>
  </si>
  <si>
    <t>https://dadosabertos.camara.leg.br/api/v2/deputados/130986</t>
  </si>
  <si>
    <t>HENRIQUE LIMA</t>
  </si>
  <si>
    <t>Henrique Lima Santos</t>
  </si>
  <si>
    <t>https://dadosabertos.camara.leg.br/api/v2/deputados/130985</t>
  </si>
  <si>
    <t>HENRIQUE OEST</t>
  </si>
  <si>
    <t>Henrique Cordeiro Oest</t>
  </si>
  <si>
    <t>https://dadosabertos.camara.leg.br/api/v2/deputados/130987</t>
  </si>
  <si>
    <t>HERMÓGENES PRÍNCIPE</t>
  </si>
  <si>
    <t>Hermógenes Príncipe Oliveira</t>
  </si>
  <si>
    <t>https://dadosabertos.camara.leg.br/api/v2/deputados/131022</t>
  </si>
  <si>
    <t>HORÁCIO BETHÔNICO</t>
  </si>
  <si>
    <t>José Horácio Bethônico</t>
  </si>
  <si>
    <t>https://dadosabertos.camara.leg.br/api/v2/deputados/130988</t>
  </si>
  <si>
    <t>HUGO BORGHI</t>
  </si>
  <si>
    <t>Hugo Borghi</t>
  </si>
  <si>
    <t>https://dadosabertos.camara.leg.br/api/v2/deputados/130989</t>
  </si>
  <si>
    <t>HUMBERTO EL-JAICK</t>
  </si>
  <si>
    <t>Humberto El-Jaick</t>
  </si>
  <si>
    <t>https://dadosabertos.camara.leg.br/api/v2/deputados/130990</t>
  </si>
  <si>
    <t>IVAN BICHARA</t>
  </si>
  <si>
    <t>Ivan Bichara Sobreira</t>
  </si>
  <si>
    <t>https://dadosabertos.camara.leg.br/api/v2/deputados/130991</t>
  </si>
  <si>
    <t>IVAN LUZ</t>
  </si>
  <si>
    <t>Ivan Luz</t>
  </si>
  <si>
    <t>https://dadosabertos.camara.leg.br/api/v2/deputados/130992</t>
  </si>
  <si>
    <t>JACOB FRANTZ</t>
  </si>
  <si>
    <t>Jacob Guilherme Frantz</t>
  </si>
  <si>
    <t>https://dadosabertos.camara.leg.br/api/v2/deputados/131024</t>
  </si>
  <si>
    <t>JOÃO ABDALA</t>
  </si>
  <si>
    <t>José João Abdalla</t>
  </si>
  <si>
    <t>https://dadosabertos.camara.leg.br/api/v2/deputados/130999</t>
  </si>
  <si>
    <t>JOÃO CLEOFAS</t>
  </si>
  <si>
    <t>João Cleophas de Oliveira</t>
  </si>
  <si>
    <t>1899-09-22</t>
  </si>
  <si>
    <t>https://dadosabertos.camara.leg.br/api/v2/deputados/130994</t>
  </si>
  <si>
    <t>JOÃO DÓRIA</t>
  </si>
  <si>
    <t>João Agripino da Costa Dória</t>
  </si>
  <si>
    <t>https://dadosabertos.camara.leg.br/api/v2/deputados/130996</t>
  </si>
  <si>
    <t>JOÃO LISBOA</t>
  </si>
  <si>
    <t>João Batista Lisboa</t>
  </si>
  <si>
    <t>https://dadosabertos.camara.leg.br/api/v2/deputados/131001</t>
  </si>
  <si>
    <t>João Mendes da Costa Filho</t>
  </si>
  <si>
    <t>https://dadosabertos.camara.leg.br/api/v2/deputados/130997</t>
  </si>
  <si>
    <t>João Batista Ribeiro Júnior</t>
  </si>
  <si>
    <t>Campina Grande do Sul</t>
  </si>
  <si>
    <t>https://dadosabertos.camara.leg.br/api/v2/deputados/131004</t>
  </si>
  <si>
    <t>JOÃO SIMÕES</t>
  </si>
  <si>
    <t>João Simões</t>
  </si>
  <si>
    <t>https://dadosabertos.camara.leg.br/api/v2/deputados/130998</t>
  </si>
  <si>
    <t>JOÃO VEIGA</t>
  </si>
  <si>
    <t>João de Brito Albuquerque Veiga Filho</t>
  </si>
  <si>
    <t>https://dadosabertos.camara.leg.br/api/v2/deputados/131008</t>
  </si>
  <si>
    <t>JOEL BARBOSA</t>
  </si>
  <si>
    <t>Joel Barbosa Ribeiro</t>
  </si>
  <si>
    <t>Parnarama</t>
  </si>
  <si>
    <t>https://dadosabertos.camara.leg.br/api/v2/deputados/131009</t>
  </si>
  <si>
    <t>JORGE KALUME</t>
  </si>
  <si>
    <t>Jorge Kalume</t>
  </si>
  <si>
    <t>https://dadosabertos.camara.leg.br/api/v2/deputados/131010</t>
  </si>
  <si>
    <t>JOSAPHAT BORGES</t>
  </si>
  <si>
    <t>Josaphat Carlos Borges</t>
  </si>
  <si>
    <t>Frei Paulo</t>
  </si>
  <si>
    <t>https://dadosabertos.camara.leg.br/api/v2/deputados/131013</t>
  </si>
  <si>
    <t>JOSÉ BARBOSA</t>
  </si>
  <si>
    <t>José Barbosa</t>
  </si>
  <si>
    <t>https://dadosabertos.camara.leg.br/api/v2/deputados/131014</t>
  </si>
  <si>
    <t>JOSÉ BRITO</t>
  </si>
  <si>
    <t>José de Brito Freire Sobrinho</t>
  </si>
  <si>
    <t>https://dadosabertos.camara.leg.br/api/v2/deputados/131015</t>
  </si>
  <si>
    <t>JOSÉ CARLOS SOUZA</t>
  </si>
  <si>
    <t>José Carlos de Souza</t>
  </si>
  <si>
    <t>https://dadosabertos.camara.leg.br/api/v2/deputados/131017</t>
  </si>
  <si>
    <t>JOSÉ CRUCIANO</t>
  </si>
  <si>
    <t>José Cruciano de Araújo</t>
  </si>
  <si>
    <t>https://dadosabertos.camara.leg.br/api/v2/deputados/131023</t>
  </si>
  <si>
    <t>José Humberto Rodrigues da Cunha</t>
  </si>
  <si>
    <t>https://dadosabertos.camara.leg.br/api/v2/deputados/131030</t>
  </si>
  <si>
    <t>JOSÉ MENCK</t>
  </si>
  <si>
    <t>José Menck</t>
  </si>
  <si>
    <t>Paranapanema</t>
  </si>
  <si>
    <t>https://dadosabertos.camara.leg.br/api/v2/deputados/131032</t>
  </si>
  <si>
    <t>JOSÉ MORAES</t>
  </si>
  <si>
    <t>José Aristides de Moraes Filho</t>
  </si>
  <si>
    <t>https://dadosabertos.camara.leg.br/api/v2/deputados/131034</t>
  </si>
  <si>
    <t>JOSÉ PEDROSO</t>
  </si>
  <si>
    <t>José Pedroso Teixeira da Silva</t>
  </si>
  <si>
    <t>https://dadosabertos.camara.leg.br/api/v2/deputados/131018</t>
  </si>
  <si>
    <t>JOSÉ RIO</t>
  </si>
  <si>
    <t>José Damião de Souza Rio</t>
  </si>
  <si>
    <t>https://dadosabertos.camara.leg.br/api/v2/deputados/131036</t>
  </si>
  <si>
    <t>JOSÉ SARNEY</t>
  </si>
  <si>
    <t>José Sarney Costa</t>
  </si>
  <si>
    <t>https://dadosabertos.camara.leg.br/api/v2/deputados/131038</t>
  </si>
  <si>
    <t>JUAREZ TÁVORA</t>
  </si>
  <si>
    <t>Juarez do Nascimento Fernandes Távora</t>
  </si>
  <si>
    <t>1898-01-14</t>
  </si>
  <si>
    <t>https://dadosabertos.camara.leg.br/api/v2/deputados/131039</t>
  </si>
  <si>
    <t>JUSTINO MELO</t>
  </si>
  <si>
    <t>José Justino de Melo</t>
  </si>
  <si>
    <t>https://dadosabertos.camara.leg.br/api/v2/deputados/131026</t>
  </si>
  <si>
    <t>LAMARTINE TÁVORA</t>
  </si>
  <si>
    <t>José Lamartine Távora</t>
  </si>
  <si>
    <t>Orobó</t>
  </si>
  <si>
    <t>https://dadosabertos.camara.leg.br/api/v2/deputados/131040</t>
  </si>
  <si>
    <t>LAURENTINO PEREIRA</t>
  </si>
  <si>
    <t>Laurentino Pereira Neto</t>
  </si>
  <si>
    <t>https://dadosabertos.camara.leg.br/api/v2/deputados/131041</t>
  </si>
  <si>
    <t>LEONEL BRIZOLA</t>
  </si>
  <si>
    <t>Leonel de Moura Brizola</t>
  </si>
  <si>
    <t>https://dadosabertos.camara.leg.br/api/v2/deputados/131042</t>
  </si>
  <si>
    <t>LEOPOLDO MACIEL</t>
  </si>
  <si>
    <t>Leopoldo Dias Maciel</t>
  </si>
  <si>
    <t>https://dadosabertos.camara.leg.br/api/v2/deputados/131000</t>
  </si>
  <si>
    <t>LINO BRAUN</t>
  </si>
  <si>
    <t>João Lino Braun</t>
  </si>
  <si>
    <t>Estrela</t>
  </si>
  <si>
    <t>https://dadosabertos.camara.leg.br/api/v2/deputados/131043</t>
  </si>
  <si>
    <t>LINO MACHADO</t>
  </si>
  <si>
    <t>Lino Machado Filho</t>
  </si>
  <si>
    <t>https://dadosabertos.camara.leg.br/api/v2/deputados/131044</t>
  </si>
  <si>
    <t>LINO MORGANTI</t>
  </si>
  <si>
    <t>Lino Morganti</t>
  </si>
  <si>
    <t>https://dadosabertos.camara.leg.br/api/v2/deputados/131046</t>
  </si>
  <si>
    <t>LISANDRO PAIXÃO</t>
  </si>
  <si>
    <t>Lisandro Vieira da Paixão</t>
  </si>
  <si>
    <t>https://dadosabertos.camara.leg.br/api/v2/deputados/131047</t>
  </si>
  <si>
    <t>LISTER CALDAS</t>
  </si>
  <si>
    <t>Lister Segundo da Silveira Caldas</t>
  </si>
  <si>
    <t>https://dadosabertos.camara.leg.br/api/v2/deputados/131049</t>
  </si>
  <si>
    <t>LOPO DE CASTRO</t>
  </si>
  <si>
    <t>Lopo do Amazonas Álvares da Silva Castro</t>
  </si>
  <si>
    <t>https://dadosabertos.camara.leg.br/api/v2/deputados/131027</t>
  </si>
  <si>
    <t>LOURENÇO COLARES</t>
  </si>
  <si>
    <t>José Lourenço Colares</t>
  </si>
  <si>
    <t>https://dadosabertos.camara.leg.br/api/v2/deputados/131051</t>
  </si>
  <si>
    <t>LOURIVAL BAPTISTA</t>
  </si>
  <si>
    <t>Lourival Baptista</t>
  </si>
  <si>
    <t>https://dadosabertos.camara.leg.br/api/v2/deputados/131050</t>
  </si>
  <si>
    <t>LOURIVAL DE ALMEIDA</t>
  </si>
  <si>
    <t>Lourival de Almeida</t>
  </si>
  <si>
    <t>1899-03-09</t>
  </si>
  <si>
    <t>Guarapari</t>
  </si>
  <si>
    <t>https://dadosabertos.camara.leg.br/api/v2/deputados/131052</t>
  </si>
  <si>
    <t>LUCIANO MACHADO</t>
  </si>
  <si>
    <t>Luciano Correa Machado</t>
  </si>
  <si>
    <t>https://dadosabertos.camara.leg.br/api/v2/deputados/131028</t>
  </si>
  <si>
    <t>LUDOVICO DE ALMEIDA</t>
  </si>
  <si>
    <t>José Ludovico de Almeida</t>
  </si>
  <si>
    <t>https://dadosabertos.camara.leg.br/api/v2/deputados/131054</t>
  </si>
  <si>
    <t>LUIZ BATTISTOTTI</t>
  </si>
  <si>
    <t>Luiz Battistotti</t>
  </si>
  <si>
    <t>https://dadosabertos.camara.leg.br/api/v2/deputados/131055</t>
  </si>
  <si>
    <t>LUIZ BRONZEADO</t>
  </si>
  <si>
    <t>Luiz da Costa Araújo Bronzeado</t>
  </si>
  <si>
    <t>https://dadosabertos.camara.leg.br/api/v2/deputados/131056</t>
  </si>
  <si>
    <t>LUIZ FERNANDO FREIRE</t>
  </si>
  <si>
    <t>Luiz Fernando de Oliveira Freire</t>
  </si>
  <si>
    <t>https://dadosabertos.camara.leg.br/api/v2/deputados/131057</t>
  </si>
  <si>
    <t>LUIZ FRANCISCO</t>
  </si>
  <si>
    <t>Luiz Francisco da Silva Carvalho</t>
  </si>
  <si>
    <t>Cravinhos</t>
  </si>
  <si>
    <t>https://dadosabertos.camara.leg.br/api/v2/deputados/131059</t>
  </si>
  <si>
    <t>LUIZ PEREIRA DA SILVA</t>
  </si>
  <si>
    <t>Luiz Pereira da Silva</t>
  </si>
  <si>
    <t>https://dadosabertos.camara.leg.br/api/v2/deputados/131053</t>
  </si>
  <si>
    <t>LUIZ VIANA</t>
  </si>
  <si>
    <t>Luiz Viana Filho</t>
  </si>
  <si>
    <t>Paris</t>
  </si>
  <si>
    <t>https://dadosabertos.camara.leg.br/api/v2/deputados/131007</t>
  </si>
  <si>
    <t>LUSTOSA SOBRINHO</t>
  </si>
  <si>
    <t>Joaquim Lustosa Sobrinho</t>
  </si>
  <si>
    <t>Gilbués</t>
  </si>
  <si>
    <t>https://dadosabertos.camara.leg.br/api/v2/deputados/131048</t>
  </si>
  <si>
    <t>LYCURGO LEITE</t>
  </si>
  <si>
    <t>Licurgo Leite Filho</t>
  </si>
  <si>
    <t>https://dadosabertos.camara.leg.br/api/v2/deputados/131060</t>
  </si>
  <si>
    <t>MANUEL BARBUDA</t>
  </si>
  <si>
    <t>Manuel José Machado Barbuda</t>
  </si>
  <si>
    <t>https://dadosabertos.camara.leg.br/api/v2/deputados/131063</t>
  </si>
  <si>
    <t>MARCELO SANFORD</t>
  </si>
  <si>
    <t>Marcelo Sanford de Barros</t>
  </si>
  <si>
    <t>https://dadosabertos.camara.leg.br/api/v2/deputados/131064</t>
  </si>
  <si>
    <t>MARCIAL TERRA</t>
  </si>
  <si>
    <t>Marcial Gonçalves Terra</t>
  </si>
  <si>
    <t>1889-07-30</t>
  </si>
  <si>
    <t>https://dadosabertos.camara.leg.br/api/v2/deputados/131065</t>
  </si>
  <si>
    <t>MARCO ANTÔNIO</t>
  </si>
  <si>
    <t>Marco Antônio Tavares Coelho</t>
  </si>
  <si>
    <t>https://dadosabertos.camara.leg.br/api/v2/deputados/131061</t>
  </si>
  <si>
    <t>MARINHO MONTE</t>
  </si>
  <si>
    <t>Manoel Marinho Monte</t>
  </si>
  <si>
    <t>https://dadosabertos.camara.leg.br/api/v2/deputados/131066</t>
  </si>
  <si>
    <t>MÁRIO GOMES</t>
  </si>
  <si>
    <t>Mário Gomes da Silva</t>
  </si>
  <si>
    <t>1898-03-20</t>
  </si>
  <si>
    <t>https://dadosabertos.camara.leg.br/api/v2/deputados/131029</t>
  </si>
  <si>
    <t>MATTOS CARVALHO</t>
  </si>
  <si>
    <t>José de Mattos Carvalho</t>
  </si>
  <si>
    <t>https://dadosabertos.camara.leg.br/api/v2/deputados/131067</t>
  </si>
  <si>
    <t>MAX DA COSTA SANTOS</t>
  </si>
  <si>
    <t>Max José da Costa Santos</t>
  </si>
  <si>
    <t>https://dadosabertos.camara.leg.br/api/v2/deputados/130972</t>
  </si>
  <si>
    <t>MELLO MOURÃO</t>
  </si>
  <si>
    <t>Gerardo Majella Mello Mourão</t>
  </si>
  <si>
    <t>Ipueiras</t>
  </si>
  <si>
    <t>https://dadosabertos.camara.leg.br/api/v2/deputados/131068</t>
  </si>
  <si>
    <t>MIGUEL BAHURY</t>
  </si>
  <si>
    <t>Miguel Antônio Bahury</t>
  </si>
  <si>
    <t>https://dadosabertos.camara.leg.br/api/v2/deputados/131069</t>
  </si>
  <si>
    <t>MIGUEL BUFFARA</t>
  </si>
  <si>
    <t>Miguel Buffara</t>
  </si>
  <si>
    <t>https://dadosabertos.camara.leg.br/api/v2/deputados/131070</t>
  </si>
  <si>
    <t>MIGUEL MARCONDES</t>
  </si>
  <si>
    <t>Miguel Marcondes Armando</t>
  </si>
  <si>
    <t>https://dadosabertos.camara.leg.br/api/v2/deputados/131071</t>
  </si>
  <si>
    <t>MILLO CAMMAROSANO</t>
  </si>
  <si>
    <t>Millo Cammarosano</t>
  </si>
  <si>
    <t>Boa Esperança do Sul</t>
  </si>
  <si>
    <t>https://dadosabertos.camara.leg.br/api/v2/deputados/131072</t>
  </si>
  <si>
    <t>MILTON DUTRA</t>
  </si>
  <si>
    <t>Milton Garcia Dutra</t>
  </si>
  <si>
    <t>https://dadosabertos.camara.leg.br/api/v2/deputados/130940</t>
  </si>
  <si>
    <t>MOREIRA DA ROCHA</t>
  </si>
  <si>
    <t>Crisanto Moreira da Rocha</t>
  </si>
  <si>
    <t>https://dadosabertos.camara.leg.br/api/v2/deputados/131002</t>
  </si>
  <si>
    <t>MOURA SANTOS</t>
  </si>
  <si>
    <t>João de Moura Santos</t>
  </si>
  <si>
    <t>https://dadosabertos.camara.leg.br/api/v2/deputados/131073</t>
  </si>
  <si>
    <t>MOYSÉS LUPION</t>
  </si>
  <si>
    <t>Moysés Lupion de Troya</t>
  </si>
  <si>
    <t>https://dadosabertos.camara.leg.br/api/v2/deputados/131121</t>
  </si>
  <si>
    <t>MUNIZ FALCÃO</t>
  </si>
  <si>
    <t>Sebastião Marinho Muniz Falcão</t>
  </si>
  <si>
    <t>Ouricuri</t>
  </si>
  <si>
    <t>https://dadosabertos.camara.leg.br/api/v2/deputados/131075</t>
  </si>
  <si>
    <t>NAPOLEÃO FONTENELE</t>
  </si>
  <si>
    <t>Napoleão Fontenele da Silveira</t>
  </si>
  <si>
    <t>https://dadosabertos.camara.leg.br/api/v2/deputados/131077</t>
  </si>
  <si>
    <t>NEWTON CARNEIRO</t>
  </si>
  <si>
    <t>Newton Isaac da Silva Carneiro</t>
  </si>
  <si>
    <t>https://dadosabertos.camara.leg.br/api/v2/deputados/131079</t>
  </si>
  <si>
    <t>Nilo de Souza Coelho</t>
  </si>
  <si>
    <t>https://dadosabertos.camara.leg.br/api/v2/deputados/131090</t>
  </si>
  <si>
    <t>NORONHA FILHO</t>
  </si>
  <si>
    <t>Oscar Noronha Filho</t>
  </si>
  <si>
    <t>Caxambu</t>
  </si>
  <si>
    <t>https://dadosabertos.camara.leg.br/api/v2/deputados/131080</t>
  </si>
  <si>
    <t>OCÉLIO DE MEDEIROS</t>
  </si>
  <si>
    <t>Océlio de Medeiros</t>
  </si>
  <si>
    <t>https://dadosabertos.camara.leg.br/api/v2/deputados/131083</t>
  </si>
  <si>
    <t>ODIR ARAUJO</t>
  </si>
  <si>
    <t>Odir Araujo</t>
  </si>
  <si>
    <t>https://dadosabertos.camara.leg.br/api/v2/deputados/131084</t>
  </si>
  <si>
    <t>ODORICO SANTANA</t>
  </si>
  <si>
    <t>Odorico Leite Santana</t>
  </si>
  <si>
    <t>https://dadosabertos.camara.leg.br/api/v2/deputados/131086</t>
  </si>
  <si>
    <t>OLAVO COSTA</t>
  </si>
  <si>
    <t>Olavo Augusto da Costa</t>
  </si>
  <si>
    <t>https://dadosabertos.camara.leg.br/api/v2/deputados/131062</t>
  </si>
  <si>
    <t>OLIVEIRA FRANCO</t>
  </si>
  <si>
    <t>Manoel de Oliveira Franco Sobrinho</t>
  </si>
  <si>
    <t>https://dadosabertos.camara.leg.br/api/v2/deputados/131087</t>
  </si>
  <si>
    <t>ONILDO SAMPAIO</t>
  </si>
  <si>
    <t>Onildo Osmar Sampaio</t>
  </si>
  <si>
    <t>https://dadosabertos.camara.leg.br/api/v2/deputados/131088</t>
  </si>
  <si>
    <t>ORMEO BOTELHO</t>
  </si>
  <si>
    <t>Ormeo Junqueira Botelho</t>
  </si>
  <si>
    <t>1897-03-13</t>
  </si>
  <si>
    <t>Leopoldina</t>
  </si>
  <si>
    <t>https://dadosabertos.camara.leg.br/api/v2/deputados/131078</t>
  </si>
  <si>
    <t>ORTIZ BORGES</t>
  </si>
  <si>
    <t>Ney Ortiz Borges</t>
  </si>
  <si>
    <t>https://dadosabertos.camara.leg.br/api/v2/deputados/131089</t>
  </si>
  <si>
    <t>Oscar Dias Corrêa</t>
  </si>
  <si>
    <t>https://dadosabertos.camara.leg.br/api/v2/deputados/131091</t>
  </si>
  <si>
    <t>OSMAR GRAFULHA</t>
  </si>
  <si>
    <t>Osmar da Rocha Grafulha</t>
  </si>
  <si>
    <t>https://dadosabertos.camara.leg.br/api/v2/deputados/131092</t>
  </si>
  <si>
    <t>OTÁVIO MARIA</t>
  </si>
  <si>
    <t>Otávio Rodrigues Maria</t>
  </si>
  <si>
    <t>https://dadosabertos.camara.leg.br/api/v2/deputados/131033</t>
  </si>
  <si>
    <t>PADRE PALHANO</t>
  </si>
  <si>
    <t>José Palhano de Sabóia</t>
  </si>
  <si>
    <t>https://dadosabertos.camara.leg.br/api/v2/deputados/131122</t>
  </si>
  <si>
    <t>PAES DE ALMEIDA</t>
  </si>
  <si>
    <t>Sebastião Paes de Almeida</t>
  </si>
  <si>
    <t>https://dadosabertos.camara.leg.br/api/v2/deputados/131058</t>
  </si>
  <si>
    <t>PAIVA MUNIZ</t>
  </si>
  <si>
    <t>Luiz Gonzaga de Paiva Muniz</t>
  </si>
  <si>
    <t>https://dadosabertos.camara.leg.br/api/v2/deputados/131098</t>
  </si>
  <si>
    <t>PAULO COELHO</t>
  </si>
  <si>
    <t>Paulo Ramos Coelho</t>
  </si>
  <si>
    <t>https://dadosabertos.camara.leg.br/api/v2/deputados/131100</t>
  </si>
  <si>
    <t>PAULO DE TARSO</t>
  </si>
  <si>
    <t>Paulo de Tarso Santos</t>
  </si>
  <si>
    <t>https://dadosabertos.camara.leg.br/api/v2/deputados/131096</t>
  </si>
  <si>
    <t>PAULO LAURO</t>
  </si>
  <si>
    <t>Paulo Lauro</t>
  </si>
  <si>
    <t>Descalvado</t>
  </si>
  <si>
    <t>https://dadosabertos.camara.leg.br/api/v2/deputados/131095</t>
  </si>
  <si>
    <t>PAULO MANSUR</t>
  </si>
  <si>
    <t>Paulo Jorge Mansur</t>
  </si>
  <si>
    <t>Igarapava</t>
  </si>
  <si>
    <t>https://dadosabertos.camara.leg.br/api/v2/deputados/131097</t>
  </si>
  <si>
    <t>PAULO MONTANS</t>
  </si>
  <si>
    <t>Paulo Pimenta Montans</t>
  </si>
  <si>
    <t>https://dadosabertos.camara.leg.br/api/v2/deputados/131099</t>
  </si>
  <si>
    <t>PAULO SARASATE</t>
  </si>
  <si>
    <t>Paulo Sarasate Ferreira Lopes</t>
  </si>
  <si>
    <t>https://dadosabertos.camara.leg.br/api/v2/deputados/131102</t>
  </si>
  <si>
    <t>PEDRO ALEIXO</t>
  </si>
  <si>
    <t>Pedro Aleixo</t>
  </si>
  <si>
    <t>Mariana</t>
  </si>
  <si>
    <t>https://dadosabertos.camara.leg.br/api/v2/deputados/131101</t>
  </si>
  <si>
    <t>PEDRO ANSCHAU</t>
  </si>
  <si>
    <t>Pedro Affonso Anschau</t>
  </si>
  <si>
    <t>https://dadosabertos.camara.leg.br/api/v2/deputados/131103</t>
  </si>
  <si>
    <t>PEDRO BRAGA</t>
  </si>
  <si>
    <t>Pedro Braga Filho</t>
  </si>
  <si>
    <t>https://dadosabertos.camara.leg.br/api/v2/deputados/131104</t>
  </si>
  <si>
    <t>PEDRO CATALÃO</t>
  </si>
  <si>
    <t>Pedro Vilas Boas Catalão</t>
  </si>
  <si>
    <t>https://dadosabertos.camara.leg.br/api/v2/deputados/131105</t>
  </si>
  <si>
    <t>PEDRO ZIMMERMANN</t>
  </si>
  <si>
    <t>Pedro Zimmermann</t>
  </si>
  <si>
    <t>Gaspar</t>
  </si>
  <si>
    <t>https://dadosabertos.camara.leg.br/api/v2/deputados/131016</t>
  </si>
  <si>
    <t>PEDROSO JÚNIOR</t>
  </si>
  <si>
    <t>José Correia Pedroso Júnior</t>
  </si>
  <si>
    <t>https://dadosabertos.camara.leg.br/api/v2/deputados/131035</t>
  </si>
  <si>
    <t>PEIXOTO DA SILVEIRA</t>
  </si>
  <si>
    <t>José Peixoto da Silveira</t>
  </si>
  <si>
    <t>Cristais</t>
  </si>
  <si>
    <t>https://dadosabertos.camara.leg.br/api/v2/deputados/131135</t>
  </si>
  <si>
    <t>PERACCHI BARCELLOS</t>
  </si>
  <si>
    <t>Walter Peracchi Barcellos</t>
  </si>
  <si>
    <t>https://dadosabertos.camara.leg.br/api/v2/deputados/130884</t>
  </si>
  <si>
    <t>PEREIRA NUNES</t>
  </si>
  <si>
    <t>Adão Manoel Pereira Nunes</t>
  </si>
  <si>
    <t>https://dadosabertos.camara.leg.br/api/v2/deputados/130912</t>
  </si>
  <si>
    <t>PERILO TEIXEIRA</t>
  </si>
  <si>
    <t>Antônio Perilo Souza Teixeira</t>
  </si>
  <si>
    <t>https://dadosabertos.camara.leg.br/api/v2/deputados/131106</t>
  </si>
  <si>
    <t>PETRÔNIO FERNAL</t>
  </si>
  <si>
    <t>Petrônio Fernal</t>
  </si>
  <si>
    <t>https://dadosabertos.camara.leg.br/api/v2/deputados/131107</t>
  </si>
  <si>
    <t>PHILADELPHO GARCIA</t>
  </si>
  <si>
    <t>Philadelpho Garcia</t>
  </si>
  <si>
    <t>https://dadosabertos.camara.leg.br/api/v2/deputados/131081</t>
  </si>
  <si>
    <t>PINHEIRO BRISOLLA</t>
  </si>
  <si>
    <t>Octávio Pinheiro Brisolla</t>
  </si>
  <si>
    <t>1892-09-02</t>
  </si>
  <si>
    <t>https://dadosabertos.camara.leg.br/api/v2/deputados/131108</t>
  </si>
  <si>
    <t>PLÍNIO COSTA</t>
  </si>
  <si>
    <t>Plínio Franco Ferreira da Costa</t>
  </si>
  <si>
    <t>https://dadosabertos.camara.leg.br/api/v2/deputados/131003</t>
  </si>
  <si>
    <t>PONCE DE ARRUDA</t>
  </si>
  <si>
    <t>João Ponce de Arruda</t>
  </si>
  <si>
    <t>https://dadosabertos.camara.leg.br/api/v2/deputados/131111</t>
  </si>
  <si>
    <t>RAMON OLIVEIRA NETO</t>
  </si>
  <si>
    <t>Ramon de Oliveira Neto</t>
  </si>
  <si>
    <t>https://dadosabertos.camara.leg.br/api/v2/deputados/131093</t>
  </si>
  <si>
    <t>RANIERI MAZZILLI</t>
  </si>
  <si>
    <t>Paschoal Ranieri Mazzilli</t>
  </si>
  <si>
    <t>Caconde</t>
  </si>
  <si>
    <t>https://dadosabertos.camara.leg.br/api/v2/deputados/131109</t>
  </si>
  <si>
    <t>RAPHAEL REZENDE</t>
  </si>
  <si>
    <t>Raphael Ferreira Rezende</t>
  </si>
  <si>
    <t>Luminárias</t>
  </si>
  <si>
    <t>https://dadosabertos.camara.leg.br/api/v2/deputados/131112</t>
  </si>
  <si>
    <t>RAUL CARNEIRO</t>
  </si>
  <si>
    <t>Raul Barbosa Carneiro</t>
  </si>
  <si>
    <t>https://dadosabertos.camara.leg.br/api/v2/deputados/131113</t>
  </si>
  <si>
    <t>RAUL DE GOES</t>
  </si>
  <si>
    <t>Raul de Goes</t>
  </si>
  <si>
    <t>https://dadosabertos.camara.leg.br/api/v2/deputados/131141</t>
  </si>
  <si>
    <t>RAUL PILLA</t>
  </si>
  <si>
    <t>Raul Pilla</t>
  </si>
  <si>
    <t>1892-07-20</t>
  </si>
  <si>
    <t>https://dadosabertos.camara.leg.br/api/v2/deputados/131110</t>
  </si>
  <si>
    <t>RAYMUNDO CHAVES</t>
  </si>
  <si>
    <t>Raymundo Lins de Vasconcelos Chaves</t>
  </si>
  <si>
    <t>https://dadosabertos.camara.leg.br/api/v2/deputados/131115</t>
  </si>
  <si>
    <t>REISSOLY SANTOS</t>
  </si>
  <si>
    <t>Reissoly José dos Santos</t>
  </si>
  <si>
    <t>https://dadosabertos.camara.leg.br/api/v2/deputados/131116</t>
  </si>
  <si>
    <t>RENATO MEDEIROS</t>
  </si>
  <si>
    <t>Renato Clímaco Borralho de Medeiros</t>
  </si>
  <si>
    <t>https://dadosabertos.camara.leg.br/api/v2/deputados/131082</t>
  </si>
  <si>
    <t>RIBEIRO COUTINHO</t>
  </si>
  <si>
    <t>Odilon Ribeiro Coutinho</t>
  </si>
  <si>
    <t>https://dadosabertos.camara.leg.br/api/v2/deputados/131011</t>
  </si>
  <si>
    <t>ROGÊ FERREIRA</t>
  </si>
  <si>
    <t>José Antônio Rogê Ferreira</t>
  </si>
  <si>
    <t>https://dadosabertos.camara.leg.br/api/v2/deputados/131117</t>
  </si>
  <si>
    <t>ROLAND CORBISIER</t>
  </si>
  <si>
    <t>Roland Cavalcanti de Albuquerque Corbisier</t>
  </si>
  <si>
    <t>https://dadosabertos.camara.leg.br/api/v2/deputados/131142</t>
  </si>
  <si>
    <t>RÔMULO MARINHO</t>
  </si>
  <si>
    <t>Rômulo Teixeira Marinho</t>
  </si>
  <si>
    <t>https://dadosabertos.camara.leg.br/api/v2/deputados/131118</t>
  </si>
  <si>
    <t>RUBEN ALVES</t>
  </si>
  <si>
    <t>Ruben Bento Alves</t>
  </si>
  <si>
    <t>https://dadosabertos.camara.leg.br/api/v2/deputados/131119</t>
  </si>
  <si>
    <t>RUBENS PAIVA</t>
  </si>
  <si>
    <t>Rubens Beyrodt Paiva</t>
  </si>
  <si>
    <t>https://dadosabertos.camara.leg.br/api/v2/deputados/131120</t>
  </si>
  <si>
    <t>RUI AMARAL</t>
  </si>
  <si>
    <t>Rui Amaral Lemos</t>
  </si>
  <si>
    <t>https://dadosabertos.camara.leg.br/api/v2/deputados/130966</t>
  </si>
  <si>
    <t>SAN TIAGO DANTAS</t>
  </si>
  <si>
    <t>Francisco Clementino de San Tiago Dantas</t>
  </si>
  <si>
    <t>https://dadosabertos.camara.leg.br/api/v2/deputados/131143</t>
  </si>
  <si>
    <t>SÉRGIO MAGALHÃES</t>
  </si>
  <si>
    <t>Sérgio Nunes de Magalhães Júnior</t>
  </si>
  <si>
    <t>https://dadosabertos.camara.leg.br/api/v2/deputados/131123</t>
  </si>
  <si>
    <t>SILVIO BRAGA</t>
  </si>
  <si>
    <t>Sylvio Leopoldo de Macambira Braga</t>
  </si>
  <si>
    <t>https://dadosabertos.camara.leg.br/api/v2/deputados/131125</t>
  </si>
  <si>
    <t>TARCÍSIO MAIA</t>
  </si>
  <si>
    <t>Tarcísio de Vasconcelos Maia</t>
  </si>
  <si>
    <t>https://dadosabertos.camara.leg.br/api/v2/deputados/130917</t>
  </si>
  <si>
    <t>TEMPERANI PEREIRA</t>
  </si>
  <si>
    <t>Armando Temperani Pereira</t>
  </si>
  <si>
    <t>https://dadosabertos.camara.leg.br/api/v2/deputados/131076</t>
  </si>
  <si>
    <t>TENÓRIO CAVALCANTI</t>
  </si>
  <si>
    <t>Natalício Tenório Cavalcanti de Albuquerque</t>
  </si>
  <si>
    <t>https://dadosabertos.camara.leg.br/api/v2/deputados/131126</t>
  </si>
  <si>
    <t>TEÓFILO ANDRADE</t>
  </si>
  <si>
    <t>Teófilo Ribeiro de Andrade Filho</t>
  </si>
  <si>
    <t>São João da Boa Vista</t>
  </si>
  <si>
    <t>https://dadosabertos.camara.leg.br/api/v2/deputados/131127</t>
  </si>
  <si>
    <t>TUFY NASSIF</t>
  </si>
  <si>
    <t>Tufy Nassif</t>
  </si>
  <si>
    <t>https://dadosabertos.camara.leg.br/api/v2/deputados/131128</t>
  </si>
  <si>
    <t>UBIRAJARA CEARÁ</t>
  </si>
  <si>
    <t>Ubirajara Índio do Ceará</t>
  </si>
  <si>
    <t>https://dadosabertos.camara.leg.br/api/v2/deputados/131129</t>
  </si>
  <si>
    <t>URIEL ALVIM</t>
  </si>
  <si>
    <t>Uriel de Rezende Alvim</t>
  </si>
  <si>
    <t>https://dadosabertos.camara.leg.br/api/v2/deputados/131139</t>
  </si>
  <si>
    <t>VALDIR MOZZAQUATRO</t>
  </si>
  <si>
    <t>Valdir Aita Mozzaquatro</t>
  </si>
  <si>
    <t>https://dadosabertos.camara.leg.br/api/v2/deputados/131140</t>
  </si>
  <si>
    <t>VALÉRIO MAGALHÃES</t>
  </si>
  <si>
    <t>Valério Caldas de Magalhães</t>
  </si>
  <si>
    <t>https://dadosabertos.camara.leg.br/api/v2/deputados/131124</t>
  </si>
  <si>
    <t>Tarcilo Vieira de Melo</t>
  </si>
  <si>
    <t>https://dadosabertos.camara.leg.br/api/v2/deputados/131130</t>
  </si>
  <si>
    <t>WALDEMAR ALVES</t>
  </si>
  <si>
    <t>Waldemar Luiz Alves</t>
  </si>
  <si>
    <t>https://dadosabertos.camara.leg.br/api/v2/deputados/131131</t>
  </si>
  <si>
    <t>WALDEMAR COSTA</t>
  </si>
  <si>
    <t>Waldemar Alves da Costa</t>
  </si>
  <si>
    <t>Monte Azul Paulista</t>
  </si>
  <si>
    <t>https://dadosabertos.camara.leg.br/api/v2/deputados/131133</t>
  </si>
  <si>
    <t>WALDEMAR GUIMARÃES</t>
  </si>
  <si>
    <t>Waldemar de Oliveira Guimarães</t>
  </si>
  <si>
    <t>https://dadosabertos.camara.leg.br/api/v2/deputados/131132</t>
  </si>
  <si>
    <t>WALDEMAR PESSÔA</t>
  </si>
  <si>
    <t>Waldemar Barnsley Pessôa</t>
  </si>
  <si>
    <t>1897-01-23</t>
  </si>
  <si>
    <t>https://dadosabertos.camara.leg.br/api/v2/deputados/132147</t>
  </si>
  <si>
    <t>WILLIAM SALEM</t>
  </si>
  <si>
    <t>William Salem</t>
  </si>
  <si>
    <t>https://dadosabertos.camara.leg.br/api/v2/deputados/131136</t>
  </si>
  <si>
    <t>WILSON CHEDID</t>
  </si>
  <si>
    <t>Wilson Chedid</t>
  </si>
  <si>
    <t>https://dadosabertos.camara.leg.br/api/v2/deputados/131137</t>
  </si>
  <si>
    <t>WILSON FADUL</t>
  </si>
  <si>
    <t>Wilson Fadul</t>
  </si>
  <si>
    <t>https://dadosabertos.camara.leg.br/api/v2/deputados/130699</t>
  </si>
  <si>
    <t>AARÃO STEINBRUCH</t>
  </si>
  <si>
    <t>Aarão Steinbruch</t>
  </si>
  <si>
    <t>https://dadosabertos.camara.leg.br/api/v2/deputados/1557</t>
  </si>
  <si>
    <t>ACHILLES CRUZ</t>
  </si>
  <si>
    <t>Achilles de Almeida Cruz</t>
  </si>
  <si>
    <t>https://dadosabertos.camara.leg.br/api/v2/deputados/130701</t>
  </si>
  <si>
    <t>ADALBERTO VALLE</t>
  </si>
  <si>
    <t>Adalberto Ferreira do Valle</t>
  </si>
  <si>
    <t>https://dadosabertos.camara.leg.br/api/v2/deputados/130702</t>
  </si>
  <si>
    <t>ADOLFO GENTIL</t>
  </si>
  <si>
    <t>Adolfo de Campelo Gentil</t>
  </si>
  <si>
    <t>https://dadosabertos.camara.leg.br/api/v2/deputados/130704</t>
  </si>
  <si>
    <t>AFRÂNIO RODRIGUES</t>
  </si>
  <si>
    <t>Afrânio Rodrigues da Cunha</t>
  </si>
  <si>
    <t>https://dadosabertos.camara.leg.br/api/v2/deputados/130705</t>
  </si>
  <si>
    <t>ALAIM MELO</t>
  </si>
  <si>
    <t>Alaim Mello</t>
  </si>
  <si>
    <t>https://dadosabertos.camara.leg.br/api/v2/deputados/130706</t>
  </si>
  <si>
    <t>ALCIDES CARNEIRO</t>
  </si>
  <si>
    <t>Alcides Vieira Carneiro</t>
  </si>
  <si>
    <t>Princesa</t>
  </si>
  <si>
    <t>https://dadosabertos.camara.leg.br/api/v2/deputados/2848</t>
  </si>
  <si>
    <t>ALENCAR ARARIPE</t>
  </si>
  <si>
    <t>Antônio Alencar Araripe</t>
  </si>
  <si>
    <t>1897-11-15</t>
  </si>
  <si>
    <t>https://dadosabertos.camara.leg.br/api/v2/deputados/130708</t>
  </si>
  <si>
    <t>ALUÍSIO FERREIRA</t>
  </si>
  <si>
    <t>Aluísio Pinheiro Ferreira</t>
  </si>
  <si>
    <t>1897-05-12</t>
  </si>
  <si>
    <t>https://dadosabertos.camara.leg.br/api/v2/deputados/130709</t>
  </si>
  <si>
    <t>ÁLVARO CASTELO</t>
  </si>
  <si>
    <t>Alvaro Castelo</t>
  </si>
  <si>
    <t>1896-02-12</t>
  </si>
  <si>
    <t>Serra</t>
  </si>
  <si>
    <t>https://dadosabertos.camara.leg.br/api/v2/deputados/130710</t>
  </si>
  <si>
    <t>AMILCAR PEREIRA</t>
  </si>
  <si>
    <t>Amilcar da Silva Pereira</t>
  </si>
  <si>
    <t>https://dadosabertos.camara.leg.br/api/v2/deputados/130718</t>
  </si>
  <si>
    <t>ANTÔNIO DE PAULA FILHO</t>
  </si>
  <si>
    <t>Antônio de Paula Filho</t>
  </si>
  <si>
    <t>https://dadosabertos.camara.leg.br/api/v2/deputados/130713</t>
  </si>
  <si>
    <t>ANTÔNIO DINO</t>
  </si>
  <si>
    <t>Antônio Jorge Dino</t>
  </si>
  <si>
    <t>https://dadosabertos.camara.leg.br/api/v2/deputados/130715</t>
  </si>
  <si>
    <t>ANTÔNIO FRAGA</t>
  </si>
  <si>
    <t>Antônio Magalhães Fraga</t>
  </si>
  <si>
    <t>https://dadosabertos.camara.leg.br/api/v2/deputados/130717</t>
  </si>
  <si>
    <t>ANTÔNIO NADAF</t>
  </si>
  <si>
    <t>Antônio Moysés Nadaf</t>
  </si>
  <si>
    <t>Várzea</t>
  </si>
  <si>
    <t>https://dadosabertos.camara.leg.br/api/v2/deputados/130720</t>
  </si>
  <si>
    <t>APOLÔNIO MIRANDA</t>
  </si>
  <si>
    <t>Apolônio Sales de Miranda</t>
  </si>
  <si>
    <t>https://dadosabertos.camara.leg.br/api/v2/deputados/130721</t>
  </si>
  <si>
    <t>ARÃO REBELO</t>
  </si>
  <si>
    <t>Aarão Rebelo</t>
  </si>
  <si>
    <t>https://dadosabertos.camara.leg.br/api/v2/deputados/130724</t>
  </si>
  <si>
    <t>Armando de Queiroz Monteiro Filho</t>
  </si>
  <si>
    <t>https://dadosabertos.camara.leg.br/api/v2/deputados/130723</t>
  </si>
  <si>
    <t>ARMANDO STORNI</t>
  </si>
  <si>
    <t>Armando de Miranda Storni</t>
  </si>
  <si>
    <t>https://dadosabertos.camara.leg.br/api/v2/deputados/130725</t>
  </si>
  <si>
    <t>Arthur Virgílio do Carmo Ribeiro Filho</t>
  </si>
  <si>
    <t>https://dadosabertos.camara.leg.br/api/v2/deputados/130726</t>
  </si>
  <si>
    <t>ATÍLIO FONTANA</t>
  </si>
  <si>
    <t>Atílio Francisco Xavier Fontana</t>
  </si>
  <si>
    <t>https://dadosabertos.camara.leg.br/api/v2/deputados/130807</t>
  </si>
  <si>
    <t>AUGUSTO DE ARAÚJO</t>
  </si>
  <si>
    <t>José Augusto de Araújo</t>
  </si>
  <si>
    <t>https://dadosabertos.camara.leg.br/api/v2/deputados/1553</t>
  </si>
  <si>
    <t>AUGUSTO PÚBLIO</t>
  </si>
  <si>
    <t>Augusto Públio Pereira</t>
  </si>
  <si>
    <t>https://dadosabertos.camara.leg.br/api/v2/deputados/130727</t>
  </si>
  <si>
    <t>AURÉLIO VIANNA</t>
  </si>
  <si>
    <t>Aurélio Vianna da Cunha Lima</t>
  </si>
  <si>
    <t>Santa Luzia do Norte</t>
  </si>
  <si>
    <t>https://dadosabertos.camara.leg.br/api/v2/deputados/130766</t>
  </si>
  <si>
    <t>BADARÓ JÚNIOR</t>
  </si>
  <si>
    <t>Francisco Badaró Júnior</t>
  </si>
  <si>
    <t>1892-12-22</t>
  </si>
  <si>
    <t>https://dadosabertos.camara.leg.br/api/v2/deputados/130707</t>
  </si>
  <si>
    <t>BARBOSA LIMA SOBRINHO</t>
  </si>
  <si>
    <t>Alexandre José Barbosa Lima Sobrinho</t>
  </si>
  <si>
    <t>1897-01-22</t>
  </si>
  <si>
    <t>https://dadosabertos.camara.leg.br/api/v2/deputados/130877</t>
  </si>
  <si>
    <t>BARROS NETO</t>
  </si>
  <si>
    <t>Joaquim Fernando Paes de Barros Neto</t>
  </si>
  <si>
    <t>Bocaina</t>
  </si>
  <si>
    <t>https://dadosabertos.camara.leg.br/api/v2/deputados/130852</t>
  </si>
  <si>
    <t>BERBERT DE CASTRO</t>
  </si>
  <si>
    <t>Ramiro Berbert de Castro</t>
  </si>
  <si>
    <t>1894-06-08</t>
  </si>
  <si>
    <t>https://dadosabertos.camara.leg.br/api/v2/deputados/130729</t>
  </si>
  <si>
    <t>BONAPARTE MAIA</t>
  </si>
  <si>
    <t>Bonaparte São Domingos Pinheiro Maia</t>
  </si>
  <si>
    <t>https://dadosabertos.camara.leg.br/api/v2/deputados/130730</t>
  </si>
  <si>
    <t>BRASÍLIO MACHADO NETO</t>
  </si>
  <si>
    <t>Brasílio Augusto Machado de Oliveira Neto</t>
  </si>
  <si>
    <t>https://dadosabertos.camara.leg.br/api/v2/deputados/130734</t>
  </si>
  <si>
    <t>CARLOS DO LAGO</t>
  </si>
  <si>
    <t>Carlos do Lago</t>
  </si>
  <si>
    <t>https://dadosabertos.camara.leg.br/api/v2/deputados/130733</t>
  </si>
  <si>
    <t>CARLOS JEREISSATTI</t>
  </si>
  <si>
    <t>Carlos Jereissatti</t>
  </si>
  <si>
    <t>https://dadosabertos.camara.leg.br/api/v2/deputados/130732</t>
  </si>
  <si>
    <t>CARLOS LACERDA</t>
  </si>
  <si>
    <t>CARLOS FREDERICO WERNECK DE LACERDA</t>
  </si>
  <si>
    <t>https://dadosabertos.camara.leg.br/api/v2/deputados/130731</t>
  </si>
  <si>
    <t>CARLOS LUZ</t>
  </si>
  <si>
    <t>Carlos Coimbra da Luz</t>
  </si>
  <si>
    <t>1894-08-04</t>
  </si>
  <si>
    <t>Tres Corações</t>
  </si>
  <si>
    <t>https://dadosabertos.camara.leg.br/api/v2/deputados/130735</t>
  </si>
  <si>
    <t>CARMELO D'AGOSTINO</t>
  </si>
  <si>
    <t>Carmelo D'Agostino</t>
  </si>
  <si>
    <t>1893-07-14</t>
  </si>
  <si>
    <t>https://dadosabertos.camara.leg.br/api/v2/deputados/130827</t>
  </si>
  <si>
    <t>CASTRO PINTO</t>
  </si>
  <si>
    <t>Júlio Mário Abbot de Castro Pinto</t>
  </si>
  <si>
    <t>https://dadosabertos.camara.leg.br/api/v2/deputados/130736</t>
  </si>
  <si>
    <t>CELSO BRANCO</t>
  </si>
  <si>
    <t>Celso Ramos Branco</t>
  </si>
  <si>
    <t>https://dadosabertos.camara.leg.br/api/v2/deputados/130737</t>
  </si>
  <si>
    <t>CELSO BRANT</t>
  </si>
  <si>
    <t>Celso Teixeira Brant</t>
  </si>
  <si>
    <t>https://dadosabertos.camara.leg.br/api/v2/deputados/130738</t>
  </si>
  <si>
    <t>CLARIMUNDO CHAPADEIRO</t>
  </si>
  <si>
    <t>Clarimundo Chapadeiro</t>
  </si>
  <si>
    <t>Jequitinhonha</t>
  </si>
  <si>
    <t>https://dadosabertos.camara.leg.br/api/v2/deputados/130739</t>
  </si>
  <si>
    <t>CLÉLIO LEMOS</t>
  </si>
  <si>
    <t>Clélio de Lemos</t>
  </si>
  <si>
    <t>https://dadosabertos.camara.leg.br/api/v2/deputados/130742</t>
  </si>
  <si>
    <t>CLIDENOR DE FREITAS</t>
  </si>
  <si>
    <t>Clidenor de Freitas Santos</t>
  </si>
  <si>
    <t>Miguel Alves</t>
  </si>
  <si>
    <t>https://dadosabertos.camara.leg.br/api/v2/deputados/130820</t>
  </si>
  <si>
    <t>COELHO DE SOUZA</t>
  </si>
  <si>
    <t>José Pereira Coelho de Souza</t>
  </si>
  <si>
    <t>https://dadosabertos.camara.leg.br/api/v2/deputados/130712</t>
  </si>
  <si>
    <t>COELHO MASCARENHAS</t>
  </si>
  <si>
    <t>Antônio Coelho Mascarenhas</t>
  </si>
  <si>
    <t>https://dadosabertos.camara.leg.br/api/v2/deputados/130809</t>
  </si>
  <si>
    <t>COLOMBO DE SOUZA</t>
  </si>
  <si>
    <t>José Colombo de Souza</t>
  </si>
  <si>
    <t>https://dadosabertos.camara.leg.br/api/v2/deputados/130457</t>
  </si>
  <si>
    <t>COUTINHO CAVALCANTI</t>
  </si>
  <si>
    <t>Joaquim Nunes Coutinho Cavalcanti</t>
  </si>
  <si>
    <t>https://dadosabertos.camara.leg.br/api/v2/deputados/130743</t>
  </si>
  <si>
    <t>DAGOBERTO SALLES</t>
  </si>
  <si>
    <t>Dagoberto Salles Filho</t>
  </si>
  <si>
    <t>https://dadosabertos.camara.leg.br/api/v2/deputados/130744</t>
  </si>
  <si>
    <t>DANIEL DIPP</t>
  </si>
  <si>
    <t>Daniel Dipp</t>
  </si>
  <si>
    <t>https://dadosabertos.camara.leg.br/api/v2/deputados/130796</t>
  </si>
  <si>
    <t>DANTAS JÚNIOR</t>
  </si>
  <si>
    <t>João da Costa Pinto Dantas Junior</t>
  </si>
  <si>
    <t>1898-08-28</t>
  </si>
  <si>
    <t>https://dadosabertos.camara.leg.br/api/v2/deputados/130745</t>
  </si>
  <si>
    <t>DARIO CARDOSO</t>
  </si>
  <si>
    <t>Dario Délio Cardoso</t>
  </si>
  <si>
    <t>1899-08-10</t>
  </si>
  <si>
    <t>https://dadosabertos.camara.leg.br/api/v2/deputados/130746</t>
  </si>
  <si>
    <t>DEODORO DE MENDONÇA</t>
  </si>
  <si>
    <t>Deodoro Machado de Mendonça</t>
  </si>
  <si>
    <t>1889-08-23</t>
  </si>
  <si>
    <t>https://dadosabertos.camara.leg.br/api/v2/deputados/130747</t>
  </si>
  <si>
    <t>DJALMA MARANHÃO</t>
  </si>
  <si>
    <t>Djalma Maranhão</t>
  </si>
  <si>
    <t>https://dadosabertos.camara.leg.br/api/v2/deputados/130748</t>
  </si>
  <si>
    <t>DOMÍCIO BARRETO</t>
  </si>
  <si>
    <t>Domício Gondim Barreto</t>
  </si>
  <si>
    <t>https://dadosabertos.camara.leg.br/api/v2/deputados/130749</t>
  </si>
  <si>
    <t>DOMINGOS VELLASCO</t>
  </si>
  <si>
    <t>Domingos Netto de Vellasco</t>
  </si>
  <si>
    <t>1899-10-08</t>
  </si>
  <si>
    <t>https://dadosabertos.camara.leg.br/api/v2/deputados/130750</t>
  </si>
  <si>
    <t>DRAULT ERNANNY</t>
  </si>
  <si>
    <t>Drault Ernanny de Melo e Silva</t>
  </si>
  <si>
    <t>São José dos Cordeiros</t>
  </si>
  <si>
    <t>https://dadosabertos.camara.leg.br/api/v2/deputados/130751</t>
  </si>
  <si>
    <t>EGON BERCHT</t>
  </si>
  <si>
    <t>Egon Werner Bercht</t>
  </si>
  <si>
    <t>https://dadosabertos.camara.leg.br/api/v2/deputados/130752</t>
  </si>
  <si>
    <t>ELIAS ADAIME</t>
  </si>
  <si>
    <t>Elias Adaime</t>
  </si>
  <si>
    <t>https://dadosabertos.camara.leg.br/api/v2/deputados/130753</t>
  </si>
  <si>
    <t>ELZIRO MACEDO</t>
  </si>
  <si>
    <t>Elziro de Borja Macedo</t>
  </si>
  <si>
    <t>https://dadosabertos.camara.leg.br/api/v2/deputados/130754</t>
  </si>
  <si>
    <t>EMÍLIO CARLOS</t>
  </si>
  <si>
    <t>Emílio Carlos Kyrillos</t>
  </si>
  <si>
    <t>https://dadosabertos.camara.leg.br/api/v2/deputados/130756</t>
  </si>
  <si>
    <t>ERNESTO SABÓIA</t>
  </si>
  <si>
    <t>Ernesto Miranda Sabóia Albuquerque</t>
  </si>
  <si>
    <t>https://dadosabertos.camara.leg.br/api/v2/deputados/130757</t>
  </si>
  <si>
    <t>ESTEFANO MIKILITA</t>
  </si>
  <si>
    <t>Estefano Mikilita</t>
  </si>
  <si>
    <t>https://dadosabertos.camara.leg.br/api/v2/deputados/130811</t>
  </si>
  <si>
    <t>ESTEVES RODRIGUES</t>
  </si>
  <si>
    <t>José Esteves Rodrigues</t>
  </si>
  <si>
    <t>https://dadosabertos.camara.leg.br/api/v2/deputados/130758</t>
  </si>
  <si>
    <t>EUNÁPIO DE QUEIROZ</t>
  </si>
  <si>
    <t>Eunápio Peltier de Queiroz</t>
  </si>
  <si>
    <t>https://dadosabertos.camara.leg.br/api/v2/deputados/130759</t>
  </si>
  <si>
    <t>EUZÉBIO ROCHA</t>
  </si>
  <si>
    <t>Euzébio Martins da Rocha Filho</t>
  </si>
  <si>
    <t>https://dadosabertos.camara.leg.br/api/v2/deputados/130760</t>
  </si>
  <si>
    <t>FELICIANO PENA</t>
  </si>
  <si>
    <t>Feliciano de Oliveira Pena</t>
  </si>
  <si>
    <t>https://dadosabertos.camara.leg.br/api/v2/deputados/130762</t>
  </si>
  <si>
    <t>FERNANDO FERRARI</t>
  </si>
  <si>
    <t>Fernando Ferrari</t>
  </si>
  <si>
    <t>https://dadosabertos.camara.leg.br/api/v2/deputados/130761</t>
  </si>
  <si>
    <t>FERNANDO MENDONÇA</t>
  </si>
  <si>
    <t>Fernando Augusto Mendonça</t>
  </si>
  <si>
    <t>Canhotinho</t>
  </si>
  <si>
    <t>https://dadosabertos.camara.leg.br/api/v2/deputados/130764</t>
  </si>
  <si>
    <t>FERNANDO RIBEIRO</t>
  </si>
  <si>
    <t>Fernando Luiz Alves Ribeiro</t>
  </si>
  <si>
    <t>https://dadosabertos.camara.leg.br/api/v2/deputados/130767</t>
  </si>
  <si>
    <t>FERREIRA CASTRO</t>
  </si>
  <si>
    <t>Francisco Ferreira de Castro</t>
  </si>
  <si>
    <t>https://dadosabertos.camara.leg.br/api/v2/deputados/130853</t>
  </si>
  <si>
    <t>Rubens Ferreira Martins</t>
  </si>
  <si>
    <t>https://dadosabertos.camara.leg.br/api/v2/deputados/130616</t>
  </si>
  <si>
    <t>FLORES DA CUNHA</t>
  </si>
  <si>
    <t>José Antônio Flores da Cunha</t>
  </si>
  <si>
    <t>1880-03-05</t>
  </si>
  <si>
    <t>https://dadosabertos.camara.leg.br/api/v2/deputados/130831</t>
  </si>
  <si>
    <t>FRANÇA CAMPOS</t>
  </si>
  <si>
    <t>Manoel França Campos</t>
  </si>
  <si>
    <t>https://dadosabertos.camara.leg.br/api/v2/deputados/130765</t>
  </si>
  <si>
    <t>FRANCISCO MONTE</t>
  </si>
  <si>
    <t>Francisco de Almeida Monte</t>
  </si>
  <si>
    <t>1895-09-03</t>
  </si>
  <si>
    <t>https://dadosabertos.camara.leg.br/api/v2/deputados/130711</t>
  </si>
  <si>
    <t>FROTA AGUIAR</t>
  </si>
  <si>
    <t>Anésio Frota Aguiar</t>
  </si>
  <si>
    <t>https://dadosabertos.camara.leg.br/api/v2/deputados/130773</t>
  </si>
  <si>
    <t>GABRIEL FERRAZ</t>
  </si>
  <si>
    <t>Gabriel Lopes Ferraz</t>
  </si>
  <si>
    <t>https://dadosabertos.camara.leg.br/api/v2/deputados/3130</t>
  </si>
  <si>
    <t>GARCEZ VIEIRA</t>
  </si>
  <si>
    <t>José Garcez Vieira</t>
  </si>
  <si>
    <t>https://dadosabertos.camara.leg.br/api/v2/deputados/130775</t>
  </si>
  <si>
    <t>GERALDO DE CARVALHO</t>
  </si>
  <si>
    <t>Geraldo Correa de Carvalho</t>
  </si>
  <si>
    <t>https://dadosabertos.camara.leg.br/api/v2/deputados/130776</t>
  </si>
  <si>
    <t>GERALDO MASCARENHAS</t>
  </si>
  <si>
    <t>Geraldo Idelfonso Mascarenhas da Silva</t>
  </si>
  <si>
    <t>Paraopeba</t>
  </si>
  <si>
    <t>https://dadosabertos.camara.leg.br/api/v2/deputados/130778</t>
  </si>
  <si>
    <t>GERALDO RODRIGUES</t>
  </si>
  <si>
    <t>Geraldo Rodrigues dos Santos</t>
  </si>
  <si>
    <t>https://dadosabertos.camara.leg.br/api/v2/deputados/130779</t>
  </si>
  <si>
    <t>GERALDO SIFFERT</t>
  </si>
  <si>
    <t>Geraldo Siffert</t>
  </si>
  <si>
    <t>https://dadosabertos.camara.leg.br/api/v2/deputados/130780</t>
  </si>
  <si>
    <t>GERALDO VASCONCELOS</t>
  </si>
  <si>
    <t>Geraldo Vasconcelos</t>
  </si>
  <si>
    <t>https://dadosabertos.camara.leg.br/api/v2/deputados/130781</t>
  </si>
  <si>
    <t>GILENO DÉ CARLI</t>
  </si>
  <si>
    <t>Gileno dé Carli</t>
  </si>
  <si>
    <t>https://dadosabertos.camara.leg.br/api/v2/deputados/130782</t>
  </si>
  <si>
    <t>GUALBERTO MOREIRA</t>
  </si>
  <si>
    <t>Gualberto Moreira</t>
  </si>
  <si>
    <t>https://dadosabertos.camara.leg.br/api/v2/deputados/130769</t>
  </si>
  <si>
    <t>GURGEL DO AMARAL</t>
  </si>
  <si>
    <t>Francisco Gurgel de Amaral Valente</t>
  </si>
  <si>
    <t>https://dadosabertos.camara.leg.br/api/v2/deputados/130783</t>
  </si>
  <si>
    <t>HÉLIO CABAL</t>
  </si>
  <si>
    <t>Hélio de Burgos Cabal</t>
  </si>
  <si>
    <t>https://dadosabertos.camara.leg.br/api/v2/deputados/130785</t>
  </si>
  <si>
    <t>HÉLIO GOMES</t>
  </si>
  <si>
    <t>Hélio de Sousa Gomes</t>
  </si>
  <si>
    <t>https://dadosabertos.camara.leg.br/api/v2/deputados/130784</t>
  </si>
  <si>
    <t>HÉLIO MACHADO</t>
  </si>
  <si>
    <t>Hélio Ferreira Machado</t>
  </si>
  <si>
    <t>https://dadosabertos.camara.leg.br/api/v2/deputados/130786</t>
  </si>
  <si>
    <t>HERMES DE SOUZA</t>
  </si>
  <si>
    <t>Hermes Pereira de Souza</t>
  </si>
  <si>
    <t>https://dadosabertos.camara.leg.br/api/v2/deputados/130787</t>
  </si>
  <si>
    <t>HILDEBRANDO DE GÓES</t>
  </si>
  <si>
    <t>Hildebrando de Araújo Góes</t>
  </si>
  <si>
    <t>1899-11-11</t>
  </si>
  <si>
    <t>https://dadosabertos.camara.leg.br/api/v2/deputados/130804</t>
  </si>
  <si>
    <t>HOLANDA CUNHA</t>
  </si>
  <si>
    <t>João de Holanda Cunha</t>
  </si>
  <si>
    <t>https://dadosabertos.camara.leg.br/api/v2/deputados/130788</t>
  </si>
  <si>
    <t>HORÁCIO LAFER</t>
  </si>
  <si>
    <t>Horácio Lafer</t>
  </si>
  <si>
    <t>https://dadosabertos.camara.leg.br/api/v2/deputados/130791</t>
  </si>
  <si>
    <t>HUMBERTO FERREIRA</t>
  </si>
  <si>
    <t>Humberto da Silveira Ferreira</t>
  </si>
  <si>
    <t>https://dadosabertos.camara.leg.br/api/v2/deputados/130789</t>
  </si>
  <si>
    <t>HUMBERTO GOBBI</t>
  </si>
  <si>
    <t>Humberto Gobbi</t>
  </si>
  <si>
    <t>Garibaldi</t>
  </si>
  <si>
    <t>https://dadosabertos.camara.leg.br/api/v2/deputados/130790</t>
  </si>
  <si>
    <t>HUMBERTO REIS</t>
  </si>
  <si>
    <t>Humberto de Mattos Reis</t>
  </si>
  <si>
    <t>https://dadosabertos.camara.leg.br/api/v2/deputados/130792</t>
  </si>
  <si>
    <t>JADER MEDEIROS</t>
  </si>
  <si>
    <t>Jader Silva Medeiros</t>
  </si>
  <si>
    <t>https://dadosabertos.camara.leg.br/api/v2/deputados/130794</t>
  </si>
  <si>
    <t>JÂNIO QUADROS</t>
  </si>
  <si>
    <t>Jânio da Silva Quadros</t>
  </si>
  <si>
    <t>https://dadosabertos.camara.leg.br/api/v2/deputados/130793</t>
  </si>
  <si>
    <t>JAYME ARAÚJO</t>
  </si>
  <si>
    <t>Jayme Bittencourt de Araújo</t>
  </si>
  <si>
    <t>https://dadosabertos.camara.leg.br/api/v2/deputados/130797</t>
  </si>
  <si>
    <t>JOÃO FREDERICO</t>
  </si>
  <si>
    <t>João Frederico Abbott Galvão</t>
  </si>
  <si>
    <t>https://dadosabertos.camara.leg.br/api/v2/deputados/130799</t>
  </si>
  <si>
    <t>JOÃO ÚRSULO</t>
  </si>
  <si>
    <t>João Úrsulo Ribeiro Coutinho Filho</t>
  </si>
  <si>
    <t>https://dadosabertos.camara.leg.br/api/v2/deputados/130800</t>
  </si>
  <si>
    <t>JOAQUIM DUVAL</t>
  </si>
  <si>
    <t>Joaquim Duval</t>
  </si>
  <si>
    <t>https://dadosabertos.camara.leg.br/api/v2/deputados/130801</t>
  </si>
  <si>
    <t>JOCELYNO CARVALHO</t>
  </si>
  <si>
    <t>Jocelyno Emílio de Carvalho</t>
  </si>
  <si>
    <t>https://dadosabertos.camara.leg.br/api/v2/deputados/130802</t>
  </si>
  <si>
    <t>JONAS BAHIENSE</t>
  </si>
  <si>
    <t>Jonas Bahiense de Lyra</t>
  </si>
  <si>
    <t>https://dadosabertos.camara.leg.br/api/v2/deputados/130803</t>
  </si>
  <si>
    <t>JORGE DE LIMA</t>
  </si>
  <si>
    <t>Jorge de Lima</t>
  </si>
  <si>
    <t>https://dadosabertos.camara.leg.br/api/v2/deputados/130805</t>
  </si>
  <si>
    <t>JOSÉ ARNALDO</t>
  </si>
  <si>
    <t>José Arnaldo Gonçalves de Oliveira</t>
  </si>
  <si>
    <t>https://dadosabertos.camara.leg.br/api/v2/deputados/130806</t>
  </si>
  <si>
    <t>JOSÉ ARNAUD</t>
  </si>
  <si>
    <t>José Arnaud Gomes Neto</t>
  </si>
  <si>
    <t>https://dadosabertos.camara.leg.br/api/v2/deputados/130808</t>
  </si>
  <si>
    <t>JOSÉ CÂNDIDO</t>
  </si>
  <si>
    <t>José Candido Ferraz</t>
  </si>
  <si>
    <t>https://dadosabertos.camara.leg.br/api/v2/deputados/130824</t>
  </si>
  <si>
    <t>JOSÉ DA SILVEIRA</t>
  </si>
  <si>
    <t>José Teixeira da Silveira</t>
  </si>
  <si>
    <t>https://dadosabertos.camara.leg.br/api/v2/deputados/130810</t>
  </si>
  <si>
    <t>José Elias Isaac</t>
  </si>
  <si>
    <t>https://dadosabertos.camara.leg.br/api/v2/deputados/130813</t>
  </si>
  <si>
    <t>JOSÉ GUIOMARD</t>
  </si>
  <si>
    <t>José Guiomard dos Santos</t>
  </si>
  <si>
    <t>https://dadosabertos.camara.leg.br/api/v2/deputados/130814</t>
  </si>
  <si>
    <t>JOSÉ JOFFILY</t>
  </si>
  <si>
    <t>José Joffily Bezerra de Melo</t>
  </si>
  <si>
    <t>https://dadosabertos.camara.leg.br/api/v2/deputados/130815</t>
  </si>
  <si>
    <t>JOSÉ LOPES</t>
  </si>
  <si>
    <t>José Lopes de Siqueira Santos</t>
  </si>
  <si>
    <t>Ribeirão</t>
  </si>
  <si>
    <t>https://dadosabertos.camara.leg.br/api/v2/deputados/130816</t>
  </si>
  <si>
    <t>JOSÉ MARIA</t>
  </si>
  <si>
    <t>José Maria de Melo</t>
  </si>
  <si>
    <t>https://dadosabertos.camara.leg.br/api/v2/deputados/130818</t>
  </si>
  <si>
    <t>JOSÉ MIRAGLIA</t>
  </si>
  <si>
    <t>José Miraglia</t>
  </si>
  <si>
    <t>https://dadosabertos.camara.leg.br/api/v2/deputados/130821</t>
  </si>
  <si>
    <t>JOSÉ RAIMUNDO</t>
  </si>
  <si>
    <t>José Raimundo Soares da Silva</t>
  </si>
  <si>
    <t>https://dadosabertos.camara.leg.br/api/v2/deputados/130812</t>
  </si>
  <si>
    <t>JOSÉ TALARICO</t>
  </si>
  <si>
    <t>José Gomes Talarico</t>
  </si>
  <si>
    <t>https://dadosabertos.camara.leg.br/api/v2/deputados/130825</t>
  </si>
  <si>
    <t>JOSUÉ DE CASTRO</t>
  </si>
  <si>
    <t>Josué Apolônio de Castro</t>
  </si>
  <si>
    <t>https://dadosabertos.camara.leg.br/api/v2/deputados/130828</t>
  </si>
  <si>
    <t>JURANDIR PIRES</t>
  </si>
  <si>
    <t>Jurandir de Castro Pires Ferreira</t>
  </si>
  <si>
    <t>https://dadosabertos.camara.leg.br/api/v2/deputados/130697</t>
  </si>
  <si>
    <t>LAFAYETTE COUTINHO</t>
  </si>
  <si>
    <t>Lafayette Coutinho de Albuquerque</t>
  </si>
  <si>
    <t>https://dadosabertos.camara.leg.br/api/v2/deputados/130770</t>
  </si>
  <si>
    <t>LEITE NETO</t>
  </si>
  <si>
    <t>Francisco Leite Neto</t>
  </si>
  <si>
    <t>https://dadosabertos.camara.leg.br/api/v2/deputados/130829</t>
  </si>
  <si>
    <t>LUCÍDIO RAMOS</t>
  </si>
  <si>
    <t>Lucídio Ramos</t>
  </si>
  <si>
    <t>1891-04-15</t>
  </si>
  <si>
    <t>https://dadosabertos.camara.leg.br/api/v2/deputados/130714</t>
  </si>
  <si>
    <t>LUSTOSA DE OLIVEIRA</t>
  </si>
  <si>
    <t>Antônio Lustosa de Oliveira</t>
  </si>
  <si>
    <t>https://dadosabertos.camara.leg.br/api/v2/deputados/130830</t>
  </si>
  <si>
    <t>LYCIO HAUER</t>
  </si>
  <si>
    <t>Lycio Silva Hauer</t>
  </si>
  <si>
    <t>https://dadosabertos.camara.leg.br/api/v2/deputados/130755</t>
  </si>
  <si>
    <t>MACHADO DE ASSIS</t>
  </si>
  <si>
    <t>Enéas Machado de Assis</t>
  </si>
  <si>
    <t>https://dadosabertos.camara.leg.br/api/v2/deputados/130722</t>
  </si>
  <si>
    <t>MAIA LELLO</t>
  </si>
  <si>
    <t>Arlindo José Maia Lello</t>
  </si>
  <si>
    <t>https://dadosabertos.camara.leg.br/api/v2/deputados/130833</t>
  </si>
  <si>
    <t>MÁRIO BENI</t>
  </si>
  <si>
    <t>Mário Beni</t>
  </si>
  <si>
    <t>https://dadosabertos.camara.leg.br/api/v2/deputados/130834</t>
  </si>
  <si>
    <t>MÁRIO GUIMARÃES</t>
  </si>
  <si>
    <t>Mário Guimarães</t>
  </si>
  <si>
    <t>https://dadosabertos.camara.leg.br/api/v2/deputados/130835</t>
  </si>
  <si>
    <t>Mário de Souza Martins</t>
  </si>
  <si>
    <t>https://dadosabertos.camara.leg.br/api/v2/deputados/130832</t>
  </si>
  <si>
    <t>MÁRIO PALMÉRIO</t>
  </si>
  <si>
    <t>Mário de Ascenção Palmério</t>
  </si>
  <si>
    <t>Monte Carmelo</t>
  </si>
  <si>
    <t>https://dadosabertos.camara.leg.br/api/v2/deputados/130817</t>
  </si>
  <si>
    <t>MATOS TELES</t>
  </si>
  <si>
    <t>José de Matos Teles</t>
  </si>
  <si>
    <t>https://dadosabertos.camara.leg.br/api/v2/deputados/130836</t>
  </si>
  <si>
    <t>MAURÍCIO JOPPERT</t>
  </si>
  <si>
    <t>Maurício Joppert da Silva</t>
  </si>
  <si>
    <t>1890-07-10</t>
  </si>
  <si>
    <t>https://dadosabertos.camara.leg.br/api/v2/deputados/130716</t>
  </si>
  <si>
    <t>MENDES CANALE</t>
  </si>
  <si>
    <t>Antônio Mendes Canale</t>
  </si>
  <si>
    <t>https://dadosabertos.camara.leg.br/api/v2/deputados/130571</t>
  </si>
  <si>
    <t>MENDES GONÇALVES</t>
  </si>
  <si>
    <t>Fernando Jorge Mendes Gonçalves</t>
  </si>
  <si>
    <t>https://dadosabertos.camara.leg.br/api/v2/deputados/130777</t>
  </si>
  <si>
    <t>MENEZES CÔRTES</t>
  </si>
  <si>
    <t>Geraldo de Menezes Côrtes</t>
  </si>
  <si>
    <t>https://dadosabertos.camara.leg.br/api/v2/deputados/130837</t>
  </si>
  <si>
    <t>MENOTTI DEL PICCHIA</t>
  </si>
  <si>
    <t>Paulo Menotti Del Picchia</t>
  </si>
  <si>
    <t>1892-03-20</t>
  </si>
  <si>
    <t>https://dadosabertos.camara.leg.br/api/v2/deputados/130838</t>
  </si>
  <si>
    <t>MIGUEL CALMON</t>
  </si>
  <si>
    <t>Miguel Calmon Du Pin e Almeida Sobrinho</t>
  </si>
  <si>
    <t>https://dadosabertos.camara.leg.br/api/v2/deputados/130839</t>
  </si>
  <si>
    <t>MIGUEL LEUZZI</t>
  </si>
  <si>
    <t>Miguel Leuzzi</t>
  </si>
  <si>
    <t>https://dadosabertos.camara.leg.br/api/v2/deputados/130819</t>
  </si>
  <si>
    <t>MIRANDA RAMOS</t>
  </si>
  <si>
    <t>José de Miranda Ramos</t>
  </si>
  <si>
    <t>https://dadosabertos.camara.leg.br/api/v2/deputados/130840</t>
  </si>
  <si>
    <t>MOACYR AZEVEDO</t>
  </si>
  <si>
    <t>Moacyr Gomes de Azevedo</t>
  </si>
  <si>
    <t>1899-12-02</t>
  </si>
  <si>
    <t>Cambuci</t>
  </si>
  <si>
    <t>https://dadosabertos.camara.leg.br/api/v2/deputados/130728</t>
  </si>
  <si>
    <t>Bento Munhoz da Rocha Netto</t>
  </si>
  <si>
    <t>https://dadosabertos.camara.leg.br/api/v2/deputados/130842</t>
  </si>
  <si>
    <t>NELSON MONTEIRO</t>
  </si>
  <si>
    <t>Nelson Goulart Monteiro</t>
  </si>
  <si>
    <t>1896-01-20</t>
  </si>
  <si>
    <t>https://dadosabertos.camara.leg.br/api/v2/deputados/130841</t>
  </si>
  <si>
    <t>NELSON OMEGNA</t>
  </si>
  <si>
    <t>Nelson Baker Omegna</t>
  </si>
  <si>
    <t>https://dadosabertos.camara.leg.br/api/v2/deputados/130843</t>
  </si>
  <si>
    <t>NELSON ROCHA</t>
  </si>
  <si>
    <t>Nelson Rocha</t>
  </si>
  <si>
    <t>https://dadosabertos.camara.leg.br/api/v2/deputados/130844</t>
  </si>
  <si>
    <t>Nestor Duarte Guimarães</t>
  </si>
  <si>
    <t>https://dadosabertos.camara.leg.br/api/v2/deputados/130845</t>
  </si>
  <si>
    <t>NESTOR JOST</t>
  </si>
  <si>
    <t>Nestor Jost</t>
  </si>
  <si>
    <t>https://dadosabertos.camara.leg.br/api/v2/deputados/130846</t>
  </si>
  <si>
    <t>NESTOR PEREIRA</t>
  </si>
  <si>
    <t>Nestor Pereira</t>
  </si>
  <si>
    <t>https://dadosabertos.camara.leg.br/api/v2/deputados/130847</t>
  </si>
  <si>
    <t>NEWTON BELO</t>
  </si>
  <si>
    <t>Newton de Barros Bello</t>
  </si>
  <si>
    <t>https://dadosabertos.camara.leg.br/api/v2/deputados/130848</t>
  </si>
  <si>
    <t>NEY BRAGA</t>
  </si>
  <si>
    <t>NEY AMINTHAS DE BARROS BRAGA</t>
  </si>
  <si>
    <t>https://dadosabertos.camara.leg.br/api/v2/deputados/130849</t>
  </si>
  <si>
    <t>NICANOR SILVA</t>
  </si>
  <si>
    <t>Nicanor de Faria e Silva</t>
  </si>
  <si>
    <t>https://dadosabertos.camara.leg.br/api/v2/deputados/130740</t>
  </si>
  <si>
    <t>NOVA DA COSTA</t>
  </si>
  <si>
    <t>Clovis Nova da Costa</t>
  </si>
  <si>
    <t>https://dadosabertos.camara.leg.br/api/v2/deputados/130859</t>
  </si>
  <si>
    <t>ODALGIRO CORRÊA</t>
  </si>
  <si>
    <t>Odalgiro Gomes Corrêa</t>
  </si>
  <si>
    <t>https://dadosabertos.camara.leg.br/api/v2/deputados/130861</t>
  </si>
  <si>
    <t>OLAVO FONTOURA</t>
  </si>
  <si>
    <t>Olavo de Castro Fontoura</t>
  </si>
  <si>
    <t>https://dadosabertos.camara.leg.br/api/v2/deputados/130862</t>
  </si>
  <si>
    <t>OLAVO GALVÃO</t>
  </si>
  <si>
    <t>Olavo João Galvão</t>
  </si>
  <si>
    <t>https://dadosabertos.camara.leg.br/api/v2/deputados/130863</t>
  </si>
  <si>
    <t>OSCAR PASSOS</t>
  </si>
  <si>
    <t>Oscar Passos</t>
  </si>
  <si>
    <t>https://dadosabertos.camara.leg.br/api/v2/deputados/3132</t>
  </si>
  <si>
    <t>OSVALDO RIBEIRO</t>
  </si>
  <si>
    <t>Oswaldo Ribeiro de Oliveira</t>
  </si>
  <si>
    <t>https://dadosabertos.camara.leg.br/api/v2/deputados/130864</t>
  </si>
  <si>
    <t>OTHON MADER</t>
  </si>
  <si>
    <t>Othon Mäder</t>
  </si>
  <si>
    <t>1895-01-08</t>
  </si>
  <si>
    <t>https://dadosabertos.camara.leg.br/api/v2/deputados/130876</t>
  </si>
  <si>
    <t>PEREIRA DA SILVA</t>
  </si>
  <si>
    <t>Francisco Pereira da Silva</t>
  </si>
  <si>
    <t>1890-09-07</t>
  </si>
  <si>
    <t>Macau</t>
  </si>
  <si>
    <t>https://dadosabertos.camara.leg.br/api/v2/deputados/130879</t>
  </si>
  <si>
    <t>José Carlos Pereira Pinto</t>
  </si>
  <si>
    <t>1882-08-20</t>
  </si>
  <si>
    <t>https://dadosabertos.camara.leg.br/api/v2/deputados/130798</t>
  </si>
  <si>
    <t>João Pimenta da Veiga</t>
  </si>
  <si>
    <t>https://dadosabertos.camara.leg.br/api/v2/deputados/130851</t>
  </si>
  <si>
    <t>RAIMUNDO SOARES</t>
  </si>
  <si>
    <t>Raimundo Soares de Sousa</t>
  </si>
  <si>
    <t>https://dadosabertos.camara.leg.br/api/v2/deputados/130850</t>
  </si>
  <si>
    <t>RAPHAEL CINCURÁ</t>
  </si>
  <si>
    <t>Raphael Cincurá de Andrade</t>
  </si>
  <si>
    <t>https://dadosabertos.camara.leg.br/api/v2/deputados/130774</t>
  </si>
  <si>
    <t>REZENDE PASSOS</t>
  </si>
  <si>
    <t>Gabriel de Rezende Passos</t>
  </si>
  <si>
    <t>Itapecerica</t>
  </si>
  <si>
    <t>https://dadosabertos.camara.leg.br/api/v2/deputados/130854</t>
  </si>
  <si>
    <t>RUBENS RANGEL</t>
  </si>
  <si>
    <t>Rubens Rangel</t>
  </si>
  <si>
    <t>https://dadosabertos.camara.leg.br/api/v2/deputados/130857</t>
  </si>
  <si>
    <t>RUY NAZARETH</t>
  </si>
  <si>
    <t>Ruy Nazareth</t>
  </si>
  <si>
    <t>https://dadosabertos.camara.leg.br/api/v2/deputados/130855</t>
  </si>
  <si>
    <t>RUY NOVAES</t>
  </si>
  <si>
    <t>Ruy Hellmeister Novaes</t>
  </si>
  <si>
    <t>https://dadosabertos.camara.leg.br/api/v2/deputados/130856</t>
  </si>
  <si>
    <t>RUY PAIVA</t>
  </si>
  <si>
    <t>Ruy Moreira Paiva</t>
  </si>
  <si>
    <t>https://dadosabertos.camara.leg.br/api/v2/deputados/130858</t>
  </si>
  <si>
    <t>RUY RAMOS</t>
  </si>
  <si>
    <t>Ruy Vitorino Ramos</t>
  </si>
  <si>
    <t>https://dadosabertos.camara.leg.br/api/v2/deputados/130771</t>
  </si>
  <si>
    <t>SÁ TINOCO</t>
  </si>
  <si>
    <t>Francisco de Sá Tinoco</t>
  </si>
  <si>
    <t>https://dadosabertos.camara.leg.br/api/v2/deputados/130867</t>
  </si>
  <si>
    <t>SALO BRAND</t>
  </si>
  <si>
    <t>Salo Brand</t>
  </si>
  <si>
    <t>https://dadosabertos.camara.leg.br/api/v2/deputados/130865</t>
  </si>
  <si>
    <t>SALOMÃO REHEM</t>
  </si>
  <si>
    <t>SALOMÃO DO NASCIMENTO REHEM</t>
  </si>
  <si>
    <t>Euclides da Cunha</t>
  </si>
  <si>
    <t>https://dadosabertos.camara.leg.br/api/v2/deputados/130866</t>
  </si>
  <si>
    <t>SALVADOR LOSACCO</t>
  </si>
  <si>
    <t>Salvador Romano Losacco</t>
  </si>
  <si>
    <t>https://dadosabertos.camara.leg.br/api/v2/deputados/130700</t>
  </si>
  <si>
    <t>SANTOS LIMA</t>
  </si>
  <si>
    <t>Abel dos Santos Lima</t>
  </si>
  <si>
    <t>https://dadosabertos.camara.leg.br/api/v2/deputados/130772</t>
  </si>
  <si>
    <t>SATURNINO BRAGA</t>
  </si>
  <si>
    <t>Francisco Saturnino Braga</t>
  </si>
  <si>
    <t>https://dadosabertos.camara.leg.br/api/v2/deputados/130823</t>
  </si>
  <si>
    <t>SETTE DE BARROS</t>
  </si>
  <si>
    <t>José Sette de Barros</t>
  </si>
  <si>
    <t>https://dadosabertos.camara.leg.br/api/v2/deputados/130768</t>
  </si>
  <si>
    <t>SILVA PRADO</t>
  </si>
  <si>
    <t>Francisco Gomes da Silva Prado</t>
  </si>
  <si>
    <t>Itatinga</t>
  </si>
  <si>
    <t>https://dadosabertos.camara.leg.br/api/v2/deputados/130826</t>
  </si>
  <si>
    <t>SOUZA CARMO</t>
  </si>
  <si>
    <t>Juarez de Souza Carmo</t>
  </si>
  <si>
    <t>https://dadosabertos.camara.leg.br/api/v2/deputados/130860</t>
  </si>
  <si>
    <t>SOUZA LEÃO</t>
  </si>
  <si>
    <t>Odilon Lima de Souza Leão Filho</t>
  </si>
  <si>
    <t>https://dadosabertos.camara.leg.br/api/v2/deputados/130868</t>
  </si>
  <si>
    <t>THEOBALDO NEUMANN</t>
  </si>
  <si>
    <t>Theobaldo Neumann</t>
  </si>
  <si>
    <t>Tapes</t>
  </si>
  <si>
    <t>https://dadosabertos.camara.leg.br/api/v2/deputados/130869</t>
  </si>
  <si>
    <t>TRISTÃO DA CUNHA</t>
  </si>
  <si>
    <t>Tristão Ferreira da Cunha</t>
  </si>
  <si>
    <t>1890-07-27</t>
  </si>
  <si>
    <t>https://dadosabertos.camara.leg.br/api/v2/deputados/130870</t>
  </si>
  <si>
    <t>TÚLIO FERNANDES</t>
  </si>
  <si>
    <t>Túlio Augusto Fernandes de Oliveira</t>
  </si>
  <si>
    <t>https://dadosabertos.camara.leg.br/api/v2/deputados/130795</t>
  </si>
  <si>
    <t>VASCONCELOS TORRES</t>
  </si>
  <si>
    <t>João Batista de Vasconcelos Torres</t>
  </si>
  <si>
    <t>https://dadosabertos.camara.leg.br/api/v2/deputados/130871</t>
  </si>
  <si>
    <t>WAGNER ESTELITA</t>
  </si>
  <si>
    <t>Wagner Estelita Campos</t>
  </si>
  <si>
    <t>https://dadosabertos.camara.leg.br/api/v2/deputados/130872</t>
  </si>
  <si>
    <t>WALTER ATHAYDE</t>
  </si>
  <si>
    <t>Walter Geraldo de Azevedo Athayde</t>
  </si>
  <si>
    <t>https://dadosabertos.camara.leg.br/api/v2/deputados/130703</t>
  </si>
  <si>
    <t>WANDERLEY JÚNIOR</t>
  </si>
  <si>
    <t>Afonso Guilhermino Wanderley Júnior</t>
  </si>
  <si>
    <t>1892-03-05</t>
  </si>
  <si>
    <t>https://dadosabertos.camara.leg.br/api/v2/deputados/130874</t>
  </si>
  <si>
    <t>WILLY FROHLICH</t>
  </si>
  <si>
    <t>Willy Carlos Frohlich</t>
  </si>
  <si>
    <t>https://dadosabertos.camara.leg.br/api/v2/deputados/130873</t>
  </si>
  <si>
    <t>WILMAR DIAS</t>
  </si>
  <si>
    <t>Wilmar Orlando Dias</t>
  </si>
  <si>
    <t>https://dadosabertos.camara.leg.br/api/v2/deputados/130875</t>
  </si>
  <si>
    <t>WILSON VARGAS</t>
  </si>
  <si>
    <t>Wilson Vargas da Silveira</t>
  </si>
  <si>
    <t>https://dadosabertos.camara.leg.br/api/v2/deputados/130505</t>
  </si>
  <si>
    <t>ABGUAR BASTOS</t>
  </si>
  <si>
    <t>Abguar Bastos Damasceno</t>
  </si>
  <si>
    <t>https://dadosabertos.camara.leg.br/api/v2/deputados/130506</t>
  </si>
  <si>
    <t>ADERBAL SILVA</t>
  </si>
  <si>
    <t>Aderbal Ramos da Silva</t>
  </si>
  <si>
    <t>https://dadosabertos.camara.leg.br/api/v2/deputados/130887</t>
  </si>
  <si>
    <t>AFONSO ARINOS</t>
  </si>
  <si>
    <t>Affonso Arinos de Mello Franco</t>
  </si>
  <si>
    <t>https://dadosabertos.camara.leg.br/api/v2/deputados/130509</t>
  </si>
  <si>
    <t>AIRTON TELES</t>
  </si>
  <si>
    <t>Airton Mendonça Teles</t>
  </si>
  <si>
    <t>https://dadosabertos.camara.leg.br/api/v2/deputados/130510</t>
  </si>
  <si>
    <t>ALBERTO ANDALÓ</t>
  </si>
  <si>
    <t>Alberto Andaló</t>
  </si>
  <si>
    <t>https://dadosabertos.camara.leg.br/api/v2/deputados/130511</t>
  </si>
  <si>
    <t>ALBERTO TORRES</t>
  </si>
  <si>
    <t>Alberto Francisco Torres</t>
  </si>
  <si>
    <t>https://dadosabertos.camara.leg.br/api/v2/deputados/130513</t>
  </si>
  <si>
    <t>ALFREDO PALERMO</t>
  </si>
  <si>
    <t>Alfredo Palermo</t>
  </si>
  <si>
    <t>https://dadosabertos.camara.leg.br/api/v2/deputados/130515</t>
  </si>
  <si>
    <t>ALTAMIRANDO REQUIÃO</t>
  </si>
  <si>
    <t>Altamirando Alves da Silva Requião</t>
  </si>
  <si>
    <t>1893-08-27</t>
  </si>
  <si>
    <t>https://dadosabertos.camara.leg.br/api/v2/deputados/130518</t>
  </si>
  <si>
    <t>AMAURY PEDROSA</t>
  </si>
  <si>
    <t>Amaury Gomes Pedrosa</t>
  </si>
  <si>
    <t>https://dadosabertos.camara.leg.br/api/v2/deputados/130530</t>
  </si>
  <si>
    <t>ANTÔNIO HORÁCIO</t>
  </si>
  <si>
    <t>Antonio Horácio Pereira</t>
  </si>
  <si>
    <t>Aracoiaba</t>
  </si>
  <si>
    <t>https://dadosabertos.camara.leg.br/api/v2/deputados/130526</t>
  </si>
  <si>
    <t>ANTÔNIO MAIA</t>
  </si>
  <si>
    <t>Antônio Botelho Maia</t>
  </si>
  <si>
    <t>https://dadosabertos.camara.leg.br/api/v2/deputados/130522</t>
  </si>
  <si>
    <t>ANTÔNIO PEREIRA</t>
  </si>
  <si>
    <t>Antônio Alves Pereira</t>
  </si>
  <si>
    <t>https://dadosabertos.camara.leg.br/api/v2/deputados/130525</t>
  </si>
  <si>
    <t>ANTÔNIO SANTIAGO</t>
  </si>
  <si>
    <t>Antônio Batista Santiago</t>
  </si>
  <si>
    <t>1899-04-10</t>
  </si>
  <si>
    <t>https://dadosabertos.camara.leg.br/api/v2/deputados/130538</t>
  </si>
  <si>
    <t>ARINO DE MATTOS</t>
  </si>
  <si>
    <t>Arino de Souza Mattos</t>
  </si>
  <si>
    <t>Araruama</t>
  </si>
  <si>
    <t>https://dadosabertos.camara.leg.br/api/v2/deputados/130540</t>
  </si>
  <si>
    <t>ARMANDO LAGES</t>
  </si>
  <si>
    <t>Armando Salgado Lages</t>
  </si>
  <si>
    <t>https://dadosabertos.camara.leg.br/api/v2/deputados/130541</t>
  </si>
  <si>
    <t>ARTHUR AUDRÁ</t>
  </si>
  <si>
    <t>Arthur Boéris Audrá</t>
  </si>
  <si>
    <t>https://dadosabertos.camara.leg.br/api/v2/deputados/130542</t>
  </si>
  <si>
    <t>ATAÍDE BASTOS</t>
  </si>
  <si>
    <t>Ataíde de Lima Bastos</t>
  </si>
  <si>
    <t>1896-11-29</t>
  </si>
  <si>
    <t>https://dadosabertos.camara.leg.br/api/v2/deputados/130414</t>
  </si>
  <si>
    <t>AUGUSTO VIANA</t>
  </si>
  <si>
    <t>Augusto Viana Ribeiro dos Santos</t>
  </si>
  <si>
    <t>https://dadosabertos.camara.leg.br/api/v2/deputados/130543</t>
  </si>
  <si>
    <t>AZIZ MARON</t>
  </si>
  <si>
    <t>Aziz Maron</t>
  </si>
  <si>
    <t>https://dadosabertos.camara.leg.br/api/v2/deputados/130508</t>
  </si>
  <si>
    <t>BARCELLOS FEIO</t>
  </si>
  <si>
    <t>Agenor Barcellos Feio</t>
  </si>
  <si>
    <t>1896-04-09</t>
  </si>
  <si>
    <t>https://dadosabertos.camara.leg.br/api/v2/deputados/130683</t>
  </si>
  <si>
    <t>BARJAS FILHO</t>
  </si>
  <si>
    <t>Rodrigo Barjas Filho</t>
  </si>
  <si>
    <t>https://dadosabertos.camara.leg.br/api/v2/deputados/130524</t>
  </si>
  <si>
    <t>BARROS CARVALHO</t>
  </si>
  <si>
    <t>Antônio de Barros Carvalho</t>
  </si>
  <si>
    <t>1899-02-18</t>
  </si>
  <si>
    <t>https://dadosabertos.camara.leg.br/api/v2/deputados/130517</t>
  </si>
  <si>
    <t>BARROSO DE SOUZA</t>
  </si>
  <si>
    <t>Amaury Barroso de Souza</t>
  </si>
  <si>
    <t>https://dadosabertos.camara.leg.br/api/v2/deputados/130698</t>
  </si>
  <si>
    <t>BARTOLOMEU LISANDRO</t>
  </si>
  <si>
    <t>Bartolomeu Lisandro de Albernaz</t>
  </si>
  <si>
    <t>1899-05-29</t>
  </si>
  <si>
    <t>https://dadosabertos.camara.leg.br/api/v2/deputados/130539</t>
  </si>
  <si>
    <t>BAYARD LIMA</t>
  </si>
  <si>
    <t>Aristóteles Bayard Lucas de Lima</t>
  </si>
  <si>
    <t>https://dadosabertos.camara.leg.br/api/v2/deputados/130545</t>
  </si>
  <si>
    <t>BENJAMIM MOURÃO</t>
  </si>
  <si>
    <t>Benjamim de Andrade Mourão</t>
  </si>
  <si>
    <t>Campo Largo</t>
  </si>
  <si>
    <t>https://dadosabertos.camara.leg.br/api/v2/deputados/130557</t>
  </si>
  <si>
    <t>Creso Bezerra de Mello</t>
  </si>
  <si>
    <t>São José de Mipibu</t>
  </si>
  <si>
    <t>https://dadosabertos.camara.leg.br/api/v2/deputados/130635</t>
  </si>
  <si>
    <t>BRAGA MURY</t>
  </si>
  <si>
    <t>Luiz Braga Mury</t>
  </si>
  <si>
    <t>1899-11-24</t>
  </si>
  <si>
    <t>https://dadosabertos.camara.leg.br/api/v2/deputados/130546</t>
  </si>
  <si>
    <t>BRUNO BORN</t>
  </si>
  <si>
    <t>Bruno Born</t>
  </si>
  <si>
    <t>https://dadosabertos.camara.leg.br/api/v2/deputados/130527</t>
  </si>
  <si>
    <t>BRUZZI MENDONCA</t>
  </si>
  <si>
    <t>Antônio Bruzzi de Mendonça</t>
  </si>
  <si>
    <t>https://dadosabertos.camara.leg.br/api/v2/deputados/130602</t>
  </si>
  <si>
    <t>CARDOSO DE MELLO</t>
  </si>
  <si>
    <t>João de Deus Cardoso de Mello</t>
  </si>
  <si>
    <t>1898-03-08</t>
  </si>
  <si>
    <t>https://dadosabertos.camara.leg.br/api/v2/deputados/130548</t>
  </si>
  <si>
    <t>Carlos de Faria Albuquerque</t>
  </si>
  <si>
    <t>https://dadosabertos.camara.leg.br/api/v2/deputados/130550</t>
  </si>
  <si>
    <t>CARLOS PINTO</t>
  </si>
  <si>
    <t>Carlos Pinto Filho</t>
  </si>
  <si>
    <t>Porciúncula</t>
  </si>
  <si>
    <t>https://dadosabertos.camara.leg.br/api/v2/deputados/130637</t>
  </si>
  <si>
    <t>CARLOS PUJOL</t>
  </si>
  <si>
    <t>Luiz Carlos Pujol</t>
  </si>
  <si>
    <t>https://dadosabertos.camara.leg.br/api/v2/deputados/130528</t>
  </si>
  <si>
    <t>CARVALHO GUIMARÃES</t>
  </si>
  <si>
    <t>Antônio Carvalho Guimarães</t>
  </si>
  <si>
    <t>1886-07-14</t>
  </si>
  <si>
    <t>https://dadosabertos.camara.leg.br/api/v2/deputados/130512</t>
  </si>
  <si>
    <t>Alexandre de Carvalho Leal</t>
  </si>
  <si>
    <t>1890-01-13</t>
  </si>
  <si>
    <t>https://dadosabertos.camara.leg.br/api/v2/deputados/130681</t>
  </si>
  <si>
    <t>Raimundo Barbosa de Carvalho Neto</t>
  </si>
  <si>
    <t>Amarante</t>
  </si>
  <si>
    <t>https://dadosabertos.camara.leg.br/api/v2/deputados/130547</t>
  </si>
  <si>
    <t>CASTILHO CABRAL</t>
  </si>
  <si>
    <t>Carlos Castilho Cabral</t>
  </si>
  <si>
    <t>Novo Horizonte</t>
  </si>
  <si>
    <t>https://dadosabertos.camara.leg.br/api/v2/deputados/130529</t>
  </si>
  <si>
    <t>CHALBAUD BISCAIA</t>
  </si>
  <si>
    <t>Antônio Chalbaud Biscaia</t>
  </si>
  <si>
    <t>https://dadosabertos.camara.leg.br/api/v2/deputados/130552</t>
  </si>
  <si>
    <t>CÍCERO ALVES</t>
  </si>
  <si>
    <t>Cícero Alves</t>
  </si>
  <si>
    <t>https://dadosabertos.camara.leg.br/api/v2/deputados/130553</t>
  </si>
  <si>
    <t>CID CAMPELO</t>
  </si>
  <si>
    <t>Cid Campelo</t>
  </si>
  <si>
    <t>1896-03-05</t>
  </si>
  <si>
    <t>https://dadosabertos.camara.leg.br/api/v2/deputados/130554</t>
  </si>
  <si>
    <t>CLEMENTE MEDRADO</t>
  </si>
  <si>
    <t>Clemente Medrado Fernandes</t>
  </si>
  <si>
    <t>1896-10-28</t>
  </si>
  <si>
    <t>https://dadosabertos.camara.leg.br/api/v2/deputados/130555</t>
  </si>
  <si>
    <t>COARACY NUNES</t>
  </si>
  <si>
    <t>Coaracy Gentil Monteiro Nunes</t>
  </si>
  <si>
    <t>https://dadosabertos.camara.leg.br/api/v2/deputados/130556</t>
  </si>
  <si>
    <t>CORY FERNANDES</t>
  </si>
  <si>
    <t>Cory Porto Fernandes</t>
  </si>
  <si>
    <t>Pinhal</t>
  </si>
  <si>
    <t>https://dadosabertos.camara.leg.br/api/v2/deputados/130523</t>
  </si>
  <si>
    <t>COSTA RODRIGUES</t>
  </si>
  <si>
    <t>Antônio Euzébio da Costa Rodrigues</t>
  </si>
  <si>
    <t>https://dadosabertos.camara.leg.br/api/v2/deputados/130551</t>
  </si>
  <si>
    <t>CUNHA BASTOS</t>
  </si>
  <si>
    <t>Cesar da Cunha Bastos</t>
  </si>
  <si>
    <t>1898-11-28</t>
  </si>
  <si>
    <t>https://dadosabertos.camara.leg.br/api/v2/deputados/130589</t>
  </si>
  <si>
    <t>CUNHA MACHADO</t>
  </si>
  <si>
    <t>Hugo da Cunha Machado</t>
  </si>
  <si>
    <t>1898-11-03</t>
  </si>
  <si>
    <t>https://dadosabertos.camara.leg.br/api/v2/deputados/1545</t>
  </si>
  <si>
    <t>DANIEL DE CARVALHO</t>
  </si>
  <si>
    <t>Daniel Serapião de Carvalho</t>
  </si>
  <si>
    <t>1887-10-09</t>
  </si>
  <si>
    <t>https://dadosabertos.camara.leg.br/api/v2/deputados/130558</t>
  </si>
  <si>
    <t>DANTON COELHO</t>
  </si>
  <si>
    <t>Danton Coelho</t>
  </si>
  <si>
    <t>https://dadosabertos.camara.leg.br/api/v2/deputados/130507</t>
  </si>
  <si>
    <t>DIAS DE ARAÚJO</t>
  </si>
  <si>
    <t>Afonso Dias de Araújo</t>
  </si>
  <si>
    <t>1892-08-10</t>
  </si>
  <si>
    <t>Caldas</t>
  </si>
  <si>
    <t>https://dadosabertos.camara.leg.br/api/v2/deputados/130559</t>
  </si>
  <si>
    <t>DILERMANDO CRUZ</t>
  </si>
  <si>
    <t>Dilermando Martins da Costa Cruz Filho</t>
  </si>
  <si>
    <t>https://dadosabertos.camara.leg.br/api/v2/deputados/130560</t>
  </si>
  <si>
    <t>DIOCLÉCIO DUARTE</t>
  </si>
  <si>
    <t>Dioclécio Dantas Duarte</t>
  </si>
  <si>
    <t>1894-10-01</t>
  </si>
  <si>
    <t>https://dadosabertos.camara.leg.br/api/v2/deputados/130561</t>
  </si>
  <si>
    <t>DIVONSIR CORTES</t>
  </si>
  <si>
    <t>Divonsir Borba Cortes</t>
  </si>
  <si>
    <t>https://dadosabertos.camara.leg.br/api/v2/deputados/130598</t>
  </si>
  <si>
    <t>DIX-HUIT ROSADO</t>
  </si>
  <si>
    <t>Jerônimo Dix-Huit Rosado Maia</t>
  </si>
  <si>
    <t>https://dadosabertos.camara.leg.br/api/v2/deputados/130563</t>
  </si>
  <si>
    <t>EDGAR SCHNEIDER</t>
  </si>
  <si>
    <t>Edgar Luiz Schneider</t>
  </si>
  <si>
    <t>1893-03-05</t>
  </si>
  <si>
    <t>https://dadosabertos.camara.leg.br/api/v2/deputados/130564</t>
  </si>
  <si>
    <t>EDUARDO CATALÃO</t>
  </si>
  <si>
    <t>Eduardo Vilas Boas Catalão</t>
  </si>
  <si>
    <t>https://dadosabertos.camara.leg.br/api/v2/deputados/130565</t>
  </si>
  <si>
    <t>EDUARDO ZASSO</t>
  </si>
  <si>
    <t>Eduardo Zasso</t>
  </si>
  <si>
    <t>https://dadosabertos.camara.leg.br/api/v2/deputados/130566</t>
  </si>
  <si>
    <t>EIDER VARELA</t>
  </si>
  <si>
    <t>Eider Freire Varela</t>
  </si>
  <si>
    <t>Ceará-Mirim</t>
  </si>
  <si>
    <t>https://dadosabertos.camara.leg.br/api/v2/deputados/130603</t>
  </si>
  <si>
    <t>EMÍLIO FALCÃO</t>
  </si>
  <si>
    <t>João Emílio Falcão Costa</t>
  </si>
  <si>
    <t>https://dadosabertos.camara.leg.br/api/v2/deputados/130567</t>
  </si>
  <si>
    <t>ERMENEGILDO CORBELLINI</t>
  </si>
  <si>
    <t>Ermenegildo Cyrilo Corbellini</t>
  </si>
  <si>
    <t>https://dadosabertos.camara.leg.br/api/v2/deputados/130568</t>
  </si>
  <si>
    <t>EUSTÁQUIO GOMES</t>
  </si>
  <si>
    <t>Eustáquio Gomes de Mello</t>
  </si>
  <si>
    <t>1894-09-20</t>
  </si>
  <si>
    <t>https://dadosabertos.camara.leg.br/api/v2/deputados/130569</t>
  </si>
  <si>
    <t>EUVALDO LODI</t>
  </si>
  <si>
    <t>Euvaldo Lodi</t>
  </si>
  <si>
    <t>1896-03-09</t>
  </si>
  <si>
    <t>Ouro Preto</t>
  </si>
  <si>
    <t>https://dadosabertos.camara.leg.br/api/v2/deputados/130570</t>
  </si>
  <si>
    <t>FAUSTO OLIVEIRA</t>
  </si>
  <si>
    <t>Fausto Oliveira</t>
  </si>
  <si>
    <t>https://dadosabertos.camara.leg.br/api/v2/deputados/130661</t>
  </si>
  <si>
    <t>FERREIRA PAES</t>
  </si>
  <si>
    <t>Manuel Ferreira Paes</t>
  </si>
  <si>
    <t>1897-07-09</t>
  </si>
  <si>
    <t>https://dadosabertos.camara.leg.br/api/v2/deputados/130645</t>
  </si>
  <si>
    <t>FIRMAN NETO</t>
  </si>
  <si>
    <t>Pedro Firman Neto</t>
  </si>
  <si>
    <t>https://dadosabertos.camara.leg.br/api/v2/deputados/130572</t>
  </si>
  <si>
    <t>FLÁVIO DE CASTRO</t>
  </si>
  <si>
    <t>Flávio de Menezes Castro</t>
  </si>
  <si>
    <t>1894-10-27</t>
  </si>
  <si>
    <t>https://dadosabertos.camara.leg.br/api/v2/deputados/130658</t>
  </si>
  <si>
    <t>FONSECA E SILVA</t>
  </si>
  <si>
    <t>José Trindade da Fonseca e Silva</t>
  </si>
  <si>
    <t>https://dadosabertos.camara.leg.br/api/v2/deputados/130544</t>
  </si>
  <si>
    <t>Benedito Freitas Diniz</t>
  </si>
  <si>
    <t>Brejo</t>
  </si>
  <si>
    <t>https://dadosabertos.camara.leg.br/api/v2/deputados/130647</t>
  </si>
  <si>
    <t>FROTA MOREIRA</t>
  </si>
  <si>
    <t>José Arthur da Frota Moreira</t>
  </si>
  <si>
    <t>https://dadosabertos.camara.leg.br/api/v2/deputados/130604</t>
  </si>
  <si>
    <t>GALVÃO DE MEDEIROS</t>
  </si>
  <si>
    <t>João Galvão de Medeiros</t>
  </si>
  <si>
    <t>https://dadosabertos.camara.leg.br/api/v2/deputados/130675</t>
  </si>
  <si>
    <t>GENÉSIO GUERRA</t>
  </si>
  <si>
    <t>Pio Genésio Guerra</t>
  </si>
  <si>
    <t>https://dadosabertos.camara.leg.br/api/v2/deputados/130576</t>
  </si>
  <si>
    <t>GENTIL BARREIRA</t>
  </si>
  <si>
    <t>Gentil Pinheiro Barreira</t>
  </si>
  <si>
    <t>1895-02-10</t>
  </si>
  <si>
    <t>https://dadosabertos.camara.leg.br/api/v2/deputados/130577</t>
  </si>
  <si>
    <t>GENTIL NASCIMENTO</t>
  </si>
  <si>
    <t>Gentil Nascimento</t>
  </si>
  <si>
    <t>https://dadosabertos.camara.leg.br/api/v2/deputados/130578</t>
  </si>
  <si>
    <t>GEORGES GALVÃO</t>
  </si>
  <si>
    <t>Georges Galvão</t>
  </si>
  <si>
    <t>https://dadosabertos.camara.leg.br/api/v2/deputados/130580</t>
  </si>
  <si>
    <t>GIÁCOMO PORTO</t>
  </si>
  <si>
    <t>Giácomo Porto</t>
  </si>
  <si>
    <t>https://dadosabertos.camara.leg.br/api/v2/deputados/130573</t>
  </si>
  <si>
    <t>GIRALDES FILHO</t>
  </si>
  <si>
    <t>Francisco Giraldes Filho</t>
  </si>
  <si>
    <t>1893-01-29</t>
  </si>
  <si>
    <t>https://dadosabertos.camara.leg.br/api/v2/deputados/130520</t>
  </si>
  <si>
    <t>GODOY ILHA</t>
  </si>
  <si>
    <t>Américo Godoy Ilha</t>
  </si>
  <si>
    <t>https://dadosabertos.camara.leg.br/api/v2/deputados/130581</t>
  </si>
  <si>
    <t>GUIDO MONDIN</t>
  </si>
  <si>
    <t>Guido Fernando Mondin</t>
  </si>
  <si>
    <t>https://dadosabertos.camara.leg.br/api/v2/deputados/130582</t>
  </si>
  <si>
    <t>HEITOR FILHO</t>
  </si>
  <si>
    <t>Heitor Pereira Filho</t>
  </si>
  <si>
    <t>https://dadosabertos.camara.leg.br/api/v2/deputados/130584</t>
  </si>
  <si>
    <t>HENRIQUE PAGNONCELLI</t>
  </si>
  <si>
    <t>Henrique Pagnoncelli</t>
  </si>
  <si>
    <t>https://dadosabertos.camara.leg.br/api/v2/deputados/130585</t>
  </si>
  <si>
    <t>HERCÍLIO DEEKE</t>
  </si>
  <si>
    <t>Hercílio Deeke</t>
  </si>
  <si>
    <t>Ibirama</t>
  </si>
  <si>
    <t>https://dadosabertos.camara.leg.br/api/v2/deputados/130586</t>
  </si>
  <si>
    <t>HERIBALDO VIEIRA</t>
  </si>
  <si>
    <t>Heribaldo Dantas Vieira</t>
  </si>
  <si>
    <t>https://dadosabertos.camara.leg.br/api/v2/deputados/130588</t>
  </si>
  <si>
    <t>HUGO CABRAL</t>
  </si>
  <si>
    <t>Hugo Cabral</t>
  </si>
  <si>
    <t>https://dadosabertos.camara.leg.br/api/v2/deputados/130590</t>
  </si>
  <si>
    <t>Hugo Napoleão do Rego</t>
  </si>
  <si>
    <t>1892-06-25</t>
  </si>
  <si>
    <t>https://dadosabertos.camara.leg.br/api/v2/deputados/130591</t>
  </si>
  <si>
    <t>HUMBERTO AMADO</t>
  </si>
  <si>
    <t>Humberto de Andrade Amado</t>
  </si>
  <si>
    <t>https://dadosabertos.camara.leg.br/api/v2/deputados/130593</t>
  </si>
  <si>
    <t>HUMBERTO MOLINARO</t>
  </si>
  <si>
    <t>Humberto Molinaro</t>
  </si>
  <si>
    <t>https://dadosabertos.camara.leg.br/api/v2/deputados/130592</t>
  </si>
  <si>
    <t>HUMBERTO TEIXEIRA</t>
  </si>
  <si>
    <t>Humberto Cavalcante Teixeira</t>
  </si>
  <si>
    <t>https://dadosabertos.camara.leg.br/api/v2/deputados/130594</t>
  </si>
  <si>
    <t>ILACIR LIMA</t>
  </si>
  <si>
    <t>Ilacir Pereira Lima</t>
  </si>
  <si>
    <t>Vespasiano</t>
  </si>
  <si>
    <t>https://dadosabertos.camara.leg.br/api/v2/deputados/130595</t>
  </si>
  <si>
    <t>IRIS MEINBERG</t>
  </si>
  <si>
    <t>Iris Meinberg</t>
  </si>
  <si>
    <t>https://dadosabertos.camara.leg.br/api/v2/deputados/130596</t>
  </si>
  <si>
    <t>Israel Pinheiro da Silva</t>
  </si>
  <si>
    <t>1896-01-04</t>
  </si>
  <si>
    <t>Caeté</t>
  </si>
  <si>
    <t>https://dadosabertos.camara.leg.br/api/v2/deputados/130597</t>
  </si>
  <si>
    <t>JEFFERSON DE AGUIAR</t>
  </si>
  <si>
    <t>Jefferson de Aguiar</t>
  </si>
  <si>
    <t>https://dadosabertos.camara.leg.br/api/v2/deputados/130601</t>
  </si>
  <si>
    <t>JOÃO D'ABREU</t>
  </si>
  <si>
    <t>João d'Abreu</t>
  </si>
  <si>
    <t>1888-07-04</t>
  </si>
  <si>
    <t>https://dadosabertos.camara.leg.br/api/v2/deputados/130607</t>
  </si>
  <si>
    <t>JOÃO DE PAULA</t>
  </si>
  <si>
    <t>João de Paula e Silva</t>
  </si>
  <si>
    <t>1892-02-29</t>
  </si>
  <si>
    <t>https://dadosabertos.camara.leg.br/api/v2/deputados/130600</t>
  </si>
  <si>
    <t>JOÃO FALCÃO</t>
  </si>
  <si>
    <t>João da Costa Falcão</t>
  </si>
  <si>
    <t>https://dadosabertos.camara.leg.br/api/v2/deputados/130599</t>
  </si>
  <si>
    <t>JOÃO FICO</t>
  </si>
  <si>
    <t>João Batista Fico</t>
  </si>
  <si>
    <t>https://dadosabertos.camara.leg.br/api/v2/deputados/130608</t>
  </si>
  <si>
    <t>JOÃO MACHADO</t>
  </si>
  <si>
    <t>João dos Reis Ferreira Machado</t>
  </si>
  <si>
    <t>1898-01-06</t>
  </si>
  <si>
    <t>https://dadosabertos.camara.leg.br/api/v2/deputados/130611</t>
  </si>
  <si>
    <t>JOAQUIM RONDON</t>
  </si>
  <si>
    <t>Joaquim Vicente Rondon</t>
  </si>
  <si>
    <t>https://dadosabertos.camara.leg.br/api/v2/deputados/130612</t>
  </si>
  <si>
    <t>JOCELYN ROSA</t>
  </si>
  <si>
    <t>Jocelyn Leocádio da Rosa</t>
  </si>
  <si>
    <t>https://dadosabertos.camara.leg.br/api/v2/deputados/130613</t>
  </si>
  <si>
    <t>JORGE LACERDA</t>
  </si>
  <si>
    <t>Jorge Lacerda</t>
  </si>
  <si>
    <t>https://dadosabertos.camara.leg.br/api/v2/deputados/130614</t>
  </si>
  <si>
    <t>JOSÉ AFONSO</t>
  </si>
  <si>
    <t>José Afonso Casado de Melo</t>
  </si>
  <si>
    <t>https://dadosabertos.camara.leg.br/api/v2/deputados/130615</t>
  </si>
  <si>
    <t>José Alves de Azevedo</t>
  </si>
  <si>
    <t>https://dadosabertos.camara.leg.br/api/v2/deputados/130657</t>
  </si>
  <si>
    <t>JOSÉ FRAGELLI</t>
  </si>
  <si>
    <t>José Manoel Fontanillas Fragelli</t>
  </si>
  <si>
    <t>https://dadosabertos.camara.leg.br/api/v2/deputados/130654</t>
  </si>
  <si>
    <t>JOSÉ GUIMARÃES</t>
  </si>
  <si>
    <t>José Gomes de Oliveira Guimarães</t>
  </si>
  <si>
    <t>https://dadosabertos.camara.leg.br/api/v2/deputados/130652</t>
  </si>
  <si>
    <t>JOSÉ JATOBÁ</t>
  </si>
  <si>
    <t>José de Freitas Jatobá</t>
  </si>
  <si>
    <t>1895-11-22</t>
  </si>
  <si>
    <t>https://dadosabertos.camara.leg.br/api/v2/deputados/130622</t>
  </si>
  <si>
    <t>JOSÉ MACIEL</t>
  </si>
  <si>
    <t>José do Rego Maciel</t>
  </si>
  <si>
    <t>https://dadosabertos.camara.leg.br/api/v2/deputados/130651</t>
  </si>
  <si>
    <t>JOSÉ MULLER</t>
  </si>
  <si>
    <t>José Eugênio Muller</t>
  </si>
  <si>
    <t>1889-11-28</t>
  </si>
  <si>
    <t>https://dadosabertos.camara.leg.br/api/v2/deputados/130619</t>
  </si>
  <si>
    <t>JOSÉ NICODEMUS</t>
  </si>
  <si>
    <t>José Nicodemus da Silveira Martins</t>
  </si>
  <si>
    <t>Areia Branca</t>
  </si>
  <si>
    <t>https://dadosabertos.camara.leg.br/api/v2/deputados/130649</t>
  </si>
  <si>
    <t>JOSÉ SOBRAL</t>
  </si>
  <si>
    <t>José Conde Sobral</t>
  </si>
  <si>
    <t>https://dadosabertos.camara.leg.br/api/v2/deputados/130605</t>
  </si>
  <si>
    <t>LAMEIRA BITTENCOURT</t>
  </si>
  <si>
    <t>João Guilherme Lameira Bittencourt</t>
  </si>
  <si>
    <t>Lisboa</t>
  </si>
  <si>
    <t>https://dadosabertos.camara.leg.br/api/v2/deputados/130625</t>
  </si>
  <si>
    <t>LAURINDO REGIS</t>
  </si>
  <si>
    <t>Laurindo Oliveira Regis Filho</t>
  </si>
  <si>
    <t>Mata de São João</t>
  </si>
  <si>
    <t>https://dadosabertos.camara.leg.br/api/v2/deputados/130627</t>
  </si>
  <si>
    <t>LAURO GOMES</t>
  </si>
  <si>
    <t>Lauro Gomes de Almeida</t>
  </si>
  <si>
    <t>1895-02-27</t>
  </si>
  <si>
    <t>Rochedo</t>
  </si>
  <si>
    <t>https://dadosabertos.camara.leg.br/api/v2/deputados/130628</t>
  </si>
  <si>
    <t>LEOBERTO LEAL</t>
  </si>
  <si>
    <t>Leoberto Laus Leal</t>
  </si>
  <si>
    <t>https://dadosabertos.camara.leg.br/api/v2/deputados/130629</t>
  </si>
  <si>
    <t>LEONARDO BARBIERI</t>
  </si>
  <si>
    <t>Leonardo Barbieri</t>
  </si>
  <si>
    <t>https://dadosabertos.camara.leg.br/api/v2/deputados/130630</t>
  </si>
  <si>
    <t>LEÔNIDAS CARDOSO</t>
  </si>
  <si>
    <t>Leônidas Cardoso</t>
  </si>
  <si>
    <t>1889-02-24</t>
  </si>
  <si>
    <t>https://dadosabertos.camara.leg.br/api/v2/deputados/130655</t>
  </si>
  <si>
    <t>LERNER RODRIGUES</t>
  </si>
  <si>
    <t>José de Lerner Rodrigues</t>
  </si>
  <si>
    <t>https://dadosabertos.camara.leg.br/api/v2/deputados/130514</t>
  </si>
  <si>
    <t>LIMA CAMPOS</t>
  </si>
  <si>
    <t>Aluísio Fragoso de Lima Campos</t>
  </si>
  <si>
    <t>1898-10-14</t>
  </si>
  <si>
    <t>https://dadosabertos.camara.leg.br/api/v2/deputados/130549</t>
  </si>
  <si>
    <t>LIMA CAVALCANTI</t>
  </si>
  <si>
    <t>Carlos de Lima Cavalcanti</t>
  </si>
  <si>
    <t>1892-06-07</t>
  </si>
  <si>
    <t>https://dadosabertos.camara.leg.br/api/v2/deputados/130633</t>
  </si>
  <si>
    <t>LINCOLN FELICIANO</t>
  </si>
  <si>
    <t>Lincoln Feliciano da Silva</t>
  </si>
  <si>
    <t>1893-06-20</t>
  </si>
  <si>
    <t>https://dadosabertos.camara.leg.br/api/v2/deputados/130609</t>
  </si>
  <si>
    <t>LOBÃO DA SILVEIRA</t>
  </si>
  <si>
    <t>Joaquim Lobão da Silveira</t>
  </si>
  <si>
    <t>https://dadosabertos.camara.leg.br/api/v2/deputados/130656</t>
  </si>
  <si>
    <t>LOUREIRO JÚNIOR</t>
  </si>
  <si>
    <t>José Loureiro Júnior</t>
  </si>
  <si>
    <t>https://dadosabertos.camara.leg.br/api/v2/deputados/130634</t>
  </si>
  <si>
    <t>LUIZ CAMPAGNONI</t>
  </si>
  <si>
    <t>Luiz Alexandre Campagnoni</t>
  </si>
  <si>
    <t>https://dadosabertos.camara.leg.br/api/v2/deputados/130636</t>
  </si>
  <si>
    <t>LUIZ TOURINHO</t>
  </si>
  <si>
    <t>Luiz Carlos Pereira Tourinho</t>
  </si>
  <si>
    <t>https://dadosabertos.camara.leg.br/api/v2/deputados/130641</t>
  </si>
  <si>
    <t>LUPI MARTINS</t>
  </si>
  <si>
    <t>Miguel Lupi Martins</t>
  </si>
  <si>
    <t>https://dadosabertos.camara.leg.br/api/v2/deputados/130639</t>
  </si>
  <si>
    <t>LUTERO VARGAS</t>
  </si>
  <si>
    <t>Luthero Sarmanho Vargas</t>
  </si>
  <si>
    <t>https://dadosabertos.camara.leg.br/api/v2/deputados/130606</t>
  </si>
  <si>
    <t>MACEDO COSTA</t>
  </si>
  <si>
    <t>João Maurício de Macedo Costa</t>
  </si>
  <si>
    <t>1899-09-29</t>
  </si>
  <si>
    <t>https://dadosabertos.camara.leg.br/api/v2/deputados/130638</t>
  </si>
  <si>
    <t>MACHADO SOBRINHO</t>
  </si>
  <si>
    <t>Luiz Gonzaga Machado Sobrinho</t>
  </si>
  <si>
    <t>https://dadosabertos.camara.leg.br/api/v2/deputados/130662</t>
  </si>
  <si>
    <t>MARCOS PARENTE</t>
  </si>
  <si>
    <t>Marcos Santos Parente</t>
  </si>
  <si>
    <t>https://dadosabertos.camara.leg.br/api/v2/deputados/130640</t>
  </si>
  <si>
    <t>MARINO MACHADO</t>
  </si>
  <si>
    <t>Marino Machado de Oliveira</t>
  </si>
  <si>
    <t>https://dadosabertos.camara.leg.br/api/v2/deputados/130663</t>
  </si>
  <si>
    <t>MÁRIO APRILLE</t>
  </si>
  <si>
    <t>Mário Aprille</t>
  </si>
  <si>
    <t>https://dadosabertos.camara.leg.br/api/v2/deputados/130664</t>
  </si>
  <si>
    <t>MÁRIO EUGÊNIO</t>
  </si>
  <si>
    <t>Mário Eugênio</t>
  </si>
  <si>
    <t>https://dadosabertos.camara.leg.br/api/v2/deputados/130531</t>
  </si>
  <si>
    <t>MARTINS FERNANDES</t>
  </si>
  <si>
    <t>Antônio Martins Fernandes de Carvalho</t>
  </si>
  <si>
    <t>https://dadosabertos.camara.leg.br/api/v2/deputados/130610</t>
  </si>
  <si>
    <t>MENDES DE SOUZA</t>
  </si>
  <si>
    <t>Joaquim Mendes de Souza</t>
  </si>
  <si>
    <t>https://dadosabertos.camara.leg.br/api/v2/deputados/130648</t>
  </si>
  <si>
    <t>MENDONÇA BRAGA</t>
  </si>
  <si>
    <t>José Caralâmpio de Mendonça Braga</t>
  </si>
  <si>
    <t>https://dadosabertos.camara.leg.br/api/v2/deputados/130535</t>
  </si>
  <si>
    <t>MENDONÇA JÚNIOR</t>
  </si>
  <si>
    <t>Antônio Saturnino de Mendonça Júnior</t>
  </si>
  <si>
    <t>https://dadosabertos.camara.leg.br/api/v2/deputados/130574</t>
  </si>
  <si>
    <t>MENEZES PIMENTEL</t>
  </si>
  <si>
    <t>Francisco de Menezes Pimentel</t>
  </si>
  <si>
    <t>1887-09-12</t>
  </si>
  <si>
    <t>Santa Quitéria</t>
  </si>
  <si>
    <t>https://dadosabertos.camara.leg.br/api/v2/deputados/130665</t>
  </si>
  <si>
    <t>MILTON CAMPOS</t>
  </si>
  <si>
    <t>Milton Soares Campos</t>
  </si>
  <si>
    <t>https://dadosabertos.camara.leg.br/api/v2/deputados/130691</t>
  </si>
  <si>
    <t>Theotônio Maurício Monteiro de Barros Filho</t>
  </si>
  <si>
    <t>https://dadosabertos.camara.leg.br/api/v2/deputados/130587</t>
  </si>
  <si>
    <t>MORAES BARROS</t>
  </si>
  <si>
    <t>Hermann de Moraes Barros</t>
  </si>
  <si>
    <t>https://dadosabertos.camara.leg.br/api/v2/deputados/130666</t>
  </si>
  <si>
    <t>NELSON PARIJÓS</t>
  </si>
  <si>
    <t>Nelson da Silva Parijós</t>
  </si>
  <si>
    <t>1884-04-19</t>
  </si>
  <si>
    <t>https://dadosabertos.camara.leg.br/api/v2/deputados/130631</t>
  </si>
  <si>
    <t>NITA COSTA</t>
  </si>
  <si>
    <t>Leolina Barbosa de Souza Costa</t>
  </si>
  <si>
    <t>https://dadosabertos.camara.leg.br/api/v2/deputados/130668</t>
  </si>
  <si>
    <t>ODILON BRAGA</t>
  </si>
  <si>
    <t>Odilon Duarte Braga</t>
  </si>
  <si>
    <t>1894-08-03</t>
  </si>
  <si>
    <t>Guarani</t>
  </si>
  <si>
    <t>https://dadosabertos.camara.leg.br/api/v2/deputados/130671</t>
  </si>
  <si>
    <t>OSCAR CARNEIRO</t>
  </si>
  <si>
    <t>Oscar Napoleão Carneiro da Silva</t>
  </si>
  <si>
    <t>https://dadosabertos.camara.leg.br/api/v2/deputados/130620</t>
  </si>
  <si>
    <t>OSÓRIO BORBA</t>
  </si>
  <si>
    <t>José Osório de Moraes Borba</t>
  </si>
  <si>
    <t>Aliança</t>
  </si>
  <si>
    <t>https://dadosabertos.camara.leg.br/api/v2/deputados/130632</t>
  </si>
  <si>
    <t>OSTOJA ROGUSKI</t>
  </si>
  <si>
    <t>Leszek Bronislau Ostoja Roguski</t>
  </si>
  <si>
    <t>https://dadosabertos.camara.leg.br/api/v2/deputados/130672</t>
  </si>
  <si>
    <t>OSWALDO FONSECA</t>
  </si>
  <si>
    <t>Oswaldo da Cunha Fonseca</t>
  </si>
  <si>
    <t>https://dadosabertos.camara.leg.br/api/v2/deputados/130673</t>
  </si>
  <si>
    <t>OTACÍLIO NEGRÃO</t>
  </si>
  <si>
    <t>Otacílio Negrão de Lima</t>
  </si>
  <si>
    <t>1897-04-08</t>
  </si>
  <si>
    <t>https://dadosabertos.camara.leg.br/api/v2/deputados/130667</t>
  </si>
  <si>
    <t>OTÁVIO MANGABEIRA</t>
  </si>
  <si>
    <t>Otávio Mangabeira</t>
  </si>
  <si>
    <t>1886-08-27</t>
  </si>
  <si>
    <t>https://dadosabertos.camara.leg.br/api/v2/deputados/130669</t>
  </si>
  <si>
    <t>OVÍDIO DUARTE</t>
  </si>
  <si>
    <t>Ovídio Borba Duarte</t>
  </si>
  <si>
    <t>Serraria</t>
  </si>
  <si>
    <t>https://dadosabertos.camara.leg.br/api/v2/deputados/130643</t>
  </si>
  <si>
    <t>PAULO BENTES</t>
  </si>
  <si>
    <t>Paulo Menezes Bentes</t>
  </si>
  <si>
    <t>https://dadosabertos.camara.leg.br/api/v2/deputados/130642</t>
  </si>
  <si>
    <t>PAULO GERMANO</t>
  </si>
  <si>
    <t>Paulo Germano de Magalhães</t>
  </si>
  <si>
    <t>https://dadosabertos.camara.leg.br/api/v2/deputados/130644</t>
  </si>
  <si>
    <t>PEDRO DINIZ</t>
  </si>
  <si>
    <t>Pedro Diniz Gonçalves Filho</t>
  </si>
  <si>
    <t>https://dadosabertos.camara.leg.br/api/v2/deputados/130532</t>
  </si>
  <si>
    <t>PEREIRA DINIZ</t>
  </si>
  <si>
    <t>Antônio Pereira Diniz</t>
  </si>
  <si>
    <t>https://dadosabertos.camara.leg.br/api/v2/deputados/130533</t>
  </si>
  <si>
    <t>PEREIRA LIMA</t>
  </si>
  <si>
    <t>Antônio Pereira Lima</t>
  </si>
  <si>
    <t>1892-03-10</t>
  </si>
  <si>
    <t>https://dadosabertos.camara.leg.br/api/v2/deputados/130676</t>
  </si>
  <si>
    <t>PLÁCIDO ROCHA</t>
  </si>
  <si>
    <t>Plácido Rocha</t>
  </si>
  <si>
    <t>https://dadosabertos.camara.leg.br/api/v2/deputados/130646</t>
  </si>
  <si>
    <t>PLÍNIO DE MELLO</t>
  </si>
  <si>
    <t>Plínio Gomes de Mello</t>
  </si>
  <si>
    <t>https://dadosabertos.camara.leg.br/api/v2/deputados/130677</t>
  </si>
  <si>
    <t>PLÍNIO RIBEIRO</t>
  </si>
  <si>
    <t>Plínio Ribeiro dos Santos</t>
  </si>
  <si>
    <t>1892-05-16</t>
  </si>
  <si>
    <t>https://dadosabertos.camara.leg.br/api/v2/deputados/130678</t>
  </si>
  <si>
    <t>PONCIANO DOS SANTOS</t>
  </si>
  <si>
    <t>Ponciano Stenzel dos Santos</t>
  </si>
  <si>
    <t>https://dadosabertos.camara.leg.br/api/v2/deputados/130618</t>
  </si>
  <si>
    <t>PONTES VIEIRA</t>
  </si>
  <si>
    <t>José de Pontes Vieira</t>
  </si>
  <si>
    <t>https://dadosabertos.camara.leg.br/api/v2/deputados/130626</t>
  </si>
  <si>
    <t>PORTUGAL TAVARES</t>
  </si>
  <si>
    <t>Lauro Gentil Portugal Tavares</t>
  </si>
  <si>
    <t>https://dadosabertos.camara.leg.br/api/v2/deputados/130650</t>
  </si>
  <si>
    <t>PRADO KELLY</t>
  </si>
  <si>
    <t>José Eduardo do Prado Kelly</t>
  </si>
  <si>
    <t>https://dadosabertos.camara.leg.br/api/v2/deputados/130679</t>
  </si>
  <si>
    <t>PRAXEDES PITANGA</t>
  </si>
  <si>
    <t>Praxedes da Silva Pitanga</t>
  </si>
  <si>
    <t>https://dadosabertos.camara.leg.br/api/v2/deputados/130534</t>
  </si>
  <si>
    <t>QUEIROZ FILHO</t>
  </si>
  <si>
    <t>Antônio de Queiroz Filho</t>
  </si>
  <si>
    <t>https://dadosabertos.camara.leg.br/api/v2/deputados/130621</t>
  </si>
  <si>
    <t>QUINTELA CAVALCANTI</t>
  </si>
  <si>
    <t>José Quintela Cavalcanti</t>
  </si>
  <si>
    <t>1894-07-16</t>
  </si>
  <si>
    <t>https://dadosabertos.camara.leg.br/api/v2/deputados/130562</t>
  </si>
  <si>
    <t>QUIRINO FERREIRA</t>
  </si>
  <si>
    <t>Domingos Quirino Ferreira Neto</t>
  </si>
  <si>
    <t>https://dadosabertos.camara.leg.br/api/v2/deputados/130680</t>
  </si>
  <si>
    <t>RAFAEL CORRÊA</t>
  </si>
  <si>
    <t>Rafael Corrêa de Oliveira</t>
  </si>
  <si>
    <t>1896-10-20</t>
  </si>
  <si>
    <t>https://dadosabertos.camara.leg.br/api/v2/deputados/130521</t>
  </si>
  <si>
    <t>RIÇA JUNIOR</t>
  </si>
  <si>
    <t>Antero Ferreira Riça Júnior</t>
  </si>
  <si>
    <t>https://dadosabertos.camara.leg.br/api/v2/deputados/130660</t>
  </si>
  <si>
    <t>Josino Alves da Rocha Loures</t>
  </si>
  <si>
    <t>https://dadosabertos.camara.leg.br/api/v2/deputados/130682</t>
  </si>
  <si>
    <t>RODRIGO MAGALHÃES</t>
  </si>
  <si>
    <t>Rodrigo Magalhães dos Santos</t>
  </si>
  <si>
    <t>https://dadosabertos.camara.leg.br/api/v2/deputados/130623</t>
  </si>
  <si>
    <t>RODRIGUES SEABRA</t>
  </si>
  <si>
    <t>José Rodrigues Seabra</t>
  </si>
  <si>
    <t>1896-09-10</t>
  </si>
  <si>
    <t>https://dadosabertos.camara.leg.br/api/v2/deputados/130684</t>
  </si>
  <si>
    <t>RÔMULO ALMEIDA</t>
  </si>
  <si>
    <t>Rômulo Barreto de Almeida</t>
  </si>
  <si>
    <t>https://dadosabertos.camara.leg.br/api/v2/deputados/130670</t>
  </si>
  <si>
    <t>ROXO LOUREIRO</t>
  </si>
  <si>
    <t>Orozimbo Octavio Roxo Loureiro</t>
  </si>
  <si>
    <t>https://dadosabertos.camara.leg.br/api/v2/deputados/130685</t>
  </si>
  <si>
    <t>RUI BARATA</t>
  </si>
  <si>
    <t>Ruy Guilherme Paranatinga Barata</t>
  </si>
  <si>
    <t>https://dadosabertos.camara.leg.br/api/v2/deputados/130693</t>
  </si>
  <si>
    <t>SANTA ROSA</t>
  </si>
  <si>
    <t>Virgínio Marques Santa Rosa</t>
  </si>
  <si>
    <t>https://dadosabertos.camara.leg.br/api/v2/deputados/130624</t>
  </si>
  <si>
    <t>SEGADAS VIANA</t>
  </si>
  <si>
    <t>José de Segadas Viana</t>
  </si>
  <si>
    <t>https://dadosabertos.camara.leg.br/api/v2/deputados/130686</t>
  </si>
  <si>
    <t>SERAFIM BERTASO</t>
  </si>
  <si>
    <t>Serafim Enoss Bertaso</t>
  </si>
  <si>
    <t>https://dadosabertos.camara.leg.br/api/v2/deputados/130516</t>
  </si>
  <si>
    <t>SERRA DE CASTRO</t>
  </si>
  <si>
    <t>Álvaro Serra de Castro</t>
  </si>
  <si>
    <t>https://dadosabertos.camara.leg.br/api/v2/deputados/130687</t>
  </si>
  <si>
    <t>SEVERINO SOMBRA</t>
  </si>
  <si>
    <t>Severino Sombra de Albuquerque</t>
  </si>
  <si>
    <t>https://dadosabertos.camara.leg.br/api/v2/deputados/130688</t>
  </si>
  <si>
    <t>SIGEFREDO PACHECO</t>
  </si>
  <si>
    <t>Sigefredo Pacheco</t>
  </si>
  <si>
    <t>https://dadosabertos.camara.leg.br/api/v2/deputados/130689</t>
  </si>
  <si>
    <t>SÍLVIO SANSON</t>
  </si>
  <si>
    <t>Sílvio Umberto Ulderico Sanson</t>
  </si>
  <si>
    <t>https://dadosabertos.camara.leg.br/api/v2/deputados/130579</t>
  </si>
  <si>
    <t>STARLING SOARES</t>
  </si>
  <si>
    <t>Geraldo Starling Soares</t>
  </si>
  <si>
    <t>https://dadosabertos.camara.leg.br/api/v2/deputados/130690</t>
  </si>
  <si>
    <t>TACIANO DE MELO</t>
  </si>
  <si>
    <t>Taciano Gomes de Melo</t>
  </si>
  <si>
    <t>https://dadosabertos.camara.leg.br/api/v2/deputados/130536</t>
  </si>
  <si>
    <t>TEIXEIRA GUEIROS</t>
  </si>
  <si>
    <t>Antônio Teixeira Gueiros</t>
  </si>
  <si>
    <t>1894-08-16</t>
  </si>
  <si>
    <t>https://dadosabertos.camara.leg.br/api/v2/deputados/130519</t>
  </si>
  <si>
    <t>TRAJANO COSTA</t>
  </si>
  <si>
    <t>Ambrósio Trajano Costa</t>
  </si>
  <si>
    <t>https://dadosabertos.camara.leg.br/api/v2/deputados/130692</t>
  </si>
  <si>
    <t>ULISSES LINS</t>
  </si>
  <si>
    <t>Ulysses Lins de Albuquerque</t>
  </si>
  <si>
    <t>1889-05-09</t>
  </si>
  <si>
    <t>https://dadosabertos.camara.leg.br/api/v2/deputados/130617</t>
  </si>
  <si>
    <t>VASCONCELOS COSTA</t>
  </si>
  <si>
    <t>José Antônio de Vasconcelos Costa</t>
  </si>
  <si>
    <t>https://dadosabertos.camara.leg.br/api/v2/deputados/130659</t>
  </si>
  <si>
    <t>VICTORINO CORRÊA</t>
  </si>
  <si>
    <t>José Victorino Corrêa</t>
  </si>
  <si>
    <t>https://dadosabertos.camara.leg.br/api/v2/deputados/130575</t>
  </si>
  <si>
    <t>VIEIRA DE ALENCAR</t>
  </si>
  <si>
    <t>Gastão Vieira de Alencar</t>
  </si>
  <si>
    <t>https://dadosabertos.camara.leg.br/api/v2/deputados/130583</t>
  </si>
  <si>
    <t>VIEIRA NETO</t>
  </si>
  <si>
    <t>Henrique José Vieira Neto</t>
  </si>
  <si>
    <t>https://dadosabertos.camara.leg.br/api/v2/deputados/130694</t>
  </si>
  <si>
    <t>WALDEMAR RUPP</t>
  </si>
  <si>
    <t>Waldemar Rupp</t>
  </si>
  <si>
    <t>https://dadosabertos.camara.leg.br/api/v2/deputados/130695</t>
  </si>
  <si>
    <t>WALDEMAR VASCONCELOS</t>
  </si>
  <si>
    <t>Waldemar Vasconcelos</t>
  </si>
  <si>
    <t>https://dadosabertos.camara.leg.br/api/v2/deputados/130696</t>
  </si>
  <si>
    <t>WALTER FRANCO</t>
  </si>
  <si>
    <t>Walter do Prado Franco</t>
  </si>
  <si>
    <t>https://dadosabertos.camara.leg.br/api/v2/deputados/130674</t>
  </si>
  <si>
    <t>XAVIER D'ARAUJO</t>
  </si>
  <si>
    <t>Pedro Xavier d'Araújo</t>
  </si>
  <si>
    <t>https://dadosabertos.camara.leg.br/api/v2/deputados/130384</t>
  </si>
  <si>
    <t>ABELARDO ANDRÉA</t>
  </si>
  <si>
    <t>Abelardo Fortuna Andréa dos Santos</t>
  </si>
  <si>
    <t>https://dadosabertos.camara.leg.br/api/v2/deputados/130383</t>
  </si>
  <si>
    <t>ABELARDO CALAFANGE</t>
  </si>
  <si>
    <t>Abelardo Calafange</t>
  </si>
  <si>
    <t>https://dadosabertos.camara.leg.br/api/v2/deputados/130385</t>
  </si>
  <si>
    <t>ABELARDO MATA</t>
  </si>
  <si>
    <t>Abelardo dos Santos Mata</t>
  </si>
  <si>
    <t>https://dadosabertos.camara.leg.br/api/v2/deputados/130390</t>
  </si>
  <si>
    <t>ACHILES MINCARONE</t>
  </si>
  <si>
    <t>Achiles Mincarone</t>
  </si>
  <si>
    <t>1897-05-03</t>
  </si>
  <si>
    <t>https://dadosabertos.camara.leg.br/api/v2/deputados/130388</t>
  </si>
  <si>
    <t>ADERSON DUTRA</t>
  </si>
  <si>
    <t>Aderson Dutra de Almeida</t>
  </si>
  <si>
    <t>https://dadosabertos.camara.leg.br/api/v2/deputados/130389</t>
  </si>
  <si>
    <t>ADROALDO COSTA</t>
  </si>
  <si>
    <t>Adroaldo Mesquita da Costa</t>
  </si>
  <si>
    <t>1894-07-09</t>
  </si>
  <si>
    <t>https://dadosabertos.camara.leg.br/api/v2/deputados/130391</t>
  </si>
  <si>
    <t>AGRIPA FARIA</t>
  </si>
  <si>
    <t>Agripa de Castro Faria</t>
  </si>
  <si>
    <t>https://dadosabertos.camara.leg.br/api/v2/deputados/130386</t>
  </si>
  <si>
    <t>ALBERTO BOTTINO</t>
  </si>
  <si>
    <t>Alberto Bottino</t>
  </si>
  <si>
    <t>Taiúva</t>
  </si>
  <si>
    <t>https://dadosabertos.camara.leg.br/api/v2/deputados/130387</t>
  </si>
  <si>
    <t>ALBERTO DEODATO</t>
  </si>
  <si>
    <t>Alberto Deodato Maia Barreto</t>
  </si>
  <si>
    <t>1896-12-27</t>
  </si>
  <si>
    <t>Maruim</t>
  </si>
  <si>
    <t>https://dadosabertos.camara.leg.br/api/v2/deputados/130392</t>
  </si>
  <si>
    <t>ALCIDES BARCELOS</t>
  </si>
  <si>
    <t>Alcides do Amaral Barcelos</t>
  </si>
  <si>
    <t>https://dadosabertos.camara.leg.br/api/v2/deputados/130394</t>
  </si>
  <si>
    <t>ALCIDES LAGE</t>
  </si>
  <si>
    <t>Alcides Mascarenhas Lage</t>
  </si>
  <si>
    <t>https://dadosabertos.camara.leg.br/api/v2/deputados/130393</t>
  </si>
  <si>
    <t>ALCIDES VIDIGAL</t>
  </si>
  <si>
    <t>Alcides da Costa Vidigal</t>
  </si>
  <si>
    <t>1895-08-01</t>
  </si>
  <si>
    <t>https://dadosabertos.camara.leg.br/api/v2/deputados/130395</t>
  </si>
  <si>
    <t>ALFREDO DUALIBE</t>
  </si>
  <si>
    <t>Alfredo Salim Dualibe</t>
  </si>
  <si>
    <t>https://dadosabertos.camara.leg.br/api/v2/deputados/130396</t>
  </si>
  <si>
    <t>ALÔ GUIMARÃES</t>
  </si>
  <si>
    <t>Alô Ticoulat Guimarães</t>
  </si>
  <si>
    <t>https://dadosabertos.camara.leg.br/api/v2/deputados/130397</t>
  </si>
  <si>
    <t>AMANDO FONTES</t>
  </si>
  <si>
    <t>Amando Fontes</t>
  </si>
  <si>
    <t>1889-05-15</t>
  </si>
  <si>
    <t>https://dadosabertos.camara.leg.br/api/v2/deputados/130399</t>
  </si>
  <si>
    <t>ANDRÉ ARAÚJO</t>
  </si>
  <si>
    <t>André Vidal de Araújo</t>
  </si>
  <si>
    <t>https://dadosabertos.camara.leg.br/api/v2/deputados/130398</t>
  </si>
  <si>
    <t>ANDRÉ FERNANDES</t>
  </si>
  <si>
    <t>André Fernandes de Souza</t>
  </si>
  <si>
    <t>https://dadosabertos.camara.leg.br/api/v2/deputados/130400</t>
  </si>
  <si>
    <t>ANÍSIO MOREIRA</t>
  </si>
  <si>
    <t>Anísio José Moreira</t>
  </si>
  <si>
    <t>https://dadosabertos.camara.leg.br/api/v2/deputados/130401</t>
  </si>
  <si>
    <t>ANTENOR BOGÉA</t>
  </si>
  <si>
    <t>Antenor Américo Mourão Bogéa</t>
  </si>
  <si>
    <t>https://dadosabertos.camara.leg.br/api/v2/deputados/3086</t>
  </si>
  <si>
    <t>ANTÔNIO BALBINO</t>
  </si>
  <si>
    <t>Antônio Balbino de Carvalho Filho</t>
  </si>
  <si>
    <t>https://dadosabertos.camara.leg.br/api/v2/deputados/130404</t>
  </si>
  <si>
    <t>ANTÔNIO CORREIA</t>
  </si>
  <si>
    <t>Antônio Maria de Rezende Correia</t>
  </si>
  <si>
    <t>https://dadosabertos.camara.leg.br/api/v2/deputados/3097</t>
  </si>
  <si>
    <t>ANTÔNIO PEIXOTO</t>
  </si>
  <si>
    <t>Antônio Peixoto de Lucena Cunha</t>
  </si>
  <si>
    <t>https://dadosabertos.camara.leg.br/api/v2/deputados/3094</t>
  </si>
  <si>
    <t>ARAL MOREIRA</t>
  </si>
  <si>
    <t>Aral Moreira</t>
  </si>
  <si>
    <t>1898-08-20</t>
  </si>
  <si>
    <t>https://dadosabertos.camara.leg.br/api/v2/deputados/3014</t>
  </si>
  <si>
    <t>ARAMIS ATHAYDE</t>
  </si>
  <si>
    <t>Aramis Taborda de Athayde</t>
  </si>
  <si>
    <t>https://dadosabertos.camara.leg.br/api/v2/deputados/130408</t>
  </si>
  <si>
    <t>ARISTILIANO RAMOS</t>
  </si>
  <si>
    <t>Aristiliano Laureano Ramos</t>
  </si>
  <si>
    <t>1888-05-10</t>
  </si>
  <si>
    <t>https://dadosabertos.camara.leg.br/api/v2/deputados/2285</t>
  </si>
  <si>
    <t>ARTHUR BERNARDES</t>
  </si>
  <si>
    <t>Arthur da Silva Bernardes</t>
  </si>
  <si>
    <t>1875-08-08</t>
  </si>
  <si>
    <t>https://dadosabertos.camara.leg.br/api/v2/deputados/130411</t>
  </si>
  <si>
    <t>Arthur Ferreira dos Santos</t>
  </si>
  <si>
    <t>1894-02-07</t>
  </si>
  <si>
    <t>https://dadosabertos.camara.leg.br/api/v2/deputados/3088</t>
  </si>
  <si>
    <t>ARY PEREIRA</t>
  </si>
  <si>
    <t>Ary Frauzino Pereira</t>
  </si>
  <si>
    <t>https://dadosabertos.camara.leg.br/api/v2/deputados/130413</t>
  </si>
  <si>
    <t>AUGUSTO DO AMARAL PEIXOTO</t>
  </si>
  <si>
    <t>Augusto do Amaral Peixoto Júnior</t>
  </si>
  <si>
    <t>https://dadosabertos.camara.leg.br/api/v2/deputados/3102</t>
  </si>
  <si>
    <t>AUGUSTO MEIRA</t>
  </si>
  <si>
    <t>José Augusto Meira Dantas</t>
  </si>
  <si>
    <t>1873-12-11</t>
  </si>
  <si>
    <t>https://dadosabertos.camara.leg.br/api/v2/deputados/130415</t>
  </si>
  <si>
    <t>AURELIANO LEITE</t>
  </si>
  <si>
    <t>Aureliano Leite</t>
  </si>
  <si>
    <t>1888-11-20</t>
  </si>
  <si>
    <t>https://dadosabertos.camara.leg.br/api/v2/deputados/130432</t>
  </si>
  <si>
    <t>BARRETO PINTO</t>
  </si>
  <si>
    <t>Edmundo Barreto Pinto</t>
  </si>
  <si>
    <t>https://dadosabertos.camara.leg.br/api/v2/deputados/130417</t>
  </si>
  <si>
    <t>BENEDITO LAGO</t>
  </si>
  <si>
    <t>Benedito de Carvalho Lago</t>
  </si>
  <si>
    <t>Chapadinha</t>
  </si>
  <si>
    <t>https://dadosabertos.camara.leg.br/api/v2/deputados/130419</t>
  </si>
  <si>
    <t>BENEDITO MERGULHÃO</t>
  </si>
  <si>
    <t>Benedito Mansos Mergulhão</t>
  </si>
  <si>
    <t>https://dadosabertos.camara.leg.br/api/v2/deputados/130420</t>
  </si>
  <si>
    <t>BENEDITO VALADARES</t>
  </si>
  <si>
    <t>Benedito Valladares Ribeiro</t>
  </si>
  <si>
    <t>1892-12-04</t>
  </si>
  <si>
    <t>https://dadosabertos.camara.leg.br/api/v2/deputados/130460</t>
  </si>
  <si>
    <t>BROCHADO DA ROCHA</t>
  </si>
  <si>
    <t>José Diogo Brochado da Rocha</t>
  </si>
  <si>
    <t>https://dadosabertos.camara.leg.br/api/v2/deputados/130478</t>
  </si>
  <si>
    <t>CARDOSO DE MIRANDA</t>
  </si>
  <si>
    <t>Mário Aloísio Cardoso de Miranda</t>
  </si>
  <si>
    <t>https://dadosabertos.camara.leg.br/api/v2/deputados/130422</t>
  </si>
  <si>
    <t>Carlos Roberto de Aguiar Moreira</t>
  </si>
  <si>
    <t>https://dadosabertos.camara.leg.br/api/v2/deputados/130423</t>
  </si>
  <si>
    <t>CARLOS VALADARES</t>
  </si>
  <si>
    <t>Carlos Valadares da Silva</t>
  </si>
  <si>
    <t>https://dadosabertos.camara.leg.br/api/v2/deputados/130403</t>
  </si>
  <si>
    <t>Antônio Manoel de Carvalho Neto</t>
  </si>
  <si>
    <t>1889-02-14</t>
  </si>
  <si>
    <t>https://dadosabertos.camara.leg.br/api/v2/deputados/130433</t>
  </si>
  <si>
    <t>CATTETE PINHEIRO</t>
  </si>
  <si>
    <t>Edward Cattete Pinheiro</t>
  </si>
  <si>
    <t>Monte Alegre</t>
  </si>
  <si>
    <t>https://dadosabertos.camara.leg.br/api/v2/deputados/130424</t>
  </si>
  <si>
    <t>CELSO AZEVEDO</t>
  </si>
  <si>
    <t>Celso de Lacerda Azevedo</t>
  </si>
  <si>
    <t>1899-07-26</t>
  </si>
  <si>
    <t>https://dadosabertos.camara.leg.br/api/v2/deputados/130425</t>
  </si>
  <si>
    <t>CÉSAR SANTOS</t>
  </si>
  <si>
    <t>César José dos Santos</t>
  </si>
  <si>
    <t>https://dadosabertos.camara.leg.br/api/v2/deputados/130421</t>
  </si>
  <si>
    <t>CIRILO JÚNIOR</t>
  </si>
  <si>
    <t>Carlos Cyrillo Júnior</t>
  </si>
  <si>
    <t>1887-12-25</t>
  </si>
  <si>
    <t>https://dadosabertos.camara.leg.br/api/v2/deputados/130426</t>
  </si>
  <si>
    <t>CLEMENTINO FRAGA</t>
  </si>
  <si>
    <t>Clementino da Rocha Fraga Júnior</t>
  </si>
  <si>
    <t>1880-09-15</t>
  </si>
  <si>
    <t>Muritiba</t>
  </si>
  <si>
    <t>https://dadosabertos.camara.leg.br/api/v2/deputados/130488</t>
  </si>
  <si>
    <t>CREPORY FRANCO</t>
  </si>
  <si>
    <t>Romualdo Crepory Barroso Franco</t>
  </si>
  <si>
    <t>1895-11-20</t>
  </si>
  <si>
    <t>https://dadosabertos.camara.leg.br/api/v2/deputados/130427</t>
  </si>
  <si>
    <t>DÁRIO BARROS</t>
  </si>
  <si>
    <t>Dário de Campos Barros</t>
  </si>
  <si>
    <t>https://dadosabertos.camara.leg.br/api/v2/deputados/130428</t>
  </si>
  <si>
    <t>DEMERVAL LOBÃO</t>
  </si>
  <si>
    <t>Demerval Lobão Veras</t>
  </si>
  <si>
    <t>https://dadosabertos.camara.leg.br/api/v2/deputados/130503</t>
  </si>
  <si>
    <t>DINIZ GONÇALVES</t>
  </si>
  <si>
    <t>Godofredo Diniz Gonçalves</t>
  </si>
  <si>
    <t>1898-07-16</t>
  </si>
  <si>
    <t>https://dadosabertos.camara.leg.br/api/v2/deputados/130429</t>
  </si>
  <si>
    <t>DOLOR ANDRADE</t>
  </si>
  <si>
    <t>Dolor Ferreira de Andrade</t>
  </si>
  <si>
    <t>1894-11-09</t>
  </si>
  <si>
    <t>https://dadosabertos.camara.leg.br/api/v2/deputados/130430</t>
  </si>
  <si>
    <t>EDGARD FERNANDES</t>
  </si>
  <si>
    <t>Edgard Moury Fernandes</t>
  </si>
  <si>
    <t>https://dadosabertos.camara.leg.br/api/v2/deputados/130431</t>
  </si>
  <si>
    <t>EDSON PASSOS</t>
  </si>
  <si>
    <t>Edson Junqueira Passos</t>
  </si>
  <si>
    <t>1893-11-19</t>
  </si>
  <si>
    <t>https://dadosabertos.camara.leg.br/api/v2/deputados/130434</t>
  </si>
  <si>
    <t>EGÍDIO MICHAELSEN</t>
  </si>
  <si>
    <t>Egídio Michaelsen</t>
  </si>
  <si>
    <t>São Sebastião do Caí</t>
  </si>
  <si>
    <t>https://dadosabertos.camara.leg.br/api/v2/deputados/130435</t>
  </si>
  <si>
    <t>ELPÍDIO DE ALMEIDA</t>
  </si>
  <si>
    <t>Elpídio Josué de Almeida</t>
  </si>
  <si>
    <t>1893-09-01</t>
  </si>
  <si>
    <t>https://dadosabertos.camara.leg.br/api/v2/deputados/130331</t>
  </si>
  <si>
    <t>ERASTO GAERTNER</t>
  </si>
  <si>
    <t>Erasto Gaertner</t>
  </si>
  <si>
    <t>https://dadosabertos.camara.leg.br/api/v2/deputados/130437</t>
  </si>
  <si>
    <t>EURICO SALES</t>
  </si>
  <si>
    <t>Eurico de Aguiar Salles</t>
  </si>
  <si>
    <t>https://dadosabertos.camara.leg.br/api/v2/deputados/130461</t>
  </si>
  <si>
    <t>EVILÁSIO TORRES</t>
  </si>
  <si>
    <t>José Evilásio Torres</t>
  </si>
  <si>
    <t>https://dadosabertos.camara.leg.br/api/v2/deputados/130439</t>
  </si>
  <si>
    <t>FERNANDO FLORES</t>
  </si>
  <si>
    <t>Fernando Flores</t>
  </si>
  <si>
    <t>https://dadosabertos.camara.leg.br/api/v2/deputados/130438</t>
  </si>
  <si>
    <t>FERNANDO NÓBREGA</t>
  </si>
  <si>
    <t>Fernando Carneiro da Cunha Nobrega</t>
  </si>
  <si>
    <t>https://dadosabertos.camara.leg.br/api/v2/deputados/130454</t>
  </si>
  <si>
    <t>FERREIRA LIMA</t>
  </si>
  <si>
    <t>João Ferreira Lima</t>
  </si>
  <si>
    <t>1895-11-18</t>
  </si>
  <si>
    <t>https://dadosabertos.camara.leg.br/api/v2/deputados/130440</t>
  </si>
  <si>
    <t>FLÁVIO CASTRIOTO</t>
  </si>
  <si>
    <t>Flávio Castrioto de Figueiredo e Melo</t>
  </si>
  <si>
    <t>https://dadosabertos.camara.leg.br/api/v2/deputados/130441</t>
  </si>
  <si>
    <t>FRANCISCO AGUIAR</t>
  </si>
  <si>
    <t>Francisco Lacerda de Aguiar</t>
  </si>
  <si>
    <t>https://dadosabertos.camara.leg.br/api/v2/deputados/130402</t>
  </si>
  <si>
    <t>FREITAS CAVALCANTI</t>
  </si>
  <si>
    <t>Antônio de Freitas Cavalcanti</t>
  </si>
  <si>
    <t>https://dadosabertos.camara.leg.br/api/v2/deputados/130443</t>
  </si>
  <si>
    <t>GALDINO DO VALE</t>
  </si>
  <si>
    <t>Galdino do Vale Filho</t>
  </si>
  <si>
    <t>1879-09-24</t>
  </si>
  <si>
    <t>https://dadosabertos.camara.leg.br/api/v2/deputados/130444</t>
  </si>
  <si>
    <t>GALENO PARANHOS</t>
  </si>
  <si>
    <t>Galeno Paranhos</t>
  </si>
  <si>
    <t>1898-03-26</t>
  </si>
  <si>
    <t>https://dadosabertos.camara.leg.br/api/v2/deputados/130474</t>
  </si>
  <si>
    <t>GAMA FILHO</t>
  </si>
  <si>
    <t>Luiz Gama Filho</t>
  </si>
  <si>
    <t>https://dadosabertos.camara.leg.br/api/v2/deputados/130504</t>
  </si>
  <si>
    <t>GERMANO DOCKHORN</t>
  </si>
  <si>
    <t>Germano Dockhorn</t>
  </si>
  <si>
    <t>1896-05-01</t>
  </si>
  <si>
    <t>https://dadosabertos.camara.leg.br/api/v2/deputados/2698</t>
  </si>
  <si>
    <t>GILENO AMADO</t>
  </si>
  <si>
    <t>Gileno Amado</t>
  </si>
  <si>
    <t>1891-01-04</t>
  </si>
  <si>
    <t>https://dadosabertos.camara.leg.br/api/v2/deputados/130445</t>
  </si>
  <si>
    <t>GUILHERME XAVIER</t>
  </si>
  <si>
    <t>Guilherme Xavier de Almeida</t>
  </si>
  <si>
    <t>https://dadosabertos.camara.leg.br/api/v2/deputados/130447</t>
  </si>
  <si>
    <t>HEITOR BELTRÃO</t>
  </si>
  <si>
    <t>Heitor da Nóbrega Beltrão</t>
  </si>
  <si>
    <t>1889-03-08</t>
  </si>
  <si>
    <t>https://dadosabertos.camara.leg.br/api/v2/deputados/130446</t>
  </si>
  <si>
    <t>HÉLIO COUTINHO</t>
  </si>
  <si>
    <t>Hélio Coutinho Corrêa de Oliveira</t>
  </si>
  <si>
    <t>https://dadosabertos.camara.leg.br/api/v2/deputados/130448</t>
  </si>
  <si>
    <t>HERBERT VASCONCELOS</t>
  </si>
  <si>
    <t>Herbert Maya de Vasconcelos</t>
  </si>
  <si>
    <t>1888-06-14</t>
  </si>
  <si>
    <t>https://dadosabertos.camara.leg.br/api/v2/deputados/130449</t>
  </si>
  <si>
    <t>HILDEBRANDO BISAGLIA</t>
  </si>
  <si>
    <t>Hildebrando Bisaglia</t>
  </si>
  <si>
    <t>https://dadosabertos.camara.leg.br/api/v2/deputados/3070</t>
  </si>
  <si>
    <t>HILDEBRANDO FALCÃO</t>
  </si>
  <si>
    <t>Hildebrando Martins Falcão</t>
  </si>
  <si>
    <t>Igreja Nova</t>
  </si>
  <si>
    <t>https://dadosabertos.camara.leg.br/api/v2/deputados/3073</t>
  </si>
  <si>
    <t>HILDEMAR MAIA</t>
  </si>
  <si>
    <t>Hildemar Pimentel Maia</t>
  </si>
  <si>
    <t>https://dadosabertos.camara.leg.br/api/v2/deputados/130450</t>
  </si>
  <si>
    <t>HUGO CARNEIRO</t>
  </si>
  <si>
    <t>Hugo Ribeiro Carneiro</t>
  </si>
  <si>
    <t>1898-07-28</t>
  </si>
  <si>
    <t>https://dadosabertos.camara.leg.br/api/v2/deputados/130451</t>
  </si>
  <si>
    <t>HUMBERTO MOURA</t>
  </si>
  <si>
    <t>Humberto Sales de Moura Ferreira</t>
  </si>
  <si>
    <t>https://dadosabertos.camara.leg.br/api/v2/deputados/130452</t>
  </si>
  <si>
    <t>JARBAS MARANHÃO</t>
  </si>
  <si>
    <t>Jarbas Cardoso de Albuquerque Maranhão</t>
  </si>
  <si>
    <t>https://dadosabertos.camara.leg.br/api/v2/deputados/3076</t>
  </si>
  <si>
    <t>JAYME TEIXEIRA</t>
  </si>
  <si>
    <t>Jayme Spínola Teixeira</t>
  </si>
  <si>
    <t>https://dadosabertos.camara.leg.br/api/v2/deputados/130453</t>
  </si>
  <si>
    <t>JOÃO CABANAS</t>
  </si>
  <si>
    <t>João Cabanas</t>
  </si>
  <si>
    <t>1895-06-29</t>
  </si>
  <si>
    <t>https://dadosabertos.camara.leg.br/api/v2/deputados/3098</t>
  </si>
  <si>
    <t>JOÃO CAMILO</t>
  </si>
  <si>
    <t>João Camilo Teixeira Fonte</t>
  </si>
  <si>
    <t>1890-05-29</t>
  </si>
  <si>
    <t>https://dadosabertos.camara.leg.br/api/v2/deputados/3071</t>
  </si>
  <si>
    <t>JOÃO FARIAS</t>
  </si>
  <si>
    <t>João Crisóstomo de Farias</t>
  </si>
  <si>
    <t>https://dadosabertos.camara.leg.br/api/v2/deputados/3120</t>
  </si>
  <si>
    <t>JOÃO GOULART</t>
  </si>
  <si>
    <t>João Belchior Marques Goulart</t>
  </si>
  <si>
    <t>https://dadosabertos.camara.leg.br/api/v2/deputados/3078</t>
  </si>
  <si>
    <t>JOAQUIM BASTOS</t>
  </si>
  <si>
    <t>Joaquim Bastos Gonçalves</t>
  </si>
  <si>
    <t>1895-12-07</t>
  </si>
  <si>
    <t>https://dadosabertos.camara.leg.br/api/v2/deputados/3072</t>
  </si>
  <si>
    <t>JOAQUIM VIEGAS</t>
  </si>
  <si>
    <t>Joaquim de Barros Correa Viegas</t>
  </si>
  <si>
    <t>https://dadosabertos.camara.leg.br/api/v2/deputados/3077</t>
  </si>
  <si>
    <t>JOEL PRESÍDIO</t>
  </si>
  <si>
    <t>Joel Presídio de Figueiredo</t>
  </si>
  <si>
    <t>https://dadosabertos.camara.leg.br/api/v2/deputados/3081</t>
  </si>
  <si>
    <t>JORGE JABOUR</t>
  </si>
  <si>
    <t>Jorge Jabour</t>
  </si>
  <si>
    <t>https://dadosabertos.camara.leg.br/api/v2/deputados/130458</t>
  </si>
  <si>
    <t>José Augusto Bezerra de Medeiros</t>
  </si>
  <si>
    <t>1884-09-22</t>
  </si>
  <si>
    <t>https://dadosabertos.camara.leg.br/api/v2/deputados/3089</t>
  </si>
  <si>
    <t>JOSÉ FLEURY</t>
  </si>
  <si>
    <t>José Fleury</t>
  </si>
  <si>
    <t>https://dadosabertos.camara.leg.br/api/v2/deputados/130462</t>
  </si>
  <si>
    <t>JOSÉ GAUDÊNCIO</t>
  </si>
  <si>
    <t>José Gaudêncio Correia de Queiroz</t>
  </si>
  <si>
    <t>1881-09-13</t>
  </si>
  <si>
    <t>https://dadosabertos.camara.leg.br/api/v2/deputados/3092</t>
  </si>
  <si>
    <t>JOSÉ MATOS</t>
  </si>
  <si>
    <t>José da Silva Matos</t>
  </si>
  <si>
    <t>https://dadosabertos.camara.leg.br/api/v2/deputados/130467</t>
  </si>
  <si>
    <t>JOSÉ NEIVA</t>
  </si>
  <si>
    <t>José Neiva de Souza</t>
  </si>
  <si>
    <t>1885-05-26</t>
  </si>
  <si>
    <t>Nova Iorque</t>
  </si>
  <si>
    <t>https://dadosabertos.camara.leg.br/api/v2/deputados/130464</t>
  </si>
  <si>
    <t>JOSÉ ROMERO</t>
  </si>
  <si>
    <t>José de Lima Fontes Romero</t>
  </si>
  <si>
    <t>https://dadosabertos.camara.leg.br/api/v2/deputados/130442</t>
  </si>
  <si>
    <t>LACERDA WERNECK</t>
  </si>
  <si>
    <t>Francisco Peixoto de Lacerda Werneck</t>
  </si>
  <si>
    <t>https://dadosabertos.camara.leg.br/api/v2/deputados/130472</t>
  </si>
  <si>
    <t>LAFAYETTE REZENDE</t>
  </si>
  <si>
    <t>Lafayette Veloso Rezende</t>
  </si>
  <si>
    <t>1893-09-03</t>
  </si>
  <si>
    <t>https://dadosabertos.camara.leg.br/api/v2/deputados/130470</t>
  </si>
  <si>
    <t>LAURO LOPES</t>
  </si>
  <si>
    <t>Lauro Sodré Lopes</t>
  </si>
  <si>
    <t>1898-02-21</t>
  </si>
  <si>
    <t>https://dadosabertos.camara.leg.br/api/v2/deputados/130471</t>
  </si>
  <si>
    <t>LEANDRO MACIEL</t>
  </si>
  <si>
    <t>Leandro Maynard Maciel</t>
  </si>
  <si>
    <t>1897-12-08</t>
  </si>
  <si>
    <t>https://dadosabertos.camara.leg.br/api/v2/deputados/3115</t>
  </si>
  <si>
    <t>LEÔNIDAS MELLO</t>
  </si>
  <si>
    <t>Leônidas de Castro Melo</t>
  </si>
  <si>
    <t>1897-08-15</t>
  </si>
  <si>
    <t>https://dadosabertos.camara.leg.br/api/v2/deputados/3095</t>
  </si>
  <si>
    <t>LÍCIO BORRALHO</t>
  </si>
  <si>
    <t>Lício Proença Borralho</t>
  </si>
  <si>
    <t>https://dadosabertos.camara.leg.br/api/v2/deputados/130463</t>
  </si>
  <si>
    <t>LIMA FIGUEIREDO</t>
  </si>
  <si>
    <t>José de Lima Figueiredo</t>
  </si>
  <si>
    <t>https://dadosabertos.camara.leg.br/api/v2/deputados/3106</t>
  </si>
  <si>
    <t>LINEU AMARAL</t>
  </si>
  <si>
    <t>Lineu Ferreira do Amaral</t>
  </si>
  <si>
    <t>1897-10-02</t>
  </si>
  <si>
    <t>https://dadosabertos.camara.leg.br/api/v2/deputados/3082</t>
  </si>
  <si>
    <t>LOBO CARNEIRO</t>
  </si>
  <si>
    <t>Fernando Luiz Lobo Barbosa Carneiro</t>
  </si>
  <si>
    <t>https://dadosabertos.camara.leg.br/api/v2/deputados/3096</t>
  </si>
  <si>
    <t>LUCÍLIO MEDEIROS</t>
  </si>
  <si>
    <t>Lucílio de Medeiros</t>
  </si>
  <si>
    <t>https://dadosabertos.camara.leg.br/api/v2/deputados/3099</t>
  </si>
  <si>
    <t>LÚCIO BITTENCOURT</t>
  </si>
  <si>
    <t>Carlos Alberto Lúcio Bittencourt</t>
  </si>
  <si>
    <t>https://dadosabertos.camara.leg.br/api/v2/deputados/3117</t>
  </si>
  <si>
    <t>MACEDO SOARES E SILVA</t>
  </si>
  <si>
    <t>Helio de Macedo Soares e Silva</t>
  </si>
  <si>
    <t>https://dadosabertos.camara.leg.br/api/v2/deputados/130418</t>
  </si>
  <si>
    <t>MANHÃES BARRETO</t>
  </si>
  <si>
    <t>Benedito Manhães Barreto</t>
  </si>
  <si>
    <t>https://dadosabertos.camara.leg.br/api/v2/deputados/130476</t>
  </si>
  <si>
    <t>MANOEL ANUNCIAÇÃO</t>
  </si>
  <si>
    <t>Manoel Elias de Almeida Anunciação</t>
  </si>
  <si>
    <t>https://dadosabertos.camara.leg.br/api/v2/deputados/3100</t>
  </si>
  <si>
    <t>MANOEL PEIXOTO</t>
  </si>
  <si>
    <t>Manoel Inácio Peixoto</t>
  </si>
  <si>
    <t>https://dadosabertos.camara.leg.br/api/v2/deputados/3107</t>
  </si>
  <si>
    <t>MANOEL RIBAS</t>
  </si>
  <si>
    <t>Manoel de Mello Ribas</t>
  </si>
  <si>
    <t>https://dadosabertos.camara.leg.br/api/v2/deputados/130477</t>
  </si>
  <si>
    <t>MARCOS FERREIRA</t>
  </si>
  <si>
    <t>Marcos Ferreira de Jesus</t>
  </si>
  <si>
    <t>1893-03-24</t>
  </si>
  <si>
    <t>https://dadosabertos.camara.leg.br/api/v2/deputados/4918</t>
  </si>
  <si>
    <t>MÁRIO ALTINO</t>
  </si>
  <si>
    <t>Mário Altino Correia de Araújo</t>
  </si>
  <si>
    <t>1896-04-30</t>
  </si>
  <si>
    <t>https://dadosabertos.camara.leg.br/api/v2/deputados/130479</t>
  </si>
  <si>
    <t>MÁRIO GOMES DE BARROS</t>
  </si>
  <si>
    <t>Mário Gomes de Barros</t>
  </si>
  <si>
    <t>https://dadosabertos.camara.leg.br/api/v2/deputados/2631</t>
  </si>
  <si>
    <t>MARREY JÚNIOR</t>
  </si>
  <si>
    <t>José Adriano Marrey Júnior</t>
  </si>
  <si>
    <t>1885-08-07</t>
  </si>
  <si>
    <t>https://dadosabertos.camara.leg.br/api/v2/deputados/130489</t>
  </si>
  <si>
    <t>MELO BRAGA</t>
  </si>
  <si>
    <t>Rubens de Melo Braga</t>
  </si>
  <si>
    <t>https://dadosabertos.camara.leg.br/api/v2/deputados/3116</t>
  </si>
  <si>
    <t>MIROCLES VERAS</t>
  </si>
  <si>
    <t>Mirocles de Campos Veras</t>
  </si>
  <si>
    <t>1890-03-25</t>
  </si>
  <si>
    <t>https://dadosabertos.camara.leg.br/api/v2/deputados/130496</t>
  </si>
  <si>
    <t>MOTA NETO</t>
  </si>
  <si>
    <t>Vicente da Mota Neto</t>
  </si>
  <si>
    <t>https://dadosabertos.camara.leg.br/api/v2/deputados/130416</t>
  </si>
  <si>
    <t>MOURA ANDRADE</t>
  </si>
  <si>
    <t>Auro Soares de Moura Andrade</t>
  </si>
  <si>
    <t>https://dadosabertos.camara.leg.br/api/v2/deputados/4919</t>
  </si>
  <si>
    <t>MOURA BRASIL</t>
  </si>
  <si>
    <t>Oswaldo Moura Brasil do Amaral</t>
  </si>
  <si>
    <t>https://dadosabertos.camara.leg.br/api/v2/deputados/130466</t>
  </si>
  <si>
    <t>MOURA REZENDE</t>
  </si>
  <si>
    <t>José de Moura Rezende</t>
  </si>
  <si>
    <t>1896-10-26</t>
  </si>
  <si>
    <t>https://dadosabertos.camara.leg.br/api/v2/deputados/130407</t>
  </si>
  <si>
    <t>MOURÃO VIEIRA</t>
  </si>
  <si>
    <t>Antovila Rodrigues Mourão Vieira</t>
  </si>
  <si>
    <t>https://dadosabertos.camara.leg.br/api/v2/deputados/130412</t>
  </si>
  <si>
    <t>NEGREIROS FALCÃO</t>
  </si>
  <si>
    <t>Arthur Negreiros Falcão</t>
  </si>
  <si>
    <t>1892-11-20</t>
  </si>
  <si>
    <t>https://dadosabertos.camara.leg.br/api/v2/deputados/130480</t>
  </si>
  <si>
    <t>NEREU RAMOS</t>
  </si>
  <si>
    <t>Nereu de Oliveira Ramos</t>
  </si>
  <si>
    <t>1888-09-03</t>
  </si>
  <si>
    <t>https://dadosabertos.camara.leg.br/api/v2/deputados/3112</t>
  </si>
  <si>
    <t>NETO CAMPELO</t>
  </si>
  <si>
    <t>Manoel Neto Carneiro Campelo Júnior</t>
  </si>
  <si>
    <t>https://dadosabertos.camara.leg.br/api/v2/deputados/130475</t>
  </si>
  <si>
    <t>NOVELLI JÚNIOR</t>
  </si>
  <si>
    <t>Luiz Gonzaga Novelli Júnior</t>
  </si>
  <si>
    <t>https://dadosabertos.camara.leg.br/api/v2/deputados/130481</t>
  </si>
  <si>
    <t>OLINTO FONSECA</t>
  </si>
  <si>
    <t>Olinto Fonseca Filho</t>
  </si>
  <si>
    <t>https://dadosabertos.camara.leg.br/api/v2/deputados/130482</t>
  </si>
  <si>
    <t>ORLANDO DANTAS</t>
  </si>
  <si>
    <t>Orlando Vieira Dantas</t>
  </si>
  <si>
    <t>https://dadosabertos.camara.leg.br/api/v2/deputados/3103</t>
  </si>
  <si>
    <t>OSVALDO ORICO</t>
  </si>
  <si>
    <t>Osvaldo Orico</t>
  </si>
  <si>
    <t>https://dadosabertos.camara.leg.br/api/v2/deputados/3104</t>
  </si>
  <si>
    <t>OSVALDO TRIGUEIRO</t>
  </si>
  <si>
    <t>Osvaldo Trigueiro de Albuquerque Melo</t>
  </si>
  <si>
    <t>https://dadosabertos.camara.leg.br/api/v2/deputados/3101</t>
  </si>
  <si>
    <t>OSWALDO COSTA</t>
  </si>
  <si>
    <t>Oswaldo de Carvalho Costa</t>
  </si>
  <si>
    <t>Elói Mendes</t>
  </si>
  <si>
    <t>https://dadosabertos.camara.leg.br/api/v2/deputados/3113</t>
  </si>
  <si>
    <t>OTÁVIO CORREA</t>
  </si>
  <si>
    <t>Otávio Correa de Araújo</t>
  </si>
  <si>
    <t>https://dadosabertos.camara.leg.br/api/v2/deputados/130455</t>
  </si>
  <si>
    <t>OTÁVIO LOBO</t>
  </si>
  <si>
    <t>João Otávio Lobo</t>
  </si>
  <si>
    <t>1892-11-04</t>
  </si>
  <si>
    <t>https://dadosabertos.camara.leg.br/api/v2/deputados/3108</t>
  </si>
  <si>
    <t>PARAÍLIO BORBA</t>
  </si>
  <si>
    <t>Paraílio Borba</t>
  </si>
  <si>
    <t>https://dadosabertos.camara.leg.br/api/v2/deputados/3118</t>
  </si>
  <si>
    <t>PARANHOS DE OLIVEIRA</t>
  </si>
  <si>
    <t>Daruiz Roses Paranhos de Oliveira</t>
  </si>
  <si>
    <t>https://dadosabertos.camara.leg.br/api/v2/deputados/3121</t>
  </si>
  <si>
    <t>PAULO COUTO</t>
  </si>
  <si>
    <t>Paulo da Silva Couto</t>
  </si>
  <si>
    <t>https://dadosabertos.camara.leg.br/api/v2/deputados/3090</t>
  </si>
  <si>
    <t>PAULO FLEURY</t>
  </si>
  <si>
    <t>Paulo Fleury da Silva e Souza</t>
  </si>
  <si>
    <t>https://dadosabertos.camara.leg.br/api/v2/deputados/130483</t>
  </si>
  <si>
    <t>Paulo Pessoa Guerra</t>
  </si>
  <si>
    <t>https://dadosabertos.camara.leg.br/api/v2/deputados/130456</t>
  </si>
  <si>
    <t>PAULO MARANHÃO</t>
  </si>
  <si>
    <t>João Paulo de Albuquerque Maranhão</t>
  </si>
  <si>
    <t>1872-04-11</t>
  </si>
  <si>
    <t>https://dadosabertos.camara.leg.br/api/v2/deputados/3074</t>
  </si>
  <si>
    <t>PAULO NERY</t>
  </si>
  <si>
    <t>Paulo Pinto Nery</t>
  </si>
  <si>
    <t>https://dadosabertos.camara.leg.br/api/v2/deputados/3093</t>
  </si>
  <si>
    <t>PAULO RAMOS</t>
  </si>
  <si>
    <t>Paulo Martins de Souza Ramos</t>
  </si>
  <si>
    <t>1896-05-04</t>
  </si>
  <si>
    <t>https://dadosabertos.camara.leg.br/api/v2/deputados/3114</t>
  </si>
  <si>
    <t>PEDRO DE SOUZA</t>
  </si>
  <si>
    <t>Pedro Joaquim de Souza</t>
  </si>
  <si>
    <t>1893-02-20</t>
  </si>
  <si>
    <t>https://dadosabertos.camara.leg.br/api/v2/deputados/130459</t>
  </si>
  <si>
    <t>PEREIRA DE SOUZA</t>
  </si>
  <si>
    <t>José Carlos Pereira de Souza</t>
  </si>
  <si>
    <t>1899-11-16</t>
  </si>
  <si>
    <t>https://dadosabertos.camara.leg.br/api/v2/deputados/3079</t>
  </si>
  <si>
    <t>PESSOA DE ARAÚJO</t>
  </si>
  <si>
    <t>Francisco Pessoa de Araújo</t>
  </si>
  <si>
    <t>https://dadosabertos.camara.leg.br/api/v2/deputados/130484</t>
  </si>
  <si>
    <t>PLÁCIDO OLÍMPIO</t>
  </si>
  <si>
    <t>Plácido Olímpio de Oliveira</t>
  </si>
  <si>
    <t>Campo Alegre</t>
  </si>
  <si>
    <t>https://dadosabertos.camara.leg.br/api/v2/deputados/130485</t>
  </si>
  <si>
    <t>PLÍNIO CAVALCANTI</t>
  </si>
  <si>
    <t>Plínio Cavalcanti de Albuquerque</t>
  </si>
  <si>
    <t>Jambeiro</t>
  </si>
  <si>
    <t>https://dadosabertos.camara.leg.br/api/v2/deputados/3075</t>
  </si>
  <si>
    <t>PLÍNIO COELHO</t>
  </si>
  <si>
    <t>Plínio Ramos Coelho</t>
  </si>
  <si>
    <t>https://dadosabertos.camara.leg.br/api/v2/deputados/3091</t>
  </si>
  <si>
    <t>PLÍNIO GAYER</t>
  </si>
  <si>
    <t>Plínio Gayer</t>
  </si>
  <si>
    <t>1898-07-20</t>
  </si>
  <si>
    <t>https://dadosabertos.camara.leg.br/api/v2/deputados/3105</t>
  </si>
  <si>
    <t>RANULFO CUNHA</t>
  </si>
  <si>
    <t>Ranulfo Cunha França</t>
  </si>
  <si>
    <t>https://dadosabertos.camara.leg.br/api/v2/deputados/3109</t>
  </si>
  <si>
    <t>ROBERTO BARROSO</t>
  </si>
  <si>
    <t>Roberto Plens Ferreira Barroso</t>
  </si>
  <si>
    <t>1895-06-07</t>
  </si>
  <si>
    <t>https://dadosabertos.camara.leg.br/api/v2/deputados/3085</t>
  </si>
  <si>
    <t>ROBERTO MORENA</t>
  </si>
  <si>
    <t>Roberto Morena</t>
  </si>
  <si>
    <t>https://dadosabertos.camara.leg.br/api/v2/deputados/3110</t>
  </si>
  <si>
    <t>João Alves da Rocha Loures</t>
  </si>
  <si>
    <t>https://dadosabertos.camara.leg.br/api/v2/deputados/130487</t>
  </si>
  <si>
    <t>ROMEU FIORI</t>
  </si>
  <si>
    <t>Romeu José Fiori</t>
  </si>
  <si>
    <t>https://dadosabertos.camara.leg.br/api/v2/deputados/130486</t>
  </si>
  <si>
    <t>ROMEU LOURENÇÃO</t>
  </si>
  <si>
    <t>Romeu de Andrade Lourenção</t>
  </si>
  <si>
    <t>Brotas</t>
  </si>
  <si>
    <t>https://dadosabertos.camara.leg.br/api/v2/deputados/3139</t>
  </si>
  <si>
    <t>RUI ARAÚJO</t>
  </si>
  <si>
    <t>Ruy Araújo</t>
  </si>
  <si>
    <t>https://dadosabertos.camara.leg.br/api/v2/deputados/130490</t>
  </si>
  <si>
    <t>RUY ALMEIDA</t>
  </si>
  <si>
    <t>Ruy da Cruz Almeida</t>
  </si>
  <si>
    <t>https://dadosabertos.camara.leg.br/api/v2/deputados/130491</t>
  </si>
  <si>
    <t>RUY PALMEIRA</t>
  </si>
  <si>
    <t>Ruy Soares Palmeira</t>
  </si>
  <si>
    <t>São Miguel dos Campos</t>
  </si>
  <si>
    <t>https://dadosabertos.camara.leg.br/api/v2/deputados/3080</t>
  </si>
  <si>
    <t>SÁ CAVALCANTI</t>
  </si>
  <si>
    <t>Walter de Sá Cavalcanti</t>
  </si>
  <si>
    <t>https://dadosabertos.camara.leg.br/api/v2/deputados/130492</t>
  </si>
  <si>
    <t>SAMUEL DUARTE</t>
  </si>
  <si>
    <t>Samuel Vital Duarte</t>
  </si>
  <si>
    <t>https://dadosabertos.camara.leg.br/api/v2/deputados/130493</t>
  </si>
  <si>
    <t>SAULO RAMOS</t>
  </si>
  <si>
    <t>Saulo Saul Ramos</t>
  </si>
  <si>
    <t>https://dadosabertos.camara.leg.br/api/v2/deputados/2896</t>
  </si>
  <si>
    <t>SEVERINO MARIZ</t>
  </si>
  <si>
    <t>Severino Barbosa Mariz</t>
  </si>
  <si>
    <t>1897-04-13</t>
  </si>
  <si>
    <t>https://dadosabertos.camara.leg.br/api/v2/deputados/130409</t>
  </si>
  <si>
    <t>SIMONE PEREIRA</t>
  </si>
  <si>
    <t>Armando Simone Pereira</t>
  </si>
  <si>
    <t>https://dadosabertos.camara.leg.br/api/v2/deputados/130465</t>
  </si>
  <si>
    <t>SOARES FILHO</t>
  </si>
  <si>
    <t>José Monteiro Soares Filho</t>
  </si>
  <si>
    <t>1894-08-21</t>
  </si>
  <si>
    <t>https://dadosabertos.camara.leg.br/api/v2/deputados/130405</t>
  </si>
  <si>
    <t>SOUZA NOSCHESE</t>
  </si>
  <si>
    <t>Antônio de Souza Noschese</t>
  </si>
  <si>
    <t>1882-09-21</t>
  </si>
  <si>
    <t>https://dadosabertos.camara.leg.br/api/v2/deputados/3122</t>
  </si>
  <si>
    <t>SYLVIO ECHENIQUE</t>
  </si>
  <si>
    <t>Sylvio da Cunha Echenique</t>
  </si>
  <si>
    <t>1898-12-17</t>
  </si>
  <si>
    <t>https://dadosabertos.camara.leg.br/api/v2/deputados/130495</t>
  </si>
  <si>
    <t>UBIRAJARA KEUTENEDJIAN</t>
  </si>
  <si>
    <t>Ubirajara Keutenedjian</t>
  </si>
  <si>
    <t>https://dadosabertos.camara.leg.br/api/v2/deputados/130494</t>
  </si>
  <si>
    <t>VIEIRA LINS</t>
  </si>
  <si>
    <t>Sebastião Martins Vieira Lins</t>
  </si>
  <si>
    <t>https://dadosabertos.camara.leg.br/api/v2/deputados/130406</t>
  </si>
  <si>
    <t>VIEIRA SOBRINHO</t>
  </si>
  <si>
    <t>Antônio Vieira Sobrinho</t>
  </si>
  <si>
    <t>1888-04-07</t>
  </si>
  <si>
    <t>https://dadosabertos.camara.leg.br/api/v2/deputados/130497</t>
  </si>
  <si>
    <t>VIRGÍLIO CORREA</t>
  </si>
  <si>
    <t>Virgílio Alves Correa Neto</t>
  </si>
  <si>
    <t>https://dadosabertos.camara.leg.br/api/v2/deputados/130469</t>
  </si>
  <si>
    <t>WALDEMAR ALCÂNTARA</t>
  </si>
  <si>
    <t>José Waldemar de Alcântara e Silva</t>
  </si>
  <si>
    <t>https://dadosabertos.camara.leg.br/api/v2/deputados/130499</t>
  </si>
  <si>
    <t>WALDEMAR FERREIRA</t>
  </si>
  <si>
    <t>Waldemar Martins Ferreira</t>
  </si>
  <si>
    <t>1885-12-02</t>
  </si>
  <si>
    <t>https://dadosabertos.camara.leg.br/api/v2/deputados/130500</t>
  </si>
  <si>
    <t>WALFREDO GURGEL</t>
  </si>
  <si>
    <t>Walfredo Gurgel</t>
  </si>
  <si>
    <t>https://dadosabertos.camara.leg.br/api/v2/deputados/130501</t>
  </si>
  <si>
    <t>Wilson Neves da Cunha</t>
  </si>
  <si>
    <t>https://dadosabertos.camara.leg.br/api/v2/deputados/130502</t>
  </si>
  <si>
    <t>WOLFRAM METZLER</t>
  </si>
  <si>
    <t>Wolfram Metzler</t>
  </si>
  <si>
    <t>https://dadosabertos.camara.leg.br/api/v2/deputados/130436</t>
  </si>
  <si>
    <t>XAVIER REBELO</t>
  </si>
  <si>
    <t>Emanuel Xavier Rebelo</t>
  </si>
  <si>
    <t>1889-12-25</t>
  </si>
  <si>
    <t>Piracanjuba</t>
  </si>
  <si>
    <t>https://dadosabertos.camara.leg.br/api/v2/deputados/130286</t>
  </si>
  <si>
    <t>ABÍLIO FERNANDES</t>
  </si>
  <si>
    <t>Abílio Fernandes</t>
  </si>
  <si>
    <t>https://dadosabertos.camara.leg.br/api/v2/deputados/130287</t>
  </si>
  <si>
    <t>ACIR GUIMARÃES</t>
  </si>
  <si>
    <t>Acir Guimarães</t>
  </si>
  <si>
    <t>1896-05-07</t>
  </si>
  <si>
    <t>https://dadosabertos.camara.leg.br/api/v2/deputados/130288</t>
  </si>
  <si>
    <t>ACÚRCIO TORRES</t>
  </si>
  <si>
    <t>Acúrcio Francisco Torres</t>
  </si>
  <si>
    <t>1897-04-12</t>
  </si>
  <si>
    <t>https://dadosabertos.camara.leg.br/api/v2/deputados/4856</t>
  </si>
  <si>
    <t>ADELMAR ROCHA</t>
  </si>
  <si>
    <t>Adelmar Soares da Rocha</t>
  </si>
  <si>
    <t>1892-01-01</t>
  </si>
  <si>
    <t>https://dadosabertos.camara.leg.br/api/v2/deputados/130338</t>
  </si>
  <si>
    <t>AFONSO DE CARVALHO</t>
  </si>
  <si>
    <t>Francisco Afonso de Carvalho</t>
  </si>
  <si>
    <t>1897-10-18</t>
  </si>
  <si>
    <t>https://dadosabertos.camara.leg.br/api/v2/deputados/130289</t>
  </si>
  <si>
    <t>AGAMENON MAGALHÃES</t>
  </si>
  <si>
    <t>Agamenon Sérgio de Godoy Magalhães</t>
  </si>
  <si>
    <t>1893-11-05</t>
  </si>
  <si>
    <t>https://dadosabertos.camara.leg.br/api/v2/deputados/2979</t>
  </si>
  <si>
    <t>AGAPITO SÁTIRO</t>
  </si>
  <si>
    <t>Agapito dos Santos Sátiro</t>
  </si>
  <si>
    <t>https://dadosabertos.camara.leg.br/api/v2/deputados/130291</t>
  </si>
  <si>
    <t>AGOSTINHO MONTEIRO</t>
  </si>
  <si>
    <t>Agostinho de Meneses de Monteiro</t>
  </si>
  <si>
    <t>1891-07-20</t>
  </si>
  <si>
    <t>https://dadosabertos.camara.leg.br/api/v2/deputados/130290</t>
  </si>
  <si>
    <t>AGOSTINHO OLIVEIRA</t>
  </si>
  <si>
    <t>Agostinho Dias de Oliveira</t>
  </si>
  <si>
    <t>https://dadosabertos.camara.leg.br/api/v2/deputados/130292</t>
  </si>
  <si>
    <t>AGRÍCOLA DE BARROS</t>
  </si>
  <si>
    <t>Agrícola Paes de Barros</t>
  </si>
  <si>
    <t>1897-11-04</t>
  </si>
  <si>
    <t>Santo Antônio do Rio Abaixo</t>
  </si>
  <si>
    <t>https://dadosabertos.camara.leg.br/api/v2/deputados/130293</t>
  </si>
  <si>
    <t>ALARICO PACHECO</t>
  </si>
  <si>
    <t>Alarico Nunes Pacheco</t>
  </si>
  <si>
    <t>1883-07-22</t>
  </si>
  <si>
    <t>São Francisco do Maranhão</t>
  </si>
  <si>
    <t>https://dadosabertos.camara.leg.br/api/v2/deputados/130295</t>
  </si>
  <si>
    <t>ALBÉRICO FRAGA</t>
  </si>
  <si>
    <t>Albérico Pereira Fraga</t>
  </si>
  <si>
    <t>https://dadosabertos.camara.leg.br/api/v2/deputados/130296</t>
  </si>
  <si>
    <t>ALCEDO COUTINHO</t>
  </si>
  <si>
    <t>Alcedo de Morais Coutinho</t>
  </si>
  <si>
    <t>https://dadosabertos.camara.leg.br/api/v2/deputados/130301</t>
  </si>
  <si>
    <t>ALCIDES SABENÇA</t>
  </si>
  <si>
    <t>Alcides Rodrigues Sabença</t>
  </si>
  <si>
    <t>https://dadosabertos.camara.leg.br/api/v2/deputados/130297</t>
  </si>
  <si>
    <t>ALFREDO SÁ</t>
  </si>
  <si>
    <t>Alfredo Sá</t>
  </si>
  <si>
    <t>1878-12-11</t>
  </si>
  <si>
    <t>https://dadosabertos.camara.leg.br/api/v2/deputados/130298</t>
  </si>
  <si>
    <t>ALTAMIRO GUIMARÃES</t>
  </si>
  <si>
    <t>Altamiro Lobo Guimarães</t>
  </si>
  <si>
    <t>1899-03-02</t>
  </si>
  <si>
    <t>https://dadosabertos.camara.leg.br/api/v2/deputados/4857</t>
  </si>
  <si>
    <t>ALTINO ARANTES</t>
  </si>
  <si>
    <t>Altino Arantes Marques</t>
  </si>
  <si>
    <t>1876-09-29</t>
  </si>
  <si>
    <t>https://dadosabertos.camara.leg.br/api/v2/deputados/130353</t>
  </si>
  <si>
    <t>ALVES LINHARES</t>
  </si>
  <si>
    <t>José Alves Linhares</t>
  </si>
  <si>
    <t>https://dadosabertos.camara.leg.br/api/v2/deputados/130354</t>
  </si>
  <si>
    <t>ALVES PALMA</t>
  </si>
  <si>
    <t>José Alves Palma</t>
  </si>
  <si>
    <t>https://dadosabertos.camara.leg.br/api/v2/deputados/130302</t>
  </si>
  <si>
    <t>ANTERO LEIVAS</t>
  </si>
  <si>
    <t>Antero Moreira Leivas</t>
  </si>
  <si>
    <t>1897-10-05</t>
  </si>
  <si>
    <t>https://dadosabertos.camara.leg.br/api/v2/deputados/2966</t>
  </si>
  <si>
    <t>ANTÔNIO MAFRA</t>
  </si>
  <si>
    <t>Antônio Mário Mafra</t>
  </si>
  <si>
    <t>https://dadosabertos.camara.leg.br/api/v2/deputados/4858</t>
  </si>
  <si>
    <t>ANTÔNIO MARTINS</t>
  </si>
  <si>
    <t>Antônio Augusto Martins</t>
  </si>
  <si>
    <t>1898-03-07</t>
  </si>
  <si>
    <t>https://dadosabertos.camara.leg.br/api/v2/deputados/130305</t>
  </si>
  <si>
    <t>ANTÔNIO PINTO</t>
  </si>
  <si>
    <t>Antônio Pinto de Oliveira</t>
  </si>
  <si>
    <t>https://dadosabertos.camara.leg.br/api/v2/deputados/2987</t>
  </si>
  <si>
    <t>ANTÔNIO SILVA</t>
  </si>
  <si>
    <t>Antônio José da Silva</t>
  </si>
  <si>
    <t>https://dadosabertos.camara.leg.br/api/v2/deputados/3023</t>
  </si>
  <si>
    <t>AREIA LEÃO</t>
  </si>
  <si>
    <t>Raymundo de Areia Leão</t>
  </si>
  <si>
    <t>1894-04-23</t>
  </si>
  <si>
    <t>https://dadosabertos.camara.leg.br/api/v2/deputados/3013</t>
  </si>
  <si>
    <t>ARGEMIRO DE FIGUEIREDO</t>
  </si>
  <si>
    <t>Argemiro de Figueiredo</t>
  </si>
  <si>
    <t>https://dadosabertos.camara.leg.br/api/v2/deputados/2998</t>
  </si>
  <si>
    <t>ARGEMIRO FIALHO</t>
  </si>
  <si>
    <t>Argemiro de Arruda Fialho</t>
  </si>
  <si>
    <t>https://dadosabertos.camara.leg.br/api/v2/deputados/3043</t>
  </si>
  <si>
    <t>ARISTIDES LARGURA</t>
  </si>
  <si>
    <t>Aristides Largura</t>
  </si>
  <si>
    <t>Timbó</t>
  </si>
  <si>
    <t>https://dadosabertos.camara.leg.br/api/v2/deputados/2972</t>
  </si>
  <si>
    <t>ARISTIDES MILTON</t>
  </si>
  <si>
    <t>Aristides Milton da Silveira</t>
  </si>
  <si>
    <t>1894-05-06</t>
  </si>
  <si>
    <t>https://dadosabertos.camara.leg.br/api/v2/deputados/3029</t>
  </si>
  <si>
    <t>ARTUR FISCHER</t>
  </si>
  <si>
    <t>Artur Fisher</t>
  </si>
  <si>
    <t>https://dadosabertos.camara.leg.br/api/v2/deputados/2993</t>
  </si>
  <si>
    <t>ARY VIANNA</t>
  </si>
  <si>
    <t>Ary de Siqueira Vianna</t>
  </si>
  <si>
    <t>https://dadosabertos.camara.leg.br/api/v2/deputados/4860</t>
  </si>
  <si>
    <t>ASDRUBAL SOARES</t>
  </si>
  <si>
    <t>Asdrubal Martins Soares</t>
  </si>
  <si>
    <t>Piúma</t>
  </si>
  <si>
    <t>https://dadosabertos.camara.leg.br/api/v2/deputados/3050</t>
  </si>
  <si>
    <t>ATALIBA NOGUEIRA</t>
  </si>
  <si>
    <t>José Carlos de Ataliba Nogueira</t>
  </si>
  <si>
    <t>https://dadosabertos.camara.leg.br/api/v2/deputados/130306</t>
  </si>
  <si>
    <t>AUGUSTO VIEGAS</t>
  </si>
  <si>
    <t>Augusto Chagas Viegas</t>
  </si>
  <si>
    <t>1881-09-17</t>
  </si>
  <si>
    <t>https://dadosabertos.camara.leg.br/api/v2/deputados/130376</t>
  </si>
  <si>
    <t>BASTOS TAVARES</t>
  </si>
  <si>
    <t>Sílvio Bastos Tavares</t>
  </si>
  <si>
    <t>1893-07-19</t>
  </si>
  <si>
    <t>https://dadosabertos.camara.leg.br/api/v2/deputados/130345</t>
  </si>
  <si>
    <t>BATISTA LUSARDO</t>
  </si>
  <si>
    <t>João Batista Luzardo</t>
  </si>
  <si>
    <t>1892-12-11</t>
  </si>
  <si>
    <t>https://dadosabertos.camara.leg.br/api/v2/deputados/130351</t>
  </si>
  <si>
    <t>BATISTA NETO</t>
  </si>
  <si>
    <t>Joaquim Batista Neto</t>
  </si>
  <si>
    <t>https://dadosabertos.camara.leg.br/api/v2/deputados/130326</t>
  </si>
  <si>
    <t>BATISTA PEREIRA</t>
  </si>
  <si>
    <t>Edgard Batista Pereira</t>
  </si>
  <si>
    <t>https://dadosabertos.camara.leg.br/api/v2/deputados/2641</t>
  </si>
  <si>
    <t>BENI CARVALHO</t>
  </si>
  <si>
    <t>Benedito Augusto Carvalho dos Santos</t>
  </si>
  <si>
    <t>1886-01-03</t>
  </si>
  <si>
    <t>https://dadosabertos.camara.leg.br/api/v2/deputados/130364</t>
  </si>
  <si>
    <t>BENÍCIO FONTENELLE</t>
  </si>
  <si>
    <t>Manuel Benício Fontenelle</t>
  </si>
  <si>
    <t>https://dadosabertos.camara.leg.br/api/v2/deputados/2871</t>
  </si>
  <si>
    <t>BERNARDES FILHO</t>
  </si>
  <si>
    <t>Arthur da Silva Bernardes Filho</t>
  </si>
  <si>
    <t>https://dadosabertos.camara.leg.br/api/v2/deputados/130309</t>
  </si>
  <si>
    <t>BERTO CONDÉ</t>
  </si>
  <si>
    <t>Bertho Condé</t>
  </si>
  <si>
    <t>1895-02-07</t>
  </si>
  <si>
    <t>https://dadosabertos.camara.leg.br/api/v2/deputados/130358</t>
  </si>
  <si>
    <t>José Francisco Bias Fortes</t>
  </si>
  <si>
    <t>1891-04-03</t>
  </si>
  <si>
    <t>https://dadosabertos.camara.leg.br/api/v2/deputados/130303</t>
  </si>
  <si>
    <t>BITTENCOURT AZAMBUJA</t>
  </si>
  <si>
    <t>Antônio Bittencourt de Azambuja</t>
  </si>
  <si>
    <t>1890-03-01</t>
  </si>
  <si>
    <t>Encruzilhada</t>
  </si>
  <si>
    <t>https://dadosabertos.camara.leg.br/api/v2/deputados/130360</t>
  </si>
  <si>
    <t>BRUNO TEIXEIRA</t>
  </si>
  <si>
    <t>José Bruno Teixeira</t>
  </si>
  <si>
    <t>https://dadosabertos.camara.leg.br/api/v2/deputados/130339</t>
  </si>
  <si>
    <t>BUENO BRANDÃO</t>
  </si>
  <si>
    <t>Francisco Bueno Brandão</t>
  </si>
  <si>
    <t>https://dadosabertos.camara.leg.br/api/v2/deputados/130346</t>
  </si>
  <si>
    <t>CAFÉ FILHO</t>
  </si>
  <si>
    <t>João Fernandes Campos Café Filho</t>
  </si>
  <si>
    <t>1899-02-03</t>
  </si>
  <si>
    <t>https://dadosabertos.camara.leg.br/api/v2/deputados/130294</t>
  </si>
  <si>
    <t>CAIADO DE GODÓI</t>
  </si>
  <si>
    <t>Albatênio Caiado de Godói</t>
  </si>
  <si>
    <t>1893-04-14</t>
  </si>
  <si>
    <t>https://dadosabertos.camara.leg.br/api/v2/deputados/130371</t>
  </si>
  <si>
    <t>CAIRES DE BRITO</t>
  </si>
  <si>
    <t>Milton Caires de Brito</t>
  </si>
  <si>
    <t>https://dadosabertos.camara.leg.br/api/v2/deputados/130361</t>
  </si>
  <si>
    <t>CARDOSO DE MELO NETO</t>
  </si>
  <si>
    <t>José Joaquim Cardoso de Melo Neto</t>
  </si>
  <si>
    <t>1883-07-19</t>
  </si>
  <si>
    <t>https://dadosabertos.camara.leg.br/api/v2/deputados/3069</t>
  </si>
  <si>
    <t>CARLOS COSTA</t>
  </si>
  <si>
    <t>Carlos Cornelio Costa</t>
  </si>
  <si>
    <t>https://dadosabertos.camara.leg.br/api/v2/deputados/130310</t>
  </si>
  <si>
    <t>CARLOS DE CAMPOS</t>
  </si>
  <si>
    <t>Carlos Álvares da Silva Campos</t>
  </si>
  <si>
    <t>1893-02-02</t>
  </si>
  <si>
    <t>https://dadosabertos.camara.leg.br/api/v2/deputados/130311</t>
  </si>
  <si>
    <t>CARLOS LINDEMBERG</t>
  </si>
  <si>
    <t>Carlos Fernando Monteiro Lindemberg</t>
  </si>
  <si>
    <t>1899-01-13</t>
  </si>
  <si>
    <t>https://dadosabertos.camara.leg.br/api/v2/deputados/130312</t>
  </si>
  <si>
    <t>CARLOS MARIGHELA</t>
  </si>
  <si>
    <t>Carlos Marighela</t>
  </si>
  <si>
    <t>https://dadosabertos.camara.leg.br/api/v2/deputados/2994</t>
  </si>
  <si>
    <t>CARLOS MEDEIROS</t>
  </si>
  <si>
    <t>Carlos Marciano de Medeiros</t>
  </si>
  <si>
    <t>https://dadosabertos.camara.leg.br/api/v2/deputados/130314</t>
  </si>
  <si>
    <t>CARLOS NOGUEIRA</t>
  </si>
  <si>
    <t>Carlos Pereira Nogueira</t>
  </si>
  <si>
    <t>https://dadosabertos.camara.leg.br/api/v2/deputados/130315</t>
  </si>
  <si>
    <t>CARLOS WALDEMAR</t>
  </si>
  <si>
    <t>Carlos Waldemar Acioli Rollemberg</t>
  </si>
  <si>
    <t>https://dadosabertos.camara.leg.br/api/v2/deputados/130347</t>
  </si>
  <si>
    <t>CARVALHO SÁ</t>
  </si>
  <si>
    <t>João de Carvalho Sá</t>
  </si>
  <si>
    <t>Jeremoabo</t>
  </si>
  <si>
    <t>https://dadosabertos.camara.leg.br/api/v2/deputados/130344</t>
  </si>
  <si>
    <t>CASTELO BRANCO</t>
  </si>
  <si>
    <t>Hermelindo Gusmão Castelo Branco Filho</t>
  </si>
  <si>
    <t>https://dadosabertos.camara.leg.br/api/v2/deputados/130316</t>
  </si>
  <si>
    <t>CELSO MACHADO</t>
  </si>
  <si>
    <t>Celso Porfírio de Araújo Machado</t>
  </si>
  <si>
    <t>1895-02-15</t>
  </si>
  <si>
    <t>https://dadosabertos.camara.leg.br/api/v2/deputados/130356</t>
  </si>
  <si>
    <t>CÉSAR COSTA</t>
  </si>
  <si>
    <t>José César de Oliveira Costa</t>
  </si>
  <si>
    <t>1891-03-08</t>
  </si>
  <si>
    <t>https://dadosabertos.camara.leg.br/api/v2/deputados/130321</t>
  </si>
  <si>
    <t>CHRISTIANO MACHADO</t>
  </si>
  <si>
    <t>Christiano Monteiro Machado</t>
  </si>
  <si>
    <t>https://dadosabertos.camara.leg.br/api/v2/deputados/130317</t>
  </si>
  <si>
    <t>CLAUDINO SILVA</t>
  </si>
  <si>
    <t>Claudino José da Silva</t>
  </si>
  <si>
    <t>https://dadosabertos.camara.leg.br/api/v2/deputados/130318</t>
  </si>
  <si>
    <t>CLEMENTE MARIANI</t>
  </si>
  <si>
    <t>Clemente Mariani Bittencourt</t>
  </si>
  <si>
    <t>https://dadosabertos.camara.leg.br/api/v2/deputados/130343</t>
  </si>
  <si>
    <t>COELHO RODRIGUES</t>
  </si>
  <si>
    <t>Helvécio Coelho Rodrigues</t>
  </si>
  <si>
    <t>Genebra</t>
  </si>
  <si>
    <t>https://dadosabertos.camara.leg.br/api/v2/deputados/130304</t>
  </si>
  <si>
    <t>CORDEIRO DE MIRANDA</t>
  </si>
  <si>
    <t>Antônio Cordeiro de Miranda</t>
  </si>
  <si>
    <t>1890-04-24</t>
  </si>
  <si>
    <t>https://dadosabertos.camara.leg.br/api/v2/deputados/130320</t>
  </si>
  <si>
    <t>COSME FERREIRA</t>
  </si>
  <si>
    <t>Cosme Alves Ferreira Filho</t>
  </si>
  <si>
    <t>1893-11-18</t>
  </si>
  <si>
    <t>https://dadosabertos.camara.leg.br/api/v2/deputados/130308</t>
  </si>
  <si>
    <t>COSTA NETO</t>
  </si>
  <si>
    <t>Benedito Costa Neto</t>
  </si>
  <si>
    <t>1895-09-26</t>
  </si>
  <si>
    <t>https://dadosabertos.camara.leg.br/api/v2/deputados/130357</t>
  </si>
  <si>
    <t>COSTA PORTO</t>
  </si>
  <si>
    <t>José da Costa Porto</t>
  </si>
  <si>
    <t>https://dadosabertos.camara.leg.br/api/v2/deputados/130322</t>
  </si>
  <si>
    <t>DÂMASO ROCHA</t>
  </si>
  <si>
    <t>Dâmaso da Rocha</t>
  </si>
  <si>
    <t>https://dadosabertos.camara.leg.br/api/v2/deputados/130323</t>
  </si>
  <si>
    <t>DARCY GROSS</t>
  </si>
  <si>
    <t>Darcy Gross</t>
  </si>
  <si>
    <t>https://dadosabertos.camara.leg.br/api/v2/deputados/130324</t>
  </si>
  <si>
    <t>DIÓGENES ARRUDA</t>
  </si>
  <si>
    <t>Diógenes Lopes de Arruda Câmara</t>
  </si>
  <si>
    <t>https://dadosabertos.camara.leg.br/api/v2/deputados/2996</t>
  </si>
  <si>
    <t>DIÓGENES MAGALHÃES</t>
  </si>
  <si>
    <t>Diógenes Magalhães da Silveira</t>
  </si>
  <si>
    <t>1895-03-31</t>
  </si>
  <si>
    <t>https://dadosabertos.camara.leg.br/api/v2/deputados/130325</t>
  </si>
  <si>
    <t>DIONÍSIO BENTES</t>
  </si>
  <si>
    <t>Dionísio Ausier Bentes</t>
  </si>
  <si>
    <t>1881-02-13</t>
  </si>
  <si>
    <t>https://dadosabertos.camara.leg.br/api/v2/deputados/3010</t>
  </si>
  <si>
    <t>DUARTE D'OLIVEIRA</t>
  </si>
  <si>
    <t>Aníbal Duarte d'Oliveira</t>
  </si>
  <si>
    <t>https://dadosabertos.camara.leg.br/api/v2/deputados/3002</t>
  </si>
  <si>
    <t>DUQUE DE MESQUITA</t>
  </si>
  <si>
    <t>Francisco Duque de Mesquita</t>
  </si>
  <si>
    <t>1896-02-23</t>
  </si>
  <si>
    <t>https://dadosabertos.camara.leg.br/api/v2/deputados/130327</t>
  </si>
  <si>
    <t>EDGARD DE ARRUDA</t>
  </si>
  <si>
    <t>Edgar Cavalcante de Arruda</t>
  </si>
  <si>
    <t>1892-06-05</t>
  </si>
  <si>
    <t>https://dadosabertos.camara.leg.br/api/v2/deputados/130328</t>
  </si>
  <si>
    <t>EDUARDO DUVIVIER</t>
  </si>
  <si>
    <t>Eduardo Duvivier</t>
  </si>
  <si>
    <t>https://dadosabertos.camara.leg.br/api/v2/deputados/130329</t>
  </si>
  <si>
    <t>EGBERTO RODRIGUES</t>
  </si>
  <si>
    <t>Egberto de Paula Pessoa Rodrigues</t>
  </si>
  <si>
    <t>https://dadosabertos.camara.leg.br/api/v2/deputados/130382</t>
  </si>
  <si>
    <t>ELIZABETHO CARVALHO</t>
  </si>
  <si>
    <t>Elizabetho Barbosa de Carvalho</t>
  </si>
  <si>
    <t>https://dadosabertos.camara.leg.br/api/v2/deputados/130330</t>
  </si>
  <si>
    <t>ELOY ROCHA</t>
  </si>
  <si>
    <t>Eloy José da Rocha</t>
  </si>
  <si>
    <t>https://dadosabertos.camara.leg.br/api/v2/deputados/130333</t>
  </si>
  <si>
    <t>EUCLIDES FIGUEIREDO</t>
  </si>
  <si>
    <t>Euclides de Oliveira Figueiredo</t>
  </si>
  <si>
    <t>1883-11-12</t>
  </si>
  <si>
    <t>https://dadosabertos.camara.leg.br/api/v2/deputados/130335</t>
  </si>
  <si>
    <t>EZEQUIEL MENDES</t>
  </si>
  <si>
    <t>Ezequiel da Silva Mendes</t>
  </si>
  <si>
    <t>https://dadosabertos.camara.leg.br/api/v2/deputados/130373</t>
  </si>
  <si>
    <t>FARIA LOBATO</t>
  </si>
  <si>
    <t>Oscavo de Faria Lobato</t>
  </si>
  <si>
    <t>1896-03-31</t>
  </si>
  <si>
    <t>https://dadosabertos.camara.leg.br/api/v2/deputados/130336</t>
  </si>
  <si>
    <t>FARIAS JUNIOR</t>
  </si>
  <si>
    <t>Esperidião Lopes de Farias Junior</t>
  </si>
  <si>
    <t>1899-09-28</t>
  </si>
  <si>
    <t>https://dadosabertos.camara.leg.br/api/v2/deputados/130337</t>
  </si>
  <si>
    <t>FELIPE BALBI</t>
  </si>
  <si>
    <t>Felipe Balbi</t>
  </si>
  <si>
    <t>1886-03-03</t>
  </si>
  <si>
    <t>https://dadosabertos.camara.leg.br/api/v2/deputados/130365</t>
  </si>
  <si>
    <t>FERNANDES TÁVORA</t>
  </si>
  <si>
    <t>Manoel do Nascimento Fernandes Távora</t>
  </si>
  <si>
    <t>1877-03-21</t>
  </si>
  <si>
    <t>https://dadosabertos.camara.leg.br/api/v2/deputados/2980</t>
  </si>
  <si>
    <t>FERNANDES TELES</t>
  </si>
  <si>
    <t>Joaquim Fernandes Teles</t>
  </si>
  <si>
    <t>1889-04-15</t>
  </si>
  <si>
    <t>https://dadosabertos.camara.leg.br/api/v2/deputados/3051</t>
  </si>
  <si>
    <t>FLORIANO PEREIRA</t>
  </si>
  <si>
    <t>Floriano Pereira</t>
  </si>
  <si>
    <t>https://dadosabertos.camara.leg.br/api/v2/deputados/2988</t>
  </si>
  <si>
    <t>FRANCISCO GOMES</t>
  </si>
  <si>
    <t>Francisco Gomes</t>
  </si>
  <si>
    <t>https://dadosabertos.camara.leg.br/api/v2/deputados/3052</t>
  </si>
  <si>
    <t>FRANKLIN ALMEIDA</t>
  </si>
  <si>
    <t>Francisco Franklin de Almeida</t>
  </si>
  <si>
    <t>1894-09-01</t>
  </si>
  <si>
    <t>https://dadosabertos.camara.leg.br/api/v2/deputados/3030</t>
  </si>
  <si>
    <t>FREITAS E CASTRO</t>
  </si>
  <si>
    <t>Fausto de Freitas e Castro</t>
  </si>
  <si>
    <t>1889-03-09</t>
  </si>
  <si>
    <t>https://dadosabertos.camara.leg.br/api/v2/deputados/2973</t>
  </si>
  <si>
    <t>FRÓIS DA MOTA</t>
  </si>
  <si>
    <t>Eduardo Fróis da Mota</t>
  </si>
  <si>
    <t>https://dadosabertos.camara.leg.br/api/v2/deputados/2981</t>
  </si>
  <si>
    <t>FROTA GENTIL</t>
  </si>
  <si>
    <t>Antônio da Frota Gentil</t>
  </si>
  <si>
    <t>1887-12-09</t>
  </si>
  <si>
    <t>https://dadosabertos.camara.leg.br/api/v2/deputados/130340</t>
  </si>
  <si>
    <t>GASTON ENGLERT</t>
  </si>
  <si>
    <t>Gaston Englert</t>
  </si>
  <si>
    <t>1895-03-02</t>
  </si>
  <si>
    <t>https://dadosabertos.camara.leg.br/api/v2/deputados/3020</t>
  </si>
  <si>
    <t>GERCINO PONTES</t>
  </si>
  <si>
    <t>Gercino Malagueta de Pontes</t>
  </si>
  <si>
    <t>1894-12-15</t>
  </si>
  <si>
    <t>https://dadosabertos.camara.leg.br/api/v2/deputados/3053</t>
  </si>
  <si>
    <t>GERVASIO DE AZEVEDO</t>
  </si>
  <si>
    <t>Gervásio Gomes de Azevedo</t>
  </si>
  <si>
    <t>https://dadosabertos.camara.leg.br/api/v2/deputados/3027</t>
  </si>
  <si>
    <t>GIL SOARES</t>
  </si>
  <si>
    <t>Gil Soares de Araújo</t>
  </si>
  <si>
    <t>https://dadosabertos.camara.leg.br/api/v2/deputados/3021</t>
  </si>
  <si>
    <t>GILBERTO FREIRE</t>
  </si>
  <si>
    <t>Gilberto de Melo Freyre</t>
  </si>
  <si>
    <t>https://dadosabertos.camara.leg.br/api/v2/deputados/2974</t>
  </si>
  <si>
    <t>GILBERTO VALENTE</t>
  </si>
  <si>
    <t>Gilberto Valente</t>
  </si>
  <si>
    <t>https://dadosabertos.camara.leg.br/api/v2/deputados/3031</t>
  </si>
  <si>
    <t>GLICÉRIO ALVES</t>
  </si>
  <si>
    <t>Glicério Alves de Oliveira</t>
  </si>
  <si>
    <t>1893-09-08</t>
  </si>
  <si>
    <t>https://dadosabertos.camara.leg.br/api/v2/deputados/3127</t>
  </si>
  <si>
    <t>GOFREDO TELES</t>
  </si>
  <si>
    <t>Goffredo Carlos da Silva Telles</t>
  </si>
  <si>
    <t>https://dadosabertos.camara.leg.br/api/v2/deputados/2982</t>
  </si>
  <si>
    <t>GOMES DE MATOS</t>
  </si>
  <si>
    <t>Raimundo Gomes de Matos</t>
  </si>
  <si>
    <t>1883-10-10</t>
  </si>
  <si>
    <t>https://dadosabertos.camara.leg.br/api/v2/deputados/3015</t>
  </si>
  <si>
    <t>GOMY JÚNIOR</t>
  </si>
  <si>
    <t>João Teófilo Gomy Júnior</t>
  </si>
  <si>
    <t>1889-04-07</t>
  </si>
  <si>
    <t>https://dadosabertos.camara.leg.br/api/v2/deputados/4885</t>
  </si>
  <si>
    <t>GRACO CARDOSO</t>
  </si>
  <si>
    <t>Mauricio Graccho Cardoso</t>
  </si>
  <si>
    <t>1874-08-09</t>
  </si>
  <si>
    <t>https://dadosabertos.camara.leg.br/api/v2/deputados/3022</t>
  </si>
  <si>
    <t>GREGÓRIO BEZERRA</t>
  </si>
  <si>
    <t>Gregório Lourenço de Bezerra</t>
  </si>
  <si>
    <t>https://dadosabertos.camara.leg.br/api/v2/deputados/2793</t>
  </si>
  <si>
    <t>GUARACI SILVEIRA</t>
  </si>
  <si>
    <t>Guaraci Silveira</t>
  </si>
  <si>
    <t>1893-09-27</t>
  </si>
  <si>
    <t>https://dadosabertos.camara.leg.br/api/v2/deputados/3142</t>
  </si>
  <si>
    <t>GUILHERME MARBACK</t>
  </si>
  <si>
    <t>Guilherme Carneiro da Rocha Marback</t>
  </si>
  <si>
    <t>1898-03-28</t>
  </si>
  <si>
    <t>https://dadosabertos.camara.leg.br/api/v2/deputados/130341</t>
  </si>
  <si>
    <t>HANS JORDAN</t>
  </si>
  <si>
    <t>Hans Jordan</t>
  </si>
  <si>
    <t>1892-03-03</t>
  </si>
  <si>
    <t>https://dadosabertos.camara.leg.br/api/v2/deputados/130342</t>
  </si>
  <si>
    <t>HEITOR COLLET</t>
  </si>
  <si>
    <t>Heitor Collet</t>
  </si>
  <si>
    <t>1898-03-27</t>
  </si>
  <si>
    <t>https://dadosabertos.camara.leg.br/api/v2/deputados/2989</t>
  </si>
  <si>
    <t>HERMES LIMA</t>
  </si>
  <si>
    <t>Hermes Lima</t>
  </si>
  <si>
    <t>Livramento do Brumado</t>
  </si>
  <si>
    <t>https://dadosabertos.camara.leg.br/api/v2/deputados/3032</t>
  </si>
  <si>
    <t>HERÓFILO AZAMBUJA</t>
  </si>
  <si>
    <t>Herófilo Carvalho de Azambuja</t>
  </si>
  <si>
    <t>https://dadosabertos.camara.leg.br/api/v2/deputados/3055</t>
  </si>
  <si>
    <t>HONÓRIO MONTEIRO</t>
  </si>
  <si>
    <t>Honório Fernandes Monteiro</t>
  </si>
  <si>
    <t>1894-06-25</t>
  </si>
  <si>
    <t>https://dadosabertos.camara.leg.br/api/v2/deputados/3003</t>
  </si>
  <si>
    <t>JACI FIGUEIREDO</t>
  </si>
  <si>
    <t>Jaci de Figueiredo</t>
  </si>
  <si>
    <t>https://dadosabertos.camara.leg.br/api/v2/deputados/2983</t>
  </si>
  <si>
    <t>JOÃO ADEODATO</t>
  </si>
  <si>
    <t>João Nogueira Adeodato</t>
  </si>
  <si>
    <t>https://dadosabertos.camara.leg.br/api/v2/deputados/3016</t>
  </si>
  <si>
    <t>JOÃO AGUIAR</t>
  </si>
  <si>
    <t>João Aguiar</t>
  </si>
  <si>
    <t>1893-07-09</t>
  </si>
  <si>
    <t>https://dadosabertos.camara.leg.br/api/v2/deputados/4866</t>
  </si>
  <si>
    <t>JOÃO AMAZONAS</t>
  </si>
  <si>
    <t>João Amazonas de Souza Pedroso</t>
  </si>
  <si>
    <t>https://dadosabertos.camara.leg.br/api/v2/deputados/3011</t>
  </si>
  <si>
    <t>JOÃO BOTELHO</t>
  </si>
  <si>
    <t>José João da Costa Botelho</t>
  </si>
  <si>
    <t>https://dadosabertos.camara.leg.br/api/v2/deputados/2874</t>
  </si>
  <si>
    <t>João Henrique Sampaio Vieira da Silva</t>
  </si>
  <si>
    <t>1896-06-19</t>
  </si>
  <si>
    <t>https://dadosabertos.camara.leg.br/api/v2/deputados/3137</t>
  </si>
  <si>
    <t>JOÃO MANGABEIRA</t>
  </si>
  <si>
    <t>João Cavalcanti Mangabeira</t>
  </si>
  <si>
    <t>1880-06-23</t>
  </si>
  <si>
    <t>https://dadosabertos.camara.leg.br/api/v2/deputados/3004</t>
  </si>
  <si>
    <t>JOAQUIM LIBÂNIO</t>
  </si>
  <si>
    <t>Joaquim Libânio Leite Ribeiro</t>
  </si>
  <si>
    <t>1894-05-16</t>
  </si>
  <si>
    <t>https://dadosabertos.camara.leg.br/api/v2/deputados/2991</t>
  </si>
  <si>
    <t>JONAS CORREIA</t>
  </si>
  <si>
    <t>Jonas de Morais Correia Filho</t>
  </si>
  <si>
    <t>https://dadosabertos.camara.leg.br/api/v2/deputados/3056</t>
  </si>
  <si>
    <t>JORGE AMADO</t>
  </si>
  <si>
    <t>Jorge Leal Amado de Faria</t>
  </si>
  <si>
    <t>https://dadosabertos.camara.leg.br/api/v2/deputados/3057</t>
  </si>
  <si>
    <t>JOSÉ ARMANDO</t>
  </si>
  <si>
    <t>José Armando de Macedo Soares Affonseca</t>
  </si>
  <si>
    <t>https://dadosabertos.camara.leg.br/api/v2/deputados/3058</t>
  </si>
  <si>
    <t>JOSÉ CRISPIM</t>
  </si>
  <si>
    <t>José Maria Crispim</t>
  </si>
  <si>
    <t>São Miguel do Guamá</t>
  </si>
  <si>
    <t>https://dadosabertos.camara.leg.br/api/v2/deputados/130355</t>
  </si>
  <si>
    <t>JOSÉ DE BORBA</t>
  </si>
  <si>
    <t>José de Borba Vasconcellos</t>
  </si>
  <si>
    <t>1885-09-23</t>
  </si>
  <si>
    <t>https://dadosabertos.camara.leg.br/api/v2/deputados/3040</t>
  </si>
  <si>
    <t>JOSÉ LEOMIL</t>
  </si>
  <si>
    <t>José de Carvalho Leomil</t>
  </si>
  <si>
    <t>https://dadosabertos.camara.leg.br/api/v2/deputados/3028</t>
  </si>
  <si>
    <t>JOSÉ VARELA</t>
  </si>
  <si>
    <t>José Augusto Varella</t>
  </si>
  <si>
    <t>1896-11-28</t>
  </si>
  <si>
    <t>https://dadosabertos.camara.leg.br/api/v2/deputados/2976</t>
  </si>
  <si>
    <t>JURACI MAGALHÃES</t>
  </si>
  <si>
    <t>Juraci Montenegro Magalhães</t>
  </si>
  <si>
    <t>https://dadosabertos.camara.leg.br/api/v2/deputados/2876</t>
  </si>
  <si>
    <t>JUSCELINO KUBITSCHEK</t>
  </si>
  <si>
    <t>Juscelino Kubitschek de Oliveira</t>
  </si>
  <si>
    <t>https://dadosabertos.camara.leg.br/api/v2/deputados/130362</t>
  </si>
  <si>
    <t>LAIR TOSTES</t>
  </si>
  <si>
    <t>Lair Palleta de Rezende Tostes</t>
  </si>
  <si>
    <t>https://dadosabertos.camara.leg.br/api/v2/deputados/2967</t>
  </si>
  <si>
    <t>LAURO BEZERRA</t>
  </si>
  <si>
    <t>Lauro Bezerra Montenegro</t>
  </si>
  <si>
    <t>1896-02-28</t>
  </si>
  <si>
    <t>https://dadosabertos.camara.leg.br/api/v2/deputados/2975</t>
  </si>
  <si>
    <t>LAURO DE FREITAS</t>
  </si>
  <si>
    <t>Lauro Farani Pedreira de Freitas</t>
  </si>
  <si>
    <t>https://dadosabertos.camara.leg.br/api/v2/deputados/4872</t>
  </si>
  <si>
    <t>LEOPOLDO NEVES</t>
  </si>
  <si>
    <t>Leopoldo Amorim da Silva Neves</t>
  </si>
  <si>
    <t>1898-02-24</t>
  </si>
  <si>
    <t>https://dadosabertos.camara.leg.br/api/v2/deputados/4873</t>
  </si>
  <si>
    <t>Leopoldo Peres</t>
  </si>
  <si>
    <t>https://dadosabertos.camara.leg.br/api/v2/deputados/3005</t>
  </si>
  <si>
    <t>LERY SANTOS</t>
  </si>
  <si>
    <t>Jarbas de Lery Santos</t>
  </si>
  <si>
    <t>1897-11-02</t>
  </si>
  <si>
    <t>https://dadosabertos.camara.leg.br/api/v2/deputados/4926</t>
  </si>
  <si>
    <t>Lino Rodrigues Machado</t>
  </si>
  <si>
    <t>1892-07-02</t>
  </si>
  <si>
    <t>https://dadosabertos.camara.leg.br/api/v2/deputados/4870</t>
  </si>
  <si>
    <t>LOPES CANÇADO</t>
  </si>
  <si>
    <t>José Maria Lopes Cançado</t>
  </si>
  <si>
    <t>https://dadosabertos.camara.leg.br/api/v2/deputados/130359</t>
  </si>
  <si>
    <t>LOPES FERRAZ</t>
  </si>
  <si>
    <t>José Lopes Ferraz Neto</t>
  </si>
  <si>
    <t>Barra Bonita</t>
  </si>
  <si>
    <t>https://dadosabertos.camara.leg.br/api/v2/deputados/2995</t>
  </si>
  <si>
    <t>LUÍS CLÁUDIO</t>
  </si>
  <si>
    <t>Luíz Cláudio de Freitas Rosa</t>
  </si>
  <si>
    <t>1882-09-07</t>
  </si>
  <si>
    <t>https://dadosabertos.camara.leg.br/api/v2/deputados/130363</t>
  </si>
  <si>
    <t>LUÍS SILVEIRA</t>
  </si>
  <si>
    <t>Luiz Magalhães da Silveira</t>
  </si>
  <si>
    <t>1869-10-22</t>
  </si>
  <si>
    <t>https://dadosabertos.camara.leg.br/api/v2/deputados/2977</t>
  </si>
  <si>
    <t>LUIZ BARRETO</t>
  </si>
  <si>
    <t>Luís de Oliveira Barreto Filho</t>
  </si>
  <si>
    <t>1892-09-11</t>
  </si>
  <si>
    <t>https://dadosabertos.camara.leg.br/api/v2/deputados/2411</t>
  </si>
  <si>
    <t>LUIZ CARVALHO</t>
  </si>
  <si>
    <t>Luiz Carvalho</t>
  </si>
  <si>
    <t>1880-08-25</t>
  </si>
  <si>
    <t>https://dadosabertos.camara.leg.br/api/v2/deputados/4874</t>
  </si>
  <si>
    <t>LUIZ LAGO</t>
  </si>
  <si>
    <t>Luiz Lago de Araújo</t>
  </si>
  <si>
    <t>https://dadosabertos.camara.leg.br/api/v2/deputados/2596</t>
  </si>
  <si>
    <t>MACHADO COELHO</t>
  </si>
  <si>
    <t>José Machado Coelho de Castro</t>
  </si>
  <si>
    <t>1887-11-20</t>
  </si>
  <si>
    <t>Lorena</t>
  </si>
  <si>
    <t>https://dadosabertos.camara.leg.br/api/v2/deputados/3059</t>
  </si>
  <si>
    <t>MACIEL DE CASTRO</t>
  </si>
  <si>
    <t>Américo Maciel de Castro Júnior</t>
  </si>
  <si>
    <t>1896-06-06</t>
  </si>
  <si>
    <t>São José da Bela Vista</t>
  </si>
  <si>
    <t>https://dadosabertos.camara.leg.br/api/v2/deputados/4883</t>
  </si>
  <si>
    <t>MANOEL VITOR</t>
  </si>
  <si>
    <t>Manoel Vitor de Azevedo</t>
  </si>
  <si>
    <t>1898-05-25</t>
  </si>
  <si>
    <t>https://dadosabertos.camara.leg.br/api/v2/deputados/4882</t>
  </si>
  <si>
    <t>MANUEL DUARTE</t>
  </si>
  <si>
    <t>Manuel Duarte</t>
  </si>
  <si>
    <t>1884-09-18</t>
  </si>
  <si>
    <t>https://dadosabertos.camara.leg.br/api/v2/deputados/130307</t>
  </si>
  <si>
    <t>MÁRIO BRANT</t>
  </si>
  <si>
    <t>Augusto Mário Caldeira Brant</t>
  </si>
  <si>
    <t>1876-12-15</t>
  </si>
  <si>
    <t>https://dadosabertos.camara.leg.br/api/v2/deputados/130370</t>
  </si>
  <si>
    <t>MÁRIO MASAGÃO</t>
  </si>
  <si>
    <t>Mário Masagão</t>
  </si>
  <si>
    <t>1899-10-09</t>
  </si>
  <si>
    <t>São Carlos</t>
  </si>
  <si>
    <t>https://dadosabertos.camara.leg.br/api/v2/deputados/130369</t>
  </si>
  <si>
    <t>MÁRIO PIRAGIBE</t>
  </si>
  <si>
    <t>Mário Ferreira Piragibe</t>
  </si>
  <si>
    <t>1883-09-27</t>
  </si>
  <si>
    <t>https://dadosabertos.camara.leg.br/api/v2/deputados/2999</t>
  </si>
  <si>
    <t>MARTINIANO ARAUJO</t>
  </si>
  <si>
    <t>Gabriel Martiniano de Araújo</t>
  </si>
  <si>
    <t>1897-09-21</t>
  </si>
  <si>
    <t>https://dadosabertos.camara.leg.br/api/v2/deputados/3061</t>
  </si>
  <si>
    <t>MARTINS FILHO</t>
  </si>
  <si>
    <t>João Gomes Martins Filho</t>
  </si>
  <si>
    <t>https://dadosabertos.camara.leg.br/api/v2/deputados/4884</t>
  </si>
  <si>
    <t>MAURÍCIO GRABOIS</t>
  </si>
  <si>
    <t>Maurício Grabois</t>
  </si>
  <si>
    <t>https://dadosabertos.camara.leg.br/api/v2/deputados/4879</t>
  </si>
  <si>
    <t>MÉRCIO TEIXEIRA</t>
  </si>
  <si>
    <t>Luiz Mércio Teixeira</t>
  </si>
  <si>
    <t>1889-12-26</t>
  </si>
  <si>
    <t>https://dadosabertos.camara.leg.br/api/v2/deputados/4880</t>
  </si>
  <si>
    <t>MILTON PRATES</t>
  </si>
  <si>
    <t>Luiz Milton Prates</t>
  </si>
  <si>
    <t>1888-01-07</t>
  </si>
  <si>
    <t>https://dadosabertos.camara.leg.br/api/v2/deputados/130372</t>
  </si>
  <si>
    <t>MILTON SANTANA</t>
  </si>
  <si>
    <t>Milton Soares Santana</t>
  </si>
  <si>
    <t>https://dadosabertos.camara.leg.br/api/v2/deputados/130313</t>
  </si>
  <si>
    <t>MORAIS ANDRADE</t>
  </si>
  <si>
    <t>Carlos de Morais Andrade</t>
  </si>
  <si>
    <t>1889-11-09</t>
  </si>
  <si>
    <t>https://dadosabertos.camara.leg.br/api/v2/deputados/4878</t>
  </si>
  <si>
    <t>MOURA CARVALHO</t>
  </si>
  <si>
    <t>Luiz Geolás de Moura Carvalho</t>
  </si>
  <si>
    <t>https://dadosabertos.camara.leg.br/api/v2/deputados/3017</t>
  </si>
  <si>
    <t>MUNHOZ DE MELO</t>
  </si>
  <si>
    <t>José Munhoz de Melo</t>
  </si>
  <si>
    <t>https://dadosabertos.camara.leg.br/api/v2/deputados/4888</t>
  </si>
  <si>
    <t>NICOLAU VERGUEIRO</t>
  </si>
  <si>
    <t>Nicolau Araújo Vergueiro</t>
  </si>
  <si>
    <t>1882-03-07</t>
  </si>
  <si>
    <t>https://dadosabertos.camara.leg.br/api/v2/deputados/3062</t>
  </si>
  <si>
    <t>NOBRE FILHO</t>
  </si>
  <si>
    <t>Fernando de Almeida Nobre Filho</t>
  </si>
  <si>
    <t>https://dadosabertos.camara.leg.br/api/v2/deputados/2971</t>
  </si>
  <si>
    <t>NOGUEIRA DA MATA</t>
  </si>
  <si>
    <t>João Nogueira da Mata</t>
  </si>
  <si>
    <t>https://dadosabertos.camara.leg.br/api/v2/deputados/4815</t>
  </si>
  <si>
    <t>NORALDINO LIMA</t>
  </si>
  <si>
    <t>Noraldino Lima</t>
  </si>
  <si>
    <t>1885-01-12</t>
  </si>
  <si>
    <t>https://dadosabertos.camara.leg.br/api/v2/deputados/2997</t>
  </si>
  <si>
    <t>ODILON SOARES</t>
  </si>
  <si>
    <t>Odilon da Silva Soares</t>
  </si>
  <si>
    <t>https://dadosabertos.camara.leg.br/api/v2/deputados/4890</t>
  </si>
  <si>
    <t>ORLANDO BRASIL</t>
  </si>
  <si>
    <t>Orlando Brasil</t>
  </si>
  <si>
    <t>https://dadosabertos.camara.leg.br/api/v2/deputados/4891</t>
  </si>
  <si>
    <t>OSCAR BORGES</t>
  </si>
  <si>
    <t>Oscar Borges de Macedo Ribas</t>
  </si>
  <si>
    <t>1894-03-06</t>
  </si>
  <si>
    <t>https://dadosabertos.camara.leg.br/api/v2/deputados/4892</t>
  </si>
  <si>
    <t>Oswaldo Cavalcanti da Costa Lima</t>
  </si>
  <si>
    <t>1894-03-25</t>
  </si>
  <si>
    <t>https://dadosabertos.camara.leg.br/api/v2/deputados/4893</t>
  </si>
  <si>
    <t>OSWALDO PACHECO</t>
  </si>
  <si>
    <t>Oswaldo Pacheco da Silva</t>
  </si>
  <si>
    <t>https://dadosabertos.camara.leg.br/api/v2/deputados/4894</t>
  </si>
  <si>
    <t>OSWALDO STUDART</t>
  </si>
  <si>
    <t>Oswaldo Studart Filho</t>
  </si>
  <si>
    <t>1894-03-29</t>
  </si>
  <si>
    <t>https://dadosabertos.camara.leg.br/api/v2/deputados/4895</t>
  </si>
  <si>
    <t>OSWALDO VERGARA</t>
  </si>
  <si>
    <t>Oswaldo Fernandes Vergara</t>
  </si>
  <si>
    <t>1883-02-11</t>
  </si>
  <si>
    <t>Jaguarão</t>
  </si>
  <si>
    <t>https://dadosabertos.camara.leg.br/api/v2/deputados/4896</t>
  </si>
  <si>
    <t>OTACÍLIO COSTA</t>
  </si>
  <si>
    <t>Otacílio Vieira da Costa</t>
  </si>
  <si>
    <t>1893-12-02</t>
  </si>
  <si>
    <t>https://dadosabertos.camara.leg.br/api/v2/deputados/3035</t>
  </si>
  <si>
    <t>OZÓRIO TUYUTY</t>
  </si>
  <si>
    <t>Ozório Tuyuty de Oliveira Freitas</t>
  </si>
  <si>
    <t>https://dadosabertos.camara.leg.br/api/v2/deputados/130348</t>
  </si>
  <si>
    <t>PACHECO DE OLIVEIRA</t>
  </si>
  <si>
    <t>João Pacheco de Oliveira</t>
  </si>
  <si>
    <t>1880-07-13</t>
  </si>
  <si>
    <t>https://dadosabertos.camara.leg.br/api/v2/deputados/4898</t>
  </si>
  <si>
    <t>PAULO FERNANDES</t>
  </si>
  <si>
    <t>Paulo da Silva Fernandes</t>
  </si>
  <si>
    <t>https://dadosabertos.camara.leg.br/api/v2/deputados/130375</t>
  </si>
  <si>
    <t>Paulo Nogueira Filho</t>
  </si>
  <si>
    <t>1898-11-16</t>
  </si>
  <si>
    <t>https://dadosabertos.camara.leg.br/api/v2/deputados/4899</t>
  </si>
  <si>
    <t>PEDRO DUTRA</t>
  </si>
  <si>
    <t>Pedro Dutra Nicácio Neto</t>
  </si>
  <si>
    <t>1893-04-25</t>
  </si>
  <si>
    <t>https://dadosabertos.camara.leg.br/api/v2/deputados/4900</t>
  </si>
  <si>
    <t>PEDRO POMAR</t>
  </si>
  <si>
    <t>Pedro Ventura Felipe de Araújo Pomar</t>
  </si>
  <si>
    <t>Óbidos</t>
  </si>
  <si>
    <t>https://dadosabertos.camara.leg.br/api/v2/deputados/130279</t>
  </si>
  <si>
    <t>PEDRO VERGARA</t>
  </si>
  <si>
    <t>Pedro Leão Fernandes Espinosa Vergara</t>
  </si>
  <si>
    <t>1895-06-18</t>
  </si>
  <si>
    <t>https://dadosabertos.camara.leg.br/api/v2/deputados/4871</t>
  </si>
  <si>
    <t>PEREIRA MENDES</t>
  </si>
  <si>
    <t>Leônidas Pereira Mendes</t>
  </si>
  <si>
    <t>1892-04-04</t>
  </si>
  <si>
    <t>https://dadosabertos.camara.leg.br/api/v2/deputados/4902</t>
  </si>
  <si>
    <t>PÉRICLES PINTO</t>
  </si>
  <si>
    <t>Péricles Pinto da Silva</t>
  </si>
  <si>
    <t>1897-04-01</t>
  </si>
  <si>
    <t>https://dadosabertos.camara.leg.br/api/v2/deputados/3019</t>
  </si>
  <si>
    <t>Brasil Pinheiro Machado</t>
  </si>
  <si>
    <t>https://dadosabertos.camara.leg.br/api/v2/deputados/4903</t>
  </si>
  <si>
    <t>PLÍNIO BARRETO</t>
  </si>
  <si>
    <t>Plínio Barreto</t>
  </si>
  <si>
    <t>1882-06-20</t>
  </si>
  <si>
    <t>https://dadosabertos.camara.leg.br/api/v2/deputados/3134</t>
  </si>
  <si>
    <t>RAUL BARBOSA</t>
  </si>
  <si>
    <t>Raul Barbosa</t>
  </si>
  <si>
    <t>https://dadosabertos.camara.leg.br/api/v2/deputados/3066</t>
  </si>
  <si>
    <t>RAUL MEDEIROS</t>
  </si>
  <si>
    <t>Raul da Rocha Medeiros</t>
  </si>
  <si>
    <t>1886-07-27</t>
  </si>
  <si>
    <t>Alcobaça</t>
  </si>
  <si>
    <t>https://dadosabertos.camara.leg.br/api/v2/deputados/3024</t>
  </si>
  <si>
    <t>RENAULT LEITE</t>
  </si>
  <si>
    <t>Mauro Renault Leite</t>
  </si>
  <si>
    <t>https://dadosabertos.camara.leg.br/api/v2/deputados/3046</t>
  </si>
  <si>
    <t>ROBERTO GROSSEMBACHER</t>
  </si>
  <si>
    <t>Roberto Grossembacher</t>
  </si>
  <si>
    <t>1890-10-20</t>
  </si>
  <si>
    <t>https://dadosabertos.camara.leg.br/api/v2/deputados/3012</t>
  </si>
  <si>
    <t>ROCHA RIBAS</t>
  </si>
  <si>
    <t>José da Rocha Ribas</t>
  </si>
  <si>
    <t>1895-07-22</t>
  </si>
  <si>
    <t>https://dadosabertos.camara.leg.br/api/v2/deputados/2659</t>
  </si>
  <si>
    <t>RODRIGUES PEREIRA</t>
  </si>
  <si>
    <t>Francisco Rodrigues Pereira Júnior</t>
  </si>
  <si>
    <t>1894-10-19</t>
  </si>
  <si>
    <t>Carandaí</t>
  </si>
  <si>
    <t>https://dadosabertos.camara.leg.br/api/v2/deputados/4908</t>
  </si>
  <si>
    <t>ROGÉRIO VIEIRA</t>
  </si>
  <si>
    <t>Rogério Vieira</t>
  </si>
  <si>
    <t>https://dadosabertos.camara.leg.br/api/v2/deputados/3042</t>
  </si>
  <si>
    <t>ROMÃO JÚNIOR</t>
  </si>
  <si>
    <t>Antônio José Romão Júnior</t>
  </si>
  <si>
    <t>1895-06-08</t>
  </si>
  <si>
    <t>https://dadosabertos.camara.leg.br/api/v2/deputados/130350</t>
  </si>
  <si>
    <t>SAMPAIO VIDAL</t>
  </si>
  <si>
    <t>Joaquim Abreu Sampaio Vidal</t>
  </si>
  <si>
    <t>https://dadosabertos.camara.leg.br/api/v2/deputados/130367</t>
  </si>
  <si>
    <t>SEVERIANO NUNES</t>
  </si>
  <si>
    <t>Manuel Severiano Nunes</t>
  </si>
  <si>
    <t>1892-06-15</t>
  </si>
  <si>
    <t>https://dadosabertos.camara.leg.br/api/v2/deputados/2707</t>
  </si>
  <si>
    <t>SILVA LEAL</t>
  </si>
  <si>
    <t>João da Silva Leal</t>
  </si>
  <si>
    <t>1879-09-10</t>
  </si>
  <si>
    <t>https://dadosabertos.camara.leg.br/api/v2/deputados/4909</t>
  </si>
  <si>
    <t>SILVESTRE PÉRICLES</t>
  </si>
  <si>
    <t>Silvestre Péricles de Góis Monteiro</t>
  </si>
  <si>
    <t>1896-03-30</t>
  </si>
  <si>
    <t>https://dadosabertos.camara.leg.br/api/v2/deputados/2634</t>
  </si>
  <si>
    <t>SÍLVIO DE CAMPOS</t>
  </si>
  <si>
    <t>SIlvio de Campos</t>
  </si>
  <si>
    <t>1884-01-11</t>
  </si>
  <si>
    <t>Amparo</t>
  </si>
  <si>
    <t>https://dadosabertos.camara.leg.br/api/v2/deputados/3037</t>
  </si>
  <si>
    <t>SOUZA COSTA</t>
  </si>
  <si>
    <t>Artur de Souza Costa</t>
  </si>
  <si>
    <t>1893-03-26</t>
  </si>
  <si>
    <t>https://dadosabertos.camara.leg.br/api/v2/deputados/130334</t>
  </si>
  <si>
    <t>Eurico de Souza Leão</t>
  </si>
  <si>
    <t>1889-02-17</t>
  </si>
  <si>
    <t>https://dadosabertos.camara.leg.br/api/v2/deputados/2986</t>
  </si>
  <si>
    <t>STÊNIO GOMES</t>
  </si>
  <si>
    <t>Stênio Gomes da Silva</t>
  </si>
  <si>
    <t>https://dadosabertos.camara.leg.br/api/v2/deputados/3048</t>
  </si>
  <si>
    <t>TAVARES DO AMARAL</t>
  </si>
  <si>
    <t>Max Tavares D'Amaral</t>
  </si>
  <si>
    <t>https://dadosabertos.camara.leg.br/api/v2/deputados/4911</t>
  </si>
  <si>
    <t>TEODOMIRO FONSECA</t>
  </si>
  <si>
    <t>Teodomiro Porto da Fonseca</t>
  </si>
  <si>
    <t>1879-11-09</t>
  </si>
  <si>
    <t>https://dadosabertos.camara.leg.br/api/v2/deputados/3025</t>
  </si>
  <si>
    <t>TEODORO SOBRAL</t>
  </si>
  <si>
    <t>Teodoro Ferreira Sobral</t>
  </si>
  <si>
    <t>1891-01-10</t>
  </si>
  <si>
    <t>https://dadosabertos.camara.leg.br/api/v2/deputados/4881</t>
  </si>
  <si>
    <t>TOLEDO PIZA</t>
  </si>
  <si>
    <t>Luiz de Toledo Piza Sobrinho</t>
  </si>
  <si>
    <t>https://dadosabertos.camara.leg.br/api/v2/deputados/3049</t>
  </si>
  <si>
    <t>TOMÁS FONTES</t>
  </si>
  <si>
    <t>Tomás Adalberto da Silva Fontes</t>
  </si>
  <si>
    <t>1891-04-23</t>
  </si>
  <si>
    <t>https://dadosabertos.camara.leg.br/api/v2/deputados/3039</t>
  </si>
  <si>
    <t>TRIFINO CORREIA</t>
  </si>
  <si>
    <t>André Trifino Correia</t>
  </si>
  <si>
    <t>https://dadosabertos.camara.leg.br/api/v2/deputados/2870</t>
  </si>
  <si>
    <t>VANDONI DE BARROS</t>
  </si>
  <si>
    <t>Carlos Vandoni de Barros</t>
  </si>
  <si>
    <t>https://dadosabertos.camara.leg.br/api/v2/deputados/130366</t>
  </si>
  <si>
    <t>VARGAS NETO</t>
  </si>
  <si>
    <t>Manuel do Nascimento Vargas Neto</t>
  </si>
  <si>
    <t>https://dadosabertos.camara.leg.br/api/v2/deputados/130377</t>
  </si>
  <si>
    <t>VASCO DOS REIS</t>
  </si>
  <si>
    <t>Vasco dos Reis Gonçalves</t>
  </si>
  <si>
    <t>https://dadosabertos.camara.leg.br/api/v2/deputados/130374</t>
  </si>
  <si>
    <t>VIEIRA DE REZENDE</t>
  </si>
  <si>
    <t>Paulo Afonso Vieira de Rezende</t>
  </si>
  <si>
    <t>1898-02-26</t>
  </si>
  <si>
    <t>https://dadosabertos.camara.leg.br/api/v2/deputados/130378</t>
  </si>
  <si>
    <t>VITORINO FREIRE</t>
  </si>
  <si>
    <t>Vitorino de Brito Freire</t>
  </si>
  <si>
    <t>https://dadosabertos.camara.leg.br/api/v2/deputados/130379</t>
  </si>
  <si>
    <t>VIVALDO LIMA</t>
  </si>
  <si>
    <t>Vivaldo Palma Lima</t>
  </si>
  <si>
    <t>1877-04-10</t>
  </si>
  <si>
    <t>https://dadosabertos.camara.leg.br/api/v2/deputados/130381</t>
  </si>
  <si>
    <t>WELLINGTON BRANDÃO</t>
  </si>
  <si>
    <t>Wellington Brandão</t>
  </si>
  <si>
    <t>1895-08-06</t>
  </si>
  <si>
    <t>https://dadosabertos.camara.leg.br/api/v2/deputados/3001</t>
  </si>
  <si>
    <t>WILSON PINHO</t>
  </si>
  <si>
    <t>Wilson Dias de Pinho</t>
  </si>
  <si>
    <t>https://dadosabertos.camara.leg.br/api/v2/deputados/130368</t>
  </si>
  <si>
    <t>XAVIER DE OLIVEIRA</t>
  </si>
  <si>
    <t>Manuel Xavier de Oliveira</t>
  </si>
  <si>
    <t>https://dadosabertos.camara.leg.br/api/v2/deputados/2952</t>
  </si>
  <si>
    <t>ABEL DOS SANTOS</t>
  </si>
  <si>
    <t>Abel José dos Santos</t>
  </si>
  <si>
    <t>https://dadosabertos.camara.leg.br/api/v2/deputados/130241</t>
  </si>
  <si>
    <t>ABELARDO LUZ</t>
  </si>
  <si>
    <t>Abelardo Wenceslau da Luz</t>
  </si>
  <si>
    <t>1890-09-28</t>
  </si>
  <si>
    <t>https://dadosabertos.camara.leg.br/api/v2/deputados/2834</t>
  </si>
  <si>
    <t>ABELARDO MARINHO</t>
  </si>
  <si>
    <t>Abelardo Marinho de Albuquerque Andrade</t>
  </si>
  <si>
    <t>1892-10-27</t>
  </si>
  <si>
    <t>https://dadosabertos.camara.leg.br/api/v2/deputados/2947</t>
  </si>
  <si>
    <t>ABÍLIO DE ASSIS</t>
  </si>
  <si>
    <t>Abílio Faustino de Assis</t>
  </si>
  <si>
    <t>https://dadosabertos.camara.leg.br/api/v2/deputados/130244</t>
  </si>
  <si>
    <t>ABREU SODRÉ</t>
  </si>
  <si>
    <t>Antonio Carlos de Abreu Sodré</t>
  </si>
  <si>
    <t>1898-04-05</t>
  </si>
  <si>
    <t>https://dadosabertos.camara.leg.br/api/v2/deputados/4649</t>
  </si>
  <si>
    <t>ACILINO DE LEÃO</t>
  </si>
  <si>
    <t>Acilino de Leão Rodrigues</t>
  </si>
  <si>
    <t>1888-07-17</t>
  </si>
  <si>
    <t>https://dadosabertos.camara.leg.br/api/v2/deputados/2944</t>
  </si>
  <si>
    <t>Adalberto Bezerra Camargo</t>
  </si>
  <si>
    <t>https://dadosabertos.camara.leg.br/api/v2/deputados/130242</t>
  </si>
  <si>
    <t>ADALBERTO CORREIA</t>
  </si>
  <si>
    <t>Adalberto Corrêa</t>
  </si>
  <si>
    <t>1888-06-03</t>
  </si>
  <si>
    <t>https://dadosabertos.camara.leg.br/api/v2/deputados/4651</t>
  </si>
  <si>
    <t>ADÉLIO MACIEL</t>
  </si>
  <si>
    <t>Adelio Dias Maciel</t>
  </si>
  <si>
    <t>1889-01-18</t>
  </si>
  <si>
    <t>https://dadosabertos.camara.leg.br/api/v2/deputados/2890</t>
  </si>
  <si>
    <t>ADOLFO CELSO</t>
  </si>
  <si>
    <t>Adolfo Celso Uchoa Cavalcanti</t>
  </si>
  <si>
    <t>https://dadosabertos.camara.leg.br/api/v2/deputados/4655</t>
  </si>
  <si>
    <t>AGENOR MONTE</t>
  </si>
  <si>
    <t>Agenor Monte</t>
  </si>
  <si>
    <t>https://dadosabertos.camara.leg.br/api/v2/deputados/2905</t>
  </si>
  <si>
    <t>AGENOR RABELO</t>
  </si>
  <si>
    <t>Agenor Ferreira Rabelo</t>
  </si>
  <si>
    <t>1894-12-21</t>
  </si>
  <si>
    <t>https://dadosabertos.camara.leg.br/api/v2/deputados/2938</t>
  </si>
  <si>
    <t>ALBERTO ÁLVARES</t>
  </si>
  <si>
    <t>Alberto Alvares Fernandes Vieira</t>
  </si>
  <si>
    <t>1878-12-03</t>
  </si>
  <si>
    <t>https://dadosabertos.camara.leg.br/api/v2/deputados/4658</t>
  </si>
  <si>
    <t>ALBERTO DINIZ</t>
  </si>
  <si>
    <t>Alberto Augusto Diniz</t>
  </si>
  <si>
    <t>1868-10-30</t>
  </si>
  <si>
    <t>https://dadosabertos.camara.leg.br/api/v2/deputados/4660</t>
  </si>
  <si>
    <t>ALBERTO ROSELLI</t>
  </si>
  <si>
    <t>Alberto Roselli</t>
  </si>
  <si>
    <t>1886-03-17</t>
  </si>
  <si>
    <t>https://dadosabertos.camara.leg.br/api/v2/deputados/130243</t>
  </si>
  <si>
    <t>ALBERTO SUREK</t>
  </si>
  <si>
    <t>Alberto Surek</t>
  </si>
  <si>
    <t>1899-04-21</t>
  </si>
  <si>
    <t>Araucária</t>
  </si>
  <si>
    <t>https://dadosabertos.camara.leg.br/api/v2/deputados/4663</t>
  </si>
  <si>
    <t>ALFREDO MASCARENHAS</t>
  </si>
  <si>
    <t>Alfredo Pereira Mascarenhas</t>
  </si>
  <si>
    <t>1873-09-24</t>
  </si>
  <si>
    <t>https://dadosabertos.camara.leg.br/api/v2/deputados/130264</t>
  </si>
  <si>
    <t>ALÍPIO COSTALLAT</t>
  </si>
  <si>
    <t>José Alípio de Carvalho Costallat</t>
  </si>
  <si>
    <t>1886-12-16</t>
  </si>
  <si>
    <t>https://dadosabertos.camara.leg.br/api/v2/deputados/2842</t>
  </si>
  <si>
    <t>ALOÍSIO DE ARAÚJO</t>
  </si>
  <si>
    <t>Aloísio de Araújo</t>
  </si>
  <si>
    <t>https://dadosabertos.camara.leg.br/api/v2/deputados/4744</t>
  </si>
  <si>
    <t>ANNES DIAS</t>
  </si>
  <si>
    <t>Heitor Annes Dias</t>
  </si>
  <si>
    <t>1884-07-19</t>
  </si>
  <si>
    <t>https://dadosabertos.camara.leg.br/api/v2/deputados/1971</t>
  </si>
  <si>
    <t>ANTERO BOTELHO</t>
  </si>
  <si>
    <t>Antero de Andrade Botelho</t>
  </si>
  <si>
    <t>1873-04-22</t>
  </si>
  <si>
    <t>https://dadosabertos.camara.leg.br/api/v2/deputados/4671</t>
  </si>
  <si>
    <t>ANTÔNIO CARLOS</t>
  </si>
  <si>
    <t>Antonio Carlos Ribeiro de Andrada</t>
  </si>
  <si>
    <t>1870-09-05</t>
  </si>
  <si>
    <t>https://dadosabertos.camara.leg.br/api/v2/deputados/4674</t>
  </si>
  <si>
    <t>ANTÔNIO CARVALHAL</t>
  </si>
  <si>
    <t>Antonio Francisco Carvalhal</t>
  </si>
  <si>
    <t>1889-04-27</t>
  </si>
  <si>
    <t>https://dadosabertos.camara.leg.br/api/v2/deputados/2891</t>
  </si>
  <si>
    <t>ANTÔNIO DE GÓIS</t>
  </si>
  <si>
    <t>Antônio de Góis Cavalcanti</t>
  </si>
  <si>
    <t>https://dadosabertos.camara.leg.br/api/v2/deputados/4678</t>
  </si>
  <si>
    <t>ARLINDO LEONI</t>
  </si>
  <si>
    <t>Arlindo Batista Leoni</t>
  </si>
  <si>
    <t>1869-01-29</t>
  </si>
  <si>
    <t>https://dadosabertos.camara.leg.br/api/v2/deputados/2931</t>
  </si>
  <si>
    <t>ARLINDO PINTO</t>
  </si>
  <si>
    <t>Arlindo Ferreira Leite Pinto</t>
  </si>
  <si>
    <t>https://dadosabertos.camara.leg.br/api/v2/deputados/4681</t>
  </si>
  <si>
    <t>ARNALDO BASTOS</t>
  </si>
  <si>
    <t>Arnaldo Olinto Bastos</t>
  </si>
  <si>
    <t>1874-05-25</t>
  </si>
  <si>
    <t>https://dadosabertos.camara.leg.br/api/v2/deputados/2694</t>
  </si>
  <si>
    <t>ARNOLD SILVA</t>
  </si>
  <si>
    <t>Arnold Ferreira da Silva</t>
  </si>
  <si>
    <t>https://dadosabertos.camara.leg.br/api/v2/deputados/2892</t>
  </si>
  <si>
    <t>ARTUR CAVALCANTI</t>
  </si>
  <si>
    <t>Artur Cavalcanti de Albuquerque</t>
  </si>
  <si>
    <t>https://dadosabertos.camara.leg.br/api/v2/deputados/4688</t>
  </si>
  <si>
    <t>ARTUR JORGE</t>
  </si>
  <si>
    <t>Arthur Mendes Jorge Sobrinho</t>
  </si>
  <si>
    <t>https://dadosabertos.camara.leg.br/api/v2/deputados/2844</t>
  </si>
  <si>
    <t>ARTUR LAVIGNE</t>
  </si>
  <si>
    <t>Artur Lavigne Lemos</t>
  </si>
  <si>
    <t>https://dadosabertos.camara.leg.br/api/v2/deputados/2695</t>
  </si>
  <si>
    <t>ARTUR NEIVA</t>
  </si>
  <si>
    <t>Artur Neiva</t>
  </si>
  <si>
    <t>1880-03-22</t>
  </si>
  <si>
    <t>https://dadosabertos.camara.leg.br/api/v2/deputados/2949</t>
  </si>
  <si>
    <t>ARTUR ROCHA</t>
  </si>
  <si>
    <t>Artur Albino da Rocha</t>
  </si>
  <si>
    <t>1896-02-14</t>
  </si>
  <si>
    <t>https://dadosabertos.camara.leg.br/api/v2/deputados/4759</t>
  </si>
  <si>
    <t>ASCÂNIO TUBINO</t>
  </si>
  <si>
    <t>João Ascânio Moura Tubino</t>
  </si>
  <si>
    <t>1895-09-09</t>
  </si>
  <si>
    <t>https://dadosabertos.camara.leg.br/api/v2/deputados/2696</t>
  </si>
  <si>
    <t>ÁTILA AMARAL</t>
  </si>
  <si>
    <t>Átila Barreira do Amaral</t>
  </si>
  <si>
    <t>1886-12-15</t>
  </si>
  <si>
    <t>https://dadosabertos.camara.leg.br/api/v2/deputados/130247</t>
  </si>
  <si>
    <t>AUGUSTO CORSINO</t>
  </si>
  <si>
    <t>Augusto Varela Corsino</t>
  </si>
  <si>
    <t>1894-04-28</t>
  </si>
  <si>
    <t>https://dadosabertos.camara.leg.br/api/v2/deputados/2950</t>
  </si>
  <si>
    <t>AUSTRO DE OLIVEIRA</t>
  </si>
  <si>
    <t>Austro Idiart de Oliveira</t>
  </si>
  <si>
    <t>https://dadosabertos.camara.leg.br/api/v2/deputados/4800</t>
  </si>
  <si>
    <t>Lourenço Baeta Neves</t>
  </si>
  <si>
    <t>1876-01-22</t>
  </si>
  <si>
    <t>https://dadosabertos.camara.leg.br/api/v2/deputados/2906</t>
  </si>
  <si>
    <t>BANDEIRA VAUGHAN</t>
  </si>
  <si>
    <t>Raimundo Bandeira Vaughan</t>
  </si>
  <si>
    <t>1889-10-04</t>
  </si>
  <si>
    <t>https://dadosabertos.camara.leg.br/api/v2/deputados/4777</t>
  </si>
  <si>
    <t>BARRETO FILHO</t>
  </si>
  <si>
    <t>José Barreto Filho</t>
  </si>
  <si>
    <t>https://dadosabertos.camara.leg.br/api/v2/deputados/2899</t>
  </si>
  <si>
    <t>BARROS CASSAL</t>
  </si>
  <si>
    <t>Aníbal Falcão de Barros Cassal</t>
  </si>
  <si>
    <t>1894-04-11</t>
  </si>
  <si>
    <t>https://dadosabertos.camara.leg.br/api/v2/deputados/4668</t>
  </si>
  <si>
    <t>BARROS PENTEADO</t>
  </si>
  <si>
    <t>Antônio Augusto de Barros Penteado</t>
  </si>
  <si>
    <t>1876-07-29</t>
  </si>
  <si>
    <t>https://dadosabertos.camara.leg.br/api/v2/deputados/2732</t>
  </si>
  <si>
    <t>BELMIRO MEDEIROS</t>
  </si>
  <si>
    <t>Belmiro Medeiros Silva</t>
  </si>
  <si>
    <t>1895-07-01</t>
  </si>
  <si>
    <t>https://dadosabertos.camara.leg.br/api/v2/deputados/4695</t>
  </si>
  <si>
    <t>BENJAMIM VIEIRA</t>
  </si>
  <si>
    <t>Benjamim da Luz Vieira</t>
  </si>
  <si>
    <t>1891-12-23</t>
  </si>
  <si>
    <t>https://dadosabertos.camara.leg.br/api/v2/deputados/2907</t>
  </si>
  <si>
    <t>BENTO COSTA</t>
  </si>
  <si>
    <t>Bento Costa Júnior</t>
  </si>
  <si>
    <t>1894-04-01</t>
  </si>
  <si>
    <t>https://dadosabertos.camara.leg.br/api/v2/deputados/4855</t>
  </si>
  <si>
    <t>BERTHA LUTZ</t>
  </si>
  <si>
    <t>Bertha Maria Júlia Lutz</t>
  </si>
  <si>
    <t>1894-08-02</t>
  </si>
  <si>
    <t>https://dadosabertos.camara.leg.br/api/v2/deputados/130245</t>
  </si>
  <si>
    <t>BIAS BUENO</t>
  </si>
  <si>
    <t>Antônio Bias da Costa Bueno</t>
  </si>
  <si>
    <t>1883-04-12</t>
  </si>
  <si>
    <t>https://dadosabertos.camara.leg.br/api/v2/deputados/1748</t>
  </si>
  <si>
    <t>BORGES DE MEDEIROS</t>
  </si>
  <si>
    <t>Antonio Augusto Borges de Medeiros</t>
  </si>
  <si>
    <t>1863-11-19</t>
  </si>
  <si>
    <t>Caçapava do Sul</t>
  </si>
  <si>
    <t>https://dadosabertos.camara.leg.br/api/v2/deputados/2913</t>
  </si>
  <si>
    <t>BOTELHO EGAS</t>
  </si>
  <si>
    <t>José Maria Botelho Egas</t>
  </si>
  <si>
    <t>1898-08-26</t>
  </si>
  <si>
    <t>https://dadosabertos.camara.leg.br/api/v2/deputados/2883</t>
  </si>
  <si>
    <t>BOTO DE MENESES</t>
  </si>
  <si>
    <t>Antônio de Aguiar Botto de Menezes</t>
  </si>
  <si>
    <t>1897-07-26</t>
  </si>
  <si>
    <t>https://dadosabertos.camara.leg.br/api/v2/deputados/130271</t>
  </si>
  <si>
    <t>Julio Bueno Brandão Filho</t>
  </si>
  <si>
    <t>1883-04-05</t>
  </si>
  <si>
    <t>https://dadosabertos.camara.leg.br/api/v2/deputados/4805</t>
  </si>
  <si>
    <t>CALDEIRA DE ALVARENGA</t>
  </si>
  <si>
    <t>Manuel Caldeira de Alvarenga</t>
  </si>
  <si>
    <t>1875-07-03</t>
  </si>
  <si>
    <t>https://dadosabertos.camara.leg.br/api/v2/deputados/4696</t>
  </si>
  <si>
    <t>CAMILO MÉRCIO</t>
  </si>
  <si>
    <t>Camilo Teixeira Mércio</t>
  </si>
  <si>
    <t>1891-06-16</t>
  </si>
  <si>
    <t>https://dadosabertos.camara.leg.br/api/v2/deputados/130248</t>
  </si>
  <si>
    <t>CÂNDIDO PESSOA</t>
  </si>
  <si>
    <t>Candido Pessoa Cavalcanti de Albuquerque</t>
  </si>
  <si>
    <t>1888-07-02</t>
  </si>
  <si>
    <t>https://dadosabertos.camara.leg.br/api/v2/deputados/2908</t>
  </si>
  <si>
    <t>CARDILHO FILHO</t>
  </si>
  <si>
    <t>Joaquim Cardilho Filho</t>
  </si>
  <si>
    <t>https://dadosabertos.camara.leg.br/api/v2/deputados/2943</t>
  </si>
  <si>
    <t>CARDOSO AIRES</t>
  </si>
  <si>
    <t>Adolfo Cardoso Aires</t>
  </si>
  <si>
    <t>https://dadosabertos.camara.leg.br/api/v2/deputados/2838</t>
  </si>
  <si>
    <t>CARLOS DE GUSMÃO</t>
  </si>
  <si>
    <t>Carlos Cavalcanti de Gusmão</t>
  </si>
  <si>
    <t>1885-09-11</t>
  </si>
  <si>
    <t>https://dadosabertos.camara.leg.br/api/v2/deputados/130249</t>
  </si>
  <si>
    <t>CARLOS GOMES DE OLIVEIRA</t>
  </si>
  <si>
    <t>Carlos Gomes de Oliveira</t>
  </si>
  <si>
    <t>1894-10-12</t>
  </si>
  <si>
    <t>https://dadosabertos.camara.leg.br/api/v2/deputados/4761</t>
  </si>
  <si>
    <t>CARLOS MACHADO</t>
  </si>
  <si>
    <t>João Carlos Machado</t>
  </si>
  <si>
    <t>1890-02-16</t>
  </si>
  <si>
    <t>https://dadosabertos.camara.leg.br/api/v2/deputados/130250</t>
  </si>
  <si>
    <t>CARLOS MANGABEIRA</t>
  </si>
  <si>
    <t>https://dadosabertos.camara.leg.br/api/v2/deputados/4698</t>
  </si>
  <si>
    <t>CARLOS REIS</t>
  </si>
  <si>
    <t>Carlos Humberto Reis</t>
  </si>
  <si>
    <t>1885-11-15</t>
  </si>
  <si>
    <t>https://dadosabertos.camara.leg.br/api/v2/deputados/1573</t>
  </si>
  <si>
    <t>CARLOTA DE QUEIRÓS</t>
  </si>
  <si>
    <t>Carlota Pereira de Queirós</t>
  </si>
  <si>
    <t>1892-02-13</t>
  </si>
  <si>
    <t>https://dadosabertos.camara.leg.br/api/v2/deputados/2045</t>
  </si>
  <si>
    <t>CARNEIRO DE REZENDE</t>
  </si>
  <si>
    <t>José Carneiro de Rezende</t>
  </si>
  <si>
    <t>1871-06-30</t>
  </si>
  <si>
    <t>https://dadosabertos.camara.leg.br/api/v2/deputados/2914</t>
  </si>
  <si>
    <t>CASTRO PRADO</t>
  </si>
  <si>
    <t>Cid Bierrembach de Castro Prado</t>
  </si>
  <si>
    <t>1895-08-05</t>
  </si>
  <si>
    <t>https://dadosabertos.camara.leg.br/api/v2/deputados/130251</t>
  </si>
  <si>
    <t>CÉSAR TINOCO</t>
  </si>
  <si>
    <t>César Nascentes Tinoco</t>
  </si>
  <si>
    <t>1884-12-02</t>
  </si>
  <si>
    <t>https://dadosabertos.camara.leg.br/api/v2/deputados/1788</t>
  </si>
  <si>
    <t>CINCINATO BRAGA</t>
  </si>
  <si>
    <t>Cincinato César da Silva Braga</t>
  </si>
  <si>
    <t>1864-07-07</t>
  </si>
  <si>
    <t>https://dadosabertos.camara.leg.br/api/v2/deputados/2862</t>
  </si>
  <si>
    <t>CLARO GODÓI</t>
  </si>
  <si>
    <t>Claro Augusto Godói</t>
  </si>
  <si>
    <t>https://dadosabertos.camara.leg.br/api/v2/deputados/4704</t>
  </si>
  <si>
    <t>CLEMENTINO LISBOA</t>
  </si>
  <si>
    <t>Clementino de Almeida Lisboa</t>
  </si>
  <si>
    <t>1878-01-23</t>
  </si>
  <si>
    <t>https://dadosabertos.camara.leg.br/api/v2/deputados/2958</t>
  </si>
  <si>
    <t>CRISÓSTOMO DE OLIVEIRA</t>
  </si>
  <si>
    <t>Antônio Chrisóstomo de Oliveira</t>
  </si>
  <si>
    <t>https://dadosabertos.camara.leg.br/api/v2/deputados/2364</t>
  </si>
  <si>
    <t>CUNHA VASCONCELOS</t>
  </si>
  <si>
    <t>José Tomás da Cunha Vasconcelos</t>
  </si>
  <si>
    <t>1867-01-29</t>
  </si>
  <si>
    <t>https://dadosabertos.camara.leg.br/api/v2/deputados/2915</t>
  </si>
  <si>
    <t>DAGOBERTO SALES</t>
  </si>
  <si>
    <t>Dagoberto Sales</t>
  </si>
  <si>
    <t>1884-03-05</t>
  </si>
  <si>
    <t>https://dadosabertos.camara.leg.br/api/v2/deputados/2945</t>
  </si>
  <si>
    <t>DAMAS ORTIZ</t>
  </si>
  <si>
    <t>Manuel Damas Ortiz</t>
  </si>
  <si>
    <t>https://dadosabertos.camara.leg.br/api/v2/deputados/4707</t>
  </si>
  <si>
    <t>DARIO CRESPO</t>
  </si>
  <si>
    <t>Dario Centeno Crespo</t>
  </si>
  <si>
    <t>https://dadosabertos.camara.leg.br/api/v2/deputados/4706</t>
  </si>
  <si>
    <t>DARIO MAGALHÃES</t>
  </si>
  <si>
    <t>Dario Paulo de Almeida Magalhães</t>
  </si>
  <si>
    <t>https://dadosabertos.camara.leg.br/api/v2/deputados/2734</t>
  </si>
  <si>
    <t>DELFIM MOREIRA</t>
  </si>
  <si>
    <t>Delphim Moreira Júnior</t>
  </si>
  <si>
    <t>https://dadosabertos.camara.leg.br/api/v2/deputados/4709</t>
  </si>
  <si>
    <t>DEMÉTRIO XAVIER</t>
  </si>
  <si>
    <t>Demétrio Mercio Xavier</t>
  </si>
  <si>
    <t>1893-03-25</t>
  </si>
  <si>
    <t>https://dadosabertos.camara.leg.br/api/v2/deputados/4710</t>
  </si>
  <si>
    <t>DEMÓCRITO ROCHA</t>
  </si>
  <si>
    <t>Demócrito Rocha</t>
  </si>
  <si>
    <t>1888-04-14</t>
  </si>
  <si>
    <t>Caravelas</t>
  </si>
  <si>
    <t>https://dadosabertos.camara.leg.br/api/v2/deputados/2807</t>
  </si>
  <si>
    <t>DEODATO MAIA</t>
  </si>
  <si>
    <t>Deodato da Silva Maia Júnior</t>
  </si>
  <si>
    <t>1878-11-29</t>
  </si>
  <si>
    <t>https://dadosabertos.camara.leg.br/api/v2/deputados/2911</t>
  </si>
  <si>
    <t>DINIZ JÚNIOR</t>
  </si>
  <si>
    <t>LEOPOLDO DINIZ MARTINS JUNIOR</t>
  </si>
  <si>
    <t>1887-07-02</t>
  </si>
  <si>
    <t>https://dadosabertos.camara.leg.br/api/v2/deputados/130252</t>
  </si>
  <si>
    <t>DORVAL MELQUÍADES</t>
  </si>
  <si>
    <t>Durval Melchíades de Souza</t>
  </si>
  <si>
    <t>1869-11-29</t>
  </si>
  <si>
    <t>https://dadosabertos.camara.leg.br/api/v2/deputados/4714</t>
  </si>
  <si>
    <t>EDGARD SANCHES</t>
  </si>
  <si>
    <t>Edgard Ribeiro Sanches</t>
  </si>
  <si>
    <t>1891-09-01</t>
  </si>
  <si>
    <t>https://dadosabertos.camara.leg.br/api/v2/deputados/130253</t>
  </si>
  <si>
    <t>EDMAR CARVALHO</t>
  </si>
  <si>
    <t>Edmar da Silva Carvalho</t>
  </si>
  <si>
    <t>1898-10-05</t>
  </si>
  <si>
    <t>https://dadosabertos.camara.leg.br/api/v2/deputados/4716</t>
  </si>
  <si>
    <t>ELIÉSER MOREIRA</t>
  </si>
  <si>
    <t>Eliéser Rodrigues Moreira</t>
  </si>
  <si>
    <t>1899-02-22</t>
  </si>
  <si>
    <t>https://dadosabertos.camara.leg.br/api/v2/deputados/4717</t>
  </si>
  <si>
    <t>EMÍLIO MAIA</t>
  </si>
  <si>
    <t>Emílio Elyseu de Maya</t>
  </si>
  <si>
    <t>https://dadosabertos.camara.leg.br/api/v2/deputados/2953</t>
  </si>
  <si>
    <t>ERMANDO GOMES</t>
  </si>
  <si>
    <t>Ermando Alves Gomes</t>
  </si>
  <si>
    <t>https://dadosabertos.camara.leg.br/api/v2/deputados/2954</t>
  </si>
  <si>
    <t>Eurico Ribeiro da Costa</t>
  </si>
  <si>
    <t>https://dadosabertos.camara.leg.br/api/v2/deputados/2916</t>
  </si>
  <si>
    <t>FÁBIO ARANHA</t>
  </si>
  <si>
    <t>Fábio Correia de Camargo Aranha</t>
  </si>
  <si>
    <t>https://dadosabertos.camara.leg.br/api/v2/deputados/130254</t>
  </si>
  <si>
    <t>FÁBIO SODRÉ</t>
  </si>
  <si>
    <t>Fábio de Azevedo Sodré</t>
  </si>
  <si>
    <t>1891-09-24</t>
  </si>
  <si>
    <t>https://dadosabertos.camara.leg.br/api/v2/deputados/2778</t>
  </si>
  <si>
    <t>FANFA RIBAS</t>
  </si>
  <si>
    <t>João Fanfa Ribas</t>
  </si>
  <si>
    <t>1869-04-01</t>
  </si>
  <si>
    <t>https://dadosabertos.camara.leg.br/api/v2/deputados/4722</t>
  </si>
  <si>
    <t>FÉLIX RIBAS</t>
  </si>
  <si>
    <t>Félix Bulcão Ribas</t>
  </si>
  <si>
    <t>https://dadosabertos.camara.leg.br/api/v2/deputados/2880</t>
  </si>
  <si>
    <t>FENELON PERDIGÃO</t>
  </si>
  <si>
    <t>Fenelon Guilherme Perdigão</t>
  </si>
  <si>
    <t>https://dadosabertos.camara.leg.br/api/v2/deputados/3985</t>
  </si>
  <si>
    <t>FERNANDES LIMA</t>
  </si>
  <si>
    <t>José Fernandes de Barros Lima</t>
  </si>
  <si>
    <t>1868-08-21</t>
  </si>
  <si>
    <t>https://dadosabertos.camara.leg.br/api/v2/deputados/130255</t>
  </si>
  <si>
    <t>Fernando Augusto Ribeiro de Magalhães</t>
  </si>
  <si>
    <t>1878-02-18</t>
  </si>
  <si>
    <t>https://dadosabertos.camara.leg.br/api/v2/deputados/4782</t>
  </si>
  <si>
    <t>FERREIRA DE SOUZA</t>
  </si>
  <si>
    <t>José Ferreira de Souza</t>
  </si>
  <si>
    <t>1899-09-10</t>
  </si>
  <si>
    <t>https://dadosabertos.camara.leg.br/api/v2/deputados/130265</t>
  </si>
  <si>
    <t>FIGUEIREDO RODRIGUES</t>
  </si>
  <si>
    <t>José Antônio de Figueiredo Rodrigues</t>
  </si>
  <si>
    <t>1873-10-02</t>
  </si>
  <si>
    <t>https://dadosabertos.camara.leg.br/api/v2/deputados/2932</t>
  </si>
  <si>
    <t>FRANÇA FILHO</t>
  </si>
  <si>
    <t>Antônio Ribeiro França Filho</t>
  </si>
  <si>
    <t>https://dadosabertos.camara.leg.br/api/v2/deputados/2955</t>
  </si>
  <si>
    <t>FRANCISCO DI FIORI</t>
  </si>
  <si>
    <t>Francisco Savério di Fiori</t>
  </si>
  <si>
    <t>https://dadosabertos.camara.leg.br/api/v2/deputados/4728</t>
  </si>
  <si>
    <t>FRANCISCO GONÇALVES</t>
  </si>
  <si>
    <t>Francisco Gonçalves</t>
  </si>
  <si>
    <t>1898-11-17</t>
  </si>
  <si>
    <t>https://dadosabertos.camara.leg.br/api/v2/deputados/130257</t>
  </si>
  <si>
    <t>FRANCISCO MOURA</t>
  </si>
  <si>
    <t>Francisco Moura</t>
  </si>
  <si>
    <t>https://dadosabertos.camara.leg.br/api/v2/deputados/4726</t>
  </si>
  <si>
    <t>FRANCISCO PEREIRA</t>
  </si>
  <si>
    <t>Francisco Ferreira Pereira</t>
  </si>
  <si>
    <t>https://dadosabertos.camara.leg.br/api/v2/deputados/130256</t>
  </si>
  <si>
    <t>Francisco Joaquim da Rocha</t>
  </si>
  <si>
    <t>1883-04-23</t>
  </si>
  <si>
    <t>https://dadosabertos.camara.leg.br/api/v2/deputados/130258</t>
  </si>
  <si>
    <t>FREDERICO WOLFFENBÜTTEL</t>
  </si>
  <si>
    <t>Frederico João Wolffenbüttel</t>
  </si>
  <si>
    <t>1875-12-18</t>
  </si>
  <si>
    <t>https://dadosabertos.camara.leg.br/api/v2/deputados/4727</t>
  </si>
  <si>
    <t>FREIRE DE ANDRADE</t>
  </si>
  <si>
    <t>Francisco Freire de Andrade</t>
  </si>
  <si>
    <t>1888-09-21</t>
  </si>
  <si>
    <t>https://dadosabertos.camara.leg.br/api/v2/deputados/2735</t>
  </si>
  <si>
    <t>FURTADO DE MENEZES</t>
  </si>
  <si>
    <t>Joaquim Furtado de Menezes</t>
  </si>
  <si>
    <t>1875-10-19</t>
  </si>
  <si>
    <t>https://dadosabertos.camara.leg.br/api/v2/deputados/4801</t>
  </si>
  <si>
    <t>GAMA CERQUEIRA</t>
  </si>
  <si>
    <t>Luiz Barbosa da Gama Cerqueira</t>
  </si>
  <si>
    <t>1865-11-24</t>
  </si>
  <si>
    <t>https://dadosabertos.camara.leg.br/api/v2/deputados/2822</t>
  </si>
  <si>
    <t>GASTÃO DE BRITO</t>
  </si>
  <si>
    <t>Gastão de Brito</t>
  </si>
  <si>
    <t>1893-04-05</t>
  </si>
  <si>
    <t>https://dadosabertos.camara.leg.br/api/v2/deputados/2933</t>
  </si>
  <si>
    <t>GASTÃO VIDIGAL</t>
  </si>
  <si>
    <t>Gastão Vidigal</t>
  </si>
  <si>
    <t>https://dadosabertos.camara.leg.br/api/v2/deputados/2881</t>
  </si>
  <si>
    <t>GENARO PONTE</t>
  </si>
  <si>
    <t>Genaro Ponte e Souza</t>
  </si>
  <si>
    <t>1894-02-02</t>
  </si>
  <si>
    <t>https://dadosabertos.camara.leg.br/api/v2/deputados/2729</t>
  </si>
  <si>
    <t>GENEROSO PONCE</t>
  </si>
  <si>
    <t>Generoso Ponce Filho</t>
  </si>
  <si>
    <t>1898-08-06</t>
  </si>
  <si>
    <t>https://dadosabertos.camara.leg.br/api/v2/deputados/2866</t>
  </si>
  <si>
    <t>GERSON MARQUES</t>
  </si>
  <si>
    <t>Gerson Correia Marques</t>
  </si>
  <si>
    <t>1882-03-24</t>
  </si>
  <si>
    <t>https://dadosabertos.camara.leg.br/api/v2/deputados/2725</t>
  </si>
  <si>
    <t>GODOFREDO VIANA</t>
  </si>
  <si>
    <t>Godofredo Mendes Viana</t>
  </si>
  <si>
    <t>1878-06-14</t>
  </si>
  <si>
    <t>https://dadosabertos.camara.leg.br/api/v2/deputados/4760</t>
  </si>
  <si>
    <t>GOMES FERRAZ</t>
  </si>
  <si>
    <t>João Batista Gomes Ferraz</t>
  </si>
  <si>
    <t>1889-06-24</t>
  </si>
  <si>
    <t>Socorro</t>
  </si>
  <si>
    <t>https://dadosabertos.camara.leg.br/api/v2/deputados/2884</t>
  </si>
  <si>
    <t>GRATULIANO BRITO</t>
  </si>
  <si>
    <t>Gratuliano da Costa Brito</t>
  </si>
  <si>
    <t>https://dadosabertos.camara.leg.br/api/v2/deputados/4746</t>
  </si>
  <si>
    <t>HEITOR MAIA</t>
  </si>
  <si>
    <t>Heitor da Silva Maia</t>
  </si>
  <si>
    <t>1873-10-01</t>
  </si>
  <si>
    <t>https://dadosabertos.camara.leg.br/api/v2/deputados/4748</t>
  </si>
  <si>
    <t>HENRIQUE COUTO</t>
  </si>
  <si>
    <t>Henrique José Couto</t>
  </si>
  <si>
    <t>1875-06-30</t>
  </si>
  <si>
    <t>https://dadosabertos.camara.leg.br/api/v2/deputados/130259</t>
  </si>
  <si>
    <t>HENRIQUE DODSWORTH</t>
  </si>
  <si>
    <t>Henrique de Toledo Dodsworth Filho</t>
  </si>
  <si>
    <t>1895-09-17</t>
  </si>
  <si>
    <t>https://dadosabertos.camara.leg.br/api/v2/deputados/4749</t>
  </si>
  <si>
    <t>HENRIQUE LAJE</t>
  </si>
  <si>
    <t>Henrique Laje</t>
  </si>
  <si>
    <t>1881-03-14</t>
  </si>
  <si>
    <t>https://dadosabertos.camara.leg.br/api/v2/deputados/4751</t>
  </si>
  <si>
    <t>HERECTIANO ZENAIDE</t>
  </si>
  <si>
    <t>Herectiano Zenaide</t>
  </si>
  <si>
    <t>1887-09-25</t>
  </si>
  <si>
    <t>https://dadosabertos.camara.leg.br/api/v2/deputados/4752</t>
  </si>
  <si>
    <t>HERMETE SILVA</t>
  </si>
  <si>
    <t>Hermete Rodrigues Silva</t>
  </si>
  <si>
    <t>https://dadosabertos.camara.leg.br/api/v2/deputados/130275</t>
  </si>
  <si>
    <t>HIPÓLITO DO REGO</t>
  </si>
  <si>
    <t>Manuel Hipólito do Rego</t>
  </si>
  <si>
    <t>1890-08-09</t>
  </si>
  <si>
    <t>São Sebastião</t>
  </si>
  <si>
    <t>https://dadosabertos.camara.leg.br/api/v2/deputados/130260</t>
  </si>
  <si>
    <t>HOMERO PIRES</t>
  </si>
  <si>
    <t>Homero Pires</t>
  </si>
  <si>
    <t>1887-02-07</t>
  </si>
  <si>
    <t>https://dadosabertos.camara.leg.br/api/v2/deputados/4753</t>
  </si>
  <si>
    <t>HUMBERTO DE ANDRADE</t>
  </si>
  <si>
    <t>Humberto Rodrigues de Andrade</t>
  </si>
  <si>
    <t>https://dadosabertos.camara.leg.br/api/v2/deputados/2686</t>
  </si>
  <si>
    <t>ISIDRO DE VASCONCELOS</t>
  </si>
  <si>
    <t>Izidro Teixeira de Vasconcellos</t>
  </si>
  <si>
    <t>1886-06-04</t>
  </si>
  <si>
    <t>https://dadosabertos.camara.leg.br/api/v2/deputados/4785</t>
  </si>
  <si>
    <t>J. J. SEABRA</t>
  </si>
  <si>
    <t>José Joaquim Seabra</t>
  </si>
  <si>
    <t>1855-08-21</t>
  </si>
  <si>
    <t>https://dadosabertos.camara.leg.br/api/v2/deputados/4774</t>
  </si>
  <si>
    <t>JACQUES MONTANDON</t>
  </si>
  <si>
    <t>João Jacques Montandon</t>
  </si>
  <si>
    <t>1872-02-05</t>
  </si>
  <si>
    <t>https://dadosabertos.camara.leg.br/api/v2/deputados/4755</t>
  </si>
  <si>
    <t>JAIME DE VASCONCELOS</t>
  </si>
  <si>
    <t>Jaime Carneiro Leão de Vasconcelos</t>
  </si>
  <si>
    <t>1887-12-23</t>
  </si>
  <si>
    <t>https://dadosabertos.camara.leg.br/api/v2/deputados/4756</t>
  </si>
  <si>
    <t>JAIR TOVAR</t>
  </si>
  <si>
    <t>Jair Tovar</t>
  </si>
  <si>
    <t>1896-05-05</t>
  </si>
  <si>
    <t>https://dadosabertos.camara.leg.br/api/v2/deputados/130262</t>
  </si>
  <si>
    <t>JAIRO FRANCO</t>
  </si>
  <si>
    <t>Jairo Franco</t>
  </si>
  <si>
    <t>https://dadosabertos.camara.leg.br/api/v2/deputados/2704</t>
  </si>
  <si>
    <t>JEHOVAH MOTTA</t>
  </si>
  <si>
    <t>Jeohvah Motta</t>
  </si>
  <si>
    <t>https://dadosabertos.camara.leg.br/api/v2/deputados/4768</t>
  </si>
  <si>
    <t>JOÃO BERALDO</t>
  </si>
  <si>
    <t>João Tavares Corrêa Beraldo</t>
  </si>
  <si>
    <t>1891-02-20</t>
  </si>
  <si>
    <t>https://dadosabertos.camara.leg.br/api/v2/deputados/130261</t>
  </si>
  <si>
    <t>JOÃO GUIMARÃES</t>
  </si>
  <si>
    <t>João Antonio de Oliveira Guimarães</t>
  </si>
  <si>
    <t>1874-04-25</t>
  </si>
  <si>
    <t>https://dadosabertos.camara.leg.br/api/v2/deputados/130263</t>
  </si>
  <si>
    <t>JOÃO NEVES</t>
  </si>
  <si>
    <t>João Neves da Fontoura</t>
  </si>
  <si>
    <t>https://dadosabertos.camara.leg.br/api/v2/deputados/2220</t>
  </si>
  <si>
    <t>JOÃO PENIDO</t>
  </si>
  <si>
    <t>João Nogueira Penido Filho</t>
  </si>
  <si>
    <t>1862-01-28</t>
  </si>
  <si>
    <t>https://dadosabertos.camara.leg.br/api/v2/deputados/4767</t>
  </si>
  <si>
    <t>JOÃO SIMPLÍCIO</t>
  </si>
  <si>
    <t>João Simplicio Alves de Carvalho</t>
  </si>
  <si>
    <t>1868-08-02</t>
  </si>
  <si>
    <t>https://dadosabertos.camara.leg.br/api/v2/deputados/4747</t>
  </si>
  <si>
    <t>JORGE GUEDES</t>
  </si>
  <si>
    <t>Henrique Jorge Guedes</t>
  </si>
  <si>
    <t>1887-12-17</t>
  </si>
  <si>
    <t>https://dadosabertos.camara.leg.br/api/v2/deputados/4778</t>
  </si>
  <si>
    <t>JOSÉ BERNARDINO</t>
  </si>
  <si>
    <t>José Bernardino Alves Júnior</t>
  </si>
  <si>
    <t>1885-03-15</t>
  </si>
  <si>
    <t>Andrelândia</t>
  </si>
  <si>
    <t>https://dadosabertos.camara.leg.br/api/v2/deputados/130266</t>
  </si>
  <si>
    <t>JOSÉ BRÁS</t>
  </si>
  <si>
    <t>José Brás Pereira Gomes</t>
  </si>
  <si>
    <t>1893-06-02</t>
  </si>
  <si>
    <t>https://dadosabertos.camara.leg.br/api/v2/deputados/2921</t>
  </si>
  <si>
    <t>JOSÉ CÁSSIO</t>
  </si>
  <si>
    <t>José Cássio de Macedo Soares</t>
  </si>
  <si>
    <t>1889-10-13</t>
  </si>
  <si>
    <t>Piratininga</t>
  </si>
  <si>
    <t>https://dadosabertos.camara.leg.br/api/v2/deputados/2959</t>
  </si>
  <si>
    <t>JOSÉ DO PATROCÍNIO</t>
  </si>
  <si>
    <t>José João do Patrocínio</t>
  </si>
  <si>
    <t>https://dadosabertos.camara.leg.br/api/v2/deputados/4783</t>
  </si>
  <si>
    <t>JOSÉ GOMES</t>
  </si>
  <si>
    <t>José Gomes da Silva</t>
  </si>
  <si>
    <t>https://dadosabertos.camara.leg.br/api/v2/deputados/2882</t>
  </si>
  <si>
    <t>JOSÉ PINGARILHO</t>
  </si>
  <si>
    <t>José Luís da Silva Pingarilho</t>
  </si>
  <si>
    <t>1878-11-28</t>
  </si>
  <si>
    <t>https://dadosabertos.camara.leg.br/api/v2/deputados/4792</t>
  </si>
  <si>
    <t>JULIO DE NOVAIS</t>
  </si>
  <si>
    <t>Júlio Oscar de Novais Carvalho</t>
  </si>
  <si>
    <t>1875-10-17</t>
  </si>
  <si>
    <t>https://dadosabertos.camara.leg.br/api/v2/deputados/4793</t>
  </si>
  <si>
    <t>JUSTO DE MORAIS</t>
  </si>
  <si>
    <t>Justo Rangel Mendes de Morais</t>
  </si>
  <si>
    <t>1883-01-14</t>
  </si>
  <si>
    <t>https://dadosabertos.camara.leg.br/api/v2/deputados/4797</t>
  </si>
  <si>
    <t>LAERTE SETÚBAL</t>
  </si>
  <si>
    <t>Laerte Setúbal</t>
  </si>
  <si>
    <t>1888-09-13</t>
  </si>
  <si>
    <t>https://dadosabertos.camara.leg.br/api/v2/deputados/4794</t>
  </si>
  <si>
    <t>LAUDELINO GOMES</t>
  </si>
  <si>
    <t>Laudelino Gomes de Almeida</t>
  </si>
  <si>
    <t>1877-08-05</t>
  </si>
  <si>
    <t>https://dadosabertos.camara.leg.br/api/v2/deputados/4795</t>
  </si>
  <si>
    <t>LAURO PASSOS</t>
  </si>
  <si>
    <t>Lauro de Almeida Passos</t>
  </si>
  <si>
    <t>1899-08-24</t>
  </si>
  <si>
    <t>https://dadosabertos.camara.leg.br/api/v2/deputados/130272</t>
  </si>
  <si>
    <t>LEMGRUBER FILHO</t>
  </si>
  <si>
    <t>Laurindo Augusto Lemgruber Filho</t>
  </si>
  <si>
    <t>1888-04-02</t>
  </si>
  <si>
    <t>https://dadosabertos.camara.leg.br/api/v2/deputados/2935</t>
  </si>
  <si>
    <t>LEÔNCIO ARAÚJO</t>
  </si>
  <si>
    <t>Leôncio Gomes de Araújo</t>
  </si>
  <si>
    <t>https://dadosabertos.camara.leg.br/api/v2/deputados/2457</t>
  </si>
  <si>
    <t>LEÔNCIO GALRÃO</t>
  </si>
  <si>
    <t>Manoel Leôncio Galrão</t>
  </si>
  <si>
    <t>1864-02-14</t>
  </si>
  <si>
    <t>Jaguaripe</t>
  </si>
  <si>
    <t>https://dadosabertos.camara.leg.br/api/v2/deputados/4799</t>
  </si>
  <si>
    <t>LEVI CARNEIRO</t>
  </si>
  <si>
    <t>Levi Fernandes Carneiro</t>
  </si>
  <si>
    <t>1882-08-08</t>
  </si>
  <si>
    <t>https://dadosabertos.camara.leg.br/api/v2/deputados/130273</t>
  </si>
  <si>
    <t>LEVINDO COELHO</t>
  </si>
  <si>
    <t>Levindo Eduardo Coelho</t>
  </si>
  <si>
    <t>1871-10-13</t>
  </si>
  <si>
    <t>https://dadosabertos.camara.leg.br/api/v2/deputados/4764</t>
  </si>
  <si>
    <t>LIMA TEIXEIRA</t>
  </si>
  <si>
    <t>João de Lima Teixeira</t>
  </si>
  <si>
    <t>https://dadosabertos.camara.leg.br/api/v2/deputados/2910</t>
  </si>
  <si>
    <t>LONTRA COSTA</t>
  </si>
  <si>
    <t>Artur Lontra Costa</t>
  </si>
  <si>
    <t>1899-05-19</t>
  </si>
  <si>
    <t>https://dadosabertos.camara.leg.br/api/v2/deputados/4803</t>
  </si>
  <si>
    <t>LUÍS SUCUPIRA</t>
  </si>
  <si>
    <t>Luís Cavalcanti Sucupira</t>
  </si>
  <si>
    <t>https://dadosabertos.camara.leg.br/api/v2/deputados/4804</t>
  </si>
  <si>
    <t>LUÍS TIRELLI</t>
  </si>
  <si>
    <t>Luís Tirelli</t>
  </si>
  <si>
    <t>1883-08-15</t>
  </si>
  <si>
    <t>https://dadosabertos.camara.leg.br/api/v2/deputados/2877</t>
  </si>
  <si>
    <t>MACARIO DE ALMEIDA</t>
  </si>
  <si>
    <t>Pedro Macário de Almeida</t>
  </si>
  <si>
    <t>https://dadosabertos.camara.leg.br/api/v2/deputados/4745</t>
  </si>
  <si>
    <t>MACEDO BITTENCOURT</t>
  </si>
  <si>
    <t>Heitor de Macedo Bittencourt</t>
  </si>
  <si>
    <t>1895-10-15</t>
  </si>
  <si>
    <t>https://dadosabertos.camara.leg.br/api/v2/deputados/130268</t>
  </si>
  <si>
    <t>MAGALHÃES DE ALMEIDA</t>
  </si>
  <si>
    <t>José Maria Magalhães de Almeida</t>
  </si>
  <si>
    <t>1883-07-28</t>
  </si>
  <si>
    <t>https://dadosabertos.camara.leg.br/api/v2/deputados/2700</t>
  </si>
  <si>
    <t>MAGALHÃES NETO</t>
  </si>
  <si>
    <t>Francisco Peixoto de Magalhães Neto</t>
  </si>
  <si>
    <t>1897-06-26</t>
  </si>
  <si>
    <t>https://dadosabertos.camara.leg.br/api/v2/deputados/4809</t>
  </si>
  <si>
    <t>MÁRIO CHERMONT</t>
  </si>
  <si>
    <t>Mário Midosi Chermont</t>
  </si>
  <si>
    <t>1889-09-28</t>
  </si>
  <si>
    <t>https://dadosabertos.camara.leg.br/api/v2/deputados/130276</t>
  </si>
  <si>
    <t>MÁRIO DOMINGUES</t>
  </si>
  <si>
    <t>Mário Domingues da Silva</t>
  </si>
  <si>
    <t>1885-02-17</t>
  </si>
  <si>
    <t>https://dadosabertos.camara.leg.br/api/v2/deputados/2893</t>
  </si>
  <si>
    <t>MARQUES VIEIRA</t>
  </si>
  <si>
    <t>Domingos Marques Vieira</t>
  </si>
  <si>
    <t>https://dadosabertos.camara.leg.br/api/v2/deputados/4811</t>
  </si>
  <si>
    <t>MARTINHO PRADO</t>
  </si>
  <si>
    <t>Martinho da Silva Prado Neto</t>
  </si>
  <si>
    <t>1881-01-03</t>
  </si>
  <si>
    <t>https://dadosabertos.camara.leg.br/api/v2/deputados/130274</t>
  </si>
  <si>
    <t>MARTINS E SILVA</t>
  </si>
  <si>
    <t>Luís Martins e Silva</t>
  </si>
  <si>
    <t>1898-11-05</t>
  </si>
  <si>
    <t>https://dadosabertos.camara.leg.br/api/v2/deputados/4802</t>
  </si>
  <si>
    <t>MARTINS SOARES</t>
  </si>
  <si>
    <t>Luís Martins Soares</t>
  </si>
  <si>
    <t>1888-11-22</t>
  </si>
  <si>
    <t>https://dadosabertos.camara.leg.br/api/v2/deputados/4730</t>
  </si>
  <si>
    <t>MARTINS VERAS</t>
  </si>
  <si>
    <t>Francisco Martins Veras</t>
  </si>
  <si>
    <t>Augusto Severo</t>
  </si>
  <si>
    <t>https://dadosabertos.camara.leg.br/api/v2/deputados/2352</t>
  </si>
  <si>
    <t>Pedro da Mata Machado</t>
  </si>
  <si>
    <t>1865-01-29</t>
  </si>
  <si>
    <t>https://dadosabertos.camara.leg.br/api/v2/deputados/4812</t>
  </si>
  <si>
    <t>MATIAS FREIRE</t>
  </si>
  <si>
    <t>Matias Freire</t>
  </si>
  <si>
    <t>1882-08-21</t>
  </si>
  <si>
    <t>https://dadosabertos.camara.leg.br/api/v2/deputados/2572</t>
  </si>
  <si>
    <t>MEIRA JÚNIOR</t>
  </si>
  <si>
    <t>João Alves Meira Júnior</t>
  </si>
  <si>
    <t>1875-09-26</t>
  </si>
  <si>
    <t>https://dadosabertos.camara.leg.br/api/v2/deputados/2741</t>
  </si>
  <si>
    <t>MELO FRANCO</t>
  </si>
  <si>
    <t>Virgílio Alvim de Melo Franco</t>
  </si>
  <si>
    <t>1897-07-12</t>
  </si>
  <si>
    <t>https://dadosabertos.camara.leg.br/api/v2/deputados/4675</t>
  </si>
  <si>
    <t>MELO MACHADO</t>
  </si>
  <si>
    <t>Antônio de Melo Machado</t>
  </si>
  <si>
    <t>1878-04-20</t>
  </si>
  <si>
    <t>https://dadosabertos.camara.leg.br/api/v2/deputados/4813</t>
  </si>
  <si>
    <t>MELQUISEDEC MONTE</t>
  </si>
  <si>
    <t>MELCHISEDECK FIGUEIREDO MONTE</t>
  </si>
  <si>
    <t>https://dadosabertos.camara.leg.br/api/v2/deputados/4766</t>
  </si>
  <si>
    <t>MIRANDA JÚNIOR</t>
  </si>
  <si>
    <t>João Rodrigues de Miranda Júnior</t>
  </si>
  <si>
    <t>1878-03-16</t>
  </si>
  <si>
    <t>https://dadosabertos.camara.leg.br/api/v2/deputados/4814</t>
  </si>
  <si>
    <t>MOACIR BARBOSA</t>
  </si>
  <si>
    <t>Moacir Barbosa Soares</t>
  </si>
  <si>
    <t>https://dadosabertos.camara.leg.br/api/v2/deputados/2851</t>
  </si>
  <si>
    <t>MONTE ARRAIS</t>
  </si>
  <si>
    <t>Raimundo Monte Arrais</t>
  </si>
  <si>
    <t>1882-07-03</t>
  </si>
  <si>
    <t>https://dadosabertos.camara.leg.br/api/v2/deputados/4810</t>
  </si>
  <si>
    <t>MORAES PAIVA</t>
  </si>
  <si>
    <t>Mário de Moraes Paiva</t>
  </si>
  <si>
    <t>1891-05-09</t>
  </si>
  <si>
    <t>https://dadosabertos.camara.leg.br/api/v2/deputados/2946</t>
  </si>
  <si>
    <t>MORAIS JUNIOR</t>
  </si>
  <si>
    <t>José Ferreira de Moraes Junior</t>
  </si>
  <si>
    <t>https://dadosabertos.camara.leg.br/api/v2/deputados/4841</t>
  </si>
  <si>
    <t>MOTA LIMA</t>
  </si>
  <si>
    <t>Rodolfo Pinto da Mota Lima</t>
  </si>
  <si>
    <t>1891-02-22</t>
  </si>
  <si>
    <t>https://dadosabertos.camara.leg.br/api/v2/deputados/2742</t>
  </si>
  <si>
    <t>NEGRÃO DE LIMA</t>
  </si>
  <si>
    <t>Francisco Negrão de Lima</t>
  </si>
  <si>
    <t>https://dadosabertos.camara.leg.br/api/v2/deputados/4694</t>
  </si>
  <si>
    <t>NILO ALVARENGA</t>
  </si>
  <si>
    <t>Benedito Nilo de Alvarenga</t>
  </si>
  <si>
    <t>1884-11-12</t>
  </si>
  <si>
    <t>https://dadosabertos.camara.leg.br/api/v2/deputados/130246</t>
  </si>
  <si>
    <t>NOGUEIRA PENIDO</t>
  </si>
  <si>
    <t>Antônio Máximo Nogueira Penido</t>
  </si>
  <si>
    <t>1885-06-30</t>
  </si>
  <si>
    <t>https://dadosabertos.camara.leg.br/api/v2/deputados/4816</t>
  </si>
  <si>
    <t>ODON BEZERRA</t>
  </si>
  <si>
    <t>Odon Bezerra Cavalcanti</t>
  </si>
  <si>
    <t>https://dadosabertos.camara.leg.br/api/v2/deputados/2852</t>
  </si>
  <si>
    <t>OLAVO OLIVEIRA</t>
  </si>
  <si>
    <t>Olavo de Oliveira</t>
  </si>
  <si>
    <t>1893-06-13</t>
  </si>
  <si>
    <t>https://dadosabertos.camara.leg.br/api/v2/deputados/4818</t>
  </si>
  <si>
    <t>OLEGÁRIO MARIANO</t>
  </si>
  <si>
    <t>Olegário Mariano Carneiro da Cunha</t>
  </si>
  <si>
    <t>1889-03-24</t>
  </si>
  <si>
    <t>https://dadosabertos.camara.leg.br/api/v2/deputados/2941</t>
  </si>
  <si>
    <t>OLIVEIRA COUTINHO</t>
  </si>
  <si>
    <t>Alberto de Oliveira Coutinho</t>
  </si>
  <si>
    <t>https://dadosabertos.camara.leg.br/api/v2/deputados/4820</t>
  </si>
  <si>
    <t>ORLANDO ARAÚJO</t>
  </si>
  <si>
    <t>Orlando Valeriano de Araújo</t>
  </si>
  <si>
    <t>1882-11-22</t>
  </si>
  <si>
    <t>https://dadosabertos.camara.leg.br/api/v2/deputados/2903</t>
  </si>
  <si>
    <t>OSCAR FONTOURA</t>
  </si>
  <si>
    <t>Oscar Carneiro da Fontoura</t>
  </si>
  <si>
    <t>https://dadosabertos.camara.leg.br/api/v2/deputados/130278</t>
  </si>
  <si>
    <t>OTÁVIO DA SILVEIRA</t>
  </si>
  <si>
    <t>Otávio da Silveira</t>
  </si>
  <si>
    <t>1895-07-24</t>
  </si>
  <si>
    <t>https://dadosabertos.camara.leg.br/api/v2/deputados/4733</t>
  </si>
  <si>
    <t>PAULA SOARES</t>
  </si>
  <si>
    <t>Francisco de Paula Soares Neto</t>
  </si>
  <si>
    <t>https://dadosabertos.camara.leg.br/api/v2/deputados/4776</t>
  </si>
  <si>
    <t>PAULO ASSUNÇÃO</t>
  </si>
  <si>
    <t>Paulo Álvaro de Assunção</t>
  </si>
  <si>
    <t>1888-09-05</t>
  </si>
  <si>
    <t>https://dadosabertos.camara.leg.br/api/v2/deputados/2964</t>
  </si>
  <si>
    <t>PAULO MARTINS</t>
  </si>
  <si>
    <t>Paulo Dias Martins</t>
  </si>
  <si>
    <t>1886-08-15</t>
  </si>
  <si>
    <t>https://dadosabertos.camara.leg.br/api/v2/deputados/2845</t>
  </si>
  <si>
    <t>PEDRO CALMON</t>
  </si>
  <si>
    <t>Pedro Calmon Freire Bittencourt</t>
  </si>
  <si>
    <t>https://dadosabertos.camara.leg.br/api/v2/deputados/2853</t>
  </si>
  <si>
    <t>PEDRO FIRMEZA</t>
  </si>
  <si>
    <t>Pedro de Brito Firmeza</t>
  </si>
  <si>
    <t>https://dadosabertos.camara.leg.br/api/v2/deputados/2956</t>
  </si>
  <si>
    <t>PEDRO JORGE</t>
  </si>
  <si>
    <t>Pedro Jorge Pereira de Melo</t>
  </si>
  <si>
    <t>https://dadosabertos.camara.leg.br/api/v2/deputados/4827</t>
  </si>
  <si>
    <t>PEDRO LAGO</t>
  </si>
  <si>
    <t>Pedro Francisco Rodrigues do Lago</t>
  </si>
  <si>
    <t>1870-04-16</t>
  </si>
  <si>
    <t>https://dadosabertos.camara.leg.br/api/v2/deputados/4825</t>
  </si>
  <si>
    <t>PEDRO RACHE</t>
  </si>
  <si>
    <t>Pedro Demóstenes Rache</t>
  </si>
  <si>
    <t>1879-07-10</t>
  </si>
  <si>
    <t>https://dadosabertos.camara.leg.br/api/v2/deputados/4732</t>
  </si>
  <si>
    <t>PENTEADO STEVENSON</t>
  </si>
  <si>
    <t>Francisco Oscar Penteado Stevenson</t>
  </si>
  <si>
    <t>https://dadosabertos.camara.leg.br/api/v2/deputados/4719</t>
  </si>
  <si>
    <t>PEREIRA CARNEIRO</t>
  </si>
  <si>
    <t>Ernesto Pereira Carneiro</t>
  </si>
  <si>
    <t>1877-04-14</t>
  </si>
  <si>
    <t>https://dadosabertos.camara.leg.br/api/v2/deputados/4789</t>
  </si>
  <si>
    <t>PEREIRA LIRA</t>
  </si>
  <si>
    <t>José Pereira Lira</t>
  </si>
  <si>
    <t>1898-08-23</t>
  </si>
  <si>
    <t>https://dadosabertos.camara.leg.br/api/v2/deputados/4712</t>
  </si>
  <si>
    <t>Djalma Pinheiro Chagas</t>
  </si>
  <si>
    <t>1884-08-12</t>
  </si>
  <si>
    <t>https://dadosabertos.camara.leg.br/api/v2/deputados/2117</t>
  </si>
  <si>
    <t>PINTO DANTAS</t>
  </si>
  <si>
    <t>João da Costa Pinto Dantas</t>
  </si>
  <si>
    <t>1873-07-24</t>
  </si>
  <si>
    <t>https://dadosabertos.camara.leg.br/api/v2/deputados/2769</t>
  </si>
  <si>
    <t>PIRES GAIOSO</t>
  </si>
  <si>
    <t>FRANCISCO PIRES DE GAYOSO E ALMENDRA</t>
  </si>
  <si>
    <t>https://dadosabertos.camara.leg.br/api/v2/deputados/4831</t>
  </si>
  <si>
    <t>PLÍNIO POMPEU</t>
  </si>
  <si>
    <t>Plínio Pompeu de Saboya Magalhães</t>
  </si>
  <si>
    <t>https://dadosabertos.camara.leg.br/api/v2/deputados/4830</t>
  </si>
  <si>
    <t>PLÍNIO TOURINHO</t>
  </si>
  <si>
    <t>Plínio Alves Monteiro Tourinho</t>
  </si>
  <si>
    <t>1882-02-08</t>
  </si>
  <si>
    <t>https://dadosabertos.camara.leg.br/api/v2/deputados/4832</t>
  </si>
  <si>
    <t>POLICARPO VIOTTI</t>
  </si>
  <si>
    <t>Policarpo de Magalhães Viotti</t>
  </si>
  <si>
    <t>1880-06-16</t>
  </si>
  <si>
    <t>https://dadosabertos.camara.leg.br/api/v2/deputados/2118</t>
  </si>
  <si>
    <t>PRISCO PARAÍSO</t>
  </si>
  <si>
    <t>Francisco Prisco de Souza Paraíso</t>
  </si>
  <si>
    <t>1874-05-06</t>
  </si>
  <si>
    <t>https://dadosabertos.camara.leg.br/api/v2/deputados/2846</t>
  </si>
  <si>
    <t>RAFAEL MENESES</t>
  </si>
  <si>
    <t>Rafael de Meneses Silva</t>
  </si>
  <si>
    <t>https://dadosabertos.camara.leg.br/api/v2/deputados/130280</t>
  </si>
  <si>
    <t>RAUL BITENCOURT</t>
  </si>
  <si>
    <t>Raul Jobim Bittencourt</t>
  </si>
  <si>
    <t>https://dadosabertos.camara.leg.br/api/v2/deputados/130281</t>
  </si>
  <si>
    <t>RAUL FERNANDES</t>
  </si>
  <si>
    <t>Raul Fernandes</t>
  </si>
  <si>
    <t>1877-10-24</t>
  </si>
  <si>
    <t>https://dadosabertos.camara.leg.br/api/v2/deputados/2557</t>
  </si>
  <si>
    <t>REGO BARROS</t>
  </si>
  <si>
    <t>Sebastião do Rego Barros</t>
  </si>
  <si>
    <t>1879-06-07</t>
  </si>
  <si>
    <t>https://dadosabertos.camara.leg.br/api/v2/deputados/130282</t>
  </si>
  <si>
    <t>RENATO BARBOSA</t>
  </si>
  <si>
    <t>RENATO RODRIGUES BARBOSA</t>
  </si>
  <si>
    <t>1885-03-01</t>
  </si>
  <si>
    <t>https://dadosabertos.camara.leg.br/api/v2/deputados/130269</t>
  </si>
  <si>
    <t>RESENDE TOSTES</t>
  </si>
  <si>
    <t>João Resende Tostes</t>
  </si>
  <si>
    <t>1885-12-24</t>
  </si>
  <si>
    <t>https://dadosabertos.camara.leg.br/api/v2/deputados/2843</t>
  </si>
  <si>
    <t>RIBEIRO JÚNIOR</t>
  </si>
  <si>
    <t>Alfredo Augusto Ribeiro Júnior</t>
  </si>
  <si>
    <t>1889-04-29</t>
  </si>
  <si>
    <t>https://dadosabertos.camara.leg.br/api/v2/deputados/2960</t>
  </si>
  <si>
    <t>RICARDINO PRADO</t>
  </si>
  <si>
    <t>Ricardino Franklin Prado</t>
  </si>
  <si>
    <t>https://dadosabertos.camara.leg.br/api/v2/deputados/4836</t>
  </si>
  <si>
    <t>RICARDO BARRETO</t>
  </si>
  <si>
    <t>Ricardo Cesar Paes Barreto</t>
  </si>
  <si>
    <t>1891-06-02</t>
  </si>
  <si>
    <t>https://dadosabertos.camara.leg.br/api/v2/deputados/2830</t>
  </si>
  <si>
    <t>RICARDO MACHADO</t>
  </si>
  <si>
    <t>Ricardo Pereira Machado</t>
  </si>
  <si>
    <t>1872-03-04</t>
  </si>
  <si>
    <t>https://dadosabertos.camara.leg.br/api/v2/deputados/2633</t>
  </si>
  <si>
    <t>ROBERTO MOREIRA</t>
  </si>
  <si>
    <t>Roberto dos Santos Moreira</t>
  </si>
  <si>
    <t>1887-03-07</t>
  </si>
  <si>
    <t>https://dadosabertos.camara.leg.br/api/v2/deputados/2831</t>
  </si>
  <si>
    <t>ROBERTO SIMONSEN</t>
  </si>
  <si>
    <t>Roberto Cochrane Simonsen</t>
  </si>
  <si>
    <t>1889-02-18</t>
  </si>
  <si>
    <t>https://dadosabertos.camara.leg.br/api/v2/deputados/2887</t>
  </si>
  <si>
    <t>RUI CARNEIRO</t>
  </si>
  <si>
    <t>https://dadosabertos.camara.leg.br/api/v2/deputados/4750</t>
  </si>
  <si>
    <t>RUPP JÚNIOR</t>
  </si>
  <si>
    <t>Henrique Rupp Júnior</t>
  </si>
  <si>
    <t>1880-03-27</t>
  </si>
  <si>
    <t>https://dadosabertos.camara.leg.br/api/v2/deputados/2470</t>
  </si>
  <si>
    <t>SALES FILHO</t>
  </si>
  <si>
    <t>Francisco Antônio Rodrigues de Sales Filho</t>
  </si>
  <si>
    <t>1879-10-12</t>
  </si>
  <si>
    <t>https://dadosabertos.camara.leg.br/api/v2/deputados/4773</t>
  </si>
  <si>
    <t>SALGADO FILHO</t>
  </si>
  <si>
    <t>Joaquim Pedro Salgado Filho</t>
  </si>
  <si>
    <t>https://dadosabertos.camara.leg.br/api/v2/deputados/2471</t>
  </si>
  <si>
    <t>SAMPAIO CORREIA</t>
  </si>
  <si>
    <t>José Matoso de Sampaio Correia</t>
  </si>
  <si>
    <t>1875-09-08</t>
  </si>
  <si>
    <t>https://dadosabertos.camara.leg.br/api/v2/deputados/4680</t>
  </si>
  <si>
    <t>SAMPAIO COSTA</t>
  </si>
  <si>
    <t>Armando Sampaio Costa</t>
  </si>
  <si>
    <t>1893-06-18</t>
  </si>
  <si>
    <t>https://dadosabertos.camara.leg.br/api/v2/deputados/4724</t>
  </si>
  <si>
    <t>Francisco Alves dos Santos Filho</t>
  </si>
  <si>
    <t>1895-10-03</t>
  </si>
  <si>
    <t>https://dadosabertos.camara.leg.br/api/v2/deputados/2957</t>
  </si>
  <si>
    <t>SEBASTIÃO DOMINGUES</t>
  </si>
  <si>
    <t>Sebastião Domingues</t>
  </si>
  <si>
    <t>https://dadosabertos.camara.leg.br/api/v2/deputados/2951</t>
  </si>
  <si>
    <t>SILVA COSTA</t>
  </si>
  <si>
    <t>Manoel de Silva Costa</t>
  </si>
  <si>
    <t>https://dadosabertos.camara.leg.br/api/v2/deputados/2963</t>
  </si>
  <si>
    <t>SÍLVIO LEITÃO</t>
  </si>
  <si>
    <t>Sílvio Pelico Leitão</t>
  </si>
  <si>
    <t>https://dadosabertos.camara.leg.br/api/v2/deputados/1864</t>
  </si>
  <si>
    <t>Simão da Cunha Pereira</t>
  </si>
  <si>
    <t>1883-05-02</t>
  </si>
  <si>
    <t>Peçanha</t>
  </si>
  <si>
    <t>https://dadosabertos.camara.leg.br/api/v2/deputados/2297</t>
  </si>
  <si>
    <t>SIMÕES BARBOSA</t>
  </si>
  <si>
    <t>Adolfo Simões Barbosa</t>
  </si>
  <si>
    <t>1860-04-03</t>
  </si>
  <si>
    <t>https://dadosabertos.camara.leg.br/api/v2/deputados/2897</t>
  </si>
  <si>
    <t>TEIXEIRA LEITE</t>
  </si>
  <si>
    <t>Edgard Teixeira Leite</t>
  </si>
  <si>
    <t>1895-03-20</t>
  </si>
  <si>
    <t>https://dadosabertos.camara.leg.br/api/v2/deputados/2928</t>
  </si>
  <si>
    <t>TEIXEIRA PINTO</t>
  </si>
  <si>
    <t>Álvaro Teixeira Pinto Filho</t>
  </si>
  <si>
    <t>https://dadosabertos.camara.leg.br/api/v2/deputados/130283</t>
  </si>
  <si>
    <t>TEODOMIRO SANTIAGO</t>
  </si>
  <si>
    <t>Teodomiro Carneiro Santiago</t>
  </si>
  <si>
    <t>1883-09-30</t>
  </si>
  <si>
    <t>https://dadosabertos.camara.leg.br/api/v2/deputados/2965</t>
  </si>
  <si>
    <t>THOMPSON FLORES</t>
  </si>
  <si>
    <t>Carlos Thompson Flores Neto</t>
  </si>
  <si>
    <t>https://dadosabertos.camara.leg.br/api/v2/deputados/4661</t>
  </si>
  <si>
    <t>TRIGO DE LOUREIRO</t>
  </si>
  <si>
    <t>Alberto Trigo de Loureiro</t>
  </si>
  <si>
    <t>1899-08-27</t>
  </si>
  <si>
    <t>https://dadosabertos.camara.leg.br/api/v2/deputados/4848</t>
  </si>
  <si>
    <t>UBALDO RAMALHETE</t>
  </si>
  <si>
    <t>Ubaldo Ramalhete Maia</t>
  </si>
  <si>
    <t>Santa Leopoldina</t>
  </si>
  <si>
    <t>https://dadosabertos.camara.leg.br/api/v2/deputados/2708</t>
  </si>
  <si>
    <t>VALDEMAR FALCÃO</t>
  </si>
  <si>
    <t>Waldemar Cromwell do Rego Falcão</t>
  </si>
  <si>
    <t>1895-01-25</t>
  </si>
  <si>
    <t>https://dadosabertos.camara.leg.br/api/v2/deputados/2688</t>
  </si>
  <si>
    <t>VALENTE DE LIMA</t>
  </si>
  <si>
    <t>José Affonso Valente de Lima</t>
  </si>
  <si>
    <t>Marechal Deodoro</t>
  </si>
  <si>
    <t>https://dadosabertos.camara.leg.br/api/v2/deputados/2804</t>
  </si>
  <si>
    <t>VERGUEIRO CÉSAR</t>
  </si>
  <si>
    <t>Abelardo Vergueiro César</t>
  </si>
  <si>
    <t>1894-07-21</t>
  </si>
  <si>
    <t>https://dadosabertos.camara.leg.br/api/v2/deputados/4769</t>
  </si>
  <si>
    <t>VESPÚCIO DE ABREU</t>
  </si>
  <si>
    <t>João Vespúcio de Abreu e Silva</t>
  </si>
  <si>
    <t>1869-12-02</t>
  </si>
  <si>
    <t>https://dadosabertos.camara.leg.br/api/v2/deputados/2937</t>
  </si>
  <si>
    <t>VICENTE GALLIEZ</t>
  </si>
  <si>
    <t>Vicente de Paulo Galliez</t>
  </si>
  <si>
    <t>https://dadosabertos.camara.leg.br/api/v2/deputados/130284</t>
  </si>
  <si>
    <t>VICENTE GOUVEIA</t>
  </si>
  <si>
    <t>Vicente Cavalcanti Gouveia</t>
  </si>
  <si>
    <t>Água Preta</t>
  </si>
  <si>
    <t>https://dadosabertos.camara.leg.br/api/v2/deputados/4849</t>
  </si>
  <si>
    <t>VICENTE MIGUEL</t>
  </si>
  <si>
    <t>Vicente Miguel da Silva Abreu</t>
  </si>
  <si>
    <t>https://dadosabertos.camara.leg.br/api/v2/deputados/2942</t>
  </si>
  <si>
    <t>VIEIRA MACEDO</t>
  </si>
  <si>
    <t>JOÃO VIEIRA DE MACEDO</t>
  </si>
  <si>
    <t>1874-06-22</t>
  </si>
  <si>
    <t>Lavras do Sul</t>
  </si>
  <si>
    <t>https://dadosabertos.camara.leg.br/api/v2/deputados/4791</t>
  </si>
  <si>
    <t>VIEIRA MARQUES</t>
  </si>
  <si>
    <t>José Vieira Marques</t>
  </si>
  <si>
    <t>1877-09-28</t>
  </si>
  <si>
    <t>https://dadosabertos.camara.leg.br/api/v2/deputados/2783</t>
  </si>
  <si>
    <t>VITOR RUSSOMANO</t>
  </si>
  <si>
    <t>Victor Russomano</t>
  </si>
  <si>
    <t>1890-10-12</t>
  </si>
  <si>
    <t>https://dadosabertos.camara.leg.br/api/v2/deputados/130270</t>
  </si>
  <si>
    <t>WANDERLEY PINHO</t>
  </si>
  <si>
    <t>José Wanderley de Araújo Pinho</t>
  </si>
  <si>
    <t>1890-03-19</t>
  </si>
  <si>
    <t>https://dadosabertos.camara.leg.br/api/v2/deputados/2661</t>
  </si>
  <si>
    <t>WASHINGTON PIRES</t>
  </si>
  <si>
    <t>Washington Ferreira Pires</t>
  </si>
  <si>
    <t>https://dadosabertos.camara.leg.br/api/v2/deputados/4677</t>
  </si>
  <si>
    <t>Antônio Xavier de Oliveira</t>
  </si>
  <si>
    <t>1892-10-09</t>
  </si>
  <si>
    <t>https://dadosabertos.camara.leg.br/api/v2/deputados/2481</t>
  </si>
  <si>
    <t>ABEL CHERMONT</t>
  </si>
  <si>
    <t>Abel Abreu Chermont</t>
  </si>
  <si>
    <t>1887-06-21</t>
  </si>
  <si>
    <t>https://dadosabertos.camara.leg.br/api/v2/deputados/2808</t>
  </si>
  <si>
    <t>ACIR MEDEIROS</t>
  </si>
  <si>
    <t>Acyr Medeiros</t>
  </si>
  <si>
    <t>https://dadosabertos.camara.leg.br/api/v2/deputados/130224</t>
  </si>
  <si>
    <t>ADOLFO BERGAMINI</t>
  </si>
  <si>
    <t>Adolpho Bergamini</t>
  </si>
  <si>
    <t>1886-10-11</t>
  </si>
  <si>
    <t>https://dadosabertos.camara.leg.br/api/v2/deputados/130225</t>
  </si>
  <si>
    <t>ADOLFO KONDER</t>
  </si>
  <si>
    <t>Adolpho Konder</t>
  </si>
  <si>
    <t>1884-02-16</t>
  </si>
  <si>
    <t>https://dadosabertos.camara.leg.br/api/v2/deputados/2723</t>
  </si>
  <si>
    <t>ADOLFO SOARES</t>
  </si>
  <si>
    <t>Adolpho Eugênio Soares Filho</t>
  </si>
  <si>
    <t>1874-09-06</t>
  </si>
  <si>
    <t>https://dadosabertos.camara.leg.br/api/v2/deputados/4596</t>
  </si>
  <si>
    <t>ALCÂNTARA MACHADO</t>
  </si>
  <si>
    <t>José de Alcantara Machado de Oliveira</t>
  </si>
  <si>
    <t>https://dadosabertos.camara.leg.br/api/v2/deputados/4545</t>
  </si>
  <si>
    <t>ALEIXO PARAGUASSU</t>
  </si>
  <si>
    <t>Aleixo Paraguassu</t>
  </si>
  <si>
    <t>1881-07-17</t>
  </si>
  <si>
    <t>https://dadosabertos.camara.leg.br/api/v2/deputados/4546</t>
  </si>
  <si>
    <t>ALEXANDRE SICILIANO</t>
  </si>
  <si>
    <t>Alexandre Siciliano Júnior</t>
  </si>
  <si>
    <t>1886-11-20</t>
  </si>
  <si>
    <t>https://dadosabertos.camara.leg.br/api/v2/deputados/2689</t>
  </si>
  <si>
    <t>ALFREDO DA MATA</t>
  </si>
  <si>
    <t>Alfredo Augusto da Matta</t>
  </si>
  <si>
    <t>1870-03-18</t>
  </si>
  <si>
    <t>https://dadosabertos.camara.leg.br/api/v2/deputados/4548</t>
  </si>
  <si>
    <t>ALFREDO PACHECO</t>
  </si>
  <si>
    <t>Alfredo Corrêa Pacheco</t>
  </si>
  <si>
    <t>1897-03-09</t>
  </si>
  <si>
    <t>https://dadosabertos.camara.leg.br/api/v2/deputados/4597</t>
  </si>
  <si>
    <t>ALMEIDA CAMARGO</t>
  </si>
  <si>
    <t>José de Almeida Camargo</t>
  </si>
  <si>
    <t>https://dadosabertos.camara.leg.br/api/v2/deputados/2693</t>
  </si>
  <si>
    <t>ALOYSIO FILHO</t>
  </si>
  <si>
    <t>Aloysio Lopes de Carvalho Filho</t>
  </si>
  <si>
    <t>https://dadosabertos.camara.leg.br/api/v2/deputados/130300</t>
  </si>
  <si>
    <t>ÁLVARO MAIA</t>
  </si>
  <si>
    <t>Álvaro Botelho Maia</t>
  </si>
  <si>
    <t>1893-02-19</t>
  </si>
  <si>
    <t>https://dadosabertos.camara.leg.br/api/v2/deputados/130226</t>
  </si>
  <si>
    <t>ALVARO SOARES VENTURA</t>
  </si>
  <si>
    <t>Alvaro Soares Ventura</t>
  </si>
  <si>
    <t>1893-09-20</t>
  </si>
  <si>
    <t>https://dadosabertos.camara.leg.br/api/v2/deputados/2791</t>
  </si>
  <si>
    <t>ANTONIO COVELLO</t>
  </si>
  <si>
    <t>Antonio Augusto Covello</t>
  </si>
  <si>
    <t>1886-12-20</t>
  </si>
  <si>
    <t>https://dadosabertos.camara.leg.br/api/v2/deputados/4557</t>
  </si>
  <si>
    <t>Antônio Jorge Machado Lima</t>
  </si>
  <si>
    <t>1886-10-26</t>
  </si>
  <si>
    <t>https://dadosabertos.camara.leg.br/api/v2/deputados/2809</t>
  </si>
  <si>
    <t>ANTONIO PENNAFORT</t>
  </si>
  <si>
    <t>Antonio Pennafort de Souza</t>
  </si>
  <si>
    <t>https://dadosabertos.camara.leg.br/api/v2/deputados/4559</t>
  </si>
  <si>
    <t>ANTONIO RODRIGUES</t>
  </si>
  <si>
    <t>Antonio Rodrigues de Souza</t>
  </si>
  <si>
    <t>https://dadosabertos.camara.leg.br/api/v2/deputados/4561</t>
  </si>
  <si>
    <t>ARGEMIRO DORNELES</t>
  </si>
  <si>
    <t>Argemiro Dornelles</t>
  </si>
  <si>
    <t>1887-01-03</t>
  </si>
  <si>
    <t>https://dadosabertos.camara.leg.br/api/v2/deputados/130229</t>
  </si>
  <si>
    <t>ARISTOTELES RIBEIRO DE MELO</t>
  </si>
  <si>
    <t>https://dadosabertos.camara.leg.br/api/v2/deputados/130230</t>
  </si>
  <si>
    <t>ARMANDO LAYDNER</t>
  </si>
  <si>
    <t>Armando Avellanar Laydner</t>
  </si>
  <si>
    <t>https://dadosabertos.camara.leg.br/api/v2/deputados/4589</t>
  </si>
  <si>
    <t>ARRUDA FALCÃO</t>
  </si>
  <si>
    <t>Joaquim de Arruda Falcão</t>
  </si>
  <si>
    <t>1881-07-27</t>
  </si>
  <si>
    <t>https://dadosabertos.camara.leg.br/api/v2/deputados/4590</t>
  </si>
  <si>
    <t>ASSIS BRASIL</t>
  </si>
  <si>
    <t>Joaquim Francisco de Assis Brasil</t>
  </si>
  <si>
    <t>1857-07-29</t>
  </si>
  <si>
    <t>São Gabriel</t>
  </si>
  <si>
    <t>https://dadosabertos.camara.leg.br/api/v2/deputados/2762</t>
  </si>
  <si>
    <t>AUGUSTO CAVALCANTI</t>
  </si>
  <si>
    <t>Augusto Cavalcanti de Albuquerque</t>
  </si>
  <si>
    <t>1878-09-21</t>
  </si>
  <si>
    <t>https://dadosabertos.camara.leg.br/api/v2/deputados/2347</t>
  </si>
  <si>
    <t>AUGUSTO DE LIMA</t>
  </si>
  <si>
    <t>Antonio Augusto de Lima</t>
  </si>
  <si>
    <t>1859-04-05</t>
  </si>
  <si>
    <t>https://dadosabertos.camara.leg.br/api/v2/deputados/4564</t>
  </si>
  <si>
    <t>AUGUSTO LEITE</t>
  </si>
  <si>
    <t>Augusto César Leite</t>
  </si>
  <si>
    <t>1886-07-30</t>
  </si>
  <si>
    <t>https://dadosabertos.camara.leg.br/api/v2/deputados/2763</t>
  </si>
  <si>
    <t>BARRETO CAMPELO</t>
  </si>
  <si>
    <t>Francisco Barreto Rodrigues Campello</t>
  </si>
  <si>
    <t>1888-01-03</t>
  </si>
  <si>
    <t>https://dadosabertos.camara.leg.br/api/v2/deputados/130227</t>
  </si>
  <si>
    <t>BUARQUE NAZARETH</t>
  </si>
  <si>
    <t>Antônio Barbosa Buarque de Nazareth</t>
  </si>
  <si>
    <t>1890-09-13</t>
  </si>
  <si>
    <t>https://dadosabertos.camara.leg.br/api/v2/deputados/4630</t>
  </si>
  <si>
    <t>CAMPOS DO AMARAL</t>
  </si>
  <si>
    <t>Octavio Campos do Amaral</t>
  </si>
  <si>
    <t>1885-11-07</t>
  </si>
  <si>
    <t>Virginópolis</t>
  </si>
  <si>
    <t>https://dadosabertos.camara.leg.br/api/v2/deputados/2784</t>
  </si>
  <si>
    <t>Oswaldo Luiz Cardoso de Mello</t>
  </si>
  <si>
    <t>1897-03-12</t>
  </si>
  <si>
    <t>https://dadosabertos.camara.leg.br/api/v2/deputados/4566</t>
  </si>
  <si>
    <t>CARLOS MAXIMILIANO</t>
  </si>
  <si>
    <t>Carlos Maximiliano Pereira dos Santos</t>
  </si>
  <si>
    <t>1873-04-24</t>
  </si>
  <si>
    <t>São Jerônimo</t>
  </si>
  <si>
    <t>https://dadosabertos.camara.leg.br/api/v2/deputados/130234</t>
  </si>
  <si>
    <t>COSTA FERNANDES</t>
  </si>
  <si>
    <t>Francisco da Costa Fernandes</t>
  </si>
  <si>
    <t>1879-03-17</t>
  </si>
  <si>
    <t>https://dadosabertos.camara.leg.br/api/v2/deputados/4819</t>
  </si>
  <si>
    <t>COSTA MEIRA</t>
  </si>
  <si>
    <t>ORLANDO COSTA MEIRA</t>
  </si>
  <si>
    <t>https://dadosabertos.camara.leg.br/api/v2/deputados/130231</t>
  </si>
  <si>
    <t>CRESCENCIO GUIMARAES LACERDA</t>
  </si>
  <si>
    <t>https://dadosabertos.camara.leg.br/api/v2/deputados/2785</t>
  </si>
  <si>
    <t>CRISTOVÃO BARCELOS</t>
  </si>
  <si>
    <t>Christovão de Castro Bascellos</t>
  </si>
  <si>
    <t>1883-07-25</t>
  </si>
  <si>
    <t>https://dadosabertos.camara.leg.br/api/v2/deputados/4609</t>
  </si>
  <si>
    <t>CUNHA MELLO</t>
  </si>
  <si>
    <t>Leopoldo Tavares da Cunha Mello</t>
  </si>
  <si>
    <t>1891-12-10</t>
  </si>
  <si>
    <t>https://dadosabertos.camara.leg.br/api/v2/deputados/2821</t>
  </si>
  <si>
    <t>DAVID MEINICKE</t>
  </si>
  <si>
    <t>David Carlos Meinicke</t>
  </si>
  <si>
    <t>1885-09-25</t>
  </si>
  <si>
    <t>https://dadosabertos.camara.leg.br/api/v2/deputados/2811</t>
  </si>
  <si>
    <t>EUGÊNIO MONTEIRO DE BARROS</t>
  </si>
  <si>
    <t>Eugênio Augusto de Miranda Monteiro de Barros</t>
  </si>
  <si>
    <t>1893-11-22</t>
  </si>
  <si>
    <t>https://dadosabertos.camara.leg.br/api/v2/deputados/130232</t>
  </si>
  <si>
    <t>EWALD POSSOLO</t>
  </si>
  <si>
    <t>Ewald da Silva Possolo</t>
  </si>
  <si>
    <t>1898-10-15</t>
  </si>
  <si>
    <t>Inhaúma</t>
  </si>
  <si>
    <t>https://dadosabertos.camara.leg.br/api/v2/deputados/4572</t>
  </si>
  <si>
    <t>FERNANDO DE ABREU</t>
  </si>
  <si>
    <t>Fernando de Abreu</t>
  </si>
  <si>
    <t>1884-12-05</t>
  </si>
  <si>
    <t>https://dadosabertos.camara.leg.br/api/v2/deputados/2812</t>
  </si>
  <si>
    <t>FERREIRA NETO</t>
  </si>
  <si>
    <t>Antonio Ferreira Netto</t>
  </si>
  <si>
    <t>1881-04-20</t>
  </si>
  <si>
    <t>https://dadosabertos.camara.leg.br/api/v2/deputados/130233</t>
  </si>
  <si>
    <t>FLORINDO PEREIRA DA SILVA</t>
  </si>
  <si>
    <t>https://dadosabertos.camara.leg.br/api/v2/deputados/130235</t>
  </si>
  <si>
    <t>FRANCISCO MARCONDES</t>
  </si>
  <si>
    <t>Francisco Marcondes Machado Junior</t>
  </si>
  <si>
    <t>1877-06-25</t>
  </si>
  <si>
    <t>https://dadosabertos.camara.leg.br/api/v2/deputados/2728</t>
  </si>
  <si>
    <t>FRANCISCO VILANOVA</t>
  </si>
  <si>
    <t>Francisco Villanova</t>
  </si>
  <si>
    <t>1891-12-16</t>
  </si>
  <si>
    <t>https://dadosabertos.camara.leg.br/api/v2/deputados/2779</t>
  </si>
  <si>
    <t>GASPAR SALDANHA</t>
  </si>
  <si>
    <t>Gaspar Sant'Anna Saldanha</t>
  </si>
  <si>
    <t>1888-03-14</t>
  </si>
  <si>
    <t>Livramento</t>
  </si>
  <si>
    <t>https://dadosabertos.camara.leg.br/api/v2/deputados/2813</t>
  </si>
  <si>
    <t>GILBERT GABEIRA</t>
  </si>
  <si>
    <t>Gilbert Gabeira</t>
  </si>
  <si>
    <t>https://dadosabertos.camara.leg.br/api/v2/deputados/2718</t>
  </si>
  <si>
    <t>GODOFREDO MENEZES</t>
  </si>
  <si>
    <t>Godofredo Costa Menezes</t>
  </si>
  <si>
    <t>1890-06-10</t>
  </si>
  <si>
    <t>Mar de Espanha</t>
  </si>
  <si>
    <t>https://dadosabertos.camara.leg.br/api/v2/deputados/2684</t>
  </si>
  <si>
    <t>GÓES MONTEIRO</t>
  </si>
  <si>
    <t>Manoel Cesar de Góes Monteiro</t>
  </si>
  <si>
    <t>1891-06-22</t>
  </si>
  <si>
    <t>https://dadosabertos.camara.leg.br/api/v2/deputados/4847</t>
  </si>
  <si>
    <t>GOMES PINTO</t>
  </si>
  <si>
    <t>Thomaz Gomes Pinto</t>
  </si>
  <si>
    <t>https://dadosabertos.camara.leg.br/api/v2/deputados/4551</t>
  </si>
  <si>
    <t>GUEDES NOGUEIRA</t>
  </si>
  <si>
    <t>Álvaro Guedes Nogueira</t>
  </si>
  <si>
    <t>1898-05-09</t>
  </si>
  <si>
    <t>https://dadosabertos.camara.leg.br/api/v2/deputados/2814</t>
  </si>
  <si>
    <t>GUILHERME PLASTER</t>
  </si>
  <si>
    <t>Guilherme Plaster</t>
  </si>
  <si>
    <t>1887-03-22</t>
  </si>
  <si>
    <t>https://dadosabertos.camara.leg.br/api/v2/deputados/2786</t>
  </si>
  <si>
    <t>GWYER DE AZEVEDO</t>
  </si>
  <si>
    <t>Asdrubal Gwyer de Azevedo</t>
  </si>
  <si>
    <t>1897-12-22</t>
  </si>
  <si>
    <t>https://dadosabertos.camara.leg.br/api/v2/deputados/2794</t>
  </si>
  <si>
    <t>HENRIQUE BAYMA</t>
  </si>
  <si>
    <t>Henrique Schimith Bayma</t>
  </si>
  <si>
    <t>1891-12-20</t>
  </si>
  <si>
    <t>https://dadosabertos.camara.leg.br/api/v2/deputados/4583</t>
  </si>
  <si>
    <t>IDÁLIO SARDEMBERG</t>
  </si>
  <si>
    <t>Idálio Sardemberg</t>
  </si>
  <si>
    <t>https://dadosabertos.camara.leg.br/api/v2/deputados/2753</t>
  </si>
  <si>
    <t>IRINEU JOFFILY</t>
  </si>
  <si>
    <t>Irineu Joffily</t>
  </si>
  <si>
    <t>1886-09-14</t>
  </si>
  <si>
    <t>https://dadosabertos.camara.leg.br/api/v2/deputados/4585</t>
  </si>
  <si>
    <t>João Alberto Lins de Barros</t>
  </si>
  <si>
    <t>1897-07-16</t>
  </si>
  <si>
    <t>https://dadosabertos.camara.leg.br/api/v2/deputados/4853</t>
  </si>
  <si>
    <t>João José Alves</t>
  </si>
  <si>
    <t>1872-08-12</t>
  </si>
  <si>
    <t>https://dadosabertos.camara.leg.br/api/v2/deputados/2823</t>
  </si>
  <si>
    <t>JOÃO PINHEIRO</t>
  </si>
  <si>
    <t>João Pinheiro da Silva Filho</t>
  </si>
  <si>
    <t>https://dadosabertos.camara.leg.br/api/v2/deputados/2679</t>
  </si>
  <si>
    <t>João Domingues Sampaio</t>
  </si>
  <si>
    <t>1877-07-26</t>
  </si>
  <si>
    <t>https://dadosabertos.camara.leg.br/api/v2/deputados/130349</t>
  </si>
  <si>
    <t>JOÃO VILLAS BOAS</t>
  </si>
  <si>
    <t>João Villas Boas</t>
  </si>
  <si>
    <t>1891-04-21</t>
  </si>
  <si>
    <t>https://dadosabertos.camara.leg.br/api/v2/deputados/4587</t>
  </si>
  <si>
    <t>JOÃO VITACA</t>
  </si>
  <si>
    <t>João Miguel Vitáca</t>
  </si>
  <si>
    <t>https://dadosabertos.camara.leg.br/api/v2/deputados/2747</t>
  </si>
  <si>
    <t>JOAQUIM MAGALHÃES</t>
  </si>
  <si>
    <t>Joaquim Pimenta de Magalhães</t>
  </si>
  <si>
    <t>1885-12-25</t>
  </si>
  <si>
    <t>https://dadosabertos.camara.leg.br/api/v2/deputados/4594</t>
  </si>
  <si>
    <t>JONES ROCHA</t>
  </si>
  <si>
    <t>João Jones Gonçalves da Rocha</t>
  </si>
  <si>
    <t>1898-01-07</t>
  </si>
  <si>
    <t>https://dadosabertos.camara.leg.br/api/v2/deputados/4593</t>
  </si>
  <si>
    <t>JORGE AMERICANO</t>
  </si>
  <si>
    <t>Jorge Americano</t>
  </si>
  <si>
    <t>1891-08-25</t>
  </si>
  <si>
    <t>https://dadosabertos.camara.leg.br/api/v2/deputados/4598</t>
  </si>
  <si>
    <t>JOSÉ CARLOS</t>
  </si>
  <si>
    <t>José Carlos de Macedo Soares</t>
  </si>
  <si>
    <t>1883-10-06</t>
  </si>
  <si>
    <t>https://dadosabertos.camara.leg.br/api/v2/deputados/4599</t>
  </si>
  <si>
    <t>JOSÉ CRISTIANO DO PRADO</t>
  </si>
  <si>
    <t>José Cristiano do Prado</t>
  </si>
  <si>
    <t>1874-03-29</t>
  </si>
  <si>
    <t>Paraguaçu</t>
  </si>
  <si>
    <t>https://dadosabertos.camara.leg.br/api/v2/deputados/2765</t>
  </si>
  <si>
    <t>JOSÉ DE SÁ</t>
  </si>
  <si>
    <t>José de Sá Bezerra Cavalcanti</t>
  </si>
  <si>
    <t>1892-09-29</t>
  </si>
  <si>
    <t>https://dadosabertos.camara.leg.br/api/v2/deputados/4600</t>
  </si>
  <si>
    <t>JOSÉ HONORATO</t>
  </si>
  <si>
    <t>José Honorato da Silva e Souza</t>
  </si>
  <si>
    <t>1898-05-02</t>
  </si>
  <si>
    <t>https://dadosabertos.camara.leg.br/api/v2/deputados/4606</t>
  </si>
  <si>
    <t>KERGINALDO CAVALCANTI</t>
  </si>
  <si>
    <t>Kerginaldo Cavalcanti de Albuquerque</t>
  </si>
  <si>
    <t>1895-01-11</t>
  </si>
  <si>
    <t>https://dadosabertos.camara.leg.br/api/v2/deputados/4615</t>
  </si>
  <si>
    <t>LACERDA PINTO</t>
  </si>
  <si>
    <t>Manuel Lacerda Pinto</t>
  </si>
  <si>
    <t>1893-12-04</t>
  </si>
  <si>
    <t>https://dadosabertos.camara.leg.br/api/v2/deputados/2798</t>
  </si>
  <si>
    <t>Frederico Virmond Lacerda Werneck</t>
  </si>
  <si>
    <t>1891-11-10</t>
  </si>
  <si>
    <t>https://dadosabertos.camara.leg.br/api/v2/deputados/4607</t>
  </si>
  <si>
    <t>LAURO SANTOS</t>
  </si>
  <si>
    <t>Lauro Faria Santos</t>
  </si>
  <si>
    <t>https://dadosabertos.camara.leg.br/api/v2/deputados/2748</t>
  </si>
  <si>
    <t>LEANDRO PINHEIRO</t>
  </si>
  <si>
    <t>Leandro do Nascimento Pinheiro</t>
  </si>
  <si>
    <t>1893-05-23</t>
  </si>
  <si>
    <t>Siqueira Campos</t>
  </si>
  <si>
    <t>https://dadosabertos.camara.leg.br/api/v2/deputados/2710</t>
  </si>
  <si>
    <t>LEITÃO DA CUNHA</t>
  </si>
  <si>
    <t>Raul Leitão da Cunha</t>
  </si>
  <si>
    <t>1881-01-02</t>
  </si>
  <si>
    <t>https://dadosabertos.camara.leg.br/api/v2/deputados/4611</t>
  </si>
  <si>
    <t>LICURGO LEITE</t>
  </si>
  <si>
    <t>Licurgo Leite</t>
  </si>
  <si>
    <t>https://dadosabertos.camara.leg.br/api/v2/deputados/4613</t>
  </si>
  <si>
    <t>LUIZ CEDRO</t>
  </si>
  <si>
    <t>Luiz Cedro Carneiro Leão</t>
  </si>
  <si>
    <t>1885-10-05</t>
  </si>
  <si>
    <t>https://dadosabertos.camara.leg.br/api/v2/deputados/130237</t>
  </si>
  <si>
    <t>MACEDO SOARES</t>
  </si>
  <si>
    <t>José Eduardo de Macedo Soares</t>
  </si>
  <si>
    <t>1882-09-04</t>
  </si>
  <si>
    <t>https://dadosabertos.camara.leg.br/api/v2/deputados/2380</t>
  </si>
  <si>
    <t>MANUEL REIS</t>
  </si>
  <si>
    <t>Manoel Reis</t>
  </si>
  <si>
    <t>1876-12-24</t>
  </si>
  <si>
    <t>https://dadosabertos.camara.leg.br/api/v2/deputados/2721</t>
  </si>
  <si>
    <t>MÁRIO CAIADO</t>
  </si>
  <si>
    <t>Mário de Alencastro Caiado</t>
  </si>
  <si>
    <t>1876-12-16</t>
  </si>
  <si>
    <t>https://dadosabertos.camara.leg.br/api/v2/deputados/4621</t>
  </si>
  <si>
    <t>MÁRIO MANHÃES</t>
  </si>
  <si>
    <t>Mario Bastos Manhães</t>
  </si>
  <si>
    <t>https://dadosabertos.camara.leg.br/api/v2/deputados/4620</t>
  </si>
  <si>
    <t>MÁRIO RAMOS</t>
  </si>
  <si>
    <t>Mário de Andrade Ramos</t>
  </si>
  <si>
    <t>1879-05-28</t>
  </si>
  <si>
    <t>https://dadosabertos.camara.leg.br/api/v2/deputados/2799</t>
  </si>
  <si>
    <t>MARIO WHATELY</t>
  </si>
  <si>
    <t>Mario Thomaz Whately</t>
  </si>
  <si>
    <t>1885-04-16</t>
  </si>
  <si>
    <t>https://dadosabertos.camara.leg.br/api/v2/deputados/4586</t>
  </si>
  <si>
    <t>MARQUES DOS REIS</t>
  </si>
  <si>
    <t>João Marques dos Reis</t>
  </si>
  <si>
    <t>1890-06-23</t>
  </si>
  <si>
    <t>https://dadosabertos.camara.leg.br/api/v2/deputados/4591</t>
  </si>
  <si>
    <t>MAURÍCIO CARDOSO</t>
  </si>
  <si>
    <t>Joaquim Maurício Cardoso</t>
  </si>
  <si>
    <t>1888-08-09</t>
  </si>
  <si>
    <t>https://dadosabertos.camara.leg.br/api/v2/deputados/4623</t>
  </si>
  <si>
    <t>MÁXIMO MARTINS FERREIRA SOBRINHO</t>
  </si>
  <si>
    <t>Máximo Martins Ferreira Sobrinho</t>
  </si>
  <si>
    <t>1886-04-28</t>
  </si>
  <si>
    <t>https://dadosabertos.camara.leg.br/api/v2/deputados/2702</t>
  </si>
  <si>
    <t>MEDEIROS NETTO</t>
  </si>
  <si>
    <t>Antônio Garcia de Medeiros Netto</t>
  </si>
  <si>
    <t>1887-08-14</t>
  </si>
  <si>
    <t>https://dadosabertos.camara.leg.br/api/v2/deputados/2712</t>
  </si>
  <si>
    <t>Miguel de Oliveira Couto</t>
  </si>
  <si>
    <t>1865-05-01</t>
  </si>
  <si>
    <t>https://dadosabertos.camara.leg.br/api/v2/deputados/4625</t>
  </si>
  <si>
    <t>MILTON DE CARVALHO</t>
  </si>
  <si>
    <t>Milton de Souza Carvalho</t>
  </si>
  <si>
    <t>1885-08-30</t>
  </si>
  <si>
    <t>Ipu</t>
  </si>
  <si>
    <t>https://dadosabertos.camara.leg.br/api/v2/deputados/4570</t>
  </si>
  <si>
    <t>MINUANO DE MOURA</t>
  </si>
  <si>
    <t>Euclydes Minuano Freitas de Moura</t>
  </si>
  <si>
    <t>1893-01-26</t>
  </si>
  <si>
    <t>https://dadosabertos.camara.leg.br/api/v2/deputados/4612</t>
  </si>
  <si>
    <t>MORAIS LEME</t>
  </si>
  <si>
    <t>Lino de Moraes Leme</t>
  </si>
  <si>
    <t>1888-12-17</t>
  </si>
  <si>
    <t>https://dadosabertos.camara.leg.br/api/v2/deputados/4626</t>
  </si>
  <si>
    <t>MOZART LAGO</t>
  </si>
  <si>
    <t>Mozart Brasileiro Pereira do Lago</t>
  </si>
  <si>
    <t>1889-10-17</t>
  </si>
  <si>
    <t>https://dadosabertos.camara.leg.br/api/v2/deputados/4627</t>
  </si>
  <si>
    <t>NELSON XAVIER</t>
  </si>
  <si>
    <t>Nelson Xavier</t>
  </si>
  <si>
    <t>https://dadosabertos.camara.leg.br/api/v2/deputados/2722</t>
  </si>
  <si>
    <t>NERO DE MACEDO</t>
  </si>
  <si>
    <t>Nero de Macedo Carvalho</t>
  </si>
  <si>
    <t>https://dadosabertos.camara.leg.br/api/v2/deputados/177636</t>
  </si>
  <si>
    <t>NEWTON PIRES</t>
  </si>
  <si>
    <t>Newton Ferreira Pires</t>
  </si>
  <si>
    <t>1881-03-18</t>
  </si>
  <si>
    <t>https://dadosabertos.camara.leg.br/api/v2/deputados/2826</t>
  </si>
  <si>
    <t>OLIVEIRA CASTRO</t>
  </si>
  <si>
    <t>José Mendes de Oliveira Castro</t>
  </si>
  <si>
    <t>https://dadosabertos.camara.leg.br/api/v2/deputados/4574</t>
  </si>
  <si>
    <t>OLIVEIRA PASSOS</t>
  </si>
  <si>
    <t>Francisco de Oliveira Passos</t>
  </si>
  <si>
    <t>1878-07-02</t>
  </si>
  <si>
    <t>https://dadosabertos.camara.leg.br/api/v2/deputados/4632</t>
  </si>
  <si>
    <t>OSCAR WEINSCHENCK</t>
  </si>
  <si>
    <t>Oscar Weinschenck</t>
  </si>
  <si>
    <t>1880-07-14</t>
  </si>
  <si>
    <t>https://dadosabertos.camara.leg.br/api/v2/deputados/4554</t>
  </si>
  <si>
    <t>PACHECO E SILVA</t>
  </si>
  <si>
    <t>Antonio Carlos Pacheco e Silva</t>
  </si>
  <si>
    <t>1898-05-29</t>
  </si>
  <si>
    <t>https://dadosabertos.camara.leg.br/api/v2/deputados/4205</t>
  </si>
  <si>
    <t>PANDIÁ CALÓGERAS</t>
  </si>
  <si>
    <t>João Pandiá Calógeras</t>
  </si>
  <si>
    <t>1870-06-19</t>
  </si>
  <si>
    <t>https://dadosabertos.camara.leg.br/api/v2/deputados/4616</t>
  </si>
  <si>
    <t>PAULO FILHO</t>
  </si>
  <si>
    <t>Manoel Paulo Telles de Mattos Filho</t>
  </si>
  <si>
    <t>1890-03-22</t>
  </si>
  <si>
    <t>https://dadosabertos.camara.leg.br/api/v2/deputados/2836</t>
  </si>
  <si>
    <t>PINHEIRO LIMA</t>
  </si>
  <si>
    <t>Ranulpho Pinheiro Lima</t>
  </si>
  <si>
    <t>1884-02-08</t>
  </si>
  <si>
    <t>Itatiba</t>
  </si>
  <si>
    <t>https://dadosabertos.camara.leg.br/api/v2/deputados/4634</t>
  </si>
  <si>
    <t>PLINIO CORREIA DE OLIVEIRA</t>
  </si>
  <si>
    <t>Plinio Corrêa de Oliveira</t>
  </si>
  <si>
    <t>https://dadosabertos.camara.leg.br/api/v2/deputados/4595</t>
  </si>
  <si>
    <t>João Jorge de Pontes Vieira</t>
  </si>
  <si>
    <t>1894-06-14</t>
  </si>
  <si>
    <t>https://dadosabertos.camara.leg.br/api/v2/deputados/130239</t>
  </si>
  <si>
    <t>RAUL SÁ</t>
  </si>
  <si>
    <t>Raul de Noronha Sá</t>
  </si>
  <si>
    <t>1879-12-22</t>
  </si>
  <si>
    <t>https://dadosabertos.camara.leg.br/api/v2/deputados/4602</t>
  </si>
  <si>
    <t>RIBEIRO JUNQUEIRA</t>
  </si>
  <si>
    <t>José Monteiro Ribeiro Junqueira</t>
  </si>
  <si>
    <t>1871-08-27</t>
  </si>
  <si>
    <t>https://dadosabertos.camara.leg.br/api/v2/deputados/4567</t>
  </si>
  <si>
    <t>ROCHA FARIA</t>
  </si>
  <si>
    <t>Carlos Telles da Rocha Faria</t>
  </si>
  <si>
    <t>1883-10-13</t>
  </si>
  <si>
    <t>https://dadosabertos.camara.leg.br/api/v2/deputados/2802</t>
  </si>
  <si>
    <t>RODRIGUES ALVES</t>
  </si>
  <si>
    <t>Oscar Rodrigues Alves</t>
  </si>
  <si>
    <t>1884-11-16</t>
  </si>
  <si>
    <t>https://dadosabertos.camara.leg.br/api/v2/deputados/4603</t>
  </si>
  <si>
    <t>RODRIGUES DÓRIA</t>
  </si>
  <si>
    <t>José Rodrigues da Costa Dória</t>
  </si>
  <si>
    <t>1859-06-25</t>
  </si>
  <si>
    <t>https://dadosabertos.camara.leg.br/api/v2/deputados/2726</t>
  </si>
  <si>
    <t>RODRIGUES MOREIRA</t>
  </si>
  <si>
    <t>Trayahu Rodrigues Moreira</t>
  </si>
  <si>
    <t>1893-11-30</t>
  </si>
  <si>
    <t>https://dadosabertos.camara.leg.br/api/v2/deputados/2715</t>
  </si>
  <si>
    <t>RUY SANTIAGO</t>
  </si>
  <si>
    <t>Ruy Santiago</t>
  </si>
  <si>
    <t>1898-05-05</t>
  </si>
  <si>
    <t>Itaquara</t>
  </si>
  <si>
    <t>https://dadosabertos.camara.leg.br/api/v2/deputados/130238</t>
  </si>
  <si>
    <t>Raphael de Abreu Sampaio Vidal</t>
  </si>
  <si>
    <t>1870-07-14</t>
  </si>
  <si>
    <t>https://dadosabertos.camara.leg.br/api/v2/deputados/2817</t>
  </si>
  <si>
    <t>SEBASTIÃO DE OLIVEIRA</t>
  </si>
  <si>
    <t>Sebastião Luiz de Oliveira</t>
  </si>
  <si>
    <t>1896-11-02</t>
  </si>
  <si>
    <t>https://dadosabertos.camara.leg.br/api/v2/deputados/4565</t>
  </si>
  <si>
    <t>SIMÕES LOPES</t>
  </si>
  <si>
    <t>Augusto Simões Lopes</t>
  </si>
  <si>
    <t>1880-07-15</t>
  </si>
  <si>
    <t>https://dadosabertos.camara.leg.br/api/v2/deputados/130236</t>
  </si>
  <si>
    <t>SOLANO DA CUNHA</t>
  </si>
  <si>
    <t>Francisco Solano Carneiro da Cunha</t>
  </si>
  <si>
    <t>1887-03-17</t>
  </si>
  <si>
    <t>https://dadosabertos.camara.leg.br/api/v2/deputados/2669</t>
  </si>
  <si>
    <t>SOUTO FILHO</t>
  </si>
  <si>
    <t>Antônio da Silva Souto Filho</t>
  </si>
  <si>
    <t>1886-08-29</t>
  </si>
  <si>
    <t>https://dadosabertos.camara.leg.br/api/v2/deputados/4640</t>
  </si>
  <si>
    <t>THIERS PERISSÉ</t>
  </si>
  <si>
    <t>Júlio Thiers Perissé</t>
  </si>
  <si>
    <t>1880-03-18</t>
  </si>
  <si>
    <t>https://dadosabertos.camara.leg.br/api/v2/deputados/2766</t>
  </si>
  <si>
    <t>THOMAZ LOBO</t>
  </si>
  <si>
    <t>Thomaz de Oliveira Lobo</t>
  </si>
  <si>
    <t>1888-08-01</t>
  </si>
  <si>
    <t>https://dadosabertos.camara.leg.br/api/v2/deputados/2797</t>
  </si>
  <si>
    <t>ULPIANO DE SOUZA</t>
  </si>
  <si>
    <t>José Ulpiano Pinto de Souza</t>
  </si>
  <si>
    <t>1869-09-18</t>
  </si>
  <si>
    <t>https://dadosabertos.camara.leg.br/api/v2/deputados/130240</t>
  </si>
  <si>
    <t>VALDOMIRO MAGALHÃES</t>
  </si>
  <si>
    <t>Waldomiro de Barros Magalhães</t>
  </si>
  <si>
    <t>1883-04-19</t>
  </si>
  <si>
    <t>https://dadosabertos.camara.leg.br/api/v2/deputados/4643</t>
  </si>
  <si>
    <t>VASCO TOLEDO</t>
  </si>
  <si>
    <t>Vasco Carvalho de Toledo</t>
  </si>
  <si>
    <t>https://dadosabertos.camara.leg.br/api/v2/deputados/4637</t>
  </si>
  <si>
    <t>VEIGA CABRAL</t>
  </si>
  <si>
    <t>Rodrigo da Veiga Cabral</t>
  </si>
  <si>
    <t>https://dadosabertos.camara.leg.br/api/v2/deputados/2756</t>
  </si>
  <si>
    <t>VELOZO BORGES</t>
  </si>
  <si>
    <t>Manoel Velozo Borges</t>
  </si>
  <si>
    <t>1885-04-11</t>
  </si>
  <si>
    <t>https://dadosabertos.camara.leg.br/api/v2/deputados/4644</t>
  </si>
  <si>
    <t>WALDEMAR MOTA</t>
  </si>
  <si>
    <t>Waldemar de Araújo Motta</t>
  </si>
  <si>
    <t>1894-11-11</t>
  </si>
  <si>
    <t>https://dadosabertos.camara.leg.br/api/v2/deputados/2819</t>
  </si>
  <si>
    <t>WALDEMAR REYKDALL</t>
  </si>
  <si>
    <t>Waldemar Reykdall</t>
  </si>
  <si>
    <t>1890-09-22</t>
  </si>
  <si>
    <t>https://dadosabertos.camara.leg.br/api/v2/deputados/4646</t>
  </si>
  <si>
    <t>WALTER GOSLING</t>
  </si>
  <si>
    <t>Walter James Gosling</t>
  </si>
  <si>
    <t>1897-12-26</t>
  </si>
  <si>
    <t>https://dadosabertos.camara.leg.br/api/v2/deputados/2805</t>
  </si>
  <si>
    <t>ZOROASTRO GOUVEIA</t>
  </si>
  <si>
    <t>Zoroastro Gouveia</t>
  </si>
  <si>
    <t>1890-05-16</t>
  </si>
  <si>
    <t>https://dadosabertos.camara.leg.br/api/v2/deputados/2291</t>
  </si>
  <si>
    <t>AARÃO REIS</t>
  </si>
  <si>
    <t>Aarão Reis</t>
  </si>
  <si>
    <t>1853-05-06</t>
  </si>
  <si>
    <t>https://dadosabertos.camara.leg.br/api/v2/deputados/2597</t>
  </si>
  <si>
    <t>ABNER MOURÃO</t>
  </si>
  <si>
    <t>Abner Carlos Mourão</t>
  </si>
  <si>
    <t>1890-08-20</t>
  </si>
  <si>
    <t>https://dadosabertos.camara.leg.br/api/v2/deputados/2662</t>
  </si>
  <si>
    <t>ACÁCIO DE FIGUEIREDO</t>
  </si>
  <si>
    <t>Acácio de Figueiredo</t>
  </si>
  <si>
    <t>https://dadosabertos.camara.leg.br/api/v2/deputados/4441</t>
  </si>
  <si>
    <t>ADALBERTO PEDREIRA</t>
  </si>
  <si>
    <t>Adalberto Pedreira</t>
  </si>
  <si>
    <t>https://dadosabertos.camara.leg.br/api/v2/deputados/2577</t>
  </si>
  <si>
    <t>ADRIANO GORDILHO</t>
  </si>
  <si>
    <t>Adriano dos Reis Gordilho</t>
  </si>
  <si>
    <t>1865-04-19</t>
  </si>
  <si>
    <t>https://dadosabertos.camara.leg.br/api/v2/deputados/130208</t>
  </si>
  <si>
    <t>AFRÂNIO PEIXOTO</t>
  </si>
  <si>
    <t>Julio Afranio Peixoto</t>
  </si>
  <si>
    <t>1876-12-17</t>
  </si>
  <si>
    <t>https://dadosabertos.camara.leg.br/api/v2/deputados/4443</t>
  </si>
  <si>
    <t>AGENOR ALVES</t>
  </si>
  <si>
    <t>Agenor Ludgero Alves</t>
  </si>
  <si>
    <t>1891-09-26</t>
  </si>
  <si>
    <t>Paula Cândido</t>
  </si>
  <si>
    <t>https://dadosabertos.camara.leg.br/api/v2/deputados/2649</t>
  </si>
  <si>
    <t>AGENOR DE SENA</t>
  </si>
  <si>
    <t>Agenor de Senna</t>
  </si>
  <si>
    <t>1886-03-27</t>
  </si>
  <si>
    <t>https://dadosabertos.camara.leg.br/api/v2/deputados/4445</t>
  </si>
  <si>
    <t>AGRIPINO AZEVEDO</t>
  </si>
  <si>
    <t>Agrippino Azevedo</t>
  </si>
  <si>
    <t>1864-03-16</t>
  </si>
  <si>
    <t>https://dadosabertos.camara.leg.br/api/v2/deputados/2342</t>
  </si>
  <si>
    <t>AIRES DA SILVA</t>
  </si>
  <si>
    <t>Francisco Ayres da Silva</t>
  </si>
  <si>
    <t>1872-09-11</t>
  </si>
  <si>
    <t>https://dadosabertos.camara.leg.br/api/v2/deputados/4446</t>
  </si>
  <si>
    <t>ALAOR PRATA</t>
  </si>
  <si>
    <t>Alaor Prata Soares</t>
  </si>
  <si>
    <t>1882-06-17</t>
  </si>
  <si>
    <t>https://dadosabertos.camara.leg.br/api/v2/deputados/2260</t>
  </si>
  <si>
    <t>ALFREDO RUI</t>
  </si>
  <si>
    <t>Alfredo Ruy Barbosa</t>
  </si>
  <si>
    <t>1879-06-10</t>
  </si>
  <si>
    <t>https://dadosabertos.camara.leg.br/api/v2/deputados/2250</t>
  </si>
  <si>
    <t>ÁLVARO CARVALHO</t>
  </si>
  <si>
    <t>Alvaro Augusto da Costa Carvalho</t>
  </si>
  <si>
    <t>1865-09-23</t>
  </si>
  <si>
    <t>https://dadosabertos.camara.leg.br/api/v2/deputados/2398</t>
  </si>
  <si>
    <t>ÁLVARO FERNANDES</t>
  </si>
  <si>
    <t>Álvaro Octacílio Nogueira Fernandes</t>
  </si>
  <si>
    <t>1873-09-14</t>
  </si>
  <si>
    <t>https://dadosabertos.camara.leg.br/api/v2/deputados/2583</t>
  </si>
  <si>
    <t>ÁLVARO VASCONCELOS</t>
  </si>
  <si>
    <t>Álvaro Rodrigues de Vasconcellos</t>
  </si>
  <si>
    <t>1880-03-23</t>
  </si>
  <si>
    <t>https://dadosabertos.camara.leg.br/api/v2/deputados/4455</t>
  </si>
  <si>
    <t>ALVES DE SOUSA</t>
  </si>
  <si>
    <t>Antonio Augusto Alves de Souza</t>
  </si>
  <si>
    <t>https://dadosabertos.camara.leg.br/api/v2/deputados/2578</t>
  </si>
  <si>
    <t>AMÉRICO BARRETO</t>
  </si>
  <si>
    <t>Américo Pinto Barreto</t>
  </si>
  <si>
    <t>1874-07-05</t>
  </si>
  <si>
    <t>https://dadosabertos.camara.leg.br/api/v2/deputados/130173</t>
  </si>
  <si>
    <t>AMÉRICO PEIXOTO</t>
  </si>
  <si>
    <t>Américo Valentim Peixoto</t>
  </si>
  <si>
    <t>1878-08-06</t>
  </si>
  <si>
    <t>https://dadosabertos.camara.leg.br/api/v2/deputados/130174</t>
  </si>
  <si>
    <t>ANÍBAL FREIRE</t>
  </si>
  <si>
    <t>Annibal Freire da Fonseca</t>
  </si>
  <si>
    <t>1884-07-07</t>
  </si>
  <si>
    <t>https://dadosabertos.camara.leg.br/api/v2/deputados/2261</t>
  </si>
  <si>
    <t>ANTONIO CALMON</t>
  </si>
  <si>
    <t>Antonio Calmon du Pin e Almeida</t>
  </si>
  <si>
    <t>1871-07-02</t>
  </si>
  <si>
    <t>https://dadosabertos.camara.leg.br/api/v2/deputados/2438</t>
  </si>
  <si>
    <t>ANTUNES MACIEL</t>
  </si>
  <si>
    <t>Francisco Antunes Maciel Júnior</t>
  </si>
  <si>
    <t>1879-07-04</t>
  </si>
  <si>
    <t>https://dadosabertos.camara.leg.br/api/v2/deputados/2673</t>
  </si>
  <si>
    <t>ARAÚJO CUNHA</t>
  </si>
  <si>
    <t>Alberto José de Araújo Cunha</t>
  </si>
  <si>
    <t>https://dadosabertos.camara.leg.br/api/v2/deputados/4523</t>
  </si>
  <si>
    <t>ARAÚJO GÓIS</t>
  </si>
  <si>
    <t>Manoel José de Araujo Góes</t>
  </si>
  <si>
    <t>1839-03-05</t>
  </si>
  <si>
    <t>https://dadosabertos.camara.leg.br/api/v2/deputados/2638</t>
  </si>
  <si>
    <t>ARAÚJO LIMA</t>
  </si>
  <si>
    <t>José Francisco de Araújo Lima</t>
  </si>
  <si>
    <t>1884-05-09</t>
  </si>
  <si>
    <t>https://dadosabertos.camara.leg.br/api/v2/deputados/4462</t>
  </si>
  <si>
    <t>ARIOSTO PINTO</t>
  </si>
  <si>
    <t>Ariosto Pinto</t>
  </si>
  <si>
    <t>https://dadosabertos.camara.leg.br/api/v2/deputados/4463</t>
  </si>
  <si>
    <t>ARMANDO PRADO</t>
  </si>
  <si>
    <t>Armando da Silva Prado</t>
  </si>
  <si>
    <t>1880-03-11</t>
  </si>
  <si>
    <t>https://dadosabertos.camara.leg.br/api/v2/deputados/4464</t>
  </si>
  <si>
    <t>ARNALDO TAVARES</t>
  </si>
  <si>
    <t>Arnaldo Tavares</t>
  </si>
  <si>
    <t>1873-07-11</t>
  </si>
  <si>
    <t>https://dadosabertos.camara.leg.br/api/v2/deputados/4461</t>
  </si>
  <si>
    <t>ARQUIMEDES DE OLIVEIRA</t>
  </si>
  <si>
    <t>Archimedes de Oliveira e Souza</t>
  </si>
  <si>
    <t>1869-03-17</t>
  </si>
  <si>
    <t>https://dadosabertos.camara.leg.br/api/v2/deputados/2663</t>
  </si>
  <si>
    <t>ARTUR DOS ANJOS</t>
  </si>
  <si>
    <t>Arthur Carvalho Rodrigues dos Anjos</t>
  </si>
  <si>
    <t>https://dadosabertos.camara.leg.br/api/v2/deputados/2060</t>
  </si>
  <si>
    <t>ARTUR LEMOS</t>
  </si>
  <si>
    <t>Arthur de Souza Lemos</t>
  </si>
  <si>
    <t>1871-04-01</t>
  </si>
  <si>
    <t>https://dadosabertos.camara.leg.br/api/v2/deputados/130181</t>
  </si>
  <si>
    <t>ATALIBA LEONEL</t>
  </si>
  <si>
    <t>Ataliba Leonel</t>
  </si>
  <si>
    <t>1875-05-15</t>
  </si>
  <si>
    <t>https://dadosabertos.camara.leg.br/api/v2/deputados/130182</t>
  </si>
  <si>
    <t>AUGUSTO PESTANA</t>
  </si>
  <si>
    <t>1868-05-22</t>
  </si>
  <si>
    <t>https://dadosabertos.camara.leg.br/api/v2/deputados/2579</t>
  </si>
  <si>
    <t>AURÉLIO VIANA</t>
  </si>
  <si>
    <t>Aurélio Rodrigues Vianna</t>
  </si>
  <si>
    <t>1864-09-28</t>
  </si>
  <si>
    <t>https://dadosabertos.camara.leg.br/api/v2/deputados/130175</t>
  </si>
  <si>
    <t>AUSTREGÉSILO</t>
  </si>
  <si>
    <t>Antonio Austregesilo Rodrigues Lima</t>
  </si>
  <si>
    <t>1876-04-21</t>
  </si>
  <si>
    <t>https://dadosabertos.camara.leg.br/api/v2/deputados/130197</t>
  </si>
  <si>
    <t>AZEVEDO LIMA</t>
  </si>
  <si>
    <t>João Baptista de Azevedo Lima</t>
  </si>
  <si>
    <t>1888-03-22</t>
  </si>
  <si>
    <t>https://dadosabertos.camara.leg.br/api/v2/deputados/2439</t>
  </si>
  <si>
    <t>BARBOSA GONÇALVES</t>
  </si>
  <si>
    <t>José Barbosa Gonçalves</t>
  </si>
  <si>
    <t>https://dadosabertos.camara.leg.br/api/v2/deputados/1630</t>
  </si>
  <si>
    <t>BARBOSA LIMA</t>
  </si>
  <si>
    <t>Alexandre José Barbosa Lima</t>
  </si>
  <si>
    <t>1862-03-23</t>
  </si>
  <si>
    <t>https://dadosabertos.camara.leg.br/api/v2/deputados/2621</t>
  </si>
  <si>
    <t>BELISÁRIO DE SOUSA</t>
  </si>
  <si>
    <t>Belisário Augusto Soares de Souza Junior</t>
  </si>
  <si>
    <t>1886-08-11</t>
  </si>
  <si>
    <t>https://dadosabertos.camara.leg.br/api/v2/deputados/2672</t>
  </si>
  <si>
    <t>BEZERRA DANTAS</t>
  </si>
  <si>
    <t>Christovão Bezerra Dantas</t>
  </si>
  <si>
    <t>https://dadosabertos.camara.leg.br/api/v2/deputados/130183</t>
  </si>
  <si>
    <t>BIANOR DE MEDEIROS</t>
  </si>
  <si>
    <t>Bianor Gadault Fonseca de Medeiros</t>
  </si>
  <si>
    <t>1865-08-25</t>
  </si>
  <si>
    <t>https://dadosabertos.camara.leg.br/api/v2/deputados/130218</t>
  </si>
  <si>
    <t>BOCAIÚVA CUNHA</t>
  </si>
  <si>
    <t>Ranulpho Bocayuva Cunha</t>
  </si>
  <si>
    <t>1888-05-27</t>
  </si>
  <si>
    <t>https://dadosabertos.camara.leg.br/api/v2/deputados/2545</t>
  </si>
  <si>
    <t>BRÁS DO AMARAL</t>
  </si>
  <si>
    <t>Braz Hermenegildo do Amaral</t>
  </si>
  <si>
    <t>https://dadosabertos.camara.leg.br/api/v2/deputados/4522</t>
  </si>
  <si>
    <t>CAIADO DE CASTRO</t>
  </si>
  <si>
    <t>Lincoln Caiado de Castro</t>
  </si>
  <si>
    <t>https://dadosabertos.camara.leg.br/api/v2/deputados/130184</t>
  </si>
  <si>
    <t>CAMILO FILINTO PRATES</t>
  </si>
  <si>
    <t>1859-12-29</t>
  </si>
  <si>
    <t>https://dadosabertos.camara.leg.br/api/v2/deputados/4509</t>
  </si>
  <si>
    <t>José Cardoso de Almeida</t>
  </si>
  <si>
    <t>1867-09-08</t>
  </si>
  <si>
    <t>https://dadosabertos.camara.leg.br/api/v2/deputados/4470</t>
  </si>
  <si>
    <t>CARLOS BORRALHO</t>
  </si>
  <si>
    <t>Carlos Gomes Borralho</t>
  </si>
  <si>
    <t>1878-07-10</t>
  </si>
  <si>
    <t>https://dadosabertos.camara.leg.br/api/v2/deputados/130176</t>
  </si>
  <si>
    <t>CARLOS PENAFIEL</t>
  </si>
  <si>
    <t>Antonio Carlos Penafiel</t>
  </si>
  <si>
    <t>1883-01-31</t>
  </si>
  <si>
    <t>https://dadosabertos.camara.leg.br/api/v2/deputados/4501</t>
  </si>
  <si>
    <t>CARVALHAL FILHO</t>
  </si>
  <si>
    <t>João Carvalhal Filho</t>
  </si>
  <si>
    <t>1884-04-26</t>
  </si>
  <si>
    <t>https://dadosabertos.camara.leg.br/api/v2/deputados/2424</t>
  </si>
  <si>
    <t>Heitor Castello Branco</t>
  </si>
  <si>
    <t>1877-03-18</t>
  </si>
  <si>
    <t>https://dadosabertos.camara.leg.br/api/v2/deputados/4510</t>
  </si>
  <si>
    <t>CASTRO AZEVEDO</t>
  </si>
  <si>
    <t>José de Castro Azevedo</t>
  </si>
  <si>
    <t>1890-06-09</t>
  </si>
  <si>
    <t>Coruripe</t>
  </si>
  <si>
    <t>https://dadosabertos.camara.leg.br/api/v2/deputados/2580</t>
  </si>
  <si>
    <t>CELSO ESPÍNOLA</t>
  </si>
  <si>
    <t>Joaquim Celso Moreira Spínola</t>
  </si>
  <si>
    <t>1879-03-18</t>
  </si>
  <si>
    <t>Caetité</t>
  </si>
  <si>
    <t>https://dadosabertos.camara.leg.br/api/v2/deputados/130185</t>
  </si>
  <si>
    <t>CÉSAR VERGUEIRO</t>
  </si>
  <si>
    <t>Cezar Lacerda de Vergueiro</t>
  </si>
  <si>
    <t>1886-06-11</t>
  </si>
  <si>
    <t>https://dadosabertos.camara.leg.br/api/v2/deputados/2590</t>
  </si>
  <si>
    <t>CESARIO DE MELO</t>
  </si>
  <si>
    <t>Julio Cesario de Mello</t>
  </si>
  <si>
    <t>1876-09-06</t>
  </si>
  <si>
    <t>https://dadosabertos.camara.leg.br/api/v2/deputados/130215</t>
  </si>
  <si>
    <t>CHERMONT DE MIRANDA</t>
  </si>
  <si>
    <t>Pedro Gyselaar Chermont de Miranda</t>
  </si>
  <si>
    <t>1877-08-06</t>
  </si>
  <si>
    <t>https://dadosabertos.camara.leg.br/api/v2/deputados/4472</t>
  </si>
  <si>
    <t>CLEMENTE DE FARIA</t>
  </si>
  <si>
    <t>Clemente Soares de Faria</t>
  </si>
  <si>
    <t>1891-03-17</t>
  </si>
  <si>
    <t>https://dadosabertos.camara.leg.br/api/v2/deputados/130319</t>
  </si>
  <si>
    <t>CLODOMIR CARDOSO</t>
  </si>
  <si>
    <t>Clodomir Cardoso</t>
  </si>
  <si>
    <t>1879-12-29</t>
  </si>
  <si>
    <t>https://dadosabertos.camara.leg.br/api/v2/deputados/4511</t>
  </si>
  <si>
    <t>José Cordeiro de Miranda</t>
  </si>
  <si>
    <t>https://dadosabertos.camara.leg.br/api/v2/deputados/2430</t>
  </si>
  <si>
    <t>COSTA RIBEIRO</t>
  </si>
  <si>
    <t>Antonio José da Costa Ribeiro</t>
  </si>
  <si>
    <t>1863-06-10</t>
  </si>
  <si>
    <t>https://dadosabertos.camara.leg.br/api/v2/deputados/4474</t>
  </si>
  <si>
    <t>DOLOR DE BRITO</t>
  </si>
  <si>
    <t>Dolor de Brito Franco</t>
  </si>
  <si>
    <t>https://dadosabertos.camara.leg.br/api/v2/deputados/130187</t>
  </si>
  <si>
    <t>DOMINGOS BARBOSA</t>
  </si>
  <si>
    <t>Domingos Quadros Barbosa Alvares</t>
  </si>
  <si>
    <t>1880-11-28</t>
  </si>
  <si>
    <t>https://dadosabertos.camara.leg.br/api/v2/deputados/2161</t>
  </si>
  <si>
    <t>DOMINGOS MASCARENHAS</t>
  </si>
  <si>
    <t>Domingos Pinto de Figueiredo Mascarenhas</t>
  </si>
  <si>
    <t>1866-02-10</t>
  </si>
  <si>
    <t>https://dadosabertos.camara.leg.br/api/v2/deputados/4477</t>
  </si>
  <si>
    <t>EDUARDO COTRIM</t>
  </si>
  <si>
    <t>Eduardo Cotrim Filho</t>
  </si>
  <si>
    <t>1890-12-09</t>
  </si>
  <si>
    <t>Itatiaia</t>
  </si>
  <si>
    <t>https://dadosabertos.camara.leg.br/api/v2/deputados/2642</t>
  </si>
  <si>
    <t>EDUARDO GIRÃO</t>
  </si>
  <si>
    <t>Eduardo Henrique Girão</t>
  </si>
  <si>
    <t>1882-04-12</t>
  </si>
  <si>
    <t>https://dadosabertos.camara.leg.br/api/v2/deputados/4481</t>
  </si>
  <si>
    <t>ELÓI CHAVES</t>
  </si>
  <si>
    <t>Eloy de Miranda Chaves</t>
  </si>
  <si>
    <t>1875-12-27</t>
  </si>
  <si>
    <t>https://dadosabertos.camara.leg.br/api/v2/deputados/4480</t>
  </si>
  <si>
    <t>ELÓI DE SOUSA</t>
  </si>
  <si>
    <t>Eloy Castriciano de Souza</t>
  </si>
  <si>
    <t>1873-03-04</t>
  </si>
  <si>
    <t>https://dadosabertos.camara.leg.br/api/v2/deputados/2605</t>
  </si>
  <si>
    <t>ELPÍDIO CANABRAVA</t>
  </si>
  <si>
    <t>Elpídio Martins Canabrava</t>
  </si>
  <si>
    <t>São Francisco</t>
  </si>
  <si>
    <t>https://dadosabertos.camara.leg.br/api/v2/deputados/2670</t>
  </si>
  <si>
    <t>EPAMINONDAS CASTELO</t>
  </si>
  <si>
    <t>Epaminondas Castello Branco</t>
  </si>
  <si>
    <t>1882-07-11</t>
  </si>
  <si>
    <t>https://dadosabertos.camara.leg.br/api/v2/deputados/4484</t>
  </si>
  <si>
    <t>EULER COELHO</t>
  </si>
  <si>
    <t>Euler de Salles Coelho</t>
  </si>
  <si>
    <t>1895-04-30</t>
  </si>
  <si>
    <t>https://dadosabertos.camara.leg.br/api/v2/deputados/4469</t>
  </si>
  <si>
    <t>FARIA SOUTO</t>
  </si>
  <si>
    <t>Carlos de Faria Souto</t>
  </si>
  <si>
    <t>1875-10-31</t>
  </si>
  <si>
    <t>https://dadosabertos.camara.leg.br/api/v2/deputados/2183</t>
  </si>
  <si>
    <t>FERREIRA BRAGA</t>
  </si>
  <si>
    <t>Francisco Ferreira Braga</t>
  </si>
  <si>
    <t>1867-02-25</t>
  </si>
  <si>
    <t>https://dadosabertos.camara.leg.br/api/v2/deputados/130189</t>
  </si>
  <si>
    <t>FIDÉLIS REIS</t>
  </si>
  <si>
    <t>Fidelis Reis</t>
  </si>
  <si>
    <t>1880-01-04</t>
  </si>
  <si>
    <t>https://dadosabertos.camara.leg.br/api/v2/deputados/130190</t>
  </si>
  <si>
    <t>FIEL FONTES</t>
  </si>
  <si>
    <t>Fiel de Carvalho Fontes</t>
  </si>
  <si>
    <t>1893-06-08</t>
  </si>
  <si>
    <t>https://dadosabertos.camara.leg.br/api/v2/deputados/2098</t>
  </si>
  <si>
    <t>FIRMIANO PINTO</t>
  </si>
  <si>
    <t>Firmiano de Moraes Pinto</t>
  </si>
  <si>
    <t>1861-05-04</t>
  </si>
  <si>
    <t>https://dadosabertos.camara.leg.br/api/v2/deputados/2664</t>
  </si>
  <si>
    <t>FLÁVIO RIBEIRO</t>
  </si>
  <si>
    <t>Flávio Ribeiro Coutinho</t>
  </si>
  <si>
    <t>1882-07-20</t>
  </si>
  <si>
    <t>https://dadosabertos.camara.leg.br/api/v2/deputados/4490</t>
  </si>
  <si>
    <t>Francisco Flores da Cunha</t>
  </si>
  <si>
    <t>1875-05-23</t>
  </si>
  <si>
    <t>https://dadosabertos.camara.leg.br/api/v2/deputados/2678</t>
  </si>
  <si>
    <t>FONTES JÚNIOR</t>
  </si>
  <si>
    <t>Antonio Martins Fontes Júnior</t>
  </si>
  <si>
    <t>1866-10-02</t>
  </si>
  <si>
    <t>https://dadosabertos.camara.leg.br/api/v2/deputados/130195</t>
  </si>
  <si>
    <t>FRANCISCO PEIXOTO</t>
  </si>
  <si>
    <t>Francisco Soares Peixoto de Moura</t>
  </si>
  <si>
    <t>1862-09-05</t>
  </si>
  <si>
    <t>https://dadosabertos.camara.leg.br/api/v2/deputados/130191</t>
  </si>
  <si>
    <t>FRANCISCO VALADARES</t>
  </si>
  <si>
    <t>Francisco de Campos Valladares</t>
  </si>
  <si>
    <t>https://dadosabertos.camara.leg.br/api/v2/deputados/4491</t>
  </si>
  <si>
    <t>FREDERICO CAMPOS</t>
  </si>
  <si>
    <t>Frederico de Oliveira Campos</t>
  </si>
  <si>
    <t>1886-02-22</t>
  </si>
  <si>
    <t>https://dadosabertos.camara.leg.br/api/v2/deputados/4492</t>
  </si>
  <si>
    <t>FÚLVIO ADUCCI</t>
  </si>
  <si>
    <t>Fulvio Coriolano Aducci</t>
  </si>
  <si>
    <t>https://dadosabertos.camara.leg.br/api/v2/deputados/2666</t>
  </si>
  <si>
    <t>GENARO GUIMARÃES</t>
  </si>
  <si>
    <t>Genaro Lins de Barros Guimarães</t>
  </si>
  <si>
    <t>1880-10-14</t>
  </si>
  <si>
    <t>https://dadosabertos.camara.leg.br/api/v2/deputados/4494</t>
  </si>
  <si>
    <t>GILDO AMADO</t>
  </si>
  <si>
    <t>Gildo Amado</t>
  </si>
  <si>
    <t>1897-02-11</t>
  </si>
  <si>
    <t>https://dadosabertos.camara.leg.br/api/v2/deputados/130196</t>
  </si>
  <si>
    <t>HERMENEGILDO FIRMEZA</t>
  </si>
  <si>
    <t>Hermenegildo de Britto Firmeza</t>
  </si>
  <si>
    <t>1881-05-07</t>
  </si>
  <si>
    <t>https://dadosabertos.camara.leg.br/api/v2/deputados/2681</t>
  </si>
  <si>
    <t>HUMBERTO DANTAS</t>
  </si>
  <si>
    <t>Humberto Olegário Dantas</t>
  </si>
  <si>
    <t>https://dadosabertos.camara.leg.br/api/v2/deputados/4496</t>
  </si>
  <si>
    <t>HUMBERTO DE CAMPOS</t>
  </si>
  <si>
    <t>Humberto de Campos</t>
  </si>
  <si>
    <t>1886-10-25</t>
  </si>
  <si>
    <t>https://dadosabertos.camara.leg.br/api/v2/deputados/2667</t>
  </si>
  <si>
    <t>INÁCIO DE BARROS</t>
  </si>
  <si>
    <t>Ignácio de Barros Barreto</t>
  </si>
  <si>
    <t>1857-11-16</t>
  </si>
  <si>
    <t>https://dadosabertos.camara.leg.br/api/v2/deputados/4500</t>
  </si>
  <si>
    <t>JEFFERSON DE OLIVEIRA</t>
  </si>
  <si>
    <t>Jefferson de Oliveira</t>
  </si>
  <si>
    <t>1881-07-29</t>
  </si>
  <si>
    <t>https://dadosabertos.camara.leg.br/api/v2/deputados/130198</t>
  </si>
  <si>
    <t>JOÃO CELESTINO</t>
  </si>
  <si>
    <t>João Celestino Corrêa Cardoso</t>
  </si>
  <si>
    <t>1873-06-29</t>
  </si>
  <si>
    <t>https://dadosabertos.camara.leg.br/api/v2/deputados/1932</t>
  </si>
  <si>
    <t>JOÃO DE FARIA</t>
  </si>
  <si>
    <t>João de Faria</t>
  </si>
  <si>
    <t>1862-11-08</t>
  </si>
  <si>
    <t>https://dadosabertos.camara.leg.br/api/v2/deputados/130199</t>
  </si>
  <si>
    <t>JOÃO ELISIO</t>
  </si>
  <si>
    <t>João Elysio de Castro Fonseca</t>
  </si>
  <si>
    <t>1862-04-16</t>
  </si>
  <si>
    <t>https://dadosabertos.camara.leg.br/api/v2/deputados/2194</t>
  </si>
  <si>
    <t>JOÃO SANTOS</t>
  </si>
  <si>
    <t>João Pedro dos Santos</t>
  </si>
  <si>
    <t>1871-12-15</t>
  </si>
  <si>
    <t>https://dadosabertos.camara.leg.br/api/v2/deputados/130200</t>
  </si>
  <si>
    <t>JOÃO SUASSUNA</t>
  </si>
  <si>
    <t>João Suassuna</t>
  </si>
  <si>
    <t>1886-01-19</t>
  </si>
  <si>
    <t>Catolé do Rocha</t>
  </si>
  <si>
    <t>https://dadosabertos.camara.leg.br/api/v2/deputados/130201</t>
  </si>
  <si>
    <t>JOAQUIM BANDEIRA</t>
  </si>
  <si>
    <t>Joaquim Dias Bandeira de Mello</t>
  </si>
  <si>
    <t>https://dadosabertos.camara.leg.br/api/v2/deputados/130202</t>
  </si>
  <si>
    <t>JOAQUIM DE SALES</t>
  </si>
  <si>
    <t>Joaquim Ferreira de Salles</t>
  </si>
  <si>
    <t>1879-07-12</t>
  </si>
  <si>
    <t>https://dadosabertos.camara.leg.br/api/v2/deputados/4506</t>
  </si>
  <si>
    <t>JORGE DE MORAIS</t>
  </si>
  <si>
    <t>Jorge de Moraes</t>
  </si>
  <si>
    <t>1872-07-18</t>
  </si>
  <si>
    <t>https://dadosabertos.camara.leg.br/api/v2/deputados/130205</t>
  </si>
  <si>
    <t>JOSÉ ACCIOLY</t>
  </si>
  <si>
    <t>José Pompeu Pinto Accioly</t>
  </si>
  <si>
    <t>1873-05-11</t>
  </si>
  <si>
    <t>https://dadosabertos.camara.leg.br/api/v2/deputados/4512</t>
  </si>
  <si>
    <t>José Bonifácio de Andrada e Silva</t>
  </si>
  <si>
    <t>1871-09-29</t>
  </si>
  <si>
    <t>https://dadosabertos.camara.leg.br/api/v2/deputados/130203</t>
  </si>
  <si>
    <t>JOSÉ DE MORAIS</t>
  </si>
  <si>
    <t>José Antonio de Moraes</t>
  </si>
  <si>
    <t>https://dadosabertos.camara.leg.br/api/v2/deputados/4516</t>
  </si>
  <si>
    <t>JOSÉ PAULINO</t>
  </si>
  <si>
    <t>José Paulino de Albuquerque Sarmento</t>
  </si>
  <si>
    <t>1863-06-17</t>
  </si>
  <si>
    <t>São Luís do Quitunde</t>
  </si>
  <si>
    <t>https://dadosabertos.camara.leg.br/api/v2/deputados/2645</t>
  </si>
  <si>
    <t>JOSÉ PEDRO</t>
  </si>
  <si>
    <t>José Pedro Fernandes Aboudib</t>
  </si>
  <si>
    <t>1896-12-11</t>
  </si>
  <si>
    <t>https://dadosabertos.camara.leg.br/api/v2/deputados/130207</t>
  </si>
  <si>
    <t>JOVIANO DE CASTRO</t>
  </si>
  <si>
    <t>Joviano Alves de Castro</t>
  </si>
  <si>
    <t>1882-09-14</t>
  </si>
  <si>
    <t>https://dadosabertos.camara.leg.br/api/v2/deputados/4520</t>
  </si>
  <si>
    <t>JUAREZ LOPES</t>
  </si>
  <si>
    <t>Juarez Ferreira Lopes</t>
  </si>
  <si>
    <t>1887-05-17</t>
  </si>
  <si>
    <t>https://dadosabertos.camara.leg.br/api/v2/deputados/2668</t>
  </si>
  <si>
    <t>LIMA CASTRO</t>
  </si>
  <si>
    <t>Eduardo de Lima Castro</t>
  </si>
  <si>
    <t>https://dadosabertos.camara.leg.br/api/v2/deputados/130209</t>
  </si>
  <si>
    <t>LINDOLFO COLLOR</t>
  </si>
  <si>
    <t>Lindolpho Leopoldo Boecker Collor</t>
  </si>
  <si>
    <t>1890-02-04</t>
  </si>
  <si>
    <t>https://dadosabertos.camara.leg.br/api/v2/deputados/130210</t>
  </si>
  <si>
    <t>LINDOLFO PESSOA</t>
  </si>
  <si>
    <t>Lindolpho Pessôa da Cruz Marques</t>
  </si>
  <si>
    <t>1882-02-11</t>
  </si>
  <si>
    <t>https://dadosabertos.camara.leg.br/api/v2/deputados/2625</t>
  </si>
  <si>
    <t>LUZ PINTO</t>
  </si>
  <si>
    <t>Edmundo da Luz Pinto</t>
  </si>
  <si>
    <t>1898-01-05</t>
  </si>
  <si>
    <t>https://dadosabertos.camara.leg.br/api/v2/deputados/2586</t>
  </si>
  <si>
    <t>MANOELITO MOREIRA</t>
  </si>
  <si>
    <t>Manoelito Moreira</t>
  </si>
  <si>
    <t>1885-06-18</t>
  </si>
  <si>
    <t>https://dadosabertos.camara.leg.br/api/v2/deputados/130212</t>
  </si>
  <si>
    <t>MARCOLINO BARRETO</t>
  </si>
  <si>
    <t>Marcolino Lopes Barreto</t>
  </si>
  <si>
    <t>1862-04-12</t>
  </si>
  <si>
    <t>https://dadosabertos.camara.leg.br/api/v2/deputados/4449</t>
  </si>
  <si>
    <t>MARCONDES FILHO</t>
  </si>
  <si>
    <t>Alexandre Marcondes Machado Filho</t>
  </si>
  <si>
    <t>1892-08-03</t>
  </si>
  <si>
    <t>https://dadosabertos.camara.leg.br/api/v2/deputados/4528</t>
  </si>
  <si>
    <t>MÁRIO ALVES</t>
  </si>
  <si>
    <t>Mario Alves da Fonseca</t>
  </si>
  <si>
    <t>https://dadosabertos.camara.leg.br/api/v2/deputados/2607</t>
  </si>
  <si>
    <t>MÁRIO MATOS</t>
  </si>
  <si>
    <t>Mario Gonçalves Mattos</t>
  </si>
  <si>
    <t>1891-09-28</t>
  </si>
  <si>
    <t>https://dadosabertos.camara.leg.br/api/v2/deputados/130180</t>
  </si>
  <si>
    <t>MARTINS FRANCO</t>
  </si>
  <si>
    <t>Arthur Martins Franco</t>
  </si>
  <si>
    <t>1876-04-10</t>
  </si>
  <si>
    <t>https://dadosabertos.camara.leg.br/api/v2/deputados/2382</t>
  </si>
  <si>
    <t>MAURÍCIO DE LACERDA</t>
  </si>
  <si>
    <t>Mauricio Paiva de Lacerda</t>
  </si>
  <si>
    <t>1888-06-01</t>
  </si>
  <si>
    <t>https://dadosabertos.camara.leg.br/api/v2/deputados/130213</t>
  </si>
  <si>
    <t>MAURICIO DE MEDEIROS</t>
  </si>
  <si>
    <t>Mauricio Campos de Medeiros</t>
  </si>
  <si>
    <t>1885-07-14</t>
  </si>
  <si>
    <t>https://dadosabertos.camara.leg.br/api/v2/deputados/130211</t>
  </si>
  <si>
    <t>MIRANDA ROSA</t>
  </si>
  <si>
    <t>Manoel de Miranda Rosa</t>
  </si>
  <si>
    <t>https://dadosabertos.camara.leg.br/api/v2/deputados/4459</t>
  </si>
  <si>
    <t>MONTEIRO DE SOUSA</t>
  </si>
  <si>
    <t>Antonio Monteiro de Souza</t>
  </si>
  <si>
    <t>1872-02-16</t>
  </si>
  <si>
    <t>https://dadosabertos.camara.leg.br/api/v2/deputados/2335</t>
  </si>
  <si>
    <t>Manoel Moreira da Rocha</t>
  </si>
  <si>
    <t>1860-09-26</t>
  </si>
  <si>
    <t>https://dadosabertos.camara.leg.br/api/v2/deputados/4503</t>
  </si>
  <si>
    <t>MOREIRA GARCEZ</t>
  </si>
  <si>
    <t>João Moreira Garcez</t>
  </si>
  <si>
    <t>1885-03-17</t>
  </si>
  <si>
    <t>https://dadosabertos.camara.leg.br/api/v2/deputados/2656</t>
  </si>
  <si>
    <t>MÚCIO CONTINENTINO</t>
  </si>
  <si>
    <t>Múcio Continentino</t>
  </si>
  <si>
    <t>1895-04-20</t>
  </si>
  <si>
    <t>https://dadosabertos.camara.leg.br/api/v2/deputados/2328</t>
  </si>
  <si>
    <t>MUNIZ SODRÉ</t>
  </si>
  <si>
    <t>Antonio Muniz Sodré de Aragão</t>
  </si>
  <si>
    <t>1881-06-13</t>
  </si>
  <si>
    <t>https://dadosabertos.camara.leg.br/api/v2/deputados/130204</t>
  </si>
  <si>
    <t>NELSON CATUNDA</t>
  </si>
  <si>
    <t>José Nelson de Araújo Catunda</t>
  </si>
  <si>
    <t>https://dadosabertos.camara.leg.br/api/v2/deputados/130172</t>
  </si>
  <si>
    <t>NORIVAL DE FREITAS</t>
  </si>
  <si>
    <t>Norival Soares de Freitas</t>
  </si>
  <si>
    <t>https://dadosabertos.camara.leg.br/api/v2/deputados/4531</t>
  </si>
  <si>
    <t>OLAVO TOSTES</t>
  </si>
  <si>
    <t>Olavo Tostes</t>
  </si>
  <si>
    <t>1889-03-31</t>
  </si>
  <si>
    <t>https://dadosabertos.camara.leg.br/api/v2/deputados/2623</t>
  </si>
  <si>
    <t>OSCAR FONTENELLE</t>
  </si>
  <si>
    <t>Oscar Pena Fontenelle</t>
  </si>
  <si>
    <t>https://dadosabertos.camara.leg.br/api/v2/deputados/130186</t>
  </si>
  <si>
    <t>OSCAR SOARES</t>
  </si>
  <si>
    <t>Claudio Oscar Soares</t>
  </si>
  <si>
    <t>https://dadosabertos.camara.leg.br/api/v2/deputados/130177</t>
  </si>
  <si>
    <t>PACHECO MENDES</t>
  </si>
  <si>
    <t>Antonio Pacheco Mendes</t>
  </si>
  <si>
    <t>1855-02-24</t>
  </si>
  <si>
    <t>https://dadosabertos.camara.leg.br/api/v2/deputados/4525</t>
  </si>
  <si>
    <t>PAIS DE OLIVEIRA</t>
  </si>
  <si>
    <t>Manoel Paes de Oliveira</t>
  </si>
  <si>
    <t>1885-07-11</t>
  </si>
  <si>
    <t>https://dadosabertos.camara.leg.br/api/v2/deputados/2658</t>
  </si>
  <si>
    <t>PAULO PINHEIRO</t>
  </si>
  <si>
    <t>Paulo Pinheiro da Silva</t>
  </si>
  <si>
    <t>1890-12-23</t>
  </si>
  <si>
    <t>https://dadosabertos.camara.leg.br/api/v2/deputados/2632</t>
  </si>
  <si>
    <t>PEREIRA DE REZENDE</t>
  </si>
  <si>
    <t>José Augusto Pereira de Rezende</t>
  </si>
  <si>
    <t>1872-12-21</t>
  </si>
  <si>
    <t>https://dadosabertos.camara.leg.br/api/v2/deputados/130178</t>
  </si>
  <si>
    <t>PEREIRA MOACIR</t>
  </si>
  <si>
    <t>Antonio Pereira da Silva Moacyr</t>
  </si>
  <si>
    <t>1880-04-14</t>
  </si>
  <si>
    <t>https://dadosabertos.camara.leg.br/api/v2/deputados/130193</t>
  </si>
  <si>
    <t>PESSOA DE QUEIRÓS</t>
  </si>
  <si>
    <t>Francisco Pessôa de Queiroz</t>
  </si>
  <si>
    <t>1890-11-07</t>
  </si>
  <si>
    <t>https://dadosabertos.camara.leg.br/api/v2/deputados/4471</t>
  </si>
  <si>
    <t>Carlos Pinheiro Chagas</t>
  </si>
  <si>
    <t>1889-02-15</t>
  </si>
  <si>
    <t>https://dadosabertos.camara.leg.br/api/v2/deputados/4514</t>
  </si>
  <si>
    <t>PINHEIRO JÚNIOR</t>
  </si>
  <si>
    <t>José Gomes Pinheiro Junior</t>
  </si>
  <si>
    <t>1865-01-27</t>
  </si>
  <si>
    <t>https://dadosabertos.camara.leg.br/api/v2/deputados/4518</t>
  </si>
  <si>
    <t>PIRES DE CARVALHO</t>
  </si>
  <si>
    <t>José Pires de Carvalho</t>
  </si>
  <si>
    <t>1883-08-09</t>
  </si>
  <si>
    <t>Luzilândia</t>
  </si>
  <si>
    <t>https://dadosabertos.camara.leg.br/api/v2/deputados/2009</t>
  </si>
  <si>
    <t>PLÍNIO CASADO</t>
  </si>
  <si>
    <t>Plínio de Castro Casado</t>
  </si>
  <si>
    <t>1870-09-30</t>
  </si>
  <si>
    <t>https://dadosabertos.camara.leg.br/api/v2/deputados/130216</t>
  </si>
  <si>
    <t>PLÍNIO MARQUES</t>
  </si>
  <si>
    <t>Plinio Marques</t>
  </si>
  <si>
    <t>1883-02-15</t>
  </si>
  <si>
    <t>https://dadosabertos.camara.leg.br/api/v2/deputados/130179</t>
  </si>
  <si>
    <t>PRADO LOPES</t>
  </si>
  <si>
    <t>Antonio do Prado Lopes Pereira</t>
  </si>
  <si>
    <t>1864-05-24</t>
  </si>
  <si>
    <t>Curralinho</t>
  </si>
  <si>
    <t>https://dadosabertos.camara.leg.br/api/v2/deputados/130217</t>
  </si>
  <si>
    <t>RAFAEL FERNANDES</t>
  </si>
  <si>
    <t>Raphael Fernandes Gurjão</t>
  </si>
  <si>
    <t>1891-10-24</t>
  </si>
  <si>
    <t>https://dadosabertos.camara.leg.br/api/v2/deputados/130220</t>
  </si>
  <si>
    <t>RAUL DE FARIA</t>
  </si>
  <si>
    <t>Raul de Faria</t>
  </si>
  <si>
    <t>https://dadosabertos.camara.leg.br/api/v2/deputados/130219</t>
  </si>
  <si>
    <t>RAUL MACHADO</t>
  </si>
  <si>
    <t>Raul da Cunha Machado</t>
  </si>
  <si>
    <t>https://dadosabertos.camara.leg.br/api/v2/deputados/4535</t>
  </si>
  <si>
    <t>RAUL VEIGA</t>
  </si>
  <si>
    <t>Raul de Moraes Veiga</t>
  </si>
  <si>
    <t>https://dadosabertos.camara.leg.br/api/v2/deputados/130206</t>
  </si>
  <si>
    <t>ROCHA CAVALCANTI</t>
  </si>
  <si>
    <t>José da Rocha Cavalcanti Filho</t>
  </si>
  <si>
    <t>https://dadosabertos.camara.leg.br/api/v2/deputados/130192</t>
  </si>
  <si>
    <t>RODRIGUES ALVES FILHO</t>
  </si>
  <si>
    <t>Francisco de Paula Rodrigues Alves Filho</t>
  </si>
  <si>
    <t>1878-10-30</t>
  </si>
  <si>
    <t>https://dadosabertos.camara.leg.br/api/v2/deputados/130194</t>
  </si>
  <si>
    <t>SÁ FILHO</t>
  </si>
  <si>
    <t>Francisco de Sá Filho</t>
  </si>
  <si>
    <t>1891-04-04</t>
  </si>
  <si>
    <t>https://dadosabertos.camara.leg.br/api/v2/deputados/130221</t>
  </si>
  <si>
    <t>SALOMÃO DANTAS</t>
  </si>
  <si>
    <t>Salomão de Souza Dantas</t>
  </si>
  <si>
    <t>1872-03-31</t>
  </si>
  <si>
    <t>https://dadosabertos.camara.leg.br/api/v2/deputados/4536</t>
  </si>
  <si>
    <t>SAMUEL HARDMAN</t>
  </si>
  <si>
    <t>Samuel Hardman Cavalcanti de Albuquerque</t>
  </si>
  <si>
    <t>1861-03-01</t>
  </si>
  <si>
    <t>https://dadosabertos.camara.leg.br/api/v2/deputados/4537</t>
  </si>
  <si>
    <t>SANDOVAL AZEVEDO</t>
  </si>
  <si>
    <t>Sandoval Soares de Azevedo</t>
  </si>
  <si>
    <t>1891-05-26</t>
  </si>
  <si>
    <t>https://dadosabertos.camara.leg.br/api/v2/deputados/130222</t>
  </si>
  <si>
    <t>SERGIO DE OLIVEIRA</t>
  </si>
  <si>
    <t>Sergio Ulrich de Oliveira</t>
  </si>
  <si>
    <t>https://dadosabertos.camara.leg.br/api/v2/deputados/2617</t>
  </si>
  <si>
    <t>SÉRGIO LORETO</t>
  </si>
  <si>
    <t>Sergio Teixeira Lins de Barros Loreto</t>
  </si>
  <si>
    <t>1870-09-09</t>
  </si>
  <si>
    <t>Águas Belas</t>
  </si>
  <si>
    <t>https://dadosabertos.camara.leg.br/api/v2/deputados/2676</t>
  </si>
  <si>
    <t>SÍLVIO RANGEL</t>
  </si>
  <si>
    <t>Sylvio da Fontoura Rangel</t>
  </si>
  <si>
    <t>https://dadosabertos.camara.leg.br/api/v2/deputados/130188</t>
  </si>
  <si>
    <t>SIMÕES FILHO</t>
  </si>
  <si>
    <t>Ernesto Simões Filho</t>
  </si>
  <si>
    <t>1886-10-04</t>
  </si>
  <si>
    <t>https://dadosabertos.camara.leg.br/api/v2/deputados/1554</t>
  </si>
  <si>
    <t>Ildefonso Simões Lopes</t>
  </si>
  <si>
    <t>1866-11-19</t>
  </si>
  <si>
    <t>https://dadosabertos.camara.leg.br/api/v2/deputados/130223</t>
  </si>
  <si>
    <t>THIERS CARDOSO</t>
  </si>
  <si>
    <t>Thiers Cardoso</t>
  </si>
  <si>
    <t>https://dadosabertos.camara.leg.br/api/v2/deputados/2105</t>
  </si>
  <si>
    <t>VALOIS DE CASTRO</t>
  </si>
  <si>
    <t>José Valois de Castro</t>
  </si>
  <si>
    <t>1855-12-06</t>
  </si>
  <si>
    <t>São Luis do Paraitinga</t>
  </si>
  <si>
    <t>https://dadosabertos.camara.leg.br/api/v2/deputados/4540</t>
  </si>
  <si>
    <t>VICENTE LINHARES</t>
  </si>
  <si>
    <t>Vicente Alves Linhares</t>
  </si>
  <si>
    <t>https://dadosabertos.camara.leg.br/api/v2/deputados/2601</t>
  </si>
  <si>
    <t>VIRIATO CORREIA</t>
  </si>
  <si>
    <t>Manoel Viriato Corrêa Bayma do Lago Filho</t>
  </si>
  <si>
    <t>1884-01-23</t>
  </si>
  <si>
    <t>Pirapemas</t>
  </si>
  <si>
    <t>https://dadosabertos.camara.leg.br/api/v2/deputados/2646</t>
  </si>
  <si>
    <t>XENÓCRATES CALMON</t>
  </si>
  <si>
    <t>Xenócrates João Calmon de Aguiar</t>
  </si>
  <si>
    <t>1893-02-10</t>
  </si>
  <si>
    <t>https://dadosabertos.camara.leg.br/api/v2/deputados/2540</t>
  </si>
  <si>
    <t>AJURICABA DE MENEZES</t>
  </si>
  <si>
    <t>Ajuricaba Aprigio de Menezes</t>
  </si>
  <si>
    <t>1883-01-17</t>
  </si>
  <si>
    <t>https://dadosabertos.camara.leg.br/api/v2/deputados/2589</t>
  </si>
  <si>
    <t>ALBÉRICO DE MORAIS</t>
  </si>
  <si>
    <t>Alberico Dias de Moraes</t>
  </si>
  <si>
    <t>https://dadosabertos.camara.leg.br/api/v2/deputados/2466</t>
  </si>
  <si>
    <t>ALBERTINO DRUMOND</t>
  </si>
  <si>
    <t>Albertino Ferreira Drumond</t>
  </si>
  <si>
    <t>https://dadosabertos.camara.leg.br/api/v2/deputados/2159</t>
  </si>
  <si>
    <t>ALBERTO MARANHÃO</t>
  </si>
  <si>
    <t>Alberto Maranhão</t>
  </si>
  <si>
    <t>1872-10-02</t>
  </si>
  <si>
    <t>https://dadosabertos.camara.leg.br/api/v2/deputados/4384</t>
  </si>
  <si>
    <t>ALFREDO DE MORAES</t>
  </si>
  <si>
    <t>Alfredo Lopes de Moraes</t>
  </si>
  <si>
    <t>1880-11-23</t>
  </si>
  <si>
    <t>https://dadosabertos.camara.leg.br/api/v2/deputados/2437</t>
  </si>
  <si>
    <t>ÁLVARO BATISTA</t>
  </si>
  <si>
    <t>Álvaro Baptista</t>
  </si>
  <si>
    <t>1858-11-11</t>
  </si>
  <si>
    <t>https://dadosabertos.camara.leg.br/api/v2/deputados/2576</t>
  </si>
  <si>
    <t>ÁLVARO PAES</t>
  </si>
  <si>
    <t>Álvaro Corrêa Paes</t>
  </si>
  <si>
    <t>https://dadosabertos.camara.leg.br/api/v2/deputados/2565</t>
  </si>
  <si>
    <t>ÁLVARO ROCHA</t>
  </si>
  <si>
    <t>Alvaro Rocha Pereira da Silva</t>
  </si>
  <si>
    <t>1874-02-09</t>
  </si>
  <si>
    <t>https://dadosabertos.camara.leg.br/api/v2/deputados/2613</t>
  </si>
  <si>
    <t>AMAURY DE MEDEIROS</t>
  </si>
  <si>
    <t>Amaury de Medeiros</t>
  </si>
  <si>
    <t>1893-12-07</t>
  </si>
  <si>
    <t>https://dadosabertos.camara.leg.br/api/v2/deputados/130153</t>
  </si>
  <si>
    <t>ANÍBAL DE TOLEDO</t>
  </si>
  <si>
    <t>Annibal Benicio de Toledo</t>
  </si>
  <si>
    <t>1881-06-21</t>
  </si>
  <si>
    <t>https://dadosabertos.camara.leg.br/api/v2/deputados/2370</t>
  </si>
  <si>
    <t>ANTONINO FREIRE</t>
  </si>
  <si>
    <t>Antonino Freire da Silva</t>
  </si>
  <si>
    <t>1878-05-10</t>
  </si>
  <si>
    <t>https://dadosabertos.camara.leg.br/api/v2/deputados/130156</t>
  </si>
  <si>
    <t>ARMANDO BURLAMAQUI</t>
  </si>
  <si>
    <t>Armando Cezar Burlamaqui</t>
  </si>
  <si>
    <t>1874-07-09</t>
  </si>
  <si>
    <t>https://dadosabertos.camara.leg.br/api/v2/deputados/130157</t>
  </si>
  <si>
    <t>AUGUSTO GLÓRIA</t>
  </si>
  <si>
    <t>Augusto Gloria Ferreira Alves</t>
  </si>
  <si>
    <t>https://dadosabertos.camara.leg.br/api/v2/deputados/2603</t>
  </si>
  <si>
    <t>AUTO DE SÁ</t>
  </si>
  <si>
    <t>Auto de Sá</t>
  </si>
  <si>
    <t>https://dadosabertos.camara.leg.br/api/v2/deputados/130166</t>
  </si>
  <si>
    <t>João Baeta Neves</t>
  </si>
  <si>
    <t>https://dadosabertos.camara.leg.br/api/v2/deputados/2604</t>
  </si>
  <si>
    <t>BASÍLIO DE MAGALHÃES</t>
  </si>
  <si>
    <t>Basílio de Magalhães</t>
  </si>
  <si>
    <t>1874-06-14</t>
  </si>
  <si>
    <t>Barroso</t>
  </si>
  <si>
    <t>https://dadosabertos.camara.leg.br/api/v2/deputados/2575</t>
  </si>
  <si>
    <t>BATISTA BITTENCOURT</t>
  </si>
  <si>
    <t>Antonio Baptista Bittencourt</t>
  </si>
  <si>
    <t>https://dadosabertos.camara.leg.br/api/v2/deputados/130158</t>
  </si>
  <si>
    <t>BENTO MIRANDA</t>
  </si>
  <si>
    <t>Bento José de Miranda</t>
  </si>
  <si>
    <t>https://dadosabertos.camara.leg.br/api/v2/deputados/2592</t>
  </si>
  <si>
    <t>BERNARDES SOBRINHO</t>
  </si>
  <si>
    <t>Joaquim José Bernardes Sobrinho</t>
  </si>
  <si>
    <t>1885-06-08</t>
  </si>
  <si>
    <t>https://dadosabertos.camara.leg.br/api/v2/deputados/2552</t>
  </si>
  <si>
    <t>CARLOS PESSOA</t>
  </si>
  <si>
    <t>Carlos da Silva Pessôa</t>
  </si>
  <si>
    <t>https://dadosabertos.camara.leg.br/api/v2/deputados/4423</t>
  </si>
  <si>
    <t>CLEMENTINO DO MONTE</t>
  </si>
  <si>
    <t>Manoel Clementino do Monte</t>
  </si>
  <si>
    <t>1859-03-17</t>
  </si>
  <si>
    <t>https://dadosabertos.camara.leg.br/api/v2/deputados/4433</t>
  </si>
  <si>
    <t>Pedro da Costa Rego</t>
  </si>
  <si>
    <t>1889-03-12</t>
  </si>
  <si>
    <t>https://dadosabertos.camara.leg.br/api/v2/deputados/2510</t>
  </si>
  <si>
    <t>DANIEL CARNEIRO</t>
  </si>
  <si>
    <t>Daniel Vieira Carneiro</t>
  </si>
  <si>
    <t>https://dadosabertos.camara.leg.br/api/v2/deputados/130160</t>
  </si>
  <si>
    <t>DORVAL PORTO</t>
  </si>
  <si>
    <t>Dorval Pires Porto</t>
  </si>
  <si>
    <t>1878-07-08</t>
  </si>
  <si>
    <t>https://dadosabertos.camara.leg.br/api/v2/deputados/130161</t>
  </si>
  <si>
    <t>EDUARDO DO AMARAL</t>
  </si>
  <si>
    <t>Eduardo Carlos Vilhena do Amaral</t>
  </si>
  <si>
    <t>1857-08-16</t>
  </si>
  <si>
    <t>https://dadosabertos.camara.leg.br/api/v2/deputados/130162</t>
  </si>
  <si>
    <t>EMÍLIO JARDIM</t>
  </si>
  <si>
    <t>Emílio Jardim de Resende</t>
  </si>
  <si>
    <t>https://dadosabertos.camara.leg.br/api/v2/deputados/2549</t>
  </si>
  <si>
    <t>EUGÊNIO MELO</t>
  </si>
  <si>
    <t>Eugênio da Cunha e Melo</t>
  </si>
  <si>
    <t>1875-03-26</t>
  </si>
  <si>
    <t>https://dadosabertos.camara.leg.br/api/v2/deputados/4400</t>
  </si>
  <si>
    <t>EURICO CHAVES</t>
  </si>
  <si>
    <t>Eurico de Castro Chaves</t>
  </si>
  <si>
    <t>https://dadosabertos.camara.leg.br/api/v2/deputados/4401</t>
  </si>
  <si>
    <t>EURIDES CUNHA</t>
  </si>
  <si>
    <t>Eurides Cunha</t>
  </si>
  <si>
    <t>1872-06-26</t>
  </si>
  <si>
    <t>https://dadosabertos.camara.leg.br/api/v2/deputados/2627</t>
  </si>
  <si>
    <t>FÁBIO BARRETO</t>
  </si>
  <si>
    <t>Fábio de Sá Barreto</t>
  </si>
  <si>
    <t>1876-01-04</t>
  </si>
  <si>
    <t>https://dadosabertos.camara.leg.br/api/v2/deputados/4403</t>
  </si>
  <si>
    <t>FIRMINO PAIM</t>
  </si>
  <si>
    <t>Firmino Paim Filho</t>
  </si>
  <si>
    <t>1884-12-15</t>
  </si>
  <si>
    <t>https://dadosabertos.camara.leg.br/api/v2/deputados/2406</t>
  </si>
  <si>
    <t>FLÁVIO DA SILVEIRA</t>
  </si>
  <si>
    <t>Flávio Amaro Corrêa da Silveira</t>
  </si>
  <si>
    <t>https://dadosabertos.camara.leg.br/api/v2/deputados/4405</t>
  </si>
  <si>
    <t>FRANCISCO MORATO</t>
  </si>
  <si>
    <t>Francisco Antonio de Almeida Morato</t>
  </si>
  <si>
    <t>1868-10-17</t>
  </si>
  <si>
    <t>https://dadosabertos.camara.leg.br/api/v2/deputados/2539</t>
  </si>
  <si>
    <t>FREITAS MELRO</t>
  </si>
  <si>
    <t>Hermillo de Freitas Melro</t>
  </si>
  <si>
    <t>1880-09-30</t>
  </si>
  <si>
    <t>Gararu</t>
  </si>
  <si>
    <t>https://dadosabertos.camara.leg.br/api/v2/deputados/130163</t>
  </si>
  <si>
    <t>GARIBALDI DE MELO</t>
  </si>
  <si>
    <t>Garibaldi de Castro e Mello</t>
  </si>
  <si>
    <t>https://dadosabertos.camara.leg.br/api/v2/deputados/130164</t>
  </si>
  <si>
    <t>GENTIL TAVARES</t>
  </si>
  <si>
    <t>Gentil Tavares da Motta</t>
  </si>
  <si>
    <t>1892-10-11</t>
  </si>
  <si>
    <t>https://dadosabertos.camara.leg.br/api/v2/deputados/130165</t>
  </si>
  <si>
    <t>GERALDO VIANA</t>
  </si>
  <si>
    <t>Geraldo Vianna</t>
  </si>
  <si>
    <t>1877-12-05</t>
  </si>
  <si>
    <t>https://dadosabertos.camara.leg.br/api/v2/deputados/1599</t>
  </si>
  <si>
    <t>GONÇALVES FERREIRA</t>
  </si>
  <si>
    <t>Antonio Gonçalves Ferreira</t>
  </si>
  <si>
    <t>1846-09-26</t>
  </si>
  <si>
    <t>https://dadosabertos.camara.leg.br/api/v2/deputados/2629</t>
  </si>
  <si>
    <t>HEITOR PENTEADO</t>
  </si>
  <si>
    <t>Heitor Teixeira Penteado</t>
  </si>
  <si>
    <t>1878-12-16</t>
  </si>
  <si>
    <t>https://dadosabertos.camara.leg.br/api/v2/deputados/4409</t>
  </si>
  <si>
    <t>HONORATO ALVES</t>
  </si>
  <si>
    <t>Honorato José Alves</t>
  </si>
  <si>
    <t>https://dadosabertos.camara.leg.br/api/v2/deputados/2444</t>
  </si>
  <si>
    <t>HORÁCIO MAGALHÃES</t>
  </si>
  <si>
    <t>Horacio de Magalhães Gomes</t>
  </si>
  <si>
    <t>1867-11-22</t>
  </si>
  <si>
    <t>https://dadosabertos.camara.leg.br/api/v2/deputados/2551</t>
  </si>
  <si>
    <t>João de Almeida Lisbôa</t>
  </si>
  <si>
    <t>https://dadosabertos.camara.leg.br/api/v2/deputados/2567</t>
  </si>
  <si>
    <t>JOAQUIM DE MELLO</t>
  </si>
  <si>
    <t>Antonio Joaquim de Mello</t>
  </si>
  <si>
    <t>https://dadosabertos.camara.leg.br/api/v2/deputados/4415</t>
  </si>
  <si>
    <t>JOAQUIM OSÓRIO</t>
  </si>
  <si>
    <t>Joaquim Luiz Ozorio</t>
  </si>
  <si>
    <t>1881-07-14</t>
  </si>
  <si>
    <t>https://dadosabertos.camara.leg.br/api/v2/deputados/4414</t>
  </si>
  <si>
    <t>JOAQUIM PIRES</t>
  </si>
  <si>
    <t>Joaquim de Lima Pires Ferreira</t>
  </si>
  <si>
    <t>1869-07-16</t>
  </si>
  <si>
    <t>https://dadosabertos.camara.leg.br/api/v2/deputados/2615</t>
  </si>
  <si>
    <t>JOSÉ MARIA BELO</t>
  </si>
  <si>
    <t>José Maria Bello</t>
  </si>
  <si>
    <t>1885-12-18</t>
  </si>
  <si>
    <t>https://dadosabertos.camara.leg.br/api/v2/deputados/2588</t>
  </si>
  <si>
    <t>JOSÉ MOREIRA DA ROCHA</t>
  </si>
  <si>
    <t>José Moreira da Rocha</t>
  </si>
  <si>
    <t>1871-03-24</t>
  </si>
  <si>
    <t>https://dadosabertos.camara.leg.br/api/v2/deputados/4419</t>
  </si>
  <si>
    <t>JÚLIO PRESTES</t>
  </si>
  <si>
    <t>Julio Prestes de Albuquerque</t>
  </si>
  <si>
    <t>1882-03-15</t>
  </si>
  <si>
    <t>https://dadosabertos.camara.leg.br/api/v2/deputados/4420</t>
  </si>
  <si>
    <t>JÚLIO SANTOS</t>
  </si>
  <si>
    <t>Júlio Veríssimo da Silva Santos</t>
  </si>
  <si>
    <t>1845-09-17</t>
  </si>
  <si>
    <t>https://dadosabertos.camara.leg.br/api/v2/deputados/4421</t>
  </si>
  <si>
    <t>LAURO JACQUES</t>
  </si>
  <si>
    <t>Lauro de Oliveira Jacques</t>
  </si>
  <si>
    <t>1875-03-14</t>
  </si>
  <si>
    <t>https://dadosabertos.camara.leg.br/api/v2/deputados/4422</t>
  </si>
  <si>
    <t>LINCOLN PRATES</t>
  </si>
  <si>
    <t>Lincoln Prates</t>
  </si>
  <si>
    <t>https://dadosabertos.camara.leg.br/api/v2/deputados/130167</t>
  </si>
  <si>
    <t>LUIS ROLLEMBERG</t>
  </si>
  <si>
    <t>Luiz Dias Rollemberg</t>
  </si>
  <si>
    <t>https://dadosabertos.camara.leg.br/api/v2/deputados/4439</t>
  </si>
  <si>
    <t>MANOEL FULGENCIO</t>
  </si>
  <si>
    <t>Manoel Fulgencio Alves Pereira</t>
  </si>
  <si>
    <t>1841-06-13</t>
  </si>
  <si>
    <t>https://dadosabertos.camara.leg.br/api/v2/deputados/2584</t>
  </si>
  <si>
    <t>MANUEL SÁTIRO</t>
  </si>
  <si>
    <t>Manoel Satyro</t>
  </si>
  <si>
    <t>1880-05-03</t>
  </si>
  <si>
    <t>https://dadosabertos.camara.leg.br/api/v2/deputados/2585</t>
  </si>
  <si>
    <t>MANUEL TEÓFILO</t>
  </si>
  <si>
    <t>Manoel Theophilo Gaspar de Oliveira</t>
  </si>
  <si>
    <t>1885-05-31</t>
  </si>
  <si>
    <t>https://dadosabertos.camara.leg.br/api/v2/deputados/130168</t>
  </si>
  <si>
    <t>MANUEL VILABOIM</t>
  </si>
  <si>
    <t>Manoel Pedro Villaboim</t>
  </si>
  <si>
    <t>1867-07-16</t>
  </si>
  <si>
    <t>https://dadosabertos.camara.leg.br/api/v2/deputados/2611</t>
  </si>
  <si>
    <t>MARINS CAMARGO</t>
  </si>
  <si>
    <t>Marins Alves de Camargo</t>
  </si>
  <si>
    <t>1882-02-22</t>
  </si>
  <si>
    <t>https://dadosabertos.camara.leg.br/api/v2/deputados/2587</t>
  </si>
  <si>
    <t>MATOS PEIXOTO</t>
  </si>
  <si>
    <t>José Carlos de Matos Peixoto</t>
  </si>
  <si>
    <t>1884-03-12</t>
  </si>
  <si>
    <t>https://dadosabertos.camara.leg.br/api/v2/deputados/4379</t>
  </si>
  <si>
    <t>Afranio de Mello Franco</t>
  </si>
  <si>
    <t>1870-02-25</t>
  </si>
  <si>
    <t>https://dadosabertos.camara.leg.br/api/v2/deputados/4431</t>
  </si>
  <si>
    <t>MORAIS BARROS</t>
  </si>
  <si>
    <t>Paulo de Moraes Barros</t>
  </si>
  <si>
    <t>1866-07-16</t>
  </si>
  <si>
    <t>https://dadosabertos.camara.leg.br/api/v2/deputados/130171</t>
  </si>
  <si>
    <t>NELSON DE SENA</t>
  </si>
  <si>
    <t>Nelson Coelho de Senna</t>
  </si>
  <si>
    <t>1876-10-11</t>
  </si>
  <si>
    <t>https://dadosabertos.camara.leg.br/api/v2/deputados/2172</t>
  </si>
  <si>
    <t>OLIVEIRA BOTELHO</t>
  </si>
  <si>
    <t>Francisco Chaves de Oliveira Botelho</t>
  </si>
  <si>
    <t>1868-02-19</t>
  </si>
  <si>
    <t>Montevidéu</t>
  </si>
  <si>
    <t>https://dadosabertos.camara.leg.br/api/v2/deputados/2619</t>
  </si>
  <si>
    <t>OSVALDO ARANHA</t>
  </si>
  <si>
    <t>Oswaldo Euclides de Souza Aranha</t>
  </si>
  <si>
    <t>1894-02-15</t>
  </si>
  <si>
    <t>https://dadosabertos.camara.leg.br/api/v2/deputados/2556</t>
  </si>
  <si>
    <t>OTÁVIO TAVARES</t>
  </si>
  <si>
    <t>Octavio Hamilton Tavares Barreto</t>
  </si>
  <si>
    <t>1871-03-12</t>
  </si>
  <si>
    <t>https://dadosabertos.camara.leg.br/api/v2/deputados/2288</t>
  </si>
  <si>
    <t>PAULINO DE SOUSA</t>
  </si>
  <si>
    <t>Paulino José Soares de Souza Junior</t>
  </si>
  <si>
    <t>1864-05-09</t>
  </si>
  <si>
    <t>https://dadosabertos.camara.leg.br/api/v2/deputados/4432</t>
  </si>
  <si>
    <t>PEDRO BORGES</t>
  </si>
  <si>
    <t>Pedro Borges da Silva</t>
  </si>
  <si>
    <t>1890-04-29</t>
  </si>
  <si>
    <t>https://dadosabertos.camara.leg.br/api/v2/deputados/4387</t>
  </si>
  <si>
    <t>PEREIRA DE CARVALHO</t>
  </si>
  <si>
    <t>Alvaro Pereira de Carvalho</t>
  </si>
  <si>
    <t>1885-02-19</t>
  </si>
  <si>
    <t>https://dadosabertos.camara.leg.br/api/v2/deputados/130155</t>
  </si>
  <si>
    <t>RIBEIRO GONÇALVES</t>
  </si>
  <si>
    <t>Antonio Ribeiro Gonçalves</t>
  </si>
  <si>
    <t>https://dadosabertos.camara.leg.br/api/v2/deputados/130154</t>
  </si>
  <si>
    <t>SALES JÚNIOR</t>
  </si>
  <si>
    <t>Antonio Carlos de Salles Junior</t>
  </si>
  <si>
    <t>1884-01-22</t>
  </si>
  <si>
    <t>https://dadosabertos.camara.leg.br/api/v2/deputados/2528</t>
  </si>
  <si>
    <t>SOUSA FILHO</t>
  </si>
  <si>
    <t>Manoel Francisco de Souza Filho</t>
  </si>
  <si>
    <t>1886-07-04</t>
  </si>
  <si>
    <t>https://dadosabertos.camara.leg.br/api/v2/deputados/130169</t>
  </si>
  <si>
    <t>TAVARES CAVALCANTI</t>
  </si>
  <si>
    <t>Manoel Tavares Cavalcanti</t>
  </si>
  <si>
    <t>1880-08-15</t>
  </si>
  <si>
    <t>https://dadosabertos.camara.leg.br/api/v2/deputados/2581</t>
  </si>
  <si>
    <t>TEODORO SAMPAIO</t>
  </si>
  <si>
    <t>Theodoro Fernandes Sampaio</t>
  </si>
  <si>
    <t>1855-01-07</t>
  </si>
  <si>
    <t>https://dadosabertos.camara.leg.br/api/v2/deputados/2595</t>
  </si>
  <si>
    <t>TERTULIANO POTIGUARA</t>
  </si>
  <si>
    <t>Tertuliano de Albuquerque Potiguara</t>
  </si>
  <si>
    <t>1873-04-27</t>
  </si>
  <si>
    <t>https://dadosabertos.camara.leg.br/api/v2/deputados/4427</t>
  </si>
  <si>
    <t>UBALDINO DE ASSIS</t>
  </si>
  <si>
    <t>Manoel Ubaldino Nascimento de Assis</t>
  </si>
  <si>
    <t>1861-12-25</t>
  </si>
  <si>
    <t>https://dadosabertos.camara.leg.br/api/v2/deputados/4436</t>
  </si>
  <si>
    <t>UBALDINO GONZAGA</t>
  </si>
  <si>
    <t>Ubaldino Gonzaga</t>
  </si>
  <si>
    <t>1880-12-24</t>
  </si>
  <si>
    <t>https://dadosabertos.camara.leg.br/api/v2/deputados/130159</t>
  </si>
  <si>
    <t>VAZ DE MELO</t>
  </si>
  <si>
    <t>Cornelio Vaz de Melo</t>
  </si>
  <si>
    <t>1855-01-10</t>
  </si>
  <si>
    <t>https://dadosabertos.camara.leg.br/api/v2/deputados/2248</t>
  </si>
  <si>
    <t>VIDAL RAMOS</t>
  </si>
  <si>
    <t>Vidal José de Oliveira Ramos Junior</t>
  </si>
  <si>
    <t>1865-10-24</t>
  </si>
  <si>
    <t>https://dadosabertos.camara.leg.br/api/v2/deputados/2548</t>
  </si>
  <si>
    <t>VITAL SOARES</t>
  </si>
  <si>
    <t>Vital Henrique Baptista Soares</t>
  </si>
  <si>
    <t>1874-11-03</t>
  </si>
  <si>
    <t>https://dadosabertos.camara.leg.br/api/v2/deputados/130152</t>
  </si>
  <si>
    <t>AFONSO PENA JÚNIOR</t>
  </si>
  <si>
    <t>Affonso Augusto Moreira Penna Junior</t>
  </si>
  <si>
    <t>1879-12-25</t>
  </si>
  <si>
    <t>https://dadosabertos.camara.leg.br/api/v2/deputados/4305</t>
  </si>
  <si>
    <t>ALBERTO SARMENTO</t>
  </si>
  <si>
    <t>Alberto Sarmento</t>
  </si>
  <si>
    <t>1864-04-10</t>
  </si>
  <si>
    <t>https://dadosabertos.camara.leg.br/api/v2/deputados/2543</t>
  </si>
  <si>
    <t>ALBUQUERQUE LIBÓRIO</t>
  </si>
  <si>
    <t>Joaquim de Albuquerque Libório</t>
  </si>
  <si>
    <t>1897-05-28</t>
  </si>
  <si>
    <t>https://dadosabertos.camara.leg.br/api/v2/deputados/4306</t>
  </si>
  <si>
    <t>ALCIDES BAHIA</t>
  </si>
  <si>
    <t>Alcides Bahia</t>
  </si>
  <si>
    <t>https://dadosabertos.camara.leg.br/api/v2/deputados/2506</t>
  </si>
  <si>
    <t>ÁLVARO COVA</t>
  </si>
  <si>
    <t>José Alvaro Cova</t>
  </si>
  <si>
    <t>1870-12-24</t>
  </si>
  <si>
    <t>https://dadosabertos.camara.leg.br/api/v2/deputados/4332</t>
  </si>
  <si>
    <t>ALVES DE CASTRO</t>
  </si>
  <si>
    <t>João Alves de Castro</t>
  </si>
  <si>
    <t>https://dadosabertos.camara.leg.br/api/v2/deputados/2179</t>
  </si>
  <si>
    <t>ARNOLFO DE AZEVEDO</t>
  </si>
  <si>
    <t>Arnolpho Rodrigues de Azevedo</t>
  </si>
  <si>
    <t>1868-11-11</t>
  </si>
  <si>
    <t>https://dadosabertos.camara.leg.br/api/v2/deputados/4309</t>
  </si>
  <si>
    <t>ARTUR CAETANO</t>
  </si>
  <si>
    <t>Arthur Caetano da Silva</t>
  </si>
  <si>
    <t>1886-01-28</t>
  </si>
  <si>
    <t>https://dadosabertos.camara.leg.br/api/v2/deputados/2280</t>
  </si>
  <si>
    <t>ARTUR COLARES MOREIRA</t>
  </si>
  <si>
    <t>Artur Quadros Colares Moreira</t>
  </si>
  <si>
    <t>1866-12-01</t>
  </si>
  <si>
    <t>https://dadosabertos.camara.leg.br/api/v2/deputados/2544</t>
  </si>
  <si>
    <t>AURELINO LEAL</t>
  </si>
  <si>
    <t>Aurelino de Araujo Leal</t>
  </si>
  <si>
    <t>1877-08-04</t>
  </si>
  <si>
    <t>Rio de Contas</t>
  </si>
  <si>
    <t>https://dadosabertos.camara.leg.br/api/v2/deputados/4341</t>
  </si>
  <si>
    <t>AUTO DE ABREU</t>
  </si>
  <si>
    <t>José Burlamaqui Auto de Abreu</t>
  </si>
  <si>
    <t>https://dadosabertos.camara.leg.br/api/v2/deputados/2271</t>
  </si>
  <si>
    <t>BETHENCOURT DA SILVA FILHO</t>
  </si>
  <si>
    <t>Francisco Joaquim de Bethencourt da Silva Filho</t>
  </si>
  <si>
    <t>https://dadosabertos.camara.leg.br/api/v2/deputados/2174</t>
  </si>
  <si>
    <t>BORGES MONTEIRO</t>
  </si>
  <si>
    <t>Henrique Borges Monteiro</t>
  </si>
  <si>
    <t>1869-01-11</t>
  </si>
  <si>
    <t>https://dadosabertos.camara.leg.br/api/v2/deputados/2554</t>
  </si>
  <si>
    <t>CARLOS LIRA FILHO</t>
  </si>
  <si>
    <t>Carlos Lira Filho</t>
  </si>
  <si>
    <t>https://dadosabertos.camara.leg.br/api/v2/deputados/2141</t>
  </si>
  <si>
    <t>CARVALHO BRITO</t>
  </si>
  <si>
    <t>Manoel Thomaz de Carvalho Britto</t>
  </si>
  <si>
    <t>1872-01-17</t>
  </si>
  <si>
    <t>https://dadosabertos.camara.leg.br/api/v2/deputados/130145</t>
  </si>
  <si>
    <t>CELSO BAYMA</t>
  </si>
  <si>
    <t>Celso Bayma</t>
  </si>
  <si>
    <t>1874-07-08</t>
  </si>
  <si>
    <t>Assunção</t>
  </si>
  <si>
    <t>https://dadosabertos.camara.leg.br/api/v2/deputados/2566</t>
  </si>
  <si>
    <t>CÉSAR MAGALHÃES</t>
  </si>
  <si>
    <t>José Cesar de Magalhães Primo</t>
  </si>
  <si>
    <t>https://dadosabertos.camara.leg.br/api/v2/deputados/2490</t>
  </si>
  <si>
    <t>CORREIA DE BRITO</t>
  </si>
  <si>
    <t>Luiz Correa de Brito</t>
  </si>
  <si>
    <t>1859-07-21</t>
  </si>
  <si>
    <t>https://dadosabertos.camara.leg.br/api/v2/deputados/2555</t>
  </si>
  <si>
    <t>DANIEL DE MELO</t>
  </si>
  <si>
    <t>Joaquim Daniel Pereira de Mello</t>
  </si>
  <si>
    <t>https://dadosabertos.camara.leg.br/api/v2/deputados/2397</t>
  </si>
  <si>
    <t>EFIGÊNIO DE SALES</t>
  </si>
  <si>
    <t>Ephigenio Ferreira de Salles</t>
  </si>
  <si>
    <t>1877-08-16</t>
  </si>
  <si>
    <t>https://dadosabertos.camara.leg.br/api/v2/deputados/4315</t>
  </si>
  <si>
    <t>ELISEU GUILHERME</t>
  </si>
  <si>
    <t>Eliseu Guilherme da Silva</t>
  </si>
  <si>
    <t>1843-09-20</t>
  </si>
  <si>
    <t>https://dadosabertos.camara.leg.br/api/v2/deputados/4317</t>
  </si>
  <si>
    <t>EUCLIDES MALTA</t>
  </si>
  <si>
    <t>Euclydes Vieira Malta</t>
  </si>
  <si>
    <t>1863-09-16</t>
  </si>
  <si>
    <t>Mata Grande</t>
  </si>
  <si>
    <t>https://dadosabertos.camara.leg.br/api/v2/deputados/2521</t>
  </si>
  <si>
    <t>EURICO VALE</t>
  </si>
  <si>
    <t>Eurico de Freitas Valle</t>
  </si>
  <si>
    <t>1888-05-20</t>
  </si>
  <si>
    <t>https://dadosabertos.camara.leg.br/api/v2/deputados/4337</t>
  </si>
  <si>
    <t>Joaquim David Ferreira Lima</t>
  </si>
  <si>
    <t>1875-11-14</t>
  </si>
  <si>
    <t>https://dadosabertos.camara.leg.br/api/v2/deputados/2511</t>
  </si>
  <si>
    <t>FLORO BARTOLOMEU</t>
  </si>
  <si>
    <t>Floro Bartholomeu da Costa</t>
  </si>
  <si>
    <t>1876-08-17</t>
  </si>
  <si>
    <t>https://dadosabertos.camara.leg.br/api/v2/deputados/1766</t>
  </si>
  <si>
    <t>FONSECA HERMES</t>
  </si>
  <si>
    <t>João Severiano da Fonseca Hermes</t>
  </si>
  <si>
    <t>1855-06-26</t>
  </si>
  <si>
    <t>https://dadosabertos.camara.leg.br/api/v2/deputados/2518</t>
  </si>
  <si>
    <t>FRANCISCO CAMPOS</t>
  </si>
  <si>
    <t>Francisco Luiz da Silva Campos</t>
  </si>
  <si>
    <t>1891-11-18</t>
  </si>
  <si>
    <t>https://dadosabertos.camara.leg.br/api/v2/deputados/4344</t>
  </si>
  <si>
    <t>GEORGINO AVELINO</t>
  </si>
  <si>
    <t>José Georgino Alves Avelino</t>
  </si>
  <si>
    <t>1888-07-31</t>
  </si>
  <si>
    <t>https://dadosabertos.camara.leg.br/api/v2/deputados/2531</t>
  </si>
  <si>
    <t>GETÚLIO VARGAS</t>
  </si>
  <si>
    <t>Getulio Dornelles Vargas</t>
  </si>
  <si>
    <t>1882-04-19</t>
  </si>
  <si>
    <t>https://dadosabertos.camara.leg.br/api/v2/deputados/2452</t>
  </si>
  <si>
    <t>GILBERTO AMADO</t>
  </si>
  <si>
    <t>Gilberto de Lima Azevedo Souza Ferreira Amado de Faria</t>
  </si>
  <si>
    <t>1887-05-07</t>
  </si>
  <si>
    <t>https://dadosabertos.camara.leg.br/api/v2/deputados/2433</t>
  </si>
  <si>
    <t>GOUVEIA DE BARROS</t>
  </si>
  <si>
    <t>Manoel Gouvêa de Barros</t>
  </si>
  <si>
    <t>1881-11-09</t>
  </si>
  <si>
    <t>https://dadosabertos.camara.leg.br/api/v2/deputados/2550</t>
  </si>
  <si>
    <t>GUDESTEU PIRES</t>
  </si>
  <si>
    <t>Gudesteu de Sá Pires</t>
  </si>
  <si>
    <t>1890-05-20</t>
  </si>
  <si>
    <t>https://dadosabertos.camara.leg.br/api/v2/deputados/4328</t>
  </si>
  <si>
    <t>HEITOR DE SOUZA</t>
  </si>
  <si>
    <t>Heitor de Souza</t>
  </si>
  <si>
    <t>1871-05-29</t>
  </si>
  <si>
    <t>https://dadosabertos.camara.leg.br/api/v2/deputados/2593</t>
  </si>
  <si>
    <t>HENRIQUE WANDERLEY</t>
  </si>
  <si>
    <t>Henrique Augusto Wanderley</t>
  </si>
  <si>
    <t>1877-10-06</t>
  </si>
  <si>
    <t>https://dadosabertos.camara.leg.br/api/v2/deputados/1931</t>
  </si>
  <si>
    <t>HERCULANO DE FREITAS</t>
  </si>
  <si>
    <t>Uladislau Herculano de Freitas</t>
  </si>
  <si>
    <t>1865-11-25</t>
  </si>
  <si>
    <t>https://dadosabertos.camara.leg.br/api/v2/deputados/2559</t>
  </si>
  <si>
    <t>JOÃO LUIS</t>
  </si>
  <si>
    <t>João Luiz Ferreira</t>
  </si>
  <si>
    <t>https://dadosabertos.camara.leg.br/api/v2/deputados/2533</t>
  </si>
  <si>
    <t>JOAQUIM MOREIRA</t>
  </si>
  <si>
    <t>Joaquim Francisco Moreira</t>
  </si>
  <si>
    <t>1853-08-24</t>
  </si>
  <si>
    <t>https://dadosabertos.camara.leg.br/api/v2/deputados/2419</t>
  </si>
  <si>
    <t>José Alves Ferreira e Mello</t>
  </si>
  <si>
    <t>https://dadosabertos.camara.leg.br/api/v2/deputados/2464</t>
  </si>
  <si>
    <t>JOSÉ BARRETO</t>
  </si>
  <si>
    <t>José Barreto da Costa Rodrigues</t>
  </si>
  <si>
    <t>https://dadosabertos.camara.leg.br/api/v2/deputados/2420</t>
  </si>
  <si>
    <t>JOSÉ GONÇALVES</t>
  </si>
  <si>
    <t>José Gonçalves de Souza</t>
  </si>
  <si>
    <t>https://dadosabertos.camara.leg.br/api/v2/deputados/2401</t>
  </si>
  <si>
    <t>JOSÉ LINO</t>
  </si>
  <si>
    <t>José Lino da Justa</t>
  </si>
  <si>
    <t>1863-09-23</t>
  </si>
  <si>
    <t>Pacatuba</t>
  </si>
  <si>
    <t>https://dadosabertos.camara.leg.br/api/v2/deputados/2500</t>
  </si>
  <si>
    <t>JOSÉ ROBERTO</t>
  </si>
  <si>
    <t>José Roberto Leite Penteado</t>
  </si>
  <si>
    <t>1858-03-27</t>
  </si>
  <si>
    <t>https://dadosabertos.camara.leg.br/api/v2/deputados/4351</t>
  </si>
  <si>
    <t>JUVENAL LAMARTINE</t>
  </si>
  <si>
    <t>Juvenal Lamartine de Faria</t>
  </si>
  <si>
    <t>https://dadosabertos.camara.leg.br/api/v2/deputados/130148</t>
  </si>
  <si>
    <t>LAFAIETE CRUZ</t>
  </si>
  <si>
    <t>LAFAYETTE CRUZ</t>
  </si>
  <si>
    <t>https://dadosabertos.camara.leg.br/api/v2/deputados/2513</t>
  </si>
  <si>
    <t>LEIRIA DE ANDRADE</t>
  </si>
  <si>
    <t>Manoel Leiria de Andrade</t>
  </si>
  <si>
    <t>1889-03-21</t>
  </si>
  <si>
    <t>https://dadosabertos.camara.leg.br/api/v2/deputados/4352</t>
  </si>
  <si>
    <t>LEOPOLDINO DE OLIVEIRA</t>
  </si>
  <si>
    <t>Leopoldino de Oliveira</t>
  </si>
  <si>
    <t>https://dadosabertos.camara.leg.br/api/v2/deputados/2292</t>
  </si>
  <si>
    <t>LIRA CASTRO</t>
  </si>
  <si>
    <t>Geminiano de Lyra Castro</t>
  </si>
  <si>
    <t>https://dadosabertos.camara.leg.br/api/v2/deputados/2535</t>
  </si>
  <si>
    <t>LUÍS GUARANÁ</t>
  </si>
  <si>
    <t>Luiz Guaraná</t>
  </si>
  <si>
    <t>https://dadosabertos.camara.leg.br/api/v2/deputados/2568</t>
  </si>
  <si>
    <t>Manoel de Mattos Duarte Silva</t>
  </si>
  <si>
    <t>1877-11-01</t>
  </si>
  <si>
    <t>https://dadosabertos.camara.leg.br/api/v2/deputados/4361</t>
  </si>
  <si>
    <t>MARCOLINO DE BARROS</t>
  </si>
  <si>
    <t>Marcolino Ferreira de Barros</t>
  </si>
  <si>
    <t>1872-08-16</t>
  </si>
  <si>
    <t>Jaguarari</t>
  </si>
  <si>
    <t>https://dadosabertos.camara.leg.br/api/v2/deputados/2240</t>
  </si>
  <si>
    <t>NABUCO DE GOUVEIA</t>
  </si>
  <si>
    <t>José Thomaz Nabuco de Gouvêa</t>
  </si>
  <si>
    <t>1872-10-11</t>
  </si>
  <si>
    <t>https://dadosabertos.camara.leg.br/api/v2/deputados/2258</t>
  </si>
  <si>
    <t>NATALÍCIO CAMBOIM</t>
  </si>
  <si>
    <t>Natalicio Camboim de Vasconcellos</t>
  </si>
  <si>
    <t>1872-05-23</t>
  </si>
  <si>
    <t>Barreiros</t>
  </si>
  <si>
    <t>https://dadosabertos.camara.leg.br/api/v2/deputados/2274</t>
  </si>
  <si>
    <t>NICANOR DO NASCIMENTO</t>
  </si>
  <si>
    <t>Nicanor Queiroz do Nascimento</t>
  </si>
  <si>
    <t>https://dadosabertos.camara.leg.br/api/v2/deputados/2538</t>
  </si>
  <si>
    <t>OLAVO EGÍDIO</t>
  </si>
  <si>
    <t>Olavo Egydio de Souza Aranha</t>
  </si>
  <si>
    <t>1863-10-10</t>
  </si>
  <si>
    <t>https://dadosabertos.camara.leg.br/api/v2/deputados/2343</t>
  </si>
  <si>
    <t>OLEGÁRIO PINTO</t>
  </si>
  <si>
    <t>Olegario Herculano da Silveira Pinto</t>
  </si>
  <si>
    <t>1857-03-16</t>
  </si>
  <si>
    <t>https://dadosabertos.camara.leg.br/api/v2/deputados/2520</t>
  </si>
  <si>
    <t>OLINTO DE MAGALHÃES</t>
  </si>
  <si>
    <t>Olyntho Maximo de Magalhães</t>
  </si>
  <si>
    <t>1867-01-11</t>
  </si>
  <si>
    <t>https://dadosabertos.camara.leg.br/api/v2/deputados/2591</t>
  </si>
  <si>
    <t>OSCAR LOUREIRO</t>
  </si>
  <si>
    <t>Oscar Augusto Loureiro</t>
  </si>
  <si>
    <t>https://dadosabertos.camara.leg.br/api/v2/deputados/2425</t>
  </si>
  <si>
    <t>OTACÍLIO DE ALBUQUERQUE</t>
  </si>
  <si>
    <t>Octacilio de Albuquerque</t>
  </si>
  <si>
    <t>1874-02-21</t>
  </si>
  <si>
    <t>https://dadosabertos.camara.leg.br/api/v2/deputados/130149</t>
  </si>
  <si>
    <t>PEDRO COSTA</t>
  </si>
  <si>
    <t>Pedro Luiz de Oliveira Costa</t>
  </si>
  <si>
    <t>1877-06-29</t>
  </si>
  <si>
    <t>https://dadosabertos.camara.leg.br/api/v2/deputados/2594</t>
  </si>
  <si>
    <t>PEREIRA JUNIOR</t>
  </si>
  <si>
    <t>Antonio José Pereira Junior</t>
  </si>
  <si>
    <t>1869-03-24</t>
  </si>
  <si>
    <t>Alcântara</t>
  </si>
  <si>
    <t>https://dadosabertos.camara.leg.br/api/v2/deputados/4333</t>
  </si>
  <si>
    <t>PEREIRA LEITE</t>
  </si>
  <si>
    <t>João Carlos Pereira Leite</t>
  </si>
  <si>
    <t>1861-07-12</t>
  </si>
  <si>
    <t>https://dadosabertos.camara.leg.br/api/v2/deputados/4310</t>
  </si>
  <si>
    <t>PINTO DA ROCHA</t>
  </si>
  <si>
    <t>Arthur Pinto da Rocha</t>
  </si>
  <si>
    <t>1864-12-26</t>
  </si>
  <si>
    <t>https://dadosabertos.camara.leg.br/api/v2/deputados/4348</t>
  </si>
  <si>
    <t>PIRES DO RIO</t>
  </si>
  <si>
    <t>José Pires do Rio</t>
  </si>
  <si>
    <t>1880-11-26</t>
  </si>
  <si>
    <t>https://dadosabertos.camara.leg.br/api/v2/deputados/4369</t>
  </si>
  <si>
    <t>PLÍNIO DE GODÓI</t>
  </si>
  <si>
    <t>Plinio de Godoy</t>
  </si>
  <si>
    <t>1870-11-24</t>
  </si>
  <si>
    <t>https://dadosabertos.camara.leg.br/api/v2/deputados/130150</t>
  </si>
  <si>
    <t>PRUDENTE DE MORAIS</t>
  </si>
  <si>
    <t>Prudente de Moraes Filho</t>
  </si>
  <si>
    <t>1874-12-29</t>
  </si>
  <si>
    <t>https://dadosabertos.camara.leg.br/api/v2/deputados/2435</t>
  </si>
  <si>
    <t>RODOLFO ARAUJO</t>
  </si>
  <si>
    <t>Rodolpho de Albuquerque Araujo</t>
  </si>
  <si>
    <t>https://dadosabertos.camara.leg.br/api/v2/deputados/4368</t>
  </si>
  <si>
    <t>RODRIGUES DA COSTA</t>
  </si>
  <si>
    <t>Pedro Frederico Rodrigues da Costa</t>
  </si>
  <si>
    <t>1889-06-29</t>
  </si>
  <si>
    <t>https://dadosabertos.camara.leg.br/api/v2/deputados/4360</t>
  </si>
  <si>
    <t>RODRIGUES MACHADO</t>
  </si>
  <si>
    <t>Marcelino Rodrigues Machado</t>
  </si>
  <si>
    <t>1886-12-22</t>
  </si>
  <si>
    <t>https://dadosabertos.camara.leg.br/api/v2/deputados/2465</t>
  </si>
  <si>
    <t>SEVERIANO MARQUES</t>
  </si>
  <si>
    <t>Manoel Severiano Ferreira Marques</t>
  </si>
  <si>
    <t>https://dadosabertos.camara.leg.br/api/v2/deputados/2527</t>
  </si>
  <si>
    <t>SOLIDÔNIO LEITE</t>
  </si>
  <si>
    <t>Solidonio Attico Leite</t>
  </si>
  <si>
    <t>1866-09-14</t>
  </si>
  <si>
    <t>https://dadosabertos.camara.leg.br/api/v2/deputados/1954</t>
  </si>
  <si>
    <t>TOMÁS ACIOLI</t>
  </si>
  <si>
    <t>Thomaz Pompeu Pinto Accioly</t>
  </si>
  <si>
    <t>1868-07-30</t>
  </si>
  <si>
    <t>https://dadosabertos.camara.leg.br/api/v2/deputados/2403</t>
  </si>
  <si>
    <t>TOMÁS RODRIGUES</t>
  </si>
  <si>
    <t>Thomaz de Paula Pessôa Rodrigues</t>
  </si>
  <si>
    <t>1873-11-24</t>
  </si>
  <si>
    <t>https://dadosabertos.camara.leg.br/api/v2/deputados/4312</t>
  </si>
  <si>
    <t>Augusto Vianna do Castelo</t>
  </si>
  <si>
    <t>1874-10-08</t>
  </si>
  <si>
    <t>https://dadosabertos.camara.leg.br/api/v2/deputados/2409</t>
  </si>
  <si>
    <t>VICENTE PIRAGIBE</t>
  </si>
  <si>
    <t>Vicente Ferreira da Costa Piragibe</t>
  </si>
  <si>
    <t>1879-06-02</t>
  </si>
  <si>
    <t>https://dadosabertos.camara.leg.br/api/v2/deputados/2203</t>
  </si>
  <si>
    <t>VIRGÍLIO DE LEMOS</t>
  </si>
  <si>
    <t>JOSÉ VIRGÍLIO DA SILVA LEMOS</t>
  </si>
  <si>
    <t>1863-07-27</t>
  </si>
  <si>
    <t>https://dadosabertos.camara.leg.br/api/v2/deputados/130151</t>
  </si>
  <si>
    <t>VITOR KONDER</t>
  </si>
  <si>
    <t>Victor Konder</t>
  </si>
  <si>
    <t>1886-02-21</t>
  </si>
  <si>
    <t>https://dadosabertos.camara.leg.br/api/v2/deputados/4376</t>
  </si>
  <si>
    <t>WALFREDO LEAL</t>
  </si>
  <si>
    <t>Walfredo Soares dos Santos Leal</t>
  </si>
  <si>
    <t>1855-02-21</t>
  </si>
  <si>
    <t>https://dadosabertos.camara.leg.br/api/v2/deputados/2241</t>
  </si>
  <si>
    <t>WENCESLAU ESCOBAR</t>
  </si>
  <si>
    <t>Wenceslau Pereira Escobar Escobar</t>
  </si>
  <si>
    <t>1857-12-08</t>
  </si>
  <si>
    <t>https://dadosabertos.camara.leg.br/api/v2/deputados/4378</t>
  </si>
  <si>
    <t>ZOROASTRO DE ALVARENGA</t>
  </si>
  <si>
    <t>Zoroastro Rodrigues de Alvarenga</t>
  </si>
  <si>
    <t>1878-01-15</t>
  </si>
  <si>
    <t>https://dadosabertos.camara.leg.br/api/v2/deputados/2523</t>
  </si>
  <si>
    <t>Affonso Alves de Camargo</t>
  </si>
  <si>
    <t>1873-09-25</t>
  </si>
  <si>
    <t>https://dadosabertos.camara.leg.br/api/v2/deputados/4237</t>
  </si>
  <si>
    <t>ALCIDES MAIA</t>
  </si>
  <si>
    <t>Alcides Maya</t>
  </si>
  <si>
    <t>1878-09-15</t>
  </si>
  <si>
    <t>https://dadosabertos.camara.leg.br/api/v2/deputados/4286</t>
  </si>
  <si>
    <t>ALEXANDRINO DA ROCHA</t>
  </si>
  <si>
    <t>Manoel Alexandrino da Rocha</t>
  </si>
  <si>
    <t>https://dadosabertos.camara.leg.br/api/v2/deputados/2509</t>
  </si>
  <si>
    <t>ALFREDO PINHEIRO</t>
  </si>
  <si>
    <t>Manoel Alfredo Rodrigues Pinheiro</t>
  </si>
  <si>
    <t>https://dadosabertos.camara.leg.br/api/v2/deputados/4262</t>
  </si>
  <si>
    <t>ALMEIDA CASTRO</t>
  </si>
  <si>
    <t>Francisco Pinheiro de Almeida Castro</t>
  </si>
  <si>
    <t>1858-08-28</t>
  </si>
  <si>
    <t>https://dadosabertos.camara.leg.br/api/v2/deputados/2537</t>
  </si>
  <si>
    <t>AMARAL CARVALHO</t>
  </si>
  <si>
    <t>Antonio Pereira do Amaral Carvalho</t>
  </si>
  <si>
    <t>1876-08-09</t>
  </si>
  <si>
    <t>https://dadosabertos.camara.leg.br/api/v2/deputados/4238</t>
  </si>
  <si>
    <t>AMERICANO DO BRASIL</t>
  </si>
  <si>
    <t>Antonio Americano do Brasil</t>
  </si>
  <si>
    <t>1892-08-18</t>
  </si>
  <si>
    <t>Bonfim</t>
  </si>
  <si>
    <t>https://dadosabertos.camara.leg.br/api/v2/deputados/2487</t>
  </si>
  <si>
    <t>ANDRADE BEZERRA</t>
  </si>
  <si>
    <t>Antonio Vicente de Andrade Bezerra</t>
  </si>
  <si>
    <t>https://dadosabertos.camara.leg.br/api/v2/deputados/4243</t>
  </si>
  <si>
    <t>ARISTIDES ROCHA</t>
  </si>
  <si>
    <t>Aristides Rocha</t>
  </si>
  <si>
    <t>1882-08-09</t>
  </si>
  <si>
    <t>Piracuruca</t>
  </si>
  <si>
    <t>https://dadosabertos.camara.leg.br/api/v2/deputados/4244</t>
  </si>
  <si>
    <t>ARLINDO FRAGOSO</t>
  </si>
  <si>
    <t>Arlindo Coelho Fragoso</t>
  </si>
  <si>
    <t>1865-10-30</t>
  </si>
  <si>
    <t>https://dadosabertos.camara.leg.br/api/v2/deputados/4247</t>
  </si>
  <si>
    <t>ASCENDINO DA CUNHA</t>
  </si>
  <si>
    <t>Ascendino Carneiro da Cunha</t>
  </si>
  <si>
    <t>https://dadosabertos.camara.leg.br/api/v2/deputados/2497</t>
  </si>
  <si>
    <t>AZEVEDO SODRÉ</t>
  </si>
  <si>
    <t>Antonio Augusto de Azevedo Sodré</t>
  </si>
  <si>
    <t>1864-12-13</t>
  </si>
  <si>
    <t>Maricá</t>
  </si>
  <si>
    <t>https://dadosabertos.camara.leg.br/api/v2/deputados/2405</t>
  </si>
  <si>
    <t>AZURÉM FURTADO</t>
  </si>
  <si>
    <t>Edmundo de Azurém Furtado</t>
  </si>
  <si>
    <t>1883-04-24</t>
  </si>
  <si>
    <t>https://dadosabertos.camara.leg.br/api/v2/deputados/1671</t>
  </si>
  <si>
    <t>BADARÓ</t>
  </si>
  <si>
    <t>Francisco Coelho Duarte Badaró</t>
  </si>
  <si>
    <t>1860-05-02</t>
  </si>
  <si>
    <t>https://dadosabertos.camara.leg.br/api/v2/deputados/4272</t>
  </si>
  <si>
    <t>Joaquim Augusto de Barros Penteado</t>
  </si>
  <si>
    <t>1872-08-03</t>
  </si>
  <si>
    <t>https://dadosabertos.camara.leg.br/api/v2/deputados/2514</t>
  </si>
  <si>
    <t>BARTLETT JAMES</t>
  </si>
  <si>
    <t>Bartlett James</t>
  </si>
  <si>
    <t>1886-03-19</t>
  </si>
  <si>
    <t>https://dadosabertos.camara.leg.br/api/v2/deputados/4280</t>
  </si>
  <si>
    <t>Júlio Bueno Brandão</t>
  </si>
  <si>
    <t>1858-07-11</t>
  </si>
  <si>
    <t>https://dadosabertos.camara.leg.br/api/v2/deputados/2499</t>
  </si>
  <si>
    <t>Carlos de Campos</t>
  </si>
  <si>
    <t>1866-08-06</t>
  </si>
  <si>
    <t>https://dadosabertos.camara.leg.br/api/v2/deputados/4249</t>
  </si>
  <si>
    <t>CARLOS GARCIA</t>
  </si>
  <si>
    <t>Carlos Augusto Garcia Ferreira</t>
  </si>
  <si>
    <t>1861-08-13</t>
  </si>
  <si>
    <t>https://dadosabertos.camara.leg.br/api/v2/deputados/2455</t>
  </si>
  <si>
    <t>CASTRO REBELO</t>
  </si>
  <si>
    <t>Affonso de Castro Rebello</t>
  </si>
  <si>
    <t>1865-08-16</t>
  </si>
  <si>
    <t>https://dadosabertos.camara.leg.br/api/v2/deputados/4261</t>
  </si>
  <si>
    <t>Francisco da Cunha Machado</t>
  </si>
  <si>
    <t>1860-04-14</t>
  </si>
  <si>
    <t>https://dadosabertos.camara.leg.br/api/v2/deputados/2524</t>
  </si>
  <si>
    <t>DANTAS BARRETO</t>
  </si>
  <si>
    <t>Emygdio Dantas Barreto</t>
  </si>
  <si>
    <t>1850-03-23</t>
  </si>
  <si>
    <t>https://dadosabertos.camara.leg.br/api/v2/deputados/2532</t>
  </si>
  <si>
    <t>DOMINGOS MARIANO</t>
  </si>
  <si>
    <t>Domingos Mariano Barcellos de Almeida</t>
  </si>
  <si>
    <t>1878-04-23</t>
  </si>
  <si>
    <t>https://dadosabertos.camara.leg.br/api/v2/deputados/2491</t>
  </si>
  <si>
    <t>EDUARDO TAVARES</t>
  </si>
  <si>
    <t>Eduardo Rodrigues Tavares de Mello</t>
  </si>
  <si>
    <t>https://dadosabertos.camara.leg.br/api/v2/deputados/4256</t>
  </si>
  <si>
    <t>ESTÁCIO COIMBRA</t>
  </si>
  <si>
    <t>Estácio de Albuquerque Coimbra</t>
  </si>
  <si>
    <t>1872-10-22</t>
  </si>
  <si>
    <t>https://dadosabertos.camara.leg.br/api/v2/deputados/1949</t>
  </si>
  <si>
    <t>EUGÊNIO TOURINHO</t>
  </si>
  <si>
    <t>Eugenio Gonçalves de Barros Tourinho</t>
  </si>
  <si>
    <t>https://dadosabertos.camara.leg.br/api/v2/deputados/4258</t>
  </si>
  <si>
    <t>EURÍPEDES DE AGUIAR</t>
  </si>
  <si>
    <t>Euripedes Clementino de Aguiar</t>
  </si>
  <si>
    <t>1880-01-19</t>
  </si>
  <si>
    <t>https://dadosabertos.camara.leg.br/api/v2/deputados/4259</t>
  </si>
  <si>
    <t>EVARISTO DO AMARAL</t>
  </si>
  <si>
    <t>Evaristo Teixeira do Amaral</t>
  </si>
  <si>
    <t>1859-07-04</t>
  </si>
  <si>
    <t>https://dadosabertos.camara.leg.br/api/v2/deputados/4264</t>
  </si>
  <si>
    <t>GODOFREDO MACIEL</t>
  </si>
  <si>
    <t>Godofredo Maciel</t>
  </si>
  <si>
    <t>1883-09-08</t>
  </si>
  <si>
    <t>https://dadosabertos.camara.leg.br/api/v2/deputados/1881</t>
  </si>
  <si>
    <t>GONÇALVES MAIA</t>
  </si>
  <si>
    <t>José Gonçalves Maia</t>
  </si>
  <si>
    <t>1866-09-01</t>
  </si>
  <si>
    <t>https://dadosabertos.camara.leg.br/api/v2/deputados/4265</t>
  </si>
  <si>
    <t>GUMERCINDO RIBAS</t>
  </si>
  <si>
    <t>Gumercindo Taborda Ribas</t>
  </si>
  <si>
    <t>https://dadosabertos.camara.leg.br/api/v2/deputados/2515</t>
  </si>
  <si>
    <t>HONÓRIO PIMENTEL</t>
  </si>
  <si>
    <t>Honorio dos Santos Pimentel</t>
  </si>
  <si>
    <t>https://dadosabertos.camara.leg.br/api/v2/deputados/4267</t>
  </si>
  <si>
    <t>IVO DO PRADO</t>
  </si>
  <si>
    <t>Ivo do Prado Monte Pires da França</t>
  </si>
  <si>
    <t>1860-05-20</t>
  </si>
  <si>
    <t>São Cristóvão</t>
  </si>
  <si>
    <t>https://dadosabertos.camara.leg.br/api/v2/deputados/4268</t>
  </si>
  <si>
    <t>JADER DE ANDRADE</t>
  </si>
  <si>
    <t>Jader de Andrade</t>
  </si>
  <si>
    <t>1886-04-21</t>
  </si>
  <si>
    <t>https://dadosabertos.camara.leg.br/api/v2/deputados/2494</t>
  </si>
  <si>
    <t>JOÃO CABRAL</t>
  </si>
  <si>
    <t>João Chrysostomo da Rocha Cabral</t>
  </si>
  <si>
    <t>1870-01-27</t>
  </si>
  <si>
    <t>Jurema</t>
  </si>
  <si>
    <t>https://dadosabertos.camara.leg.br/api/v2/deputados/2187</t>
  </si>
  <si>
    <t>JOSÉ LOBO</t>
  </si>
  <si>
    <t>José Manoel Lobo</t>
  </si>
  <si>
    <t>1864-10-01</t>
  </si>
  <si>
    <t>https://dadosabertos.camara.leg.br/api/v2/deputados/2265</t>
  </si>
  <si>
    <t>José Maria Tourinho</t>
  </si>
  <si>
    <t>1863-07-30</t>
  </si>
  <si>
    <t>https://dadosabertos.camara.leg.br/api/v2/deputados/130147</t>
  </si>
  <si>
    <t>JOSINO DE ARAÚJO</t>
  </si>
  <si>
    <t>Josino Alcantara de Araujo</t>
  </si>
  <si>
    <t>1866-02-20</t>
  </si>
  <si>
    <t>https://dadosabertos.camara.leg.br/api/v2/deputados/2534</t>
  </si>
  <si>
    <t>JULIÃO DE CASTRO</t>
  </si>
  <si>
    <t>Julião Ribeiro de Castro</t>
  </si>
  <si>
    <t>1883-10-03</t>
  </si>
  <si>
    <t>https://dadosabertos.camara.leg.br/api/v2/deputados/2158</t>
  </si>
  <si>
    <t>JULIO DE MELO</t>
  </si>
  <si>
    <t>Julio de Melo</t>
  </si>
  <si>
    <t>https://dadosabertos.camara.leg.br/api/v2/deputados/1852</t>
  </si>
  <si>
    <t>LANDULFO MAGALHÃES</t>
  </si>
  <si>
    <t>Landulpho Machado de Magalhães</t>
  </si>
  <si>
    <t>1861-01-18</t>
  </si>
  <si>
    <t>https://dadosabertos.camara.leg.br/api/v2/deputados/2456</t>
  </si>
  <si>
    <t>LAURO VILAS BOAS</t>
  </si>
  <si>
    <t>Lauro Lopes Villas Bôas</t>
  </si>
  <si>
    <t>https://dadosabertos.camara.leg.br/api/v2/deputados/1660</t>
  </si>
  <si>
    <t>LUIS DOMINGUES</t>
  </si>
  <si>
    <t>Luiz Antonio Domingues da Silva</t>
  </si>
  <si>
    <t>1862-06-11</t>
  </si>
  <si>
    <t>Turiaçu</t>
  </si>
  <si>
    <t>https://dadosabertos.camara.leg.br/api/v2/deputados/2358</t>
  </si>
  <si>
    <t>LUIZ BARTHOLOMEU</t>
  </si>
  <si>
    <t>Luiz Bartholomeu de Souza e Silva</t>
  </si>
  <si>
    <t>1864-10-03</t>
  </si>
  <si>
    <t>https://dadosabertos.camara.leg.br/api/v2/deputados/2474</t>
  </si>
  <si>
    <t>MANOEL MONJARDIM</t>
  </si>
  <si>
    <t>Manoel Silvino Monjardim</t>
  </si>
  <si>
    <t>1876-02-17</t>
  </si>
  <si>
    <t>https://dadosabertos.camara.leg.br/api/v2/deputados/1898</t>
  </si>
  <si>
    <t>MARÇAL ESCOBAR</t>
  </si>
  <si>
    <t>Marçal Pereira de Escobar</t>
  </si>
  <si>
    <t>1857-08-29</t>
  </si>
  <si>
    <t>https://dadosabertos.camara.leg.br/api/v2/deputados/4270</t>
  </si>
  <si>
    <t>MARINHO DE ANDRADE</t>
  </si>
  <si>
    <t>João Marinho de Andrade</t>
  </si>
  <si>
    <t>https://dadosabertos.camara.leg.br/api/v2/deputados/2327</t>
  </si>
  <si>
    <t>MÁRIO HERMES</t>
  </si>
  <si>
    <t>Mario Hermes da Fonseca</t>
  </si>
  <si>
    <t>1880-04-25</t>
  </si>
  <si>
    <t>https://dadosabertos.camara.leg.br/api/v2/deputados/2338</t>
  </si>
  <si>
    <t>METELLO JÚNIOR</t>
  </si>
  <si>
    <t>José Maria Metello Junior</t>
  </si>
  <si>
    <t>1882-04-26</t>
  </si>
  <si>
    <t>https://dadosabertos.camara.leg.br/api/v2/deputados/2196</t>
  </si>
  <si>
    <t>Miguel Calmon Du Pin e Almeida</t>
  </si>
  <si>
    <t>1879-09-18</t>
  </si>
  <si>
    <t>https://dadosabertos.camara.leg.br/api/v2/deputados/130105</t>
  </si>
  <si>
    <t>MOREIRA BRANDÃO</t>
  </si>
  <si>
    <t>José Moreira Brandão Castello Branco Filho</t>
  </si>
  <si>
    <t>1860-02-17</t>
  </si>
  <si>
    <t>https://dadosabertos.camara.leg.br/api/v2/deputados/2517</t>
  </si>
  <si>
    <t>NAPOLEÃO GOMES</t>
  </si>
  <si>
    <t>Arthur Napoleão Gomes Pereira da Silva</t>
  </si>
  <si>
    <t>https://dadosabertos.camara.leg.br/api/v2/deputados/2478</t>
  </si>
  <si>
    <t>ODILON DE ANDRADE</t>
  </si>
  <si>
    <t>Odilon Barros Martins de Andrade</t>
  </si>
  <si>
    <t>https://dadosabertos.camara.leg.br/api/v2/deputados/2376</t>
  </si>
  <si>
    <t>OTÁVIO ROCHA</t>
  </si>
  <si>
    <t>Octavio Francisco da Rocha</t>
  </si>
  <si>
    <t>1877-09-23</t>
  </si>
  <si>
    <t>https://dadosabertos.camara.leg.br/api/v2/deputados/2254</t>
  </si>
  <si>
    <t>PALMEIRA RIPPER</t>
  </si>
  <si>
    <t>Arthur Palmeira Ripper</t>
  </si>
  <si>
    <t>1871-02-26</t>
  </si>
  <si>
    <t>https://dadosabertos.camara.leg.br/api/v2/deputados/4295</t>
  </si>
  <si>
    <t>PANFILO DE CARVALHO</t>
  </si>
  <si>
    <t>Pamphilo Dutra Freire de Carvalho</t>
  </si>
  <si>
    <t>1888-09-24</t>
  </si>
  <si>
    <t>https://dadosabertos.camara.leg.br/api/v2/deputados/4273</t>
  </si>
  <si>
    <t>PEREIRA TEIXEIRA</t>
  </si>
  <si>
    <t>Joaquim Pereira Teixeira</t>
  </si>
  <si>
    <t>1860-09-18</t>
  </si>
  <si>
    <t>https://dadosabertos.camara.leg.br/api/v2/deputados/2495</t>
  </si>
  <si>
    <t>PIRES REBELO</t>
  </si>
  <si>
    <t>José Pires Rebello</t>
  </si>
  <si>
    <t>1877-09-12</t>
  </si>
  <si>
    <t>https://dadosabertos.camara.leg.br/api/v2/deputados/2441</t>
  </si>
  <si>
    <t>RAFAEL CABEDA</t>
  </si>
  <si>
    <t>Raphael Cabeda</t>
  </si>
  <si>
    <t>1857-05-16</t>
  </si>
  <si>
    <t>https://dadosabertos.camara.leg.br/api/v2/deputados/2110</t>
  </si>
  <si>
    <t>RAIMUNDO DE MIRANDA</t>
  </si>
  <si>
    <t>Raymundo Pontes de Miranda</t>
  </si>
  <si>
    <t>1868-04-11</t>
  </si>
  <si>
    <t>https://dadosabertos.camara.leg.br/api/v2/deputados/2383</t>
  </si>
  <si>
    <t>RAMIRO BRAGA</t>
  </si>
  <si>
    <t>Ramiro Ferreira Saturnino Braga</t>
  </si>
  <si>
    <t>1876-11-13</t>
  </si>
  <si>
    <t>https://dadosabertos.camara.leg.br/api/v2/deputados/4299</t>
  </si>
  <si>
    <t>RAUL ALVES</t>
  </si>
  <si>
    <t>Raul Alves de Souza</t>
  </si>
  <si>
    <t>1879-08-11</t>
  </si>
  <si>
    <t>Sento Sé</t>
  </si>
  <si>
    <t>https://dadosabertos.camara.leg.br/api/v2/deputados/1959</t>
  </si>
  <si>
    <t>RAUL BARROSO</t>
  </si>
  <si>
    <t>Raul Capello Barroso</t>
  </si>
  <si>
    <t>1860-07-05</t>
  </si>
  <si>
    <t>https://dadosabertos.camara.leg.br/api/v2/deputados/4301</t>
  </si>
  <si>
    <t>RAUL CARDOSO</t>
  </si>
  <si>
    <t>Raul Renato Cardoso de Mello</t>
  </si>
  <si>
    <t>1875-02-25</t>
  </si>
  <si>
    <t>https://dadosabertos.camara.leg.br/api/v2/deputados/2458</t>
  </si>
  <si>
    <t>SEABRA FILHO</t>
  </si>
  <si>
    <t>José Joaquim Seabra Filho</t>
  </si>
  <si>
    <t>1882-01-21</t>
  </si>
  <si>
    <t>https://dadosabertos.camara.leg.br/api/v2/deputados/2153</t>
  </si>
  <si>
    <t>SIMEÃO LEAL</t>
  </si>
  <si>
    <t>Antonio Simeão dos Santos Leal</t>
  </si>
  <si>
    <t>1874-05-11</t>
  </si>
  <si>
    <t>https://dadosabertos.camara.leg.br/api/v2/deputados/130144</t>
  </si>
  <si>
    <t>THEMÍSTOCLES DE ALMEIDA</t>
  </si>
  <si>
    <t>Manoel Themístocles de Almeida</t>
  </si>
  <si>
    <t>1864-12-21</t>
  </si>
  <si>
    <t>https://dadosabertos.camara.leg.br/api/v2/deputados/1653</t>
  </si>
  <si>
    <t>TORQUATO MOREIRA</t>
  </si>
  <si>
    <t>Torquato Rosa Moreira</t>
  </si>
  <si>
    <t>1860-02-27</t>
  </si>
  <si>
    <t>https://dadosabertos.camara.leg.br/api/v2/deputados/2501</t>
  </si>
  <si>
    <t>VEIGA MIRANDA</t>
  </si>
  <si>
    <t>João Pedro da Veiga Miranda</t>
  </si>
  <si>
    <t>1881-04-11</t>
  </si>
  <si>
    <t>https://dadosabertos.camara.leg.br/api/v2/deputados/2446</t>
  </si>
  <si>
    <t>VERÍSSIMO DE MELO</t>
  </si>
  <si>
    <t>Ignacio Veríssimo de Mello</t>
  </si>
  <si>
    <t>https://dadosabertos.camara.leg.br/api/v2/deputados/2508</t>
  </si>
  <si>
    <t>XAVIER MARQUES</t>
  </si>
  <si>
    <t>Francisco Xavier Ferreira Marques</t>
  </si>
  <si>
    <t>1861-12-03</t>
  </si>
  <si>
    <t>Itaparica</t>
  </si>
  <si>
    <t>https://dadosabertos.camara.leg.br/api/v2/deputados/2176</t>
  </si>
  <si>
    <t>ABDON BATISTA</t>
  </si>
  <si>
    <t>Abdon Baptista</t>
  </si>
  <si>
    <t>1851-07-30</t>
  </si>
  <si>
    <t>https://dadosabertos.camara.leg.br/api/v2/deputados/2436</t>
  </si>
  <si>
    <t>AFONSO BARATA</t>
  </si>
  <si>
    <t>Affonso Moreira de Loyola Barata</t>
  </si>
  <si>
    <t>1862-09-20</t>
  </si>
  <si>
    <t>https://dadosabertos.camara.leg.br/api/v2/deputados/2485</t>
  </si>
  <si>
    <t>ALBUQUERQUE MARANHÃO</t>
  </si>
  <si>
    <t>Luiz de Gonzaga Albuquerque Maranhão</t>
  </si>
  <si>
    <t>https://dadosabertos.camara.leg.br/api/v2/deputados/4166</t>
  </si>
  <si>
    <t>ALFREDO DE MAIA</t>
  </si>
  <si>
    <t>Alfredo de Maya</t>
  </si>
  <si>
    <t>1880-02-07</t>
  </si>
  <si>
    <t>https://dadosabertos.camara.leg.br/api/v2/deputados/2467</t>
  </si>
  <si>
    <t>AMÉRICO LOPES</t>
  </si>
  <si>
    <t>Américo Ferreira Lopes</t>
  </si>
  <si>
    <t>1877-06-07</t>
  </si>
  <si>
    <t>https://dadosabertos.camara.leg.br/api/v2/deputados/2472</t>
  </si>
  <si>
    <t>ANTÔNIO AGUIRRE</t>
  </si>
  <si>
    <t>Antonio Gomes Aguirre</t>
  </si>
  <si>
    <t>1859-08-23</t>
  </si>
  <si>
    <t>https://dadosabertos.camara.leg.br/api/v2/deputados/2413</t>
  </si>
  <si>
    <t>ANTONIO MARTINS</t>
  </si>
  <si>
    <t>Antonio Martins Ferreira da Silva</t>
  </si>
  <si>
    <t>https://dadosabertos.camara.leg.br/api/v2/deputados/2191</t>
  </si>
  <si>
    <t>Antonio Nogueira</t>
  </si>
  <si>
    <t>https://dadosabertos.camara.leg.br/api/v2/deputados/2488</t>
  </si>
  <si>
    <t>ANTÔNIO VICENTE</t>
  </si>
  <si>
    <t>Antonio Vicente Pereira de Andrade</t>
  </si>
  <si>
    <t>https://dadosabertos.camara.leg.br/api/v2/deputados/2359</t>
  </si>
  <si>
    <t>ARISTARCO LOPES</t>
  </si>
  <si>
    <t>Aristarco Xavier Lopes</t>
  </si>
  <si>
    <t>1854-12-28</t>
  </si>
  <si>
    <t>https://dadosabertos.camara.leg.br/api/v2/deputados/2404</t>
  </si>
  <si>
    <t>ARISTIDES CAIRE</t>
  </si>
  <si>
    <t>Aristides Ferreira Caire</t>
  </si>
  <si>
    <t>1879-04-29</t>
  </si>
  <si>
    <t>https://dadosabertos.camara.leg.br/api/v2/deputados/2136</t>
  </si>
  <si>
    <t>ASTOLFO DUTRA</t>
  </si>
  <si>
    <t>Astolpho Dutra Nicacio</t>
  </si>
  <si>
    <t>1864-12-17</t>
  </si>
  <si>
    <t>https://dadosabertos.camara.leg.br/api/v2/deputados/2361</t>
  </si>
  <si>
    <t>BALTAZAR PEREIRA</t>
  </si>
  <si>
    <t>Balthazar de Albuquerque Martins Pereira</t>
  </si>
  <si>
    <t>1862-01-06</t>
  </si>
  <si>
    <t>https://dadosabertos.camara.leg.br/api/v2/deputados/2214</t>
  </si>
  <si>
    <t>COSTA MARQUES</t>
  </si>
  <si>
    <t>Joaquim Augusto da Costa Marques</t>
  </si>
  <si>
    <t>1861-06-07</t>
  </si>
  <si>
    <t>Poconé</t>
  </si>
  <si>
    <t>https://dadosabertos.camara.leg.br/api/v2/deputados/4186</t>
  </si>
  <si>
    <t>CRISTIANO BRASIL</t>
  </si>
  <si>
    <t>Christiano Pereira Brasil</t>
  </si>
  <si>
    <t>1861-12-06</t>
  </si>
  <si>
    <t>https://dadosabertos.camara.leg.br/api/v2/deputados/1872</t>
  </si>
  <si>
    <t>José Antonio Maria da Cunha Lima</t>
  </si>
  <si>
    <t>1850-08-29</t>
  </si>
  <si>
    <t>https://dadosabertos.camara.leg.br/api/v2/deputados/2502</t>
  </si>
  <si>
    <t>Deodato da Silva Maia</t>
  </si>
  <si>
    <t>1875-11-29</t>
  </si>
  <si>
    <t>https://dadosabertos.camara.leg.br/api/v2/deputados/2476</t>
  </si>
  <si>
    <t>EDGARDO DA CUNHA</t>
  </si>
  <si>
    <t>Edgardo da Cunha Pereira Sobrinho</t>
  </si>
  <si>
    <t>1881-10-20</t>
  </si>
  <si>
    <t>https://dadosabertos.camara.leg.br/api/v2/deputados/2204</t>
  </si>
  <si>
    <t>EDUARDO SABÓIA</t>
  </si>
  <si>
    <t>Eduardo Thomé de Saboya</t>
  </si>
  <si>
    <t>https://dadosabertos.camara.leg.br/api/v2/deputados/1593</t>
  </si>
  <si>
    <t>ELPÍDIO MESQUITA</t>
  </si>
  <si>
    <t>Elpidio Pereira de Mesquita</t>
  </si>
  <si>
    <t>1857-09-20</t>
  </si>
  <si>
    <t>Palmas de Monte Alto</t>
  </si>
  <si>
    <t>https://dadosabertos.camara.leg.br/api/v2/deputados/2447</t>
  </si>
  <si>
    <t>EUGÊNIO MÜLLER</t>
  </si>
  <si>
    <t>Eugenio Luiz Müller</t>
  </si>
  <si>
    <t>1856-11-13</t>
  </si>
  <si>
    <t>https://dadosabertos.camara.leg.br/api/v2/deputados/4192</t>
  </si>
  <si>
    <t>FAUSTO FERRAZ</t>
  </si>
  <si>
    <t>Fausto Dias Ferraz</t>
  </si>
  <si>
    <t>1870-08-14</t>
  </si>
  <si>
    <t>https://dadosabertos.camara.leg.br/api/v2/deputados/4209</t>
  </si>
  <si>
    <t>FÉLIX PACHECO</t>
  </si>
  <si>
    <t>José Felix Alves Pacheco</t>
  </si>
  <si>
    <t>1879-08-02</t>
  </si>
  <si>
    <t>https://dadosabertos.camara.leg.br/api/v2/deputados/130142</t>
  </si>
  <si>
    <t>FRANCISCO BRESSANE</t>
  </si>
  <si>
    <t>Francisco Bressane de Azevedo</t>
  </si>
  <si>
    <t>1859-04-21</t>
  </si>
  <si>
    <t>https://dadosabertos.camara.leg.br/api/v2/deputados/2349</t>
  </si>
  <si>
    <t>FRANCISCO PAOLIELLO</t>
  </si>
  <si>
    <t>Francisco Paoliello</t>
  </si>
  <si>
    <t>1871-03-14</t>
  </si>
  <si>
    <t>https://dadosabertos.camara.leg.br/api/v2/deputados/1584</t>
  </si>
  <si>
    <t>FREDERICO BORGES</t>
  </si>
  <si>
    <t>Frederico Augusto Borges</t>
  </si>
  <si>
    <t>1853-04-07</t>
  </si>
  <si>
    <t>https://dadosabertos.camara.leg.br/api/v2/deputados/4203</t>
  </si>
  <si>
    <t>GALEÃO CARVALHAL</t>
  </si>
  <si>
    <t>João Galeão Carvalhal</t>
  </si>
  <si>
    <t>1859-10-11</t>
  </si>
  <si>
    <t>https://dadosabertos.camara.leg.br/api/v2/deputados/2432</t>
  </si>
  <si>
    <t>GERVÁSIO FIORAVANTI</t>
  </si>
  <si>
    <t>Gervasio Fioravante Pires Ferreira</t>
  </si>
  <si>
    <t>1870-02-13</t>
  </si>
  <si>
    <t>https://dadosabertos.camara.leg.br/api/v2/deputados/4173</t>
  </si>
  <si>
    <t>GOMES LIMA</t>
  </si>
  <si>
    <t>Antonio Gomes de Lima</t>
  </si>
  <si>
    <t>https://dadosabertos.camara.leg.br/api/v2/deputados/2477</t>
  </si>
  <si>
    <t>HERCULANO CÉSAR</t>
  </si>
  <si>
    <t>Herculano Cesar Pereira da Silva</t>
  </si>
  <si>
    <t>https://dadosabertos.camara.leg.br/api/v2/deputados/2463</t>
  </si>
  <si>
    <t>HERCULANO PARGA</t>
  </si>
  <si>
    <t>Herculano Nina Parga</t>
  </si>
  <si>
    <t>https://dadosabertos.camara.leg.br/api/v2/deputados/2459</t>
  </si>
  <si>
    <t>HERMÍNIO BARROSO</t>
  </si>
  <si>
    <t>Herminio Barroso</t>
  </si>
  <si>
    <t>1867-08-15</t>
  </si>
  <si>
    <t>https://dadosabertos.camara.leg.br/api/v2/deputados/4199</t>
  </si>
  <si>
    <t>ILDEFONSO ALBANO</t>
  </si>
  <si>
    <t>Ildefonso Albano</t>
  </si>
  <si>
    <t>1885-02-12</t>
  </si>
  <si>
    <t>https://dadosabertos.camara.leg.br/api/v2/deputados/2482</t>
  </si>
  <si>
    <t>INGLÊS DE SOUSA</t>
  </si>
  <si>
    <t>Herculano Marcos Inglez de Souza</t>
  </si>
  <si>
    <t>1853-12-28</t>
  </si>
  <si>
    <t>https://dadosabertos.camara.leg.br/api/v2/deputados/2351</t>
  </si>
  <si>
    <t>JAIME GOMES</t>
  </si>
  <si>
    <t>Jayme Gomes de Souza Lemos</t>
  </si>
  <si>
    <t>1858-09-05</t>
  </si>
  <si>
    <t>https://dadosabertos.camara.leg.br/api/v2/deputados/2503</t>
  </si>
  <si>
    <t>João Menezes</t>
  </si>
  <si>
    <t>https://dadosabertos.camara.leg.br/api/v2/deputados/2428</t>
  </si>
  <si>
    <t>JOÃO PERNETA</t>
  </si>
  <si>
    <t>João David Perneta</t>
  </si>
  <si>
    <t>1874-07-27</t>
  </si>
  <si>
    <t>https://dadosabertos.camara.leg.br/api/v2/deputados/2379</t>
  </si>
  <si>
    <t>JOSÉ TOLENTINO</t>
  </si>
  <si>
    <t>José Tolentino de Carvalho</t>
  </si>
  <si>
    <t>https://dadosabertos.camara.leg.br/api/v2/deputados/1633</t>
  </si>
  <si>
    <t>JUSTINIANO DE SERPA</t>
  </si>
  <si>
    <t>Justiniano de Serpa</t>
  </si>
  <si>
    <t>1856-01-06</t>
  </si>
  <si>
    <t>https://dadosabertos.camara.leg.br/api/v2/deputados/130140</t>
  </si>
  <si>
    <t>LAMOUNIER GODOFREDO</t>
  </si>
  <si>
    <t>Antonio Affonso Lamounier Godofredo</t>
  </si>
  <si>
    <t>1859-05-09</t>
  </si>
  <si>
    <t>https://dadosabertos.camara.leg.br/api/v2/deputados/2195</t>
  </si>
  <si>
    <t>LEÃO VELOSO</t>
  </si>
  <si>
    <t>Pedro Leão Velloso Filho</t>
  </si>
  <si>
    <t>1856-03-19</t>
  </si>
  <si>
    <t>https://dadosabertos.camara.leg.br/api/v2/deputados/1732</t>
  </si>
  <si>
    <t>LOURENÇO DE SÁ</t>
  </si>
  <si>
    <t>Lourenço Augusto de Sá Albuquerque</t>
  </si>
  <si>
    <t>1852-10-14</t>
  </si>
  <si>
    <t>Ipojuca</t>
  </si>
  <si>
    <t>https://dadosabertos.camara.leg.br/api/v2/deputados/130143</t>
  </si>
  <si>
    <t>LUIZ XAVIER</t>
  </si>
  <si>
    <t>Luiz Antonio Xavier</t>
  </si>
  <si>
    <t>1856-12-23</t>
  </si>
  <si>
    <t>https://dadosabertos.camara.leg.br/api/v2/deputados/2504</t>
  </si>
  <si>
    <t>MANUEL NOBRE</t>
  </si>
  <si>
    <t>Manoel de Carvalho Nobre</t>
  </si>
  <si>
    <t>https://dadosabertos.camara.leg.br/api/v2/deputados/4219</t>
  </si>
  <si>
    <t>MÁRIO DE PAULA</t>
  </si>
  <si>
    <t>Mario de Paula</t>
  </si>
  <si>
    <t>https://dadosabertos.camara.leg.br/api/v2/deputados/2461</t>
  </si>
  <si>
    <t>MENDES TAVARES</t>
  </si>
  <si>
    <t>José Mendes Tavares</t>
  </si>
  <si>
    <t>1873-06-08</t>
  </si>
  <si>
    <t>https://dadosabertos.camara.leg.br/api/v2/deputados/2395</t>
  </si>
  <si>
    <t>MENDONÇA MARTINS</t>
  </si>
  <si>
    <t>Manoel Joaquim de Mendonça Martins</t>
  </si>
  <si>
    <t>https://dadosabertos.camara.leg.br/api/v2/deputados/4221</t>
  </si>
  <si>
    <t>MIGUEL PALMEIRA</t>
  </si>
  <si>
    <t>Miguel Soares Palmeira</t>
  </si>
  <si>
    <t>1865-09-10</t>
  </si>
  <si>
    <t>https://dadosabertos.camara.leg.br/api/v2/deputados/4222</t>
  </si>
  <si>
    <t>NELSON DE CASTRO</t>
  </si>
  <si>
    <t>Nelson Ribeiro de Castro</t>
  </si>
  <si>
    <t>1893-07-29</t>
  </si>
  <si>
    <t>https://dadosabertos.camara.leg.br/api/v2/deputados/4233</t>
  </si>
  <si>
    <t>OSÓRIO DE PAIVA</t>
  </si>
  <si>
    <t>Vicente Osorio de Paiva</t>
  </si>
  <si>
    <t>1849-08-21</t>
  </si>
  <si>
    <t>https://dadosabertos.camara.leg.br/api/v2/deputados/2407</t>
  </si>
  <si>
    <t>OTACÍLIO DE CAMARÁ</t>
  </si>
  <si>
    <t>Octacilio Carvalho de Camará</t>
  </si>
  <si>
    <t>1880-02-27</t>
  </si>
  <si>
    <t>https://dadosabertos.camara.leg.br/api/v2/deputados/2484</t>
  </si>
  <si>
    <t>OTONI MACIEL</t>
  </si>
  <si>
    <t>Ottoni Ferreira Maciel</t>
  </si>
  <si>
    <t>1870-10-28</t>
  </si>
  <si>
    <t>https://dadosabertos.camara.leg.br/api/v2/deputados/2462</t>
  </si>
  <si>
    <t>PAULO DE FRONTIN</t>
  </si>
  <si>
    <t>André Gustavo Paulo de Frontin</t>
  </si>
  <si>
    <t>1860-09-17</t>
  </si>
  <si>
    <t>https://dadosabertos.camara.leg.br/api/v2/deputados/2492</t>
  </si>
  <si>
    <t>PEDRO CORREIA</t>
  </si>
  <si>
    <t>Pedro Francisco Corrêa de Oliveira</t>
  </si>
  <si>
    <t>https://dadosabertos.camara.leg.br/api/v2/deputados/1735</t>
  </si>
  <si>
    <t>PEREIRA DE LIRA</t>
  </si>
  <si>
    <t>Antonio Alves Pereira de Lyra</t>
  </si>
  <si>
    <t>1857-09-09</t>
  </si>
  <si>
    <t>https://dadosabertos.camara.leg.br/api/v2/deputados/4176</t>
  </si>
  <si>
    <t>PEREIRA OLIVEIRA</t>
  </si>
  <si>
    <t>Antonio Pereira da Silva Oliveira</t>
  </si>
  <si>
    <t>1848-07-18</t>
  </si>
  <si>
    <t>https://dadosabertos.camara.leg.br/api/v2/deputados/2330</t>
  </si>
  <si>
    <t>Joaquim Pires Muniz de Carvalho</t>
  </si>
  <si>
    <t>1868-12-30</t>
  </si>
  <si>
    <t>https://dadosabertos.camara.leg.br/api/v2/deputados/4177</t>
  </si>
  <si>
    <t>RAMOS CAIADO</t>
  </si>
  <si>
    <t>Antonio Ramos Caiado</t>
  </si>
  <si>
    <t>1874-05-15</t>
  </si>
  <si>
    <t>https://dadosabertos.camara.leg.br/api/v2/deputados/4228</t>
  </si>
  <si>
    <t>RAUL SOARES</t>
  </si>
  <si>
    <t>Raul Soares de Moura</t>
  </si>
  <si>
    <t>1877-08-07</t>
  </si>
  <si>
    <t>https://dadosabertos.camara.leg.br/api/v2/deputados/2469</t>
  </si>
  <si>
    <t>ROCHA MIRANDA</t>
  </si>
  <si>
    <t>Octavio da Rocha Miranda</t>
  </si>
  <si>
    <t>https://dadosabertos.camara.leg.br/api/v2/deputados/1817</t>
  </si>
  <si>
    <t>RODRIGUES LIMA</t>
  </si>
  <si>
    <t>Antonio Rodrigues Lima</t>
  </si>
  <si>
    <t>1854-09-28</t>
  </si>
  <si>
    <t>https://dadosabertos.camara.leg.br/api/v2/deputados/2056</t>
  </si>
  <si>
    <t>SABINO BARROSO</t>
  </si>
  <si>
    <t>Sabino Alves Barroso Júnior</t>
  </si>
  <si>
    <t>1859-04-27</t>
  </si>
  <si>
    <t>https://dadosabertos.camara.leg.br/api/v2/deputados/4185</t>
  </si>
  <si>
    <t>SENA FIGUEIREDO</t>
  </si>
  <si>
    <t>Bernardino de Senna Figueiredo</t>
  </si>
  <si>
    <t>https://dadosabertos.camara.leg.br/api/v2/deputados/2353</t>
  </si>
  <si>
    <t>SILVEIRA BRUM</t>
  </si>
  <si>
    <t>Antonio da Silveira Brum</t>
  </si>
  <si>
    <t>1874-01-15</t>
  </si>
  <si>
    <t>https://dadosabertos.camara.leg.br/api/v2/deputados/4230</t>
  </si>
  <si>
    <t>SOLON DE LUCENA</t>
  </si>
  <si>
    <t>Solon Barbosa de Lucena</t>
  </si>
  <si>
    <t>https://dadosabertos.camara.leg.br/api/v2/deputados/2483</t>
  </si>
  <si>
    <t>SOUSA CASTRO</t>
  </si>
  <si>
    <t>Antonio Emiliano de Souza Castro</t>
  </si>
  <si>
    <t>1875-08-15</t>
  </si>
  <si>
    <t>https://dadosabertos.camara.leg.br/api/v2/deputados/2246</t>
  </si>
  <si>
    <t>TEIXEIRA BRANDÃO</t>
  </si>
  <si>
    <t>João Carlos Teixeira Brandão</t>
  </si>
  <si>
    <t>https://dadosabertos.camara.leg.br/api/v2/deputados/1826</t>
  </si>
  <si>
    <t>TOMÁS CAVALCANTI</t>
  </si>
  <si>
    <t>Thomaz Cavalcanti de Albuquerque</t>
  </si>
  <si>
    <t>1855-07-24</t>
  </si>
  <si>
    <t>https://dadosabertos.camara.leg.br/api/v2/deputados/2468</t>
  </si>
  <si>
    <t>TULO JAIME</t>
  </si>
  <si>
    <t>Tullo Hostilio Jayme</t>
  </si>
  <si>
    <t>1891-09-23</t>
  </si>
  <si>
    <t>https://dadosabertos.camara.leg.br/api/v2/deputados/2493</t>
  </si>
  <si>
    <t>TURIANO CAMPELO</t>
  </si>
  <si>
    <t>Manoel Turiano dos Reis Campello</t>
  </si>
  <si>
    <t>https://dadosabertos.camara.leg.br/api/v2/deputados/2460</t>
  </si>
  <si>
    <t>VICENTE SABÓIA</t>
  </si>
  <si>
    <t>Vicente Saboya de Albuquerque</t>
  </si>
  <si>
    <t>https://dadosabertos.camara.leg.br/api/v2/deputados/4155</t>
  </si>
  <si>
    <t>AGAPITO PEREIRA</t>
  </si>
  <si>
    <t>Manoel Agapito Pereira</t>
  </si>
  <si>
    <t>1864-03-24</t>
  </si>
  <si>
    <t>https://dadosabertos.camara.leg.br/api/v2/deputados/2449</t>
  </si>
  <si>
    <t>AGUIAR DE MELO</t>
  </si>
  <si>
    <t>Serapião de Aguiar Mello</t>
  </si>
  <si>
    <t>1865-07-17</t>
  </si>
  <si>
    <t>https://dadosabertos.camara.leg.br/api/v2/deputados/4105</t>
  </si>
  <si>
    <t>ALBERTO DE ABREU</t>
  </si>
  <si>
    <t>Alberto Ferreira de Abreu</t>
  </si>
  <si>
    <t>1853-06-11</t>
  </si>
  <si>
    <t>https://dadosabertos.camara.leg.br/api/v2/deputados/4143</t>
  </si>
  <si>
    <t>ALMEIDA FAGUNDES</t>
  </si>
  <si>
    <t>João Frederico de Almeida Fagundes</t>
  </si>
  <si>
    <t>1856-05-24</t>
  </si>
  <si>
    <t>https://dadosabertos.camara.leg.br/api/v2/deputados/4107</t>
  </si>
  <si>
    <t>ÁLVARO BOTELHO</t>
  </si>
  <si>
    <t>Álvaro Augusto de Andrade Botelho</t>
  </si>
  <si>
    <t>1860-02-08</t>
  </si>
  <si>
    <t>https://dadosabertos.camara.leg.br/api/v2/deputados/2320</t>
  </si>
  <si>
    <t>ANTONIO MUNIZ</t>
  </si>
  <si>
    <t>Antonio Ferrão Muniz de Aragão</t>
  </si>
  <si>
    <t>1875-05-30</t>
  </si>
  <si>
    <t>https://dadosabertos.camara.leg.br/api/v2/deputados/2450</t>
  </si>
  <si>
    <t>ANTONIO ROLLEMBERG</t>
  </si>
  <si>
    <t>Antonio Dias Rollemberg</t>
  </si>
  <si>
    <t>1889-01-10</t>
  </si>
  <si>
    <t>https://dadosabertos.camara.leg.br/api/v2/deputados/4147</t>
  </si>
  <si>
    <t>AUGUSTO DE FREITAS</t>
  </si>
  <si>
    <t>José Augusto de Freitas</t>
  </si>
  <si>
    <t>1857-11-17</t>
  </si>
  <si>
    <t>https://dadosabertos.camara.leg.br/api/v2/deputados/2360</t>
  </si>
  <si>
    <t>AUGUSTO DO AMARAL</t>
  </si>
  <si>
    <t>José Augusto do Amaral</t>
  </si>
  <si>
    <t>https://dadosabertos.camara.leg.br/api/v2/deputados/2423</t>
  </si>
  <si>
    <t>BARBOSA RODRIGUES</t>
  </si>
  <si>
    <t>José Barbosa Rodrigues</t>
  </si>
  <si>
    <t>https://dadosabertos.camara.leg.br/api/v2/deputados/4111</t>
  </si>
  <si>
    <t>BUENO DE ANDRADA</t>
  </si>
  <si>
    <t>Antonio Manoel Bueno de Andrada</t>
  </si>
  <si>
    <t>1857-01-22</t>
  </si>
  <si>
    <t>https://dadosabertos.camara.leg.br/api/v2/deputados/2429</t>
  </si>
  <si>
    <t>CALDAS FILHO</t>
  </si>
  <si>
    <t>Thomaz Lins Caldas Filho</t>
  </si>
  <si>
    <t>https://dadosabertos.camara.leg.br/api/v2/deputados/2063</t>
  </si>
  <si>
    <t>CAMILO DE HOLANDA</t>
  </si>
  <si>
    <t>Francisco Camillo de Hollanda</t>
  </si>
  <si>
    <t>1861-09-10</t>
  </si>
  <si>
    <t>https://dadosabertos.camara.leg.br/api/v2/deputados/4115</t>
  </si>
  <si>
    <t>CÂNDIDO MOTA</t>
  </si>
  <si>
    <t>Candido Nazianzeno Nogueira da Motta</t>
  </si>
  <si>
    <t>1870-05-09</t>
  </si>
  <si>
    <t>Porto Feliz</t>
  </si>
  <si>
    <t>https://dadosabertos.camara.leg.br/api/v2/deputados/2323</t>
  </si>
  <si>
    <t>CARLOS LEITÃO</t>
  </si>
  <si>
    <t>Carlos Arthur da Silva Leitão</t>
  </si>
  <si>
    <t>https://dadosabertos.camara.leg.br/api/v2/deputados/2140</t>
  </si>
  <si>
    <t>CARLOS PEIXOTO FILHO</t>
  </si>
  <si>
    <t>Carlos Peixoto de Mello Filho</t>
  </si>
  <si>
    <t>1871-06-01</t>
  </si>
  <si>
    <t>https://dadosabertos.camara.leg.br/api/v2/deputados/2281</t>
  </si>
  <si>
    <t>COELHO NETO</t>
  </si>
  <si>
    <t>Henrique Coelho Netto</t>
  </si>
  <si>
    <t>1864-02-21</t>
  </si>
  <si>
    <t>https://dadosabertos.camara.leg.br/api/v2/deputados/1789</t>
  </si>
  <si>
    <t>COSTA JÚNIOR</t>
  </si>
  <si>
    <t>Antonio José da Costa Junior</t>
  </si>
  <si>
    <t>1843-11-21</t>
  </si>
  <si>
    <t>https://dadosabertos.camara.leg.br/api/v2/deputados/2410</t>
  </si>
  <si>
    <t>DIOCLÉCIO BORGES</t>
  </si>
  <si>
    <t>Dioclécio Barbosa Borges</t>
  </si>
  <si>
    <t>https://dadosabertos.camara.leg.br/api/v2/deputados/2415</t>
  </si>
  <si>
    <t>DOMINGOS DE FIGUEIREDO</t>
  </si>
  <si>
    <t>Domingos de Figueiredo</t>
  </si>
  <si>
    <t>https://dadosabertos.camara.leg.br/api/v2/deputados/2132</t>
  </si>
  <si>
    <t>DUNSHEE DE ABRANCHES</t>
  </si>
  <si>
    <t>João Dunshee de Abranches Moura</t>
  </si>
  <si>
    <t>1868-09-02</t>
  </si>
  <si>
    <t>https://dadosabertos.camara.leg.br/api/v2/deputados/4120</t>
  </si>
  <si>
    <t>EDUARDO STUDART</t>
  </si>
  <si>
    <t>Eduardo Guilherme Osvaldo Studart</t>
  </si>
  <si>
    <t>1863-10-21</t>
  </si>
  <si>
    <t>https://dadosabertos.camara.leg.br/api/v2/deputados/4122</t>
  </si>
  <si>
    <t>ELIAS MARTINS</t>
  </si>
  <si>
    <t>Elias Firmino de Souza Martins</t>
  </si>
  <si>
    <t>https://dadosabertos.camara.leg.br/api/v2/deputados/2218</t>
  </si>
  <si>
    <t>EPAMINONDAS OTONI</t>
  </si>
  <si>
    <t>Epaminondas Esteves Ottoni</t>
  </si>
  <si>
    <t>1862-09-19</t>
  </si>
  <si>
    <t>https://dadosabertos.camara.leg.br/api/v2/deputados/2365</t>
  </si>
  <si>
    <t>ERASMO DE MACEDO</t>
  </si>
  <si>
    <t>Erasmo Vieira de Macedo</t>
  </si>
  <si>
    <t>1870-12-04</t>
  </si>
  <si>
    <t>https://dadosabertos.camara.leg.br/api/v2/deputados/2451</t>
  </si>
  <si>
    <t>ESPERIDIÃO MONTEIRO</t>
  </si>
  <si>
    <t>Esperidião Ferreira Monteiro</t>
  </si>
  <si>
    <t>1868-07-16</t>
  </si>
  <si>
    <t>Santo Amaro das Brotas</t>
  </si>
  <si>
    <t>https://dadosabertos.camara.leg.br/api/v2/deputados/2109</t>
  </si>
  <si>
    <t>EUSÉBIO DE ANDRADE</t>
  </si>
  <si>
    <t>Euzebio Francisco de Andrade</t>
  </si>
  <si>
    <t>1866-04-15</t>
  </si>
  <si>
    <t>https://dadosabertos.camara.leg.br/api/v2/deputados/2431</t>
  </si>
  <si>
    <t>FÁBIO DE BARROS</t>
  </si>
  <si>
    <t>Fábio da Silveira Barros</t>
  </si>
  <si>
    <t>1866-10-16</t>
  </si>
  <si>
    <t>Gameleira</t>
  </si>
  <si>
    <t>https://dadosabertos.camara.leg.br/api/v2/deputados/1800</t>
  </si>
  <si>
    <t>FELISBELO FREIRE</t>
  </si>
  <si>
    <t>Felisbello Firmo de Oliveira Freire</t>
  </si>
  <si>
    <t>1858-01-30</t>
  </si>
  <si>
    <t>https://dadosabertos.camara.leg.br/api/v2/deputados/2443</t>
  </si>
  <si>
    <t>FELIX DE MIRANDA</t>
  </si>
  <si>
    <t>Antonio Felix de Miranda</t>
  </si>
  <si>
    <t>https://dadosabertos.camara.leg.br/api/v2/deputados/2336</t>
  </si>
  <si>
    <t>FLORIANO DE BRITO</t>
  </si>
  <si>
    <t>Floriano Corrêa de Britto</t>
  </si>
  <si>
    <t>https://dadosabertos.camara.leg.br/api/v2/deputados/2388</t>
  </si>
  <si>
    <t>FRANCISCO ALVES</t>
  </si>
  <si>
    <t>Francisco Alves dos Santos</t>
  </si>
  <si>
    <t>1870-05-26</t>
  </si>
  <si>
    <t>https://dadosabertos.camara.leg.br/api/v2/deputados/4132</t>
  </si>
  <si>
    <t>FREDERICO LUNDGREEN</t>
  </si>
  <si>
    <t>Frederico João Lundgren</t>
  </si>
  <si>
    <t>1879-06-20</t>
  </si>
  <si>
    <t>https://dadosabertos.camara.leg.br/api/v2/deputados/2417</t>
  </si>
  <si>
    <t>GOMES FREIRE</t>
  </si>
  <si>
    <t>Gomes Freire de Andrade</t>
  </si>
  <si>
    <t>1865-01-03</t>
  </si>
  <si>
    <t>https://dadosabertos.camara.leg.br/api/v2/deputados/2399</t>
  </si>
  <si>
    <t>GUSTAVO BARROSO</t>
  </si>
  <si>
    <t>Gustavo Dodt Barroso</t>
  </si>
  <si>
    <t>1888-12-29</t>
  </si>
  <si>
    <t>https://dadosabertos.camara.leg.br/api/v2/deputados/4136</t>
  </si>
  <si>
    <t>HENRIQUE VALGA</t>
  </si>
  <si>
    <t>Henrique de Almeida Valga</t>
  </si>
  <si>
    <t>1868-03-15</t>
  </si>
  <si>
    <t>https://dadosabertos.camara.leg.br/api/v2/deputados/4138</t>
  </si>
  <si>
    <t>HERMENEGILDO DE MORAIS</t>
  </si>
  <si>
    <t>Hermenegildo Lopes de Moraes Filho</t>
  </si>
  <si>
    <t>1870-10-06</t>
  </si>
  <si>
    <t>https://dadosabertos.camara.leg.br/api/v2/deputados/2062</t>
  </si>
  <si>
    <t>HOSANNAH DE OLIVEIRA</t>
  </si>
  <si>
    <t>João Hosannah de Oliveira</t>
  </si>
  <si>
    <t>https://dadosabertos.camara.leg.br/api/v2/deputados/4139</t>
  </si>
  <si>
    <t>ILDEFONSO PINTO</t>
  </si>
  <si>
    <t>Ildefonso Soares Pinto</t>
  </si>
  <si>
    <t>1881-12-18</t>
  </si>
  <si>
    <t>https://dadosabertos.camara.leg.br/api/v2/deputados/1957</t>
  </si>
  <si>
    <t>IRINEU MACHADO</t>
  </si>
  <si>
    <t>Irineu de Mello Machado</t>
  </si>
  <si>
    <t>1872-12-15</t>
  </si>
  <si>
    <t>https://dadosabertos.camara.leg.br/api/v2/deputados/1962</t>
  </si>
  <si>
    <t>JERÔNIMO MONTEIRO</t>
  </si>
  <si>
    <t>Jerônimo de Souza Monteiro</t>
  </si>
  <si>
    <t>1870-06-04</t>
  </si>
  <si>
    <t>https://dadosabertos.camara.leg.br/api/v2/deputados/2374</t>
  </si>
  <si>
    <t>JOÃO BENÍCIO</t>
  </si>
  <si>
    <t>João Benício da Silva</t>
  </si>
  <si>
    <t>https://dadosabertos.camara.leg.br/api/v2/deputados/2434</t>
  </si>
  <si>
    <t>JULIO MARANHÃO</t>
  </si>
  <si>
    <t>Julio Carneiro de Albuquerque Maranhã</t>
  </si>
  <si>
    <t>https://dadosabertos.camara.leg.br/api/v2/deputados/2448</t>
  </si>
  <si>
    <t>LEBON REGIS</t>
  </si>
  <si>
    <t>Gustavo Lebon Regis</t>
  </si>
  <si>
    <t>1874-02-18</t>
  </si>
  <si>
    <t>Araquari</t>
  </si>
  <si>
    <t>https://dadosabertos.camara.leg.br/api/v2/deputados/130137</t>
  </si>
  <si>
    <t>MANOEL BORBA</t>
  </si>
  <si>
    <t>Manoel Antonio Pereira Borba</t>
  </si>
  <si>
    <t>1864-03-19</t>
  </si>
  <si>
    <t>https://dadosabertos.camara.leg.br/api/v2/deputados/4156</t>
  </si>
  <si>
    <t>MARCELO SILVA</t>
  </si>
  <si>
    <t>Marcelo Francisco da Silva</t>
  </si>
  <si>
    <t>1878-01-16</t>
  </si>
  <si>
    <t>https://dadosabertos.camara.leg.br/api/v2/deputados/2345</t>
  </si>
  <si>
    <t>MAVIGNIER</t>
  </si>
  <si>
    <t>Alfredo Octavio Mavignier</t>
  </si>
  <si>
    <t>1877-10-20</t>
  </si>
  <si>
    <t>https://dadosabertos.camara.leg.br/api/v2/deputados/4144</t>
  </si>
  <si>
    <t>MAXIMIANO DE FIGUEIREDO</t>
  </si>
  <si>
    <t>João Maximiano de Figueiredo</t>
  </si>
  <si>
    <t>1868-02-21</t>
  </si>
  <si>
    <t>https://dadosabertos.camara.leg.br/api/v2/deputados/2367</t>
  </si>
  <si>
    <t>Manoel Netto Carneiro Campello</t>
  </si>
  <si>
    <t>1867-10-09</t>
  </si>
  <si>
    <t>https://dadosabertos.camara.leg.br/api/v2/deputados/4151</t>
  </si>
  <si>
    <t>PALMA</t>
  </si>
  <si>
    <t>José Joaquim da Palma</t>
  </si>
  <si>
    <t>1852-04-20</t>
  </si>
  <si>
    <t>https://dadosabertos.camara.leg.br/api/v2/deputados/2149</t>
  </si>
  <si>
    <t>PASSOS DE MIRANDA</t>
  </si>
  <si>
    <t>Antonio dos Passos Miranda Filho</t>
  </si>
  <si>
    <t>1873-11-25</t>
  </si>
  <si>
    <t>https://dadosabertos.camara.leg.br/api/v2/deputados/4158</t>
  </si>
  <si>
    <t>PAULO DE MELO</t>
  </si>
  <si>
    <t>Paulo Julio de Mello</t>
  </si>
  <si>
    <t>1869-12-30</t>
  </si>
  <si>
    <t>https://dadosabertos.camara.leg.br/api/v2/deputados/2408</t>
  </si>
  <si>
    <t>PEDRO DOS REIS</t>
  </si>
  <si>
    <t>Pedro Moutinho dos Reis</t>
  </si>
  <si>
    <t>https://dadosabertos.camara.leg.br/api/v2/deputados/2421</t>
  </si>
  <si>
    <t>PEDRO LUÍS</t>
  </si>
  <si>
    <t>Pedro Luiz de Oliveira</t>
  </si>
  <si>
    <t>https://dadosabertos.camara.leg.br/api/v2/deputados/1900</t>
  </si>
  <si>
    <t>PEDRO MOACIR</t>
  </si>
  <si>
    <t>Pedro Gonçalves Moacyr</t>
  </si>
  <si>
    <t>1871-06-29</t>
  </si>
  <si>
    <t>https://dadosabertos.camara.leg.br/api/v2/deputados/2276</t>
  </si>
  <si>
    <t>PEREIRA BRAGA</t>
  </si>
  <si>
    <t>José Joaquim da Costa Pereira Braga</t>
  </si>
  <si>
    <t>1865-11-09</t>
  </si>
  <si>
    <t>https://dadosabertos.camara.leg.br/api/v2/deputados/4114</t>
  </si>
  <si>
    <t>Benedito Gonçalves Pereira Nunes</t>
  </si>
  <si>
    <t>1864-12-06</t>
  </si>
  <si>
    <t>https://dadosabertos.camara.leg.br/api/v2/deputados/2445</t>
  </si>
  <si>
    <t>PONCE DE LEON</t>
  </si>
  <si>
    <t>Luiz Carneiro de Campos Ponce de Leon</t>
  </si>
  <si>
    <t>1881-02-09</t>
  </si>
  <si>
    <t>https://dadosabertos.camara.leg.br/api/v2/deputados/1196</t>
  </si>
  <si>
    <t>SEBASTIÃO MASCARENHAS</t>
  </si>
  <si>
    <t>Sebastião Gonçalves da Silva Mascarenhas</t>
  </si>
  <si>
    <t>1848-02-28</t>
  </si>
  <si>
    <t>https://dadosabertos.camara.leg.br/api/v2/deputados/2083</t>
  </si>
  <si>
    <t>SOARES DOS SANTOS</t>
  </si>
  <si>
    <t>Luiz Soares dos Santos</t>
  </si>
  <si>
    <t>1866-11-20</t>
  </si>
  <si>
    <t>https://dadosabertos.camara.leg.br/api/v2/deputados/2333</t>
  </si>
  <si>
    <t>SOUZA BRITO</t>
  </si>
  <si>
    <t>José Bernardo de Souza Brito</t>
  </si>
  <si>
    <t>1862-11-16</t>
  </si>
  <si>
    <t>https://dadosabertos.camara.leg.br/api/v2/deputados/130136</t>
  </si>
  <si>
    <t>SOUZA E SILVA</t>
  </si>
  <si>
    <t>Augusto Carlos de Souza e Silva</t>
  </si>
  <si>
    <t>1874-02-20</t>
  </si>
  <si>
    <t>https://dadosabertos.camara.leg.br/api/v2/deputados/1869</t>
  </si>
  <si>
    <t>TEOTÔNIO DE BRITO</t>
  </si>
  <si>
    <t>Theotonio Raymundo de Brito</t>
  </si>
  <si>
    <t>https://dadosabertos.camara.leg.br/api/v2/deputados/1833</t>
  </si>
  <si>
    <t>THOMAZ DELFINO</t>
  </si>
  <si>
    <t>Thomaz Delfino dos Santos</t>
  </si>
  <si>
    <t>1860-09-24</t>
  </si>
  <si>
    <t>https://dadosabertos.camara.leg.br/api/v2/deputados/1780</t>
  </si>
  <si>
    <t>ADOLFO GORDO</t>
  </si>
  <si>
    <t>Adolpho Affonso da Silva Gordo</t>
  </si>
  <si>
    <t>1858-08-12</t>
  </si>
  <si>
    <t>https://dadosabertos.camara.leg.br/api/v2/deputados/3502</t>
  </si>
  <si>
    <t>AGAPITO DOS SANTOS</t>
  </si>
  <si>
    <t>Agapito Jorge dos Santos</t>
  </si>
  <si>
    <t>1852-03-24</t>
  </si>
  <si>
    <t>https://dadosabertos.camara.leg.br/api/v2/deputados/2316</t>
  </si>
  <si>
    <t>ALFREDO DE CARVALHO</t>
  </si>
  <si>
    <t>Alfredo Alves de Carvalho</t>
  </si>
  <si>
    <t>1865-03-18</t>
  </si>
  <si>
    <t>https://dadosabertos.camara.leg.br/api/v2/deputados/2378</t>
  </si>
  <si>
    <t>ALVES COSTA</t>
  </si>
  <si>
    <t>Joaquim Mariano Alves Costa</t>
  </si>
  <si>
    <t>1855-01-29</t>
  </si>
  <si>
    <t>https://dadosabertos.camara.leg.br/api/v2/deputados/2059</t>
  </si>
  <si>
    <t>ANTÔNIO BASTOS</t>
  </si>
  <si>
    <t>Antonio Felinto de Souza Bastos</t>
  </si>
  <si>
    <t>https://dadosabertos.camara.leg.br/api/v2/deputados/3511</t>
  </si>
  <si>
    <t>ARTUR ORLANDO</t>
  </si>
  <si>
    <t>Arthur Orlando da Silva</t>
  </si>
  <si>
    <t>1858-07-29</t>
  </si>
  <si>
    <t>https://dadosabertos.camara.leg.br/api/v2/deputados/2371</t>
  </si>
  <si>
    <t>AUGUSTO LEOPOLDO</t>
  </si>
  <si>
    <t>Augusto Leopoldo Raposo da Camara</t>
  </si>
  <si>
    <t>1856-08-22</t>
  </si>
  <si>
    <t>https://dadosabertos.camara.leg.br/api/v2/deputados/3513</t>
  </si>
  <si>
    <t>AUGUSTO MONTEIRO</t>
  </si>
  <si>
    <t>Augusto Carlos de Vasconcellos Monteiro</t>
  </si>
  <si>
    <t>1881-10-12</t>
  </si>
  <si>
    <t>Goianinha</t>
  </si>
  <si>
    <t>https://dadosabertos.camara.leg.br/api/v2/deputados/2112</t>
  </si>
  <si>
    <t>AURÉLIO AMORIM</t>
  </si>
  <si>
    <t>Aurelio Amorim</t>
  </si>
  <si>
    <t>https://dadosabertos.camara.leg.br/api/v2/deputados/1804</t>
  </si>
  <si>
    <t>BARROS LINS</t>
  </si>
  <si>
    <t>José de Barros Albuquerque Lins</t>
  </si>
  <si>
    <t>1853-12-22</t>
  </si>
  <si>
    <t>https://dadosabertos.camara.leg.br/api/v2/deputados/2317</t>
  </si>
  <si>
    <t>BATISTA ACCIOLY</t>
  </si>
  <si>
    <t>João Baptista Accioly Junior</t>
  </si>
  <si>
    <t>1877-08-19</t>
  </si>
  <si>
    <t>Maragogi</t>
  </si>
  <si>
    <t>https://dadosabertos.camara.leg.br/api/v2/deputados/2348</t>
  </si>
  <si>
    <t>BATISTA DE MELO</t>
  </si>
  <si>
    <t>Joaquim Baptista de Mello</t>
  </si>
  <si>
    <t>https://dadosabertos.camara.leg.br/api/v2/deputados/1631</t>
  </si>
  <si>
    <t>BEZERRIL FONTENELE</t>
  </si>
  <si>
    <t>José Freire Bezerril Fontenelle</t>
  </si>
  <si>
    <t>1850-03-09</t>
  </si>
  <si>
    <t>https://dadosabertos.camara.leg.br/api/v2/deputados/2362</t>
  </si>
  <si>
    <t>BORGES DA FONSECA</t>
  </si>
  <si>
    <t>Bento Borges da Fonseca</t>
  </si>
  <si>
    <t>https://dadosabertos.camara.leg.br/api/v2/deputados/1662</t>
  </si>
  <si>
    <t>CAETANO ALBUQUERQUE</t>
  </si>
  <si>
    <t>Caetano Manuel de Faria e Albuquerque</t>
  </si>
  <si>
    <t>1857-01-11</t>
  </si>
  <si>
    <t>https://dadosabertos.camara.leg.br/api/v2/deputados/2322</t>
  </si>
  <si>
    <t>CAMPOS FRANÇA</t>
  </si>
  <si>
    <t>José Alfredo de Campos França</t>
  </si>
  <si>
    <t>https://dadosabertos.camara.leg.br/api/v2/deputados/2156</t>
  </si>
  <si>
    <t>CARVALHO CHAVES</t>
  </si>
  <si>
    <t>Antonio Augusto de Carvalho Chaves</t>
  </si>
  <si>
    <t>https://dadosabertos.camara.leg.br/api/v2/deputados/2295</t>
  </si>
  <si>
    <t>CORREIA DE FREITAS</t>
  </si>
  <si>
    <t>Manoel Corrêa de Freitas</t>
  </si>
  <si>
    <t>https://dadosabertos.camara.leg.br/api/v2/deputados/3557</t>
  </si>
  <si>
    <t>Manoel Bernardino da Costa Rodrigues</t>
  </si>
  <si>
    <t>1853-02-05</t>
  </si>
  <si>
    <t>https://dadosabertos.camara.leg.br/api/v2/deputados/130119</t>
  </si>
  <si>
    <t>CRISTINO CRUZ</t>
  </si>
  <si>
    <t>Christino Cruz</t>
  </si>
  <si>
    <t>1857-07-24</t>
  </si>
  <si>
    <t>https://dadosabertos.camara.leg.br/api/v2/deputados/2363</t>
  </si>
  <si>
    <t>CUNHA RABELO</t>
  </si>
  <si>
    <t>José da Cunha Rabello</t>
  </si>
  <si>
    <t>https://dadosabertos.camara.leg.br/api/v2/deputados/3520</t>
  </si>
  <si>
    <t>DERALDO DIAS</t>
  </si>
  <si>
    <t>Deraldo Dias</t>
  </si>
  <si>
    <t>1863-10-04</t>
  </si>
  <si>
    <t>https://dadosabertos.camara.leg.br/api/v2/deputados/2390</t>
  </si>
  <si>
    <t>DIAS DE BARROS</t>
  </si>
  <si>
    <t>Antonio Dias de Barros</t>
  </si>
  <si>
    <t>1871-12-19</t>
  </si>
  <si>
    <t>https://dadosabertos.camara.leg.br/api/v2/deputados/2006</t>
  </si>
  <si>
    <t>DIOGO FORTUNA</t>
  </si>
  <si>
    <t>Diogo Fernandes Alvarez Fortuna</t>
  </si>
  <si>
    <t>1849-09-27</t>
  </si>
  <si>
    <t>https://dadosabertos.camara.leg.br/api/v2/deputados/130103</t>
  </si>
  <si>
    <t>DIONÍSIO CERQUEIRA</t>
  </si>
  <si>
    <t>Antonio Dionysio de Castro Cerqueira</t>
  </si>
  <si>
    <t>https://dadosabertos.camara.leg.br/api/v2/deputados/130104</t>
  </si>
  <si>
    <t>ELÍSIO DE ARAÚJO</t>
  </si>
  <si>
    <t>Elysio de Araujo</t>
  </si>
  <si>
    <t>https://dadosabertos.camara.leg.br/api/v2/deputados/1765</t>
  </si>
  <si>
    <t>ÉRICO COELHO</t>
  </si>
  <si>
    <t>Erico Marinho da Gama Coelho</t>
  </si>
  <si>
    <t>1849-03-07</t>
  </si>
  <si>
    <t>https://dadosabertos.camara.leg.br/api/v2/deputados/2387</t>
  </si>
  <si>
    <t>ESTEVAM MARCOLINO</t>
  </si>
  <si>
    <t>Estevam Marcolino de Figueiredo</t>
  </si>
  <si>
    <t>1854-12-11</t>
  </si>
  <si>
    <t>https://dadosabertos.camara.leg.br/api/v2/deputados/2325</t>
  </si>
  <si>
    <t>FELINTO SAMPAIO</t>
  </si>
  <si>
    <t>Felinto Cesar Sampaio</t>
  </si>
  <si>
    <t>https://dadosabertos.camara.leg.br/api/v2/deputados/2356</t>
  </si>
  <si>
    <t>FELIZARDO LEITE</t>
  </si>
  <si>
    <t>Felizardo Toscano Leite Ferreira</t>
  </si>
  <si>
    <t>https://dadosabertos.camara.leg.br/api/v2/deputados/2208</t>
  </si>
  <si>
    <t>FIGUEIREDO ROCHA</t>
  </si>
  <si>
    <t>João de Figueiredo Rocha</t>
  </si>
  <si>
    <t>https://dadosabertos.camara.leg.br/api/v2/deputados/3527</t>
  </si>
  <si>
    <t>FIRMO BRAGA</t>
  </si>
  <si>
    <t>Firmo José da Costa Braga</t>
  </si>
  <si>
    <t>1859-06-01</t>
  </si>
  <si>
    <t>https://dadosabertos.camara.leg.br/api/v2/deputados/1650</t>
  </si>
  <si>
    <t>FLEURY CURADO</t>
  </si>
  <si>
    <t>Sebastião Fleury Curado</t>
  </si>
  <si>
    <t>1864-01-22</t>
  </si>
  <si>
    <t>https://dadosabertos.camara.leg.br/api/v2/deputados/2307</t>
  </si>
  <si>
    <t>FRANCISCO PORTELA</t>
  </si>
  <si>
    <t>Francisco Portella</t>
  </si>
  <si>
    <t>1833-12-22</t>
  </si>
  <si>
    <t>https://dadosabertos.camara.leg.br/api/v2/deputados/1561</t>
  </si>
  <si>
    <t>FRANCISCO VEIGA</t>
  </si>
  <si>
    <t>Francisco Luiz da Veiga</t>
  </si>
  <si>
    <t>1843-06-10</t>
  </si>
  <si>
    <t>https://dadosabertos.camara.leg.br/api/v2/deputados/2326</t>
  </si>
  <si>
    <t>FREIRE DE CARVALHO FILHO</t>
  </si>
  <si>
    <t>José Eduardo Freire de Carvalho Filho</t>
  </si>
  <si>
    <t>1852-03-14</t>
  </si>
  <si>
    <t>https://dadosabertos.camara.leg.br/api/v2/deputados/3695</t>
  </si>
  <si>
    <t>FRÓES DA CRUZ</t>
  </si>
  <si>
    <t>Luiz Carlos Fróes da Cruz</t>
  </si>
  <si>
    <t>1852-04-27</t>
  </si>
  <si>
    <t>https://dadosabertos.camara.leg.br/api/v2/deputados/2290</t>
  </si>
  <si>
    <t>GARÇÃO STOCKLER</t>
  </si>
  <si>
    <t>Eustachio Garção Stockler</t>
  </si>
  <si>
    <t>1854-04-21</t>
  </si>
  <si>
    <t>https://dadosabertos.camara.leg.br/api/v2/deputados/2334</t>
  </si>
  <si>
    <t>GENTIL FALCÃO</t>
  </si>
  <si>
    <t>Antonio Gentil de Albuquerque Falcão</t>
  </si>
  <si>
    <t>https://dadosabertos.camara.leg.br/api/v2/deputados/2385</t>
  </si>
  <si>
    <t>GUSTAVO RICHARD</t>
  </si>
  <si>
    <t>Gustavo Richard</t>
  </si>
  <si>
    <t>1847-08-29</t>
  </si>
  <si>
    <t>https://dadosabertos.camara.leg.br/api/v2/deputados/1752</t>
  </si>
  <si>
    <t>HOMERO BATISTA</t>
  </si>
  <si>
    <t>Homero Baptista</t>
  </si>
  <si>
    <t>1860-01-30</t>
  </si>
  <si>
    <t>https://dadosabertos.camara.leg.br/api/v2/deputados/3504</t>
  </si>
  <si>
    <t>JACQUES OURIQUE</t>
  </si>
  <si>
    <t>Alfredo Ernesto Jacques Ourique</t>
  </si>
  <si>
    <t>1848-02-21</t>
  </si>
  <si>
    <t>https://dadosabertos.camara.leg.br/api/v2/deputados/2355</t>
  </si>
  <si>
    <t>JOÃO CHAVES</t>
  </si>
  <si>
    <t>João Baptista de Vasconcellos Chaves</t>
  </si>
  <si>
    <t>1875-10-04</t>
  </si>
  <si>
    <t>https://dadosabertos.camara.leg.br/api/v2/deputados/3620</t>
  </si>
  <si>
    <t>JOÃO DE SIQUEIRA</t>
  </si>
  <si>
    <t>João de Siqueira Cavalcanti</t>
  </si>
  <si>
    <t>1855-12-24</t>
  </si>
  <si>
    <t>https://dadosabertos.camara.leg.br/api/v2/deputados/2076</t>
  </si>
  <si>
    <t>JOÃO GAYOSO</t>
  </si>
  <si>
    <t>João Henrique de Souza Gayoso e Almendra</t>
  </si>
  <si>
    <t>1865-06-09</t>
  </si>
  <si>
    <t>https://dadosabertos.camara.leg.br/api/v2/deputados/3537</t>
  </si>
  <si>
    <t>JOÃO LOPES</t>
  </si>
  <si>
    <t>João Lopes Ferreira Filho</t>
  </si>
  <si>
    <t>1854-08-10</t>
  </si>
  <si>
    <t>https://dadosabertos.camara.leg.br/api/v2/deputados/1693</t>
  </si>
  <si>
    <t>JOÃO LUIS CAMPOS</t>
  </si>
  <si>
    <t>João Luiz de Campos</t>
  </si>
  <si>
    <t>1844-01-26</t>
  </si>
  <si>
    <t>https://dadosabertos.camara.leg.br/api/v2/deputados/2344</t>
  </si>
  <si>
    <t>João Pedro de Carvalho Vieira</t>
  </si>
  <si>
    <t>1877-04-28</t>
  </si>
  <si>
    <t>https://dadosabertos.camara.leg.br/api/v2/deputados/3552</t>
  </si>
  <si>
    <t>JOSÉ BEZERRA</t>
  </si>
  <si>
    <t>José Rufino Bezerra Cavalcanti</t>
  </si>
  <si>
    <t>https://dadosabertos.camara.leg.br/api/v2/deputados/3549</t>
  </si>
  <si>
    <t>JOSÉ MARIANO</t>
  </si>
  <si>
    <t>José Mariano Carneiro da Cunha</t>
  </si>
  <si>
    <t>1850-08-08</t>
  </si>
  <si>
    <t>https://dadosabertos.camara.leg.br/api/v2/deputados/2337</t>
  </si>
  <si>
    <t>JOSÉ MEIRELES</t>
  </si>
  <si>
    <t>José Meireles Alves Moreira</t>
  </si>
  <si>
    <t>https://dadosabertos.camara.leg.br/api/v2/deputados/3554</t>
  </si>
  <si>
    <t>JOVINIANO DE CARVALHO</t>
  </si>
  <si>
    <t>Joviniano Joaquim de Carvalho</t>
  </si>
  <si>
    <t>https://dadosabertos.camara.leg.br/api/v2/deputados/3555</t>
  </si>
  <si>
    <t>JÚLIO LEITE</t>
  </si>
  <si>
    <t>Julio Pereira Leite</t>
  </si>
  <si>
    <t>https://dadosabertos.camara.leg.br/api/v2/deputados/1877</t>
  </si>
  <si>
    <t>LAMENHA LINS</t>
  </si>
  <si>
    <t>Bento José Lamenha Lins</t>
  </si>
  <si>
    <t>1866-08-29</t>
  </si>
  <si>
    <t>https://dadosabertos.camara.leg.br/api/v2/deputados/2319</t>
  </si>
  <si>
    <t>LUCIANO PEREIRA</t>
  </si>
  <si>
    <t>Luciano Pereira da Silva</t>
  </si>
  <si>
    <t>1884-10-12</t>
  </si>
  <si>
    <t>https://dadosabertos.camara.leg.br/api/v2/deputados/3559</t>
  </si>
  <si>
    <t>MARTIM FRANCISCO</t>
  </si>
  <si>
    <t>Martim Francisco Ribeiro de Andrada Filho</t>
  </si>
  <si>
    <t>1853-02-11</t>
  </si>
  <si>
    <t>https://dadosabertos.camara.leg.br/api/v2/deputados/1734</t>
  </si>
  <si>
    <t>MEIRA VASCONCELOS</t>
  </si>
  <si>
    <t>José Vicente Meira de Vasconcellos</t>
  </si>
  <si>
    <t>1850-04-05</t>
  </si>
  <si>
    <t>https://dadosabertos.camara.leg.br/api/v2/deputados/2391</t>
  </si>
  <si>
    <t>MOREIRA GUIMARÃES</t>
  </si>
  <si>
    <t>José Maria Moreira Guimarães</t>
  </si>
  <si>
    <t>1864-11-04</t>
  </si>
  <si>
    <t>https://dadosabertos.camara.leg.br/api/v2/deputados/2145</t>
  </si>
  <si>
    <t>NOGUEIRA</t>
  </si>
  <si>
    <t>José Bento Nogueira</t>
  </si>
  <si>
    <t>1833-01-01</t>
  </si>
  <si>
    <t>https://dadosabertos.camara.leg.br/api/v2/deputados/2346</t>
  </si>
  <si>
    <t>OSCAR MARQUES</t>
  </si>
  <si>
    <t>Oscar da Costa Marques</t>
  </si>
  <si>
    <t>https://dadosabertos.camara.leg.br/api/v2/deputados/2209</t>
  </si>
  <si>
    <t>PEDRO DE CARVALHO</t>
  </si>
  <si>
    <t>Pedro Pereira de Carvalho</t>
  </si>
  <si>
    <t>1861-04-26</t>
  </si>
  <si>
    <t>https://dadosabertos.camara.leg.br/api/v2/deputados/2267</t>
  </si>
  <si>
    <t>PEDRO MARIANI</t>
  </si>
  <si>
    <t>Pedro Mariani</t>
  </si>
  <si>
    <t>1855-01-22</t>
  </si>
  <si>
    <t>https://dadosabertos.camara.leg.br/api/v2/deputados/2275</t>
  </si>
  <si>
    <t>PENNAFORT CALDAS</t>
  </si>
  <si>
    <t>Raymundo Pennafort Caldas</t>
  </si>
  <si>
    <t>1865-01-23</t>
  </si>
  <si>
    <t>https://dadosabertos.camara.leg.br/api/v2/deputados/2308</t>
  </si>
  <si>
    <t>PORTO SOBRINHO</t>
  </si>
  <si>
    <t>José Pereira Rodrigues Porto Sobrinho</t>
  </si>
  <si>
    <t>https://dadosabertos.camara.leg.br/api/v2/deputados/2331</t>
  </si>
  <si>
    <t>RAFAEL PINHEIRO</t>
  </si>
  <si>
    <t>Raphael Pinheiro</t>
  </si>
  <si>
    <t>https://dadosabertos.camara.leg.br/api/v2/deputados/1888</t>
  </si>
  <si>
    <t>RAIMUNDO ARTUR</t>
  </si>
  <si>
    <t>Raymundo Arthur de Vasconcellos</t>
  </si>
  <si>
    <t>1866-03-29</t>
  </si>
  <si>
    <t>https://dadosabertos.camara.leg.br/api/v2/deputados/2368</t>
  </si>
  <si>
    <t>REGO MEDEIROS</t>
  </si>
  <si>
    <t>Antonio Ignacio do Rego Medeiros</t>
  </si>
  <si>
    <t>https://dadosabertos.camara.leg.br/api/v2/deputados/1809</t>
  </si>
  <si>
    <t>José da Rocha Cavalcanti</t>
  </si>
  <si>
    <t>1856-04-02</t>
  </si>
  <si>
    <t>https://dadosabertos.camara.leg.br/api/v2/deputados/1983</t>
  </si>
  <si>
    <t>RODOLFO PAIXÃO</t>
  </si>
  <si>
    <t>Rodolpho Gustavo da Paixão</t>
  </si>
  <si>
    <t>1853-07-13</t>
  </si>
  <si>
    <t>https://dadosabertos.camara.leg.br/api/v2/deputados/2339</t>
  </si>
  <si>
    <t>RODRIGUES SALES FILHO</t>
  </si>
  <si>
    <t>Francisco Antonio Rodrigues Salles Filho</t>
  </si>
  <si>
    <t>https://dadosabertos.camara.leg.br/api/v2/deputados/2150</t>
  </si>
  <si>
    <t>ROGÉRIO DE MIRANDA</t>
  </si>
  <si>
    <t>Rogerio Corrêa de Miranda</t>
  </si>
  <si>
    <t>https://dadosabertos.camara.leg.br/api/v2/deputados/2294</t>
  </si>
  <si>
    <t>SERÁFICO DA NÓBREGA</t>
  </si>
  <si>
    <t>Francisco Seraphico da Nobrega</t>
  </si>
  <si>
    <t>1863-11-28</t>
  </si>
  <si>
    <t>https://dadosabertos.camara.leg.br/api/v2/deputados/2369</t>
  </si>
  <si>
    <t>SÉRGIO DE MAGALHÃES</t>
  </si>
  <si>
    <t>Sérgio Nunes de Magalhães</t>
  </si>
  <si>
    <t>https://dadosabertos.camara.leg.br/api/v2/deputados/1711</t>
  </si>
  <si>
    <t>SERZEDELO CORREIA</t>
  </si>
  <si>
    <t>Innocencio Serzedello Corrêa</t>
  </si>
  <si>
    <t>1858-06-16</t>
  </si>
  <si>
    <t>https://dadosabertos.camara.leg.br/api/v2/deputados/1917</t>
  </si>
  <si>
    <t>SILVA CASTRO</t>
  </si>
  <si>
    <t>Luiz da Silva Castro</t>
  </si>
  <si>
    <t>1855-01-30</t>
  </si>
  <si>
    <t>https://dadosabertos.camara.leg.br/api/v2/deputados/2318</t>
  </si>
  <si>
    <t>TIBÚRCIO DE CARVALHO</t>
  </si>
  <si>
    <t>Tiburcio Alves de Carvalho</t>
  </si>
  <si>
    <t>1864-02-16</t>
  </si>
  <si>
    <t>https://dadosabertos.camara.leg.br/api/v2/deputados/2031</t>
  </si>
  <si>
    <t>VIRGÍLIO BRÍGIDO</t>
  </si>
  <si>
    <t>Virgilio Brigido</t>
  </si>
  <si>
    <t>1854-04-24</t>
  </si>
  <si>
    <t>https://dadosabertos.camara.leg.br/api/v2/deputados/130106</t>
  </si>
  <si>
    <t>VÍTOR DE BRITO</t>
  </si>
  <si>
    <t>Victor de Brito</t>
  </si>
  <si>
    <t>1856-10-15</t>
  </si>
  <si>
    <t>https://dadosabertos.camara.leg.br/api/v2/deputados/2340</t>
  </si>
  <si>
    <t>VÍTOR SILVEIRA</t>
  </si>
  <si>
    <t>Victor de Assis Silveira</t>
  </si>
  <si>
    <t>https://dadosabertos.camara.leg.br/api/v2/deputados/2283</t>
  </si>
  <si>
    <t>ADJUTO</t>
  </si>
  <si>
    <t>Antonio Garcia Adjuto</t>
  </si>
  <si>
    <t>1867-03-06</t>
  </si>
  <si>
    <t>https://dadosabertos.camara.leg.br/api/v2/deputados/2068</t>
  </si>
  <si>
    <t>AFONSO COSTA</t>
  </si>
  <si>
    <t>Affonso Gonçalves Ferreira da Costa</t>
  </si>
  <si>
    <t>1870-04-28</t>
  </si>
  <si>
    <t>https://dadosabertos.camara.leg.br/api/v2/deputados/1761</t>
  </si>
  <si>
    <t>ALCINDO GUANABARA</t>
  </si>
  <si>
    <t>Alcindo Guanabara</t>
  </si>
  <si>
    <t>1865-07-19</t>
  </si>
  <si>
    <t>https://dadosabertos.camara.leg.br/api/v2/deputados/1783</t>
  </si>
  <si>
    <t>ÂNGELO PINHEIRO</t>
  </si>
  <si>
    <t>Ângelo Gomes Pinheiro Machado</t>
  </si>
  <si>
    <t>1861-03-10</t>
  </si>
  <si>
    <t>https://dadosabertos.camara.leg.br/api/v2/deputados/2303</t>
  </si>
  <si>
    <t>ANÍBAL DE CARVALHO</t>
  </si>
  <si>
    <t>Aníbal Teixeira de Carvalho</t>
  </si>
  <si>
    <t>1864-05-19</t>
  </si>
  <si>
    <t>https://dadosabertos.camara.leg.br/api/v2/deputados/2262</t>
  </si>
  <si>
    <t>ANTÔNIO DANTAS</t>
  </si>
  <si>
    <t>Antonio da Costa Pinto Dantas</t>
  </si>
  <si>
    <t>1874-08-04</t>
  </si>
  <si>
    <t>https://dadosabertos.camara.leg.br/api/v2/deputados/2237</t>
  </si>
  <si>
    <t>Francisco Antunes Maciel</t>
  </si>
  <si>
    <t>1844-10-27</t>
  </si>
  <si>
    <t>https://dadosabertos.camara.leg.br/api/v2/deputados/3587</t>
  </si>
  <si>
    <t>ARAUJO PINHEIRO</t>
  </si>
  <si>
    <t>Carlos José de Araujo Pinheiro</t>
  </si>
  <si>
    <t>1850-06-19</t>
  </si>
  <si>
    <t>https://dadosabertos.camara.leg.br/api/v2/deputados/1575</t>
  </si>
  <si>
    <t>ARISTIDES ESPÍNOLA</t>
  </si>
  <si>
    <t>Aristides de Souza Spínola</t>
  </si>
  <si>
    <t>https://dadosabertos.camara.leg.br/api/v2/deputados/2243</t>
  </si>
  <si>
    <t>BALTAZAR BERNARDINO</t>
  </si>
  <si>
    <t>Balthazar Bernardino Baptista Pereira</t>
  </si>
  <si>
    <t>https://dadosabertos.camara.leg.br/api/v2/deputados/1763</t>
  </si>
  <si>
    <t>BAPTISTA DA MOTTA</t>
  </si>
  <si>
    <t>https://dadosabertos.camara.leg.br/api/v2/deputados/2126</t>
  </si>
  <si>
    <t>BERNARDO HORTA</t>
  </si>
  <si>
    <t>Bernardo Horta de Araújo</t>
  </si>
  <si>
    <t>1862-02-20</t>
  </si>
  <si>
    <t>https://dadosabertos.camara.leg.br/api/v2/deputados/2193</t>
  </si>
  <si>
    <t>BERNARDO JAMBEIRO</t>
  </si>
  <si>
    <t>Bernardo José Jambeiro</t>
  </si>
  <si>
    <t>1864-11-27</t>
  </si>
  <si>
    <t>https://dadosabertos.camara.leg.br/api/v2/deputados/2137</t>
  </si>
  <si>
    <t>BERNARDO MONTEIRO</t>
  </si>
  <si>
    <t>Bernardo Pinto Monteiro</t>
  </si>
  <si>
    <t>https://dadosabertos.camara.leg.br/api/v2/deputados/3599</t>
  </si>
  <si>
    <t>BUENO DE PAIVA</t>
  </si>
  <si>
    <t>Francisco Álvaro Bueno de Paiva</t>
  </si>
  <si>
    <t>1861-09-17</t>
  </si>
  <si>
    <t>https://dadosabertos.camara.leg.br/api/v2/deputados/2122</t>
  </si>
  <si>
    <t>BULHÕES MARCIAL</t>
  </si>
  <si>
    <t>João de Bulhões Mattos Marcial</t>
  </si>
  <si>
    <t>1860-07-04</t>
  </si>
  <si>
    <t>https://dadosabertos.camara.leg.br/api/v2/deputados/3637</t>
  </si>
  <si>
    <t>CAMPOS CARITIER</t>
  </si>
  <si>
    <t>Manoel de Campos Cartier</t>
  </si>
  <si>
    <t>1862-05-22</t>
  </si>
  <si>
    <t>https://dadosabertos.camara.leg.br/api/v2/deputados/2066</t>
  </si>
  <si>
    <t>CARLOS CAVALCANTI</t>
  </si>
  <si>
    <t>Carlos Cavalcanti de Albuquerque</t>
  </si>
  <si>
    <t>1864-03-22</t>
  </si>
  <si>
    <t>https://dadosabertos.camara.leg.br/api/v2/deputados/3571</t>
  </si>
  <si>
    <t>CASSIANO DO NASCIMENTO</t>
  </si>
  <si>
    <t>Alexandre Cassiano do Nascimento</t>
  </si>
  <si>
    <t>1856-04-16</t>
  </si>
  <si>
    <t>https://dadosabertos.camara.leg.br/api/v2/deputados/2263</t>
  </si>
  <si>
    <t>COSTA PINTO</t>
  </si>
  <si>
    <t>Joaquim de Aguiar Costa Pinto</t>
  </si>
  <si>
    <t>https://dadosabertos.camara.leg.br/api/v2/deputados/3588</t>
  </si>
  <si>
    <t>Delphim Moreira da Costa Ribeiro</t>
  </si>
  <si>
    <t>1868-11-07</t>
  </si>
  <si>
    <t>https://dadosabertos.camara.leg.br/api/v2/deputados/3589</t>
  </si>
  <si>
    <t>DEMÓCRITO GRACINDO</t>
  </si>
  <si>
    <t>Democrito Brandão Gracindo</t>
  </si>
  <si>
    <t>1884-04-28</t>
  </si>
  <si>
    <t>https://dadosabertos.camara.leg.br/api/v2/deputados/2226</t>
  </si>
  <si>
    <t>DIOCLÉCIO DE CAMPOS</t>
  </si>
  <si>
    <t>Deoclecio Marinho de Campos</t>
  </si>
  <si>
    <t>https://dadosabertos.camara.leg.br/api/v2/deputados/2157</t>
  </si>
  <si>
    <t>DOMINGOS GONÇALVES</t>
  </si>
  <si>
    <t>Domingos de Souza Leão Gonçalves</t>
  </si>
  <si>
    <t>https://dadosabertos.camara.leg.br/api/v2/deputados/2116</t>
  </si>
  <si>
    <t>DOMINGOS GUIMARÃES</t>
  </si>
  <si>
    <t>Domingos Rodrigues Guimarães</t>
  </si>
  <si>
    <t>https://dadosabertos.camara.leg.br/api/v2/deputados/2217</t>
  </si>
  <si>
    <t>DOMINGOS PENA</t>
  </si>
  <si>
    <t>Domingos Moreira dos Santos Penna</t>
  </si>
  <si>
    <t>https://dadosabertos.camara.leg.br/api/v2/deputados/130101</t>
  </si>
  <si>
    <t>DUARTE DE ABREU</t>
  </si>
  <si>
    <t>1859-06-03</t>
  </si>
  <si>
    <t>https://dadosabertos.camara.leg.br/api/v2/deputados/3594</t>
  </si>
  <si>
    <t>EDUARDO SÓCRATES</t>
  </si>
  <si>
    <t>Eduardo Arthur Socrates</t>
  </si>
  <si>
    <t>https://dadosabertos.camara.leg.br/api/v2/deputados/2022</t>
  </si>
  <si>
    <t>EPAMINONDAS GRACINDO</t>
  </si>
  <si>
    <t>Epaminondas Hypólito Gracindo</t>
  </si>
  <si>
    <t>1844-01-10</t>
  </si>
  <si>
    <t>https://dadosabertos.camara.leg.br/api/v2/deputados/2072</t>
  </si>
  <si>
    <t>ESMERALDINO BANDEIRA</t>
  </si>
  <si>
    <t>Esmeraldino Olympio de Torres Bandeira</t>
  </si>
  <si>
    <t>1865-02-27</t>
  </si>
  <si>
    <t>https://dadosabertos.camara.leg.br/api/v2/deputados/3598</t>
  </si>
  <si>
    <t>EUCLIDES BARROSO</t>
  </si>
  <si>
    <t>Euclides Barroso</t>
  </si>
  <si>
    <t>1861-02-22</t>
  </si>
  <si>
    <t>https://dadosabertos.camara.leg.br/api/v2/deputados/3625</t>
  </si>
  <si>
    <t>FARIA NEVES SOBRINHO</t>
  </si>
  <si>
    <t>Joaquim José de Faria Neves Sobrinho</t>
  </si>
  <si>
    <t>1872-04-02</t>
  </si>
  <si>
    <t>https://dadosabertos.camara.leg.br/api/v2/deputados/2192</t>
  </si>
  <si>
    <t>FERREIRA PENA</t>
  </si>
  <si>
    <t>Henrique Ferreira Penna de Azevedo</t>
  </si>
  <si>
    <t>1854-01-24</t>
  </si>
  <si>
    <t>https://dadosabertos.camara.leg.br/api/v2/deputados/2264</t>
  </si>
  <si>
    <t>FRANCISCO DRUMOND</t>
  </si>
  <si>
    <t>Francisco Luiz da Costa Drumond</t>
  </si>
  <si>
    <t>https://dadosabertos.camara.leg.br/api/v2/deputados/2185</t>
  </si>
  <si>
    <t>FRANCISCO ROMEIRO</t>
  </si>
  <si>
    <t>Francisco Marcondes Romeiro</t>
  </si>
  <si>
    <t>1841-12-28</t>
  </si>
  <si>
    <t>https://dadosabertos.camara.leg.br/api/v2/deputados/2282</t>
  </si>
  <si>
    <t>Generoso Paes Leme de Souza Ponce</t>
  </si>
  <si>
    <t>1852-07-10</t>
  </si>
  <si>
    <t>https://dadosabertos.camara.leg.br/api/v2/deputados/3605</t>
  </si>
  <si>
    <t>GERMANO HASSLOCHER</t>
  </si>
  <si>
    <t>Germano Hasslocher</t>
  </si>
  <si>
    <t>1862-07-10</t>
  </si>
  <si>
    <t>https://dadosabertos.camara.leg.br/api/v2/deputados/2029</t>
  </si>
  <si>
    <t>GONÇALO SOUTO</t>
  </si>
  <si>
    <t>Gonçalo de Almeida Souto</t>
  </si>
  <si>
    <t>1826-05-12</t>
  </si>
  <si>
    <t>https://dadosabertos.camara.leg.br/api/v2/deputados/2301</t>
  </si>
  <si>
    <t>GONÇALVES DE ALMEIDA</t>
  </si>
  <si>
    <t>José Gonçalves de Almeida</t>
  </si>
  <si>
    <t>1856-07-07</t>
  </si>
  <si>
    <t>https://dadosabertos.camara.leg.br/api/v2/deputados/2313</t>
  </si>
  <si>
    <t>GUMERCINDO BESSA</t>
  </si>
  <si>
    <t>Gumercindo de Araujo Bessa</t>
  </si>
  <si>
    <t>1859-01-02</t>
  </si>
  <si>
    <t>https://dadosabertos.camara.leg.br/api/v2/deputados/1597</t>
  </si>
  <si>
    <t>HENRIQUE SALES</t>
  </si>
  <si>
    <t>Henrique de Magalhães Salles</t>
  </si>
  <si>
    <t>1848-08-21</t>
  </si>
  <si>
    <t>https://dadosabertos.camara.leg.br/api/v2/deputados/2272</t>
  </si>
  <si>
    <t>HONÓRIO GURGEL</t>
  </si>
  <si>
    <t>Honorio Gurgel</t>
  </si>
  <si>
    <t>1860-03-14</t>
  </si>
  <si>
    <t>https://dadosabertos.camara.leg.br/api/v2/deputados/2186</t>
  </si>
  <si>
    <t>JESUINO CARDOSO</t>
  </si>
  <si>
    <t>Jesuino Ubaldo Cardoso de Mello</t>
  </si>
  <si>
    <t>1865-05-16</t>
  </si>
  <si>
    <t>Areias</t>
  </si>
  <si>
    <t>https://dadosabertos.camara.leg.br/api/v2/deputados/2239</t>
  </si>
  <si>
    <t>JOÃO ABOTT</t>
  </si>
  <si>
    <t>João Abott</t>
  </si>
  <si>
    <t>https://dadosabertos.camara.leg.br/api/v2/deputados/2086</t>
  </si>
  <si>
    <t>João Baptista Pereira dos Santos</t>
  </si>
  <si>
    <t>https://dadosabertos.camara.leg.br/api/v2/deputados/2206</t>
  </si>
  <si>
    <t>JOÃO CORDEIRO</t>
  </si>
  <si>
    <t>João Cordeiro</t>
  </si>
  <si>
    <t>1842-08-31</t>
  </si>
  <si>
    <t>https://dadosabertos.camara.leg.br/api/v2/deputados/3621</t>
  </si>
  <si>
    <t>JOÃO VIEIRA</t>
  </si>
  <si>
    <t>João Vieira de Araújo</t>
  </si>
  <si>
    <t>1844-07-28</t>
  </si>
  <si>
    <t>https://dadosabertos.camara.leg.br/api/v2/deputados/2234</t>
  </si>
  <si>
    <t>JOAQUIM CRUZ</t>
  </si>
  <si>
    <t>Joaquim Antonio da Cruz</t>
  </si>
  <si>
    <t>1846-01-06</t>
  </si>
  <si>
    <t>https://dadosabertos.camara.leg.br/api/v2/deputados/4440</t>
  </si>
  <si>
    <t>José Carlos de Carvalho</t>
  </si>
  <si>
    <t>1847-09-02</t>
  </si>
  <si>
    <t>https://dadosabertos.camara.leg.br/api/v2/deputados/3628</t>
  </si>
  <si>
    <t>JOSÉ INACIO</t>
  </si>
  <si>
    <t>José Ignacio da Silva</t>
  </si>
  <si>
    <t>1855-09-30</t>
  </si>
  <si>
    <t>https://dadosabertos.camara.leg.br/api/v2/deputados/3629</t>
  </si>
  <si>
    <t>JOSÉ MARCELINO</t>
  </si>
  <si>
    <t>José Marcelino da Rosa e Silva</t>
  </si>
  <si>
    <t>1856-06-02</t>
  </si>
  <si>
    <t>https://dadosabertos.camara.leg.br/api/v2/deputados/3627</t>
  </si>
  <si>
    <t>JOSÉ MURTINHO</t>
  </si>
  <si>
    <t>José Antonio Murtinho</t>
  </si>
  <si>
    <t>1847-01-15</t>
  </si>
  <si>
    <t>https://dadosabertos.camara.leg.br/api/v2/deputados/3624</t>
  </si>
  <si>
    <t>LEITE DE CASTRO</t>
  </si>
  <si>
    <t>Joaquim Domingues Leite de Castro</t>
  </si>
  <si>
    <t>https://dadosabertos.camara.leg.br/api/v2/deputados/3632</t>
  </si>
  <si>
    <t>LEOPOLDO LINS</t>
  </si>
  <si>
    <t>Leopoldo Marinho de Paula Lins</t>
  </si>
  <si>
    <t>1857-12-13</t>
  </si>
  <si>
    <t>https://dadosabertos.camara.leg.br/api/v2/deputados/3633</t>
  </si>
  <si>
    <t>LEOVIGILDO FILGUEIRAS</t>
  </si>
  <si>
    <t>Leovigildo do Ypiranga Amorim Filgueiras</t>
  </si>
  <si>
    <t>1856-09-07</t>
  </si>
  <si>
    <t>https://dadosabertos.camara.leg.br/api/v2/deputados/2236</t>
  </si>
  <si>
    <t>LINDOLFO CÂMARA</t>
  </si>
  <si>
    <t>João Lindolfo Camara</t>
  </si>
  <si>
    <t>1863-05-11</t>
  </si>
  <si>
    <t>https://dadosabertos.camara.leg.br/api/v2/deputados/3581</t>
  </si>
  <si>
    <t>LOBO JURUMENHA</t>
  </si>
  <si>
    <t>Antonio Pinheiro Lobo de Menezes Jurumenha</t>
  </si>
  <si>
    <t>1851-08-13</t>
  </si>
  <si>
    <t>https://dadosabertos.camara.leg.br/api/v2/deputados/3635</t>
  </si>
  <si>
    <t>LUÍS ADOLFO</t>
  </si>
  <si>
    <t>Luiz Adolpho Corrêa da Costa</t>
  </si>
  <si>
    <t>1856-07-01</t>
  </si>
  <si>
    <t>https://dadosabertos.camara.leg.br/api/v2/deputados/3636</t>
  </si>
  <si>
    <t>LUÍS MURAT</t>
  </si>
  <si>
    <t>LUIZ NORTON BARRETO MURAT</t>
  </si>
  <si>
    <t>https://dadosabertos.camara.leg.br/api/v2/deputados/2074</t>
  </si>
  <si>
    <t>MEDEIROS E ALBUQUERQUE</t>
  </si>
  <si>
    <t>José de Medeiros e Albuquerque</t>
  </si>
  <si>
    <t>1867-09-04</t>
  </si>
  <si>
    <t>https://dadosabertos.camara.leg.br/api/v2/deputados/1148</t>
  </si>
  <si>
    <t>MONJARDIM</t>
  </si>
  <si>
    <t>Alpheu Adolpho Monjardim de Andrade e Almeida</t>
  </si>
  <si>
    <t>1836-04-20</t>
  </si>
  <si>
    <t>https://dadosabertos.camara.leg.br/api/v2/deputados/2273</t>
  </si>
  <si>
    <t>MONTEIRO LOPES</t>
  </si>
  <si>
    <t>Manoel da Motta Monteiro Lopes</t>
  </si>
  <si>
    <t>1870-12-25</t>
  </si>
  <si>
    <t>https://dadosabertos.camara.leg.br/api/v2/deputados/1858</t>
  </si>
  <si>
    <t>OLEGÁRIO MACIEL</t>
  </si>
  <si>
    <t>Olegario Dias Maciel</t>
  </si>
  <si>
    <t>1855-10-06</t>
  </si>
  <si>
    <t>https://dadosabertos.camara.leg.br/api/v2/deputados/2215</t>
  </si>
  <si>
    <t>PAES BARRETO</t>
  </si>
  <si>
    <t>João Francisco de Novaes Paes Barreto</t>
  </si>
  <si>
    <t>1873-10-26</t>
  </si>
  <si>
    <t>https://dadosabertos.camara.leg.br/api/v2/deputados/1920</t>
  </si>
  <si>
    <t>PAULA RAMOS</t>
  </si>
  <si>
    <t>Victorino de Paula Ramos</t>
  </si>
  <si>
    <t>1860-08-27</t>
  </si>
  <si>
    <t>https://dadosabertos.camara.leg.br/api/v2/deputados/2314</t>
  </si>
  <si>
    <t>PEDRO DÓRIA</t>
  </si>
  <si>
    <t>Pedro Rodrigues da Costa Doria</t>
  </si>
  <si>
    <t>https://dadosabertos.camara.leg.br/api/v2/deputados/1993</t>
  </si>
  <si>
    <t>PEDRO PERNAMBUCO</t>
  </si>
  <si>
    <t>Pedro José de Oliveira Pernambuco</t>
  </si>
  <si>
    <t>1865-06-29</t>
  </si>
  <si>
    <t>https://dadosabertos.camara.leg.br/api/v2/deputados/3644</t>
  </si>
  <si>
    <t>PEDRO VIANA</t>
  </si>
  <si>
    <t>Pedro Vicente Viana</t>
  </si>
  <si>
    <t>1852-11-14</t>
  </si>
  <si>
    <t>São Francisco do Conde</t>
  </si>
  <si>
    <t>https://dadosabertos.camara.leg.br/api/v2/deputados/2268</t>
  </si>
  <si>
    <t>PLINIO COSTA</t>
  </si>
  <si>
    <t>Plinio de Magalhães Costa</t>
  </si>
  <si>
    <t>1872-01-24</t>
  </si>
  <si>
    <t>Curaçá</t>
  </si>
  <si>
    <t>https://dadosabertos.camara.leg.br/api/v2/deputados/3646</t>
  </si>
  <si>
    <t>PRUDÊNCIO MILANEZ</t>
  </si>
  <si>
    <t>Prudencio Cotegipe Milanez</t>
  </si>
  <si>
    <t>1861-02-13</t>
  </si>
  <si>
    <t>https://dadosabertos.camara.leg.br/api/v2/deputados/132149</t>
  </si>
  <si>
    <t>RIVADÁVIA CORREIA</t>
  </si>
  <si>
    <t>Rivadavia da Cunha Corrêa</t>
  </si>
  <si>
    <t>1866-07-09</t>
  </si>
  <si>
    <t>https://dadosabertos.camara.leg.br/api/v2/deputados/1797</t>
  </si>
  <si>
    <t>RODOLFO MIRANDA</t>
  </si>
  <si>
    <t>Rodolpho Nogueira da Rocha Miranda</t>
  </si>
  <si>
    <t>1860-11-08</t>
  </si>
  <si>
    <t>https://dadosabertos.camara.leg.br/api/v2/deputados/3639</t>
  </si>
  <si>
    <t>SAMPAIO MARQUES</t>
  </si>
  <si>
    <t>Manoel Sampaio Marques</t>
  </si>
  <si>
    <t>1866-05-24</t>
  </si>
  <si>
    <t>https://dadosabertos.camara.leg.br/api/v2/deputados/130102</t>
  </si>
  <si>
    <t>SERGIO BARRETO</t>
  </si>
  <si>
    <t>SERGIO PAES BARRETO</t>
  </si>
  <si>
    <t>1879-01-14</t>
  </si>
  <si>
    <t>https://dadosabertos.camara.leg.br/api/v2/deputados/2030</t>
  </si>
  <si>
    <t>SÉRGIO SABÓIA</t>
  </si>
  <si>
    <t>Domingos Sérgio de Sabóia e Silva</t>
  </si>
  <si>
    <t>https://dadosabertos.camara.leg.br/api/v2/deputados/2315</t>
  </si>
  <si>
    <t>SILVA MARQUES</t>
  </si>
  <si>
    <t>Antonio Pedro da Silva Marques</t>
  </si>
  <si>
    <t>1854-05-29</t>
  </si>
  <si>
    <t>https://dadosabertos.camara.leg.br/api/v2/deputados/1891</t>
  </si>
  <si>
    <t>SOUZA MENDES</t>
  </si>
  <si>
    <t>Alvaro Teixeira de Souza Mendes</t>
  </si>
  <si>
    <t>1863-07-25</t>
  </si>
  <si>
    <t>https://dadosabertos.camara.leg.br/api/v2/deputados/1994</t>
  </si>
  <si>
    <t>TEIXEIRA DE SÁ</t>
  </si>
  <si>
    <t>Francisco Teixeira de Sá</t>
  </si>
  <si>
    <t>https://dadosabertos.camara.leg.br/api/v2/deputados/3649</t>
  </si>
  <si>
    <t>WALDEMIRO MOREIRA</t>
  </si>
  <si>
    <t>Waldemiro Moreira</t>
  </si>
  <si>
    <t>1856-07-09</t>
  </si>
  <si>
    <t>https://dadosabertos.camara.leg.br/api/v2/deputados/3650</t>
  </si>
  <si>
    <t>ADALBERTO FERRAZ</t>
  </si>
  <si>
    <t>Adalberto Dias Ferraz da Luz</t>
  </si>
  <si>
    <t>1863-07-01</t>
  </si>
  <si>
    <t>https://dadosabertos.camara.leg.br/api/v2/deputados/1875</t>
  </si>
  <si>
    <t>ALENCAR GUIMARÃES</t>
  </si>
  <si>
    <t>Manoel de Alencar Guimarães</t>
  </si>
  <si>
    <t>1865-12-13</t>
  </si>
  <si>
    <t>https://dadosabertos.camara.leg.br/api/v2/deputados/2178</t>
  </si>
  <si>
    <t>AMARAL CÉSAR</t>
  </si>
  <si>
    <t>Antonio do Amaral Cesar</t>
  </si>
  <si>
    <t>https://dadosabertos.camara.leg.br/api/v2/deputados/2242</t>
  </si>
  <si>
    <t>AMÉRICO WERNECK</t>
  </si>
  <si>
    <t>Américo Werneck</t>
  </si>
  <si>
    <t>1855-03-19</t>
  </si>
  <si>
    <t>https://dadosabertos.camara.leg.br/api/v2/deputados/3652</t>
  </si>
  <si>
    <t>ÂNGELO NETO</t>
  </si>
  <si>
    <t>Ângelo José da Silva Neto</t>
  </si>
  <si>
    <t>1873-03-16</t>
  </si>
  <si>
    <t>https://dadosabertos.camara.leg.br/api/v2/deputados/2230</t>
  </si>
  <si>
    <t>APOLINÁRIO MARANHÃO</t>
  </si>
  <si>
    <t>Apollinario Florentino de Albuquerque Maranhão</t>
  </si>
  <si>
    <t>1840-07-19</t>
  </si>
  <si>
    <t>https://dadosabertos.camara.leg.br/api/v2/deputados/1985</t>
  </si>
  <si>
    <t>APOLÔNIO ZENAIDES</t>
  </si>
  <si>
    <t>Apollonio Zenaydes Peregrino de Albuquerque</t>
  </si>
  <si>
    <t>1857-06-06</t>
  </si>
  <si>
    <t>https://dadosabertos.camara.leg.br/api/v2/deputados/3657</t>
  </si>
  <si>
    <t>ARLINDO NOGUEIRA</t>
  </si>
  <si>
    <t>Arlindo Francisco Nogueira</t>
  </si>
  <si>
    <t>1853-12-02</t>
  </si>
  <si>
    <t>https://dadosabertos.camara.leg.br/api/v2/deputados/3684</t>
  </si>
  <si>
    <t>ARROXELAS GALVÃO</t>
  </si>
  <si>
    <t>José Bernardo de Arroxelas Galvão</t>
  </si>
  <si>
    <t>1859-04-06</t>
  </si>
  <si>
    <t>https://dadosabertos.camara.leg.br/api/v2/deputados/3682</t>
  </si>
  <si>
    <t>BARROS FRANCO JUNIOR</t>
  </si>
  <si>
    <t>José de Barros Franco Junior</t>
  </si>
  <si>
    <t>1861-08-12</t>
  </si>
  <si>
    <t>https://dadosabertos.camara.leg.br/api/v2/deputados/2040</t>
  </si>
  <si>
    <t>BENEDITO DE SOUSA</t>
  </si>
  <si>
    <t>Benedicto Chrispiniano de Souza</t>
  </si>
  <si>
    <t>https://dadosabertos.camara.leg.br/api/v2/deputados/3683</t>
  </si>
  <si>
    <t>BERNARDES DE FARIA</t>
  </si>
  <si>
    <t>José Bernardes de Faria</t>
  </si>
  <si>
    <t>1859-10-17</t>
  </si>
  <si>
    <t>https://dadosabertos.camara.leg.br/api/v2/deputados/2115</t>
  </si>
  <si>
    <t>BULCÃO VIANA</t>
  </si>
  <si>
    <t>Francisco Vicente Bulcão Vianna</t>
  </si>
  <si>
    <t>https://dadosabertos.camara.leg.br/api/v2/deputados/2139</t>
  </si>
  <si>
    <t>CAMILO SOARES FILHO</t>
  </si>
  <si>
    <t>Camilo Soares de Moura Filho</t>
  </si>
  <si>
    <t>1869-10-29</t>
  </si>
  <si>
    <t>https://dadosabertos.camara.leg.br/api/v2/deputados/2227</t>
  </si>
  <si>
    <t>João Pereira de Castro Pinto</t>
  </si>
  <si>
    <t>1863-11-03</t>
  </si>
  <si>
    <t>https://dadosabertos.camara.leg.br/api/v2/deputados/130113</t>
  </si>
  <si>
    <t>CORNÉLIO DA FONSECA</t>
  </si>
  <si>
    <t>Francisco Cornelio da Fonseca Lima</t>
  </si>
  <si>
    <t>1841-09-16</t>
  </si>
  <si>
    <t>https://dadosabertos.camara.leg.br/api/v2/deputados/2142</t>
  </si>
  <si>
    <t>DAVID CAMPISTA</t>
  </si>
  <si>
    <t>David Moretzhon Campista</t>
  </si>
  <si>
    <t>1863-01-22</t>
  </si>
  <si>
    <t>https://dadosabertos.camara.leg.br/api/v2/deputados/3664</t>
  </si>
  <si>
    <t>FAUSTO CARDOSO</t>
  </si>
  <si>
    <t>Fausto de Aguiar Cardoso</t>
  </si>
  <si>
    <t>1864-12-22</t>
  </si>
  <si>
    <t>Divina Pastora</t>
  </si>
  <si>
    <t>https://dadosabertos.camara.leg.br/api/v2/deputados/2171</t>
  </si>
  <si>
    <t>FIDÉLIS ALVES</t>
  </si>
  <si>
    <t>Fidelis de Azevedo Alves</t>
  </si>
  <si>
    <t>https://dadosabertos.camara.leg.br/api/v2/deputados/3666</t>
  </si>
  <si>
    <t>FRANCISCO BERNARDINO</t>
  </si>
  <si>
    <t>Francisco Bernardino Rodrigues Silva</t>
  </si>
  <si>
    <t>1853-10-10</t>
  </si>
  <si>
    <t>https://dadosabertos.camara.leg.br/api/v2/deputados/2173</t>
  </si>
  <si>
    <t>GALVÃO BATISTA</t>
  </si>
  <si>
    <t>Benedicto Galvão Pereira Baptista</t>
  </si>
  <si>
    <t>1852-09-07</t>
  </si>
  <si>
    <t>https://dadosabertos.camara.leg.br/api/v2/deputados/1620</t>
  </si>
  <si>
    <t>GARCIA PIRES</t>
  </si>
  <si>
    <t>Garcia Dias Pires de Carvalho e Albuquerque</t>
  </si>
  <si>
    <t>1840-09-29</t>
  </si>
  <si>
    <t>https://dadosabertos.camara.leg.br/api/v2/deputados/2210</t>
  </si>
  <si>
    <t>GRACIANO NEVES</t>
  </si>
  <si>
    <t>Graciano dos Santos Neves</t>
  </si>
  <si>
    <t>1868-07-12</t>
  </si>
  <si>
    <t>https://dadosabertos.camara.leg.br/api/v2/deputados/1956</t>
  </si>
  <si>
    <t>HERÉDIA DE SÁ</t>
  </si>
  <si>
    <t>Arthur Ambrosio Heredia de Sá</t>
  </si>
  <si>
    <t>https://dadosabertos.camara.leg.br/api/v2/deputados/3672</t>
  </si>
  <si>
    <t>JAMES DARCY</t>
  </si>
  <si>
    <t>James Fitzgerald Darcy</t>
  </si>
  <si>
    <t>1876-07-09</t>
  </si>
  <si>
    <t>https://dadosabertos.camara.leg.br/api/v2/deputados/3675</t>
  </si>
  <si>
    <t>JOÃO LUÍS ALVES</t>
  </si>
  <si>
    <t>João Luiz Alves</t>
  </si>
  <si>
    <t>1870-05-23</t>
  </si>
  <si>
    <t>https://dadosabertos.camara.leg.br/api/v2/deputados/2221</t>
  </si>
  <si>
    <t>JOÃO QUINTINO</t>
  </si>
  <si>
    <t>João Quintino Teixeira</t>
  </si>
  <si>
    <t>1874-12-02</t>
  </si>
  <si>
    <t>https://dadosabertos.camara.leg.br/api/v2/deputados/2039</t>
  </si>
  <si>
    <t>JOSÉ EUSÉBIO</t>
  </si>
  <si>
    <t>José Euzébio de Carvalho Oliveira</t>
  </si>
  <si>
    <t>https://dadosabertos.camara.leg.br/api/v2/deputados/2034</t>
  </si>
  <si>
    <t>JOSÉ MONJARDIM</t>
  </si>
  <si>
    <t>José Francisco Monjardim</t>
  </si>
  <si>
    <t>1870-12-02</t>
  </si>
  <si>
    <t>https://dadosabertos.camara.leg.br/api/v2/deputados/3689</t>
  </si>
  <si>
    <t>JOSÉ PEREGRINO</t>
  </si>
  <si>
    <t>José Peregrino de Araujo</t>
  </si>
  <si>
    <t>1840-11-18</t>
  </si>
  <si>
    <t>https://dadosabertos.camara.leg.br/api/v2/deputados/3693</t>
  </si>
  <si>
    <t>JOSINO DE MENEZES</t>
  </si>
  <si>
    <t>Josino de Menezes</t>
  </si>
  <si>
    <t>1866-01-17</t>
  </si>
  <si>
    <t>https://dadosabertos.camara.leg.br/api/v2/deputados/1854</t>
  </si>
  <si>
    <t>LINDOLFO CAETANO</t>
  </si>
  <si>
    <t>Lindolfo Caetano de Souza e Silva</t>
  </si>
  <si>
    <t>1855-01-12</t>
  </si>
  <si>
    <t>https://dadosabertos.camara.leg.br/api/v2/deputados/3694</t>
  </si>
  <si>
    <t>LUÍS GUALBERTO</t>
  </si>
  <si>
    <t>Luiz Antonio Ferreira Gualberto</t>
  </si>
  <si>
    <t>1857-07-08</t>
  </si>
  <si>
    <t>https://dadosabertos.camara.leg.br/api/v2/deputados/1991</t>
  </si>
  <si>
    <t>MALAQUIAS GONÇALVES</t>
  </si>
  <si>
    <t>Malaquias Antonio Gonçalves</t>
  </si>
  <si>
    <t>1846-12-11</t>
  </si>
  <si>
    <t>https://dadosabertos.camara.leg.br/api/v2/deputados/2256</t>
  </si>
  <si>
    <t>MANUEL BOMFIM</t>
  </si>
  <si>
    <t>Manoel José Bomfim</t>
  </si>
  <si>
    <t>1868-08-08</t>
  </si>
  <si>
    <t>https://dadosabertos.camara.leg.br/api/v2/deputados/1642</t>
  </si>
  <si>
    <t>MAYRINK</t>
  </si>
  <si>
    <t>Francisco de Paula Mayrink</t>
  </si>
  <si>
    <t>1838-12-08</t>
  </si>
  <si>
    <t>https://dadosabertos.camara.leg.br/api/v2/deputados/2125</t>
  </si>
  <si>
    <t>MELO MATOS</t>
  </si>
  <si>
    <t>José Candido de Albuquerque Mello Mattos</t>
  </si>
  <si>
    <t>https://dadosabertos.camara.leg.br/api/v2/deputados/2228</t>
  </si>
  <si>
    <t>MENEZES DÓRIA</t>
  </si>
  <si>
    <t>João Menezes Doria</t>
  </si>
  <si>
    <t>https://dadosabertos.camara.leg.br/api/v2/deputados/3673</t>
  </si>
  <si>
    <t>NEIVA</t>
  </si>
  <si>
    <t>João Augusto Neiva</t>
  </si>
  <si>
    <t>1847-03-21</t>
  </si>
  <si>
    <t>https://dadosabertos.camara.leg.br/api/v2/deputados/3677</t>
  </si>
  <si>
    <t>NOGUEIRA JAGUARIBE</t>
  </si>
  <si>
    <t>João Nogueira Jaguaribe</t>
  </si>
  <si>
    <t>1863-07-04</t>
  </si>
  <si>
    <t>https://dadosabertos.camara.leg.br/api/v2/deputados/3702</t>
  </si>
  <si>
    <t>ODALBERTO PEREIRA</t>
  </si>
  <si>
    <t>Odalberto Pereira</t>
  </si>
  <si>
    <t>1864-04-02</t>
  </si>
  <si>
    <t>https://dadosabertos.camara.leg.br/api/v2/deputados/1802</t>
  </si>
  <si>
    <t>OLIVEIRA VALADÃO</t>
  </si>
  <si>
    <t>Manoel Prisciliano de Oliveira Valadão</t>
  </si>
  <si>
    <t>1849-01-04</t>
  </si>
  <si>
    <t>https://dadosabertos.camara.leg.br/api/v2/deputados/2189</t>
  </si>
  <si>
    <t>OTÁVIO LESSA</t>
  </si>
  <si>
    <t>Octavio Rocha de Lemos Lessa</t>
  </si>
  <si>
    <t>1881-12-15</t>
  </si>
  <si>
    <t>https://dadosabertos.camara.leg.br/api/v2/deputados/2152</t>
  </si>
  <si>
    <t>PAULA E SILVA</t>
  </si>
  <si>
    <t>João Leite de Paula e Silva</t>
  </si>
  <si>
    <t>https://dadosabertos.camara.leg.br/api/v2/deputados/3668</t>
  </si>
  <si>
    <t>PAULA GUIMARÃES</t>
  </si>
  <si>
    <t>Francisco de Paula Oliveira Guimarães</t>
  </si>
  <si>
    <t>1852-08-06</t>
  </si>
  <si>
    <t>https://dadosabertos.camara.leg.br/api/v2/deputados/1796</t>
  </si>
  <si>
    <t>PAULINO CARLOS</t>
  </si>
  <si>
    <t>Paulino Carlos de Arruda Botelho</t>
  </si>
  <si>
    <t>1834-03-23</t>
  </si>
  <si>
    <t>https://dadosabertos.camara.leg.br/api/v2/deputados/3680</t>
  </si>
  <si>
    <t>PEDREIRA FRANCO</t>
  </si>
  <si>
    <t>Joaquim Arthur Pedreira Franco</t>
  </si>
  <si>
    <t>1859-10-02</t>
  </si>
  <si>
    <t>https://dadosabertos.camara.leg.br/api/v2/deputados/2090</t>
  </si>
  <si>
    <t>Antonio Augusto Pereira Lima</t>
  </si>
  <si>
    <t>https://dadosabertos.camara.leg.br/api/v2/deputados/2079</t>
  </si>
  <si>
    <t>PEREIRA REIS</t>
  </si>
  <si>
    <t>Manoel Pereira Reis</t>
  </si>
  <si>
    <t>1837-11-12</t>
  </si>
  <si>
    <t>https://dadosabertos.camara.leg.br/api/v2/deputados/2104</t>
  </si>
  <si>
    <t>REBOUÇAS DE CARVALHO</t>
  </si>
  <si>
    <t>José Rebouças de Carvalho</t>
  </si>
  <si>
    <t>https://dadosabertos.camara.leg.br/api/v2/deputados/3691</t>
  </si>
  <si>
    <t>ROCHA LEAL</t>
  </si>
  <si>
    <t>José da Rocha Leal</t>
  </si>
  <si>
    <t>1861-10-20</t>
  </si>
  <si>
    <t>https://dadosabertos.camara.leg.br/api/v2/deputados/2224</t>
  </si>
  <si>
    <t>RODOLFO FERREIRA</t>
  </si>
  <si>
    <t>Rodolpho Custodio Ferreira</t>
  </si>
  <si>
    <t>1860-06-16</t>
  </si>
  <si>
    <t>https://dadosabertos.camara.leg.br/api/v2/deputados/3699</t>
  </si>
  <si>
    <t>RODRIGUES PEIXOTO</t>
  </si>
  <si>
    <t>Manoel Rodrigues Peixoto</t>
  </si>
  <si>
    <t>1843-08-01</t>
  </si>
  <si>
    <t>https://dadosabertos.camara.leg.br/api/v2/deputados/3688</t>
  </si>
  <si>
    <t>RODRIGUES SALDANHA</t>
  </si>
  <si>
    <t>José Joaquim Rodrigues Saldanha</t>
  </si>
  <si>
    <t>https://dadosabertos.camara.leg.br/api/v2/deputados/1960</t>
  </si>
  <si>
    <t>SÁ FREIRE</t>
  </si>
  <si>
    <t>Melciades Mario de Sá Freire</t>
  </si>
  <si>
    <t>1870-02-18</t>
  </si>
  <si>
    <t>https://dadosabertos.camara.leg.br/api/v2/deputados/2202</t>
  </si>
  <si>
    <t>SALVADOR PIRES</t>
  </si>
  <si>
    <t>Salvador Pires de Carvalho e Albuquerque</t>
  </si>
  <si>
    <t>1870-05-07</t>
  </si>
  <si>
    <t>https://dadosabertos.camara.leg.br/api/v2/deputados/3681</t>
  </si>
  <si>
    <t>TOSTA</t>
  </si>
  <si>
    <t>Joaquim Ignácio Tosta</t>
  </si>
  <si>
    <t>1857-07-12</t>
  </si>
  <si>
    <t>https://dadosabertos.camara.leg.br/api/v2/deputados/1902</t>
  </si>
  <si>
    <t>VESPASIANO DE ALBUQERQUE</t>
  </si>
  <si>
    <t>Vespasiano Gonçalves de Albuquerque e Silva</t>
  </si>
  <si>
    <t>1852-03-03</t>
  </si>
  <si>
    <t>https://dadosabertos.camara.leg.br/api/v2/deputados/1903</t>
  </si>
  <si>
    <t>VICTORINO MONTEIRO</t>
  </si>
  <si>
    <t>Victorino Ribeiro Carneiro Monteiro</t>
  </si>
  <si>
    <t>1859-04-26</t>
  </si>
  <si>
    <t>https://dadosabertos.camara.leg.br/api/v2/deputados/2233</t>
  </si>
  <si>
    <t>VIRGÍNIO MARQUES</t>
  </si>
  <si>
    <t>Virginio Marques Carneiro Leão</t>
  </si>
  <si>
    <t>1863-04-03</t>
  </si>
  <si>
    <t>https://dadosabertos.camara.leg.br/api/v2/deputados/2058</t>
  </si>
  <si>
    <t>VIRIATO MASCARENHAS</t>
  </si>
  <si>
    <t>Viriato Diniz Mascarenhas</t>
  </si>
  <si>
    <t>1862-04-21</t>
  </si>
  <si>
    <t>https://dadosabertos.camara.leg.br/api/v2/deputados/2229</t>
  </si>
  <si>
    <t>VÍTOR DO AMARAL</t>
  </si>
  <si>
    <t>Victor Ferreira do Amaral e Silva</t>
  </si>
  <si>
    <t>1862-12-09</t>
  </si>
  <si>
    <t>https://dadosabertos.camara.leg.br/api/v2/deputados/2148</t>
  </si>
  <si>
    <t>WENCESLÁU BRÁS</t>
  </si>
  <si>
    <t>Wencesláu Brás Pereira Gomes</t>
  </si>
  <si>
    <t>1868-02-26</t>
  </si>
  <si>
    <t>Brasópolis</t>
  </si>
  <si>
    <t>https://dadosabertos.camara.leg.br/api/v2/deputados/2038</t>
  </si>
  <si>
    <t>XAVIER DE ALMEIDA</t>
  </si>
  <si>
    <t>José Xavier de Almeida</t>
  </si>
  <si>
    <t>1871-01-23</t>
  </si>
  <si>
    <t>https://dadosabertos.camara.leg.br/api/v2/deputados/1569</t>
  </si>
  <si>
    <t>ABDON MILANEZ</t>
  </si>
  <si>
    <t>Abdon Felinto Milanez</t>
  </si>
  <si>
    <t>1831-07-30</t>
  </si>
  <si>
    <t>https://dadosabertos.camara.leg.br/api/v2/deputados/2165</t>
  </si>
  <si>
    <t>ABELARDO TEIXEIRA</t>
  </si>
  <si>
    <t>Abelardo Saturnino Teixeira de Mello</t>
  </si>
  <si>
    <t>https://dadosabertos.camara.leg.br/api/v2/deputados/1946</t>
  </si>
  <si>
    <t>ADALBERTO GUIMARÃES</t>
  </si>
  <si>
    <t>Manoel Adalberto de Oliveira Guimarães</t>
  </si>
  <si>
    <t>1860-06-17</t>
  </si>
  <si>
    <t>https://dadosabertos.camara.leg.br/api/v2/deputados/1209</t>
  </si>
  <si>
    <t>ALBERTO BEZAMAT</t>
  </si>
  <si>
    <t>Alberto Bezamat</t>
  </si>
  <si>
    <t>https://dadosabertos.camara.leg.br/api/v2/deputados/2167</t>
  </si>
  <si>
    <t>ALFREDO BACKER</t>
  </si>
  <si>
    <t>Alfredo Augusto Guimarães Backer</t>
  </si>
  <si>
    <t>https://dadosabertos.camara.leg.br/api/v2/deputados/3717</t>
  </si>
  <si>
    <t>ALFREDO VARELA</t>
  </si>
  <si>
    <t>Alfredo Augusto Varela de Vilares</t>
  </si>
  <si>
    <t>1864-09-16</t>
  </si>
  <si>
    <t>https://dadosabertos.camara.leg.br/api/v2/deputados/2168</t>
  </si>
  <si>
    <t>ÁLVARES DE AZEVEDO</t>
  </si>
  <si>
    <t>Manoel Antonio Alvares de Azevedo Sobrinho</t>
  </si>
  <si>
    <t>1831-09-12</t>
  </si>
  <si>
    <t>1852-04-25</t>
  </si>
  <si>
    <t>https://dadosabertos.camara.leg.br/api/v2/deputados/2025</t>
  </si>
  <si>
    <t>ALVES BARBOSA</t>
  </si>
  <si>
    <t>Manoel José Alves Barbosa</t>
  </si>
  <si>
    <t>1845-12-10</t>
  </si>
  <si>
    <t>https://dadosabertos.camara.leg.br/api/v2/deputados/2121</t>
  </si>
  <si>
    <t>AMÉRICO DE ALBUQUERQUE</t>
  </si>
  <si>
    <t>Americo de Albuquerque</t>
  </si>
  <si>
    <t>https://dadosabertos.camara.leg.br/api/v2/deputados/1887</t>
  </si>
  <si>
    <t>ANÍSIO DE ABREU</t>
  </si>
  <si>
    <t>Anisio Auto de Abreu</t>
  </si>
  <si>
    <t>https://dadosabertos.camara.leg.br/api/v2/deputados/1972</t>
  </si>
  <si>
    <t>ANTONIO ZACARIAS</t>
  </si>
  <si>
    <t>Antonio Zacarias Álvares da Silva</t>
  </si>
  <si>
    <t>1847-09-06</t>
  </si>
  <si>
    <t>https://dadosabertos.camara.leg.br/api/v2/deputados/2133</t>
  </si>
  <si>
    <t>AQUINO RIBEIRO</t>
  </si>
  <si>
    <t>João de Aquino Ribeiro</t>
  </si>
  <si>
    <t>https://dadosabertos.camara.leg.br/api/v2/deputados/3728</t>
  </si>
  <si>
    <t>ARTUR TORRES</t>
  </si>
  <si>
    <t>Arthur Ferreira Torres</t>
  </si>
  <si>
    <t>https://dadosabertos.camara.leg.br/api/v2/deputados/130107</t>
  </si>
  <si>
    <t>AUGUSTO DE VASCONCELOS</t>
  </si>
  <si>
    <t>Augusto de Vasconcellos</t>
  </si>
  <si>
    <t>1853-04-05</t>
  </si>
  <si>
    <t>https://dadosabertos.camara.leg.br/api/v2/deputados/3770</t>
  </si>
  <si>
    <t>AZEVEDO MARQUES</t>
  </si>
  <si>
    <t>José Manoel de Azevedo Marques</t>
  </si>
  <si>
    <t>1865-02-19</t>
  </si>
  <si>
    <t>https://dadosabertos.camara.leg.br/api/v2/deputados/1906</t>
  </si>
  <si>
    <t>BELISÁRIO DE SOUZA</t>
  </si>
  <si>
    <t>Belisario Augusto Soares de Souza</t>
  </si>
  <si>
    <t>1866-08-11</t>
  </si>
  <si>
    <t>https://dadosabertos.camara.leg.br/api/v2/deputados/2128</t>
  </si>
  <si>
    <t>BERNARDO ANTONIO</t>
  </si>
  <si>
    <t>Bernardo Antonio de Faria Albernaz</t>
  </si>
  <si>
    <t>https://dadosabertos.camara.leg.br/api/v2/deputados/3733</t>
  </si>
  <si>
    <t>BERNARDO DE CAMPOS</t>
  </si>
  <si>
    <t>Bernardo de Souza Campos</t>
  </si>
  <si>
    <t>1869-03-03</t>
  </si>
  <si>
    <t>https://dadosabertos.camara.leg.br/api/v2/deputados/1866</t>
  </si>
  <si>
    <t>BRÍCIO FILHO</t>
  </si>
  <si>
    <t>Jayme Pombo Bricio Filho</t>
  </si>
  <si>
    <t>1865-06-30</t>
  </si>
  <si>
    <t>https://dadosabertos.camara.leg.br/api/v2/deputados/3734</t>
  </si>
  <si>
    <t>CÂNDIDO DE ABREU</t>
  </si>
  <si>
    <t>Cândido Ferreira de Abreu</t>
  </si>
  <si>
    <t>1856-08-02</t>
  </si>
  <si>
    <t>https://dadosabertos.camara.leg.br/api/v2/deputados/2181</t>
  </si>
  <si>
    <t>CÂNDIDO RODRIGUES</t>
  </si>
  <si>
    <t>Antonio Candido Rodrigues</t>
  </si>
  <si>
    <t>1850-07-19</t>
  </si>
  <si>
    <t>https://dadosabertos.camara.leg.br/api/v2/deputados/1867</t>
  </si>
  <si>
    <t>CARLOS DE NOVAES</t>
  </si>
  <si>
    <t>Carlos Augusto Valente de Novaes</t>
  </si>
  <si>
    <t>1850-06-24</t>
  </si>
  <si>
    <t>https://dadosabertos.camara.leg.br/api/v2/deputados/3737</t>
  </si>
  <si>
    <t>CARLOS OTONI</t>
  </si>
  <si>
    <t>Carlos Honório Benedicto Ottoni</t>
  </si>
  <si>
    <t>1846-04-20</t>
  </si>
  <si>
    <t>https://dadosabertos.camara.leg.br/api/v2/deputados/1948</t>
  </si>
  <si>
    <t>Joaquim Macedo de Castro Rebello</t>
  </si>
  <si>
    <t>1857-03-27</t>
  </si>
  <si>
    <t>https://dadosabertos.camara.leg.br/api/v2/deputados/2069</t>
  </si>
  <si>
    <t>CELSO DE SOUSA</t>
  </si>
  <si>
    <t>Celso Florentino Henriques de Souza</t>
  </si>
  <si>
    <t>1859-07-28</t>
  </si>
  <si>
    <t>https://dadosabertos.camara.leg.br/api/v2/deputados/2123</t>
  </si>
  <si>
    <t>CORREIA DUTRA</t>
  </si>
  <si>
    <t>Francisco Corrêa Dutra</t>
  </si>
  <si>
    <t>https://dadosabertos.camara.leg.br/api/v2/deputados/3773</t>
  </si>
  <si>
    <t>José da Silva Costa Neto</t>
  </si>
  <si>
    <t>https://dadosabertos.camara.leg.br/api/v2/deputados/2170</t>
  </si>
  <si>
    <t>CRUVELO CAVALCANTI</t>
  </si>
  <si>
    <t>João Cruvello Cavalcanti</t>
  </si>
  <si>
    <t>1846-01-19</t>
  </si>
  <si>
    <t>https://dadosabertos.camara.leg.br/api/v2/deputados/2131</t>
  </si>
  <si>
    <t>DIAS VIEIRA</t>
  </si>
  <si>
    <t>Manoel Ignacio Dias Vieira</t>
  </si>
  <si>
    <t>https://dadosabertos.camara.leg.br/api/v2/deputados/1926</t>
  </si>
  <si>
    <t>DOMINGUES DE CASTRO</t>
  </si>
  <si>
    <t>Manoel Jacintho Domingues de Castro</t>
  </si>
  <si>
    <t>1846-11-30</t>
  </si>
  <si>
    <t>https://dadosabertos.camara.leg.br/api/v2/deputados/2046</t>
  </si>
  <si>
    <t>EDUARDO PIMENTEL</t>
  </si>
  <si>
    <t>Eduardo Augusto Pimentel Barbosa</t>
  </si>
  <si>
    <t>https://dadosabertos.camara.leg.br/api/v2/deputados/3741</t>
  </si>
  <si>
    <t>EDUARDO RAMOS</t>
  </si>
  <si>
    <t>Eduardo Pires Ramos</t>
  </si>
  <si>
    <t>1854-05-25</t>
  </si>
  <si>
    <t>https://dadosabertos.camara.leg.br/api/v2/deputados/2070</t>
  </si>
  <si>
    <t>ELPÍDIO FIGUEIREDO</t>
  </si>
  <si>
    <t>Elpídio de Abreu Lima Figueiredo</t>
  </si>
  <si>
    <t>1863-09-05</t>
  </si>
  <si>
    <t>https://dadosabertos.camara.leg.br/api/v2/deputados/3743</t>
  </si>
  <si>
    <t>ENÉAS MARTINS</t>
  </si>
  <si>
    <t>Enéas Martins</t>
  </si>
  <si>
    <t>1872-01-06</t>
  </si>
  <si>
    <t>https://dadosabertos.camara.leg.br/api/v2/deputados/1989</t>
  </si>
  <si>
    <t>ERMÍRIO COUTINHO</t>
  </si>
  <si>
    <t>Ermírio Cesar Coutinho</t>
  </si>
  <si>
    <t>1839-03-27</t>
  </si>
  <si>
    <t>https://dadosabertos.camara.leg.br/api/v2/deputados/2048</t>
  </si>
  <si>
    <t>ESTEVÃO LOBO</t>
  </si>
  <si>
    <t>Estevão Lobo Leite Pereira</t>
  </si>
  <si>
    <t>1869-08-03</t>
  </si>
  <si>
    <t>https://dadosabertos.camara.leg.br/api/v2/deputados/2026</t>
  </si>
  <si>
    <t>FÉLIX GASPAR</t>
  </si>
  <si>
    <t>Félix Gaspar de Barros e Almeida</t>
  </si>
  <si>
    <t>1865-01-15</t>
  </si>
  <si>
    <t>https://dadosabertos.camara.leg.br/api/v2/deputados/2015</t>
  </si>
  <si>
    <t>FERNANDO PRESTES</t>
  </si>
  <si>
    <t>Fernando Prestes de Albuquerque</t>
  </si>
  <si>
    <t>https://dadosabertos.camara.leg.br/api/v2/deputados/1767</t>
  </si>
  <si>
    <t>FONSECA DA SILVA</t>
  </si>
  <si>
    <t>Francisco Victor da Fonseca e Silva</t>
  </si>
  <si>
    <t>1851-03-15</t>
  </si>
  <si>
    <t>https://dadosabertos.camara.leg.br/api/v2/deputados/3751</t>
  </si>
  <si>
    <t>FRANCISCO MALTA</t>
  </si>
  <si>
    <t>Francisco de Toledo Malta</t>
  </si>
  <si>
    <t>https://dadosabertos.camara.leg.br/api/v2/deputados/1951</t>
  </si>
  <si>
    <t>FRANCISCO SÁ</t>
  </si>
  <si>
    <t>Francisco de Sá</t>
  </si>
  <si>
    <t>1862-09-14</t>
  </si>
  <si>
    <t>Grão Mogol</t>
  </si>
  <si>
    <t>https://dadosabertos.camara.leg.br/api/v2/deputados/3752</t>
  </si>
  <si>
    <t>FRANCISCO TOLENTINO</t>
  </si>
  <si>
    <t>Francisco Tolentino Vieira de Souza</t>
  </si>
  <si>
    <t>1845-07-14</t>
  </si>
  <si>
    <t>https://dadosabertos.camara.leg.br/api/v2/deputados/1835</t>
  </si>
  <si>
    <t>GALDINO LORETO</t>
  </si>
  <si>
    <t>Galdino Teixeira Lins de Barros Loreto</t>
  </si>
  <si>
    <t>1866-02-18</t>
  </si>
  <si>
    <t>https://dadosabertos.camara.leg.br/api/v2/deputados/3755</t>
  </si>
  <si>
    <t>GASTÃO DA CUNHA</t>
  </si>
  <si>
    <t>Gastão da Cunha</t>
  </si>
  <si>
    <t>1863-07-29</t>
  </si>
  <si>
    <t>https://dadosabertos.camara.leg.br/api/v2/deputados/3762</t>
  </si>
  <si>
    <t>GUEDELHA MOURÃO</t>
  </si>
  <si>
    <t>João Tolentino Guedelha Mourão</t>
  </si>
  <si>
    <t>https://dadosabertos.camara.leg.br/api/v2/deputados/3729</t>
  </si>
  <si>
    <t>HOMEM DE CARVALHO</t>
  </si>
  <si>
    <t>Arthur Homem de Carvalho</t>
  </si>
  <si>
    <t>1862-11-01</t>
  </si>
  <si>
    <t>https://dadosabertos.camara.leg.br/api/v2/deputados/1706</t>
  </si>
  <si>
    <t>ÍNDIO DO BRASIL</t>
  </si>
  <si>
    <t>Arthur Índio do Brasil e Silva</t>
  </si>
  <si>
    <t>1856-06-23</t>
  </si>
  <si>
    <t>https://dadosabertos.camara.leg.br/api/v2/deputados/2151</t>
  </si>
  <si>
    <t>ISIDRO LEITE</t>
  </si>
  <si>
    <t>Isidro Leite Ferreira de Araujo</t>
  </si>
  <si>
    <t>https://dadosabertos.camara.leg.br/api/v2/deputados/2037</t>
  </si>
  <si>
    <t>JOAQUIM TEIXEIRA BRANDÃO</t>
  </si>
  <si>
    <t>Joaquim Luiz Teixeira Brandão</t>
  </si>
  <si>
    <t>1839-10-06</t>
  </si>
  <si>
    <t>Silvânia</t>
  </si>
  <si>
    <t>https://dadosabertos.camara.leg.br/api/v2/deputados/2164</t>
  </si>
  <si>
    <t>JUVENAL MÜLLER</t>
  </si>
  <si>
    <t>Juvenal Octaviano Müller</t>
  </si>
  <si>
    <t>1866-10-13</t>
  </si>
  <si>
    <t>https://dadosabertos.camara.leg.br/api/v2/deputados/130110</t>
  </si>
  <si>
    <t>LAURINDO PITA</t>
  </si>
  <si>
    <t>Laurindo Pita</t>
  </si>
  <si>
    <t>1855-11-22</t>
  </si>
  <si>
    <t>https://dadosabertos.camara.leg.br/api/v2/deputados/2188</t>
  </si>
  <si>
    <t>LEITE DE SOUSA</t>
  </si>
  <si>
    <t>José Leite de Souza</t>
  </si>
  <si>
    <t>https://dadosabertos.camara.leg.br/api/v2/deputados/2124</t>
  </si>
  <si>
    <t>LEITE RIBEIRO</t>
  </si>
  <si>
    <t>Carlos Leite Ribeiro</t>
  </si>
  <si>
    <t>1858-04-05</t>
  </si>
  <si>
    <t>https://dadosabertos.camara.leg.br/api/v2/deputados/3763</t>
  </si>
  <si>
    <t>LEONEL FILHO</t>
  </si>
  <si>
    <t>Joaquim Leonel de Rezende Filho</t>
  </si>
  <si>
    <t>1860-05-31</t>
  </si>
  <si>
    <t>https://dadosabertos.camara.leg.br/api/v2/deputados/3775</t>
  </si>
  <si>
    <t>LINDOLFO SERRA</t>
  </si>
  <si>
    <t>Lindolpho Libanio Moreira Serra</t>
  </si>
  <si>
    <t>1859-06-30</t>
  </si>
  <si>
    <t>https://dadosabertos.camara.leg.br/api/v2/deputados/2087</t>
  </si>
  <si>
    <t>LOURENÇO BATISTA</t>
  </si>
  <si>
    <t>Lourenço Maria de Almeida Batista</t>
  </si>
  <si>
    <t>1839-10-22</t>
  </si>
  <si>
    <t>https://dadosabertos.camara.leg.br/api/v2/deputados/1560</t>
  </si>
  <si>
    <t>MARCOLINO MOURA</t>
  </si>
  <si>
    <t>Marcolino de Moura e Albuquerque</t>
  </si>
  <si>
    <t>1838-11-21</t>
  </si>
  <si>
    <t>https://dadosabertos.camara.leg.br/api/v2/deputados/3766</t>
  </si>
  <si>
    <t>MAURÍCIO DE ABREU</t>
  </si>
  <si>
    <t>Joaquim Mauricio de Abreu</t>
  </si>
  <si>
    <t>https://dadosabertos.camara.leg.br/api/v2/deputados/1595</t>
  </si>
  <si>
    <t>MILTON</t>
  </si>
  <si>
    <t>Aristides Augusto Milton</t>
  </si>
  <si>
    <t>1848-05-29</t>
  </si>
  <si>
    <t>https://dadosabertos.camara.leg.br/api/v2/deputados/3771</t>
  </si>
  <si>
    <t>MOREIRA ALVES</t>
  </si>
  <si>
    <t>José Moreira Alves da Silva</t>
  </si>
  <si>
    <t>1850-11-28</t>
  </si>
  <si>
    <t>https://dadosabertos.camara.leg.br/api/v2/deputados/1794</t>
  </si>
  <si>
    <t>MOREIRA DA SILVA</t>
  </si>
  <si>
    <t>Antonio Moreira da Silva</t>
  </si>
  <si>
    <t>1851-11-09</t>
  </si>
  <si>
    <t>https://dadosabertos.camara.leg.br/api/v2/deputados/3772</t>
  </si>
  <si>
    <t>MOREIRA GOMES</t>
  </si>
  <si>
    <t>José Moreira Gomes</t>
  </si>
  <si>
    <t>https://dadosabertos.camara.leg.br/api/v2/deputados/1738</t>
  </si>
  <si>
    <t>NELSON DE VASCONCELOS</t>
  </si>
  <si>
    <t>Nelson de Vasconcellos e Almeida</t>
  </si>
  <si>
    <t>https://dadosabertos.camara.leg.br/api/v2/deputados/2146</t>
  </si>
  <si>
    <t>OLINTO RIBEIRO</t>
  </si>
  <si>
    <t>Olyntho Augusto Ribeiro</t>
  </si>
  <si>
    <t>https://dadosabertos.camara.leg.br/api/v2/deputados/2089</t>
  </si>
  <si>
    <t>OLIVEIRA FIGUEIREDO</t>
  </si>
  <si>
    <t>Carlos Augusto de Oliveira Figueiredo</t>
  </si>
  <si>
    <t>1837-11-04</t>
  </si>
  <si>
    <t>https://dadosabertos.camara.leg.br/api/v2/deputados/1831</t>
  </si>
  <si>
    <t>OSCAR GODÓI</t>
  </si>
  <si>
    <t>Oscar de Godoy</t>
  </si>
  <si>
    <t>1866-12-02</t>
  </si>
  <si>
    <t>https://dadosabertos.camara.leg.br/api/v2/deputados/1982</t>
  </si>
  <si>
    <t>PÁDUA REZENDE</t>
  </si>
  <si>
    <t>Antonio de Pádua Assis Rezende</t>
  </si>
  <si>
    <t>1859-11-02</t>
  </si>
  <si>
    <t>https://dadosabertos.camara.leg.br/api/v2/deputados/1816</t>
  </si>
  <si>
    <t>PARANHOS MONTENEGRO</t>
  </si>
  <si>
    <t>Thomaz Garcez Paranhos Montenegro</t>
  </si>
  <si>
    <t>https://dadosabertos.camara.leg.br/api/v2/deputados/2114</t>
  </si>
  <si>
    <t>RAIMUNDO NERI</t>
  </si>
  <si>
    <t>Raymundo Agostinho Nery</t>
  </si>
  <si>
    <t>https://dadosabertos.camara.leg.br/api/v2/deputados/1659</t>
  </si>
  <si>
    <t>RODRIGUES FERNANDES</t>
  </si>
  <si>
    <t>José Rodrigues Fernandes</t>
  </si>
  <si>
    <t>https://dadosabertos.camara.leg.br/api/v2/deputados/1810</t>
  </si>
  <si>
    <t>SÁ PEIXOTO</t>
  </si>
  <si>
    <t>Antonio Gonçalves Pereira de Sá Peixoto</t>
  </si>
  <si>
    <t>1869-02-27</t>
  </si>
  <si>
    <t>https://dadosabertos.camara.leg.br/api/v2/deputados/1582</t>
  </si>
  <si>
    <t>SÁTIRO DIAS</t>
  </si>
  <si>
    <t>Satyro de Oliveira Dias</t>
  </si>
  <si>
    <t>1844-01-12</t>
  </si>
  <si>
    <t>https://dadosabertos.camara.leg.br/api/v2/deputados/2065</t>
  </si>
  <si>
    <t>SOARES NEIVA</t>
  </si>
  <si>
    <t>João Soares Neiva</t>
  </si>
  <si>
    <t>1839-08-13</t>
  </si>
  <si>
    <t>https://dadosabertos.camara.leg.br/api/v2/deputados/1893</t>
  </si>
  <si>
    <t>TAVARES DE LIRA</t>
  </si>
  <si>
    <t>Augusto Tavares de Lyra</t>
  </si>
  <si>
    <t>1872-12-25</t>
  </si>
  <si>
    <t>https://dadosabertos.camara.leg.br/api/v2/deputados/1819</t>
  </si>
  <si>
    <t>TOLENTINO DOS SANTOS</t>
  </si>
  <si>
    <t>Nicoláo Tolentino dos Santos</t>
  </si>
  <si>
    <t>1866-12-06</t>
  </si>
  <si>
    <t>Conde</t>
  </si>
  <si>
    <t>https://dadosabertos.camara.leg.br/api/v2/deputados/1874</t>
  </si>
  <si>
    <t>TRINDADE</t>
  </si>
  <si>
    <t>Antonio da Trindade Antunes Meira Enriques</t>
  </si>
  <si>
    <t>1836-03-11</t>
  </si>
  <si>
    <t>https://dadosabertos.camara.leg.br/api/v2/deputados/3792</t>
  </si>
  <si>
    <t>URBANO SANTOS</t>
  </si>
  <si>
    <t>Urbano Santos da Costa Araujo</t>
  </si>
  <si>
    <t>1859-02-03</t>
  </si>
  <si>
    <t>https://dadosabertos.camara.leg.br/api/v2/deputados/130109</t>
  </si>
  <si>
    <t>Carlos Vaz de Melo</t>
  </si>
  <si>
    <t>1842-08-09</t>
  </si>
  <si>
    <t>https://dadosabertos.camara.leg.br/api/v2/deputados/1820</t>
  </si>
  <si>
    <t>VERGNE DE ABREU</t>
  </si>
  <si>
    <t>Pedro Vergne de Abreu</t>
  </si>
  <si>
    <t>1865-05-03</t>
  </si>
  <si>
    <t>https://dadosabertos.camara.leg.br/api/v2/deputados/3767</t>
  </si>
  <si>
    <t>WANDERLEI DE MENDONÇA</t>
  </si>
  <si>
    <t>José de Barros Wanderley de Mendonça</t>
  </si>
  <si>
    <t>1868-09-27</t>
  </si>
  <si>
    <t>Porto Calvo</t>
  </si>
  <si>
    <t>https://dadosabertos.camara.leg.br/api/v2/deputados/1844</t>
  </si>
  <si>
    <t>XAVIER DO VALE</t>
  </si>
  <si>
    <t>Joaquim Antonio Xavier do Valle</t>
  </si>
  <si>
    <t>1824-03-14</t>
  </si>
  <si>
    <t>https://dadosabertos.camara.leg.br/api/v2/deputados/1942</t>
  </si>
  <si>
    <t>ALBUQUERQUE SEREJO</t>
  </si>
  <si>
    <t>Joaquim de Albuquerque Serejo</t>
  </si>
  <si>
    <t>1864-07-31</t>
  </si>
  <si>
    <t>https://dadosabertos.camara.leg.br/api/v2/deputados/3794</t>
  </si>
  <si>
    <t>ALFREDO ELLIS</t>
  </si>
  <si>
    <t>Alfredo Ellis</t>
  </si>
  <si>
    <t>1850-03-19</t>
  </si>
  <si>
    <t>https://dadosabertos.camara.leg.br/api/v2/deputados/3795</t>
  </si>
  <si>
    <t>ALFREDO PINTO</t>
  </si>
  <si>
    <t>Alfredo Pinto Vieira de Mello</t>
  </si>
  <si>
    <t>1863-06-20</t>
  </si>
  <si>
    <t>https://dadosabertos.camara.leg.br/api/v2/deputados/2094</t>
  </si>
  <si>
    <t>ALFREDO PUJOL</t>
  </si>
  <si>
    <t>Alfredo Pujol</t>
  </si>
  <si>
    <t>1865-03-20</t>
  </si>
  <si>
    <t>https://dadosabertos.camara.leg.br/api/v2/deputados/3830</t>
  </si>
  <si>
    <t>ALVES DE BRITO</t>
  </si>
  <si>
    <t>João Antonio Alves de Brito</t>
  </si>
  <si>
    <t>https://dadosabertos.camara.leg.br/api/v2/deputados/130111</t>
  </si>
  <si>
    <t>ANTONINO FIALHO</t>
  </si>
  <si>
    <t>Antonino Fialho</t>
  </si>
  <si>
    <t>https://dadosabertos.camara.leg.br/api/v2/deputados/2095</t>
  </si>
  <si>
    <t>ANTONIO CINTRA</t>
  </si>
  <si>
    <t>Antonio Francisco de Araújo Cintra</t>
  </si>
  <si>
    <t>https://dadosabertos.camara.leg.br/api/v2/deputados/130112</t>
  </si>
  <si>
    <t>ARTHUR DIEDERICHSEN</t>
  </si>
  <si>
    <t>Arthur de Aguiar Diederichsen</t>
  </si>
  <si>
    <t>1860-02-18</t>
  </si>
  <si>
    <t>https://dadosabertos.camara.leg.br/api/v2/deputados/130100</t>
  </si>
  <si>
    <t>AUGUSTO MONTENEGRO</t>
  </si>
  <si>
    <t>Augusto Arantes Montenegro</t>
  </si>
  <si>
    <t>1867-06-26</t>
  </si>
  <si>
    <t>https://dadosabertos.camara.leg.br/api/v2/deputados/3806</t>
  </si>
  <si>
    <t>AUGUSTO SEVERO</t>
  </si>
  <si>
    <t>Augusto Severo de Albuquerque Maranhão</t>
  </si>
  <si>
    <t>1864-01-11</t>
  </si>
  <si>
    <t>https://dadosabertos.camara.leg.br/api/v2/deputados/3807</t>
  </si>
  <si>
    <t>AURELIANO BARBOSA</t>
  </si>
  <si>
    <t>Aureliano Pinto Barbosa</t>
  </si>
  <si>
    <t>1858-11-05</t>
  </si>
  <si>
    <t>https://dadosabertos.camara.leg.br/api/v2/deputados/2084</t>
  </si>
  <si>
    <t>AURELIANO DOS SANTOS</t>
  </si>
  <si>
    <t>João Aureliano Corrêa dos Santos</t>
  </si>
  <si>
    <t>1850-05-06</t>
  </si>
  <si>
    <t>https://dadosabertos.camara.leg.br/api/v2/deputados/2004</t>
  </si>
  <si>
    <t>Antonio Cândido de Azevedo Sodré</t>
  </si>
  <si>
    <t>https://dadosabertos.camara.leg.br/api/v2/deputados/3803</t>
  </si>
  <si>
    <t>CAJADO</t>
  </si>
  <si>
    <t>Antonio Rodrigues Cajado</t>
  </si>
  <si>
    <t>https://dadosabertos.camara.leg.br/api/v2/deputados/1944</t>
  </si>
  <si>
    <t>CARLOS MARCELINO</t>
  </si>
  <si>
    <t>Carlos Marcellino da Silva</t>
  </si>
  <si>
    <t>1859-04-04</t>
  </si>
  <si>
    <t>https://dadosabertos.camara.leg.br/api/v2/deputados/2032</t>
  </si>
  <si>
    <t>CELSO DOS REIS</t>
  </si>
  <si>
    <t>Celso Eugênio dos Reis</t>
  </si>
  <si>
    <t>https://dadosabertos.camara.leg.br/api/v2/deputados/1966</t>
  </si>
  <si>
    <t>CUNHA MARTINS</t>
  </si>
  <si>
    <t>Alfredo da Cunha Martins</t>
  </si>
  <si>
    <t>1842-08-17</t>
  </si>
  <si>
    <t>https://dadosabertos.camara.leg.br/api/v2/deputados/2085</t>
  </si>
  <si>
    <t>CUSTÓDIO COELHO</t>
  </si>
  <si>
    <t>Custódio José Coelho de Almeida</t>
  </si>
  <si>
    <t>https://dadosabertos.camara.leg.br/api/v2/deputados/3810</t>
  </si>
  <si>
    <t>DEOCLECIANO DE SOUZA</t>
  </si>
  <si>
    <t>Deocleciano Alves de Souza</t>
  </si>
  <si>
    <t>https://dadosabertos.camara.leg.br/api/v2/deputados/3798</t>
  </si>
  <si>
    <t>DINO BUENO</t>
  </si>
  <si>
    <t>Antonio Dino da Costa Bueno</t>
  </si>
  <si>
    <t>1854-12-15</t>
  </si>
  <si>
    <t>https://dadosabertos.camara.leg.br/api/v2/deputados/1619</t>
  </si>
  <si>
    <t>Dionísio Evangelista de Castro Cerqueira</t>
  </si>
  <si>
    <t>1847-04-02</t>
  </si>
  <si>
    <t>Castro Alves</t>
  </si>
  <si>
    <t>https://dadosabertos.camara.leg.br/api/v2/deputados/3812</t>
  </si>
  <si>
    <t>EDMUNDO DA FONSECA</t>
  </si>
  <si>
    <t>Edmundo Guayanaz da Fonseca</t>
  </si>
  <si>
    <t>https://dadosabertos.camara.leg.br/api/v2/deputados/2014</t>
  </si>
  <si>
    <t>ELIAS FAUSTO</t>
  </si>
  <si>
    <t>Elias Fausto Pacheco Jordão</t>
  </si>
  <si>
    <t>1849-02-18</t>
  </si>
  <si>
    <t>https://dadosabertos.camara.leg.br/api/v2/deputados/2047</t>
  </si>
  <si>
    <t>ESPERIDIÃO</t>
  </si>
  <si>
    <t>Antonio Esperidião Gomes da Silva</t>
  </si>
  <si>
    <t>1845-12-18</t>
  </si>
  <si>
    <t>https://dadosabertos.camara.leg.br/api/v2/deputados/2049</t>
  </si>
  <si>
    <t>FELICIO DOS SANTOS</t>
  </si>
  <si>
    <t>Salvador Felicio dos Santos</t>
  </si>
  <si>
    <t>1867-12-25</t>
  </si>
  <si>
    <t>https://dadosabertos.camara.leg.br/api/v2/deputados/2027</t>
  </si>
  <si>
    <t>FERREIRA FRANÇA</t>
  </si>
  <si>
    <t>Augusto Ferreira França</t>
  </si>
  <si>
    <t>1836-04-17</t>
  </si>
  <si>
    <t>https://dadosabertos.camara.leg.br/api/v2/deputados/3814</t>
  </si>
  <si>
    <t>FLORIANO DE MORAES</t>
  </si>
  <si>
    <t>Floriano Antonio de Moraes Júnior</t>
  </si>
  <si>
    <t>1868-07-11</t>
  </si>
  <si>
    <t>https://dadosabertos.camara.leg.br/api/v2/deputados/3818</t>
  </si>
  <si>
    <t>FRANCISCO ALENCASTRO</t>
  </si>
  <si>
    <t>Francisco de Paula Alencastro</t>
  </si>
  <si>
    <t>https://dadosabertos.camara.leg.br/api/v2/deputados/2081</t>
  </si>
  <si>
    <t>FRANCISCO DE MOURA</t>
  </si>
  <si>
    <t>Francisco Antonio de Moura</t>
  </si>
  <si>
    <t>1839-10-29</t>
  </si>
  <si>
    <t>https://dadosabertos.camara.leg.br/api/v2/deputados/3817</t>
  </si>
  <si>
    <t>Francisco Antonio de Salles</t>
  </si>
  <si>
    <t>1865-09-20</t>
  </si>
  <si>
    <t>https://dadosabertos.camara.leg.br/api/v2/deputados/1550</t>
  </si>
  <si>
    <t>FRANCISCO SODRÉ</t>
  </si>
  <si>
    <t>Francisco Maria Sodré Pereira</t>
  </si>
  <si>
    <t>1839-01-16</t>
  </si>
  <si>
    <t>https://dadosabertos.camara.leg.br/api/v2/deputados/3823</t>
  </si>
  <si>
    <t>GABRIEL SALGADO</t>
  </si>
  <si>
    <t>Gabriel Salgado dos Santos</t>
  </si>
  <si>
    <t>1855-11-26</t>
  </si>
  <si>
    <t>https://dadosabertos.camara.leg.br/api/v2/deputados/3858</t>
  </si>
  <si>
    <t>Manoel Gomes de Mattos</t>
  </si>
  <si>
    <t>1841-03-08</t>
  </si>
  <si>
    <t>https://dadosabertos.camara.leg.br/api/v2/deputados/2007</t>
  </si>
  <si>
    <t>GUILHON</t>
  </si>
  <si>
    <t>Francisco Alberto Guilhon</t>
  </si>
  <si>
    <t>1851-09-21</t>
  </si>
  <si>
    <t>https://dadosabertos.camara.leg.br/api/v2/deputados/3824</t>
  </si>
  <si>
    <t>GUSTAVO GODÓI</t>
  </si>
  <si>
    <t>Gustavo de Oliveira Godoy</t>
  </si>
  <si>
    <t>1848-03-13</t>
  </si>
  <si>
    <t>https://dadosabertos.camara.leg.br/api/v2/deputados/2033</t>
  </si>
  <si>
    <t>HENRIQUE LAGDEN</t>
  </si>
  <si>
    <t>Henrique Tavares Lagden</t>
  </si>
  <si>
    <t>https://dadosabertos.camara.leg.br/api/v2/deputados/3826</t>
  </si>
  <si>
    <t>HERCÍLIO LUZ</t>
  </si>
  <si>
    <t>Hercílio Pedro da Luz</t>
  </si>
  <si>
    <t>1860-05-29</t>
  </si>
  <si>
    <t>https://dadosabertos.camara.leg.br/api/v2/deputados/3827</t>
  </si>
  <si>
    <t>HERCULANO BANDEIRA</t>
  </si>
  <si>
    <t>Herculano Bandeira de Melo</t>
  </si>
  <si>
    <t>https://dadosabertos.camara.leg.br/api/v2/deputados/1976</t>
  </si>
  <si>
    <t>ILDEFONSO ALVIM</t>
  </si>
  <si>
    <t>Ildefonso Moreira de Faria Alvim</t>
  </si>
  <si>
    <t>1867-02-06</t>
  </si>
  <si>
    <t>https://dadosabertos.camara.leg.br/api/v2/deputados/1950</t>
  </si>
  <si>
    <t>JAIME VILAS-BOAS</t>
  </si>
  <si>
    <t>Jayme Lopes Villas-Bôas</t>
  </si>
  <si>
    <t>1862-03-11</t>
  </si>
  <si>
    <t>Camamu</t>
  </si>
  <si>
    <t>https://dadosabertos.camara.leg.br/api/v2/deputados/2067</t>
  </si>
  <si>
    <t>JOÃO CÂNDIDO</t>
  </si>
  <si>
    <t>João Cândido Ferreira</t>
  </si>
  <si>
    <t>1864-04-21</t>
  </si>
  <si>
    <t>https://dadosabertos.camara.leg.br/api/v2/deputados/3839</t>
  </si>
  <si>
    <t>JOAQUIM ÁLVARO</t>
  </si>
  <si>
    <t>Joaquim Álvaro de Souza Camargo</t>
  </si>
  <si>
    <t>1859-08-10</t>
  </si>
  <si>
    <t>https://dadosabertos.camara.leg.br/api/v2/deputados/1572</t>
  </si>
  <si>
    <t>JOAQUIM BREVES</t>
  </si>
  <si>
    <t>Joaquim José de Souza Breves</t>
  </si>
  <si>
    <t>1846-07-06</t>
  </si>
  <si>
    <t>https://dadosabertos.camara.leg.br/api/v2/deputados/2052</t>
  </si>
  <si>
    <t>JOAQUIM CARVALHAES</t>
  </si>
  <si>
    <t>Joaquim Thomaz Carvalhaes</t>
  </si>
  <si>
    <t>https://dadosabertos.camara.leg.br/api/v2/deputados/3846</t>
  </si>
  <si>
    <t>JOSÉ AVELINO</t>
  </si>
  <si>
    <t>José Avelino Gurgel do Amaral</t>
  </si>
  <si>
    <t>1843-11-10</t>
  </si>
  <si>
    <t>https://dadosabertos.camara.leg.br/api/v2/deputados/2092</t>
  </si>
  <si>
    <t>JOSÉ BOITEUX</t>
  </si>
  <si>
    <t>José Arthur Boiteux</t>
  </si>
  <si>
    <t>1865-12-09</t>
  </si>
  <si>
    <t>https://dadosabertos.camara.leg.br/api/v2/deputados/2023</t>
  </si>
  <si>
    <t>JOSÉ DUARTE</t>
  </si>
  <si>
    <t>José Antonio Duarte</t>
  </si>
  <si>
    <t>1865-06-06</t>
  </si>
  <si>
    <t>https://dadosabertos.camara.leg.br/api/v2/deputados/1990</t>
  </si>
  <si>
    <t>Julio de Mello Filho</t>
  </si>
  <si>
    <t>1862-04-02</t>
  </si>
  <si>
    <t>https://dadosabertos.camara.leg.br/api/v2/deputados/1600</t>
  </si>
  <si>
    <t>JUVÊNCIO DE AGUIAR</t>
  </si>
  <si>
    <t>João Juvêncio Ferreira de Aguiar</t>
  </si>
  <si>
    <t>https://dadosabertos.camara.leg.br/api/v2/deputados/1851</t>
  </si>
  <si>
    <t>LAMARTINE</t>
  </si>
  <si>
    <t>Lamartine Ribeiro Guimarães</t>
  </si>
  <si>
    <t>https://dadosabertos.camara.leg.br/api/v2/deputados/2064</t>
  </si>
  <si>
    <t>LIMA FILHO</t>
  </si>
  <si>
    <t>Francisco Alves de Lima Filho</t>
  </si>
  <si>
    <t>https://dadosabertos.camara.leg.br/api/v2/deputados/2101</t>
  </si>
  <si>
    <t>LUIS PIZA</t>
  </si>
  <si>
    <t>Luiz Toledo Piza e Almeida</t>
  </si>
  <si>
    <t>1857-08-18</t>
  </si>
  <si>
    <t>Capivari</t>
  </si>
  <si>
    <t>https://dadosabertos.camara.leg.br/api/v2/deputados/2102</t>
  </si>
  <si>
    <t>MALTA JÚNIOR</t>
  </si>
  <si>
    <t>João Francisco Malta Júnior</t>
  </si>
  <si>
    <t>https://dadosabertos.camara.leg.br/api/v2/deputados/2041</t>
  </si>
  <si>
    <t>MANUEL ALVES</t>
  </si>
  <si>
    <t>Manuel Alves Ribeiro</t>
  </si>
  <si>
    <t>https://dadosabertos.camara.leg.br/api/v2/deputados/1622</t>
  </si>
  <si>
    <t>MANUEL CAETANO</t>
  </si>
  <si>
    <t>Manoel Caetano de Oliveira Passos</t>
  </si>
  <si>
    <t>1842-12-25</t>
  </si>
  <si>
    <t>Cruz das Almas</t>
  </si>
  <si>
    <t>https://dadosabertos.camara.leg.br/api/v2/deputados/2053</t>
  </si>
  <si>
    <t>MANUEL DA SILVA</t>
  </si>
  <si>
    <t>Manoel José da Silva</t>
  </si>
  <si>
    <t>https://dadosabertos.camara.leg.br/api/v2/deputados/226061</t>
  </si>
  <si>
    <t>MARTINHO CAMPOS</t>
  </si>
  <si>
    <t>Martinho Álvares da Silva Campos Filho</t>
  </si>
  <si>
    <t>1853-12-21</t>
  </si>
  <si>
    <t>https://dadosabertos.camara.leg.br/api/v2/deputados/2088</t>
  </si>
  <si>
    <t>MARTINS TEIXEIRA</t>
  </si>
  <si>
    <t>João Martins Teixeira</t>
  </si>
  <si>
    <t>1848-09-05</t>
  </si>
  <si>
    <t>https://dadosabertos.camara.leg.br/api/v2/deputados/1577</t>
  </si>
  <si>
    <t>João da Mata Machado</t>
  </si>
  <si>
    <t>1850-11-14</t>
  </si>
  <si>
    <t>https://dadosabertos.camara.leg.br/api/v2/deputados/3804</t>
  </si>
  <si>
    <t>MIRANDA AZEVEDO</t>
  </si>
  <si>
    <t>Augusto Cesar de Miranda Azevedo</t>
  </si>
  <si>
    <t>1851-10-10</t>
  </si>
  <si>
    <t>https://dadosabertos.camara.leg.br/api/v2/deputados/3800</t>
  </si>
  <si>
    <t>MONTEIRO DA SILVEIRA</t>
  </si>
  <si>
    <t>Antonio Luiz Monteiro da Silveira</t>
  </si>
  <si>
    <t>https://dadosabertos.camara.leg.br/api/v2/deputados/1857</t>
  </si>
  <si>
    <t>Luiz Eugenio Monteiro de Barros</t>
  </si>
  <si>
    <t>https://dadosabertos.camara.leg.br/api/v2/deputados/1648</t>
  </si>
  <si>
    <t>MUNIZ FREIRE</t>
  </si>
  <si>
    <t>José de Mello Carvalho Moniz Freire</t>
  </si>
  <si>
    <t>1861-07-13</t>
  </si>
  <si>
    <t>https://dadosabertos.camara.leg.br/api/v2/deputados/1698</t>
  </si>
  <si>
    <t>NECESIO TAVARES</t>
  </si>
  <si>
    <t>Necesio José Tavares</t>
  </si>
  <si>
    <t>1846-11-22</t>
  </si>
  <si>
    <t>https://dadosabertos.camara.leg.br/api/v2/deputados/1771</t>
  </si>
  <si>
    <t>NILO PEÇANHA</t>
  </si>
  <si>
    <t>NILO PROCÓPIO PEÇANHA</t>
  </si>
  <si>
    <t>1867-10-02</t>
  </si>
  <si>
    <t>https://dadosabertos.camara.leg.br/api/v2/deputados/1566</t>
  </si>
  <si>
    <t>NOGUEIRA ACCIOLY</t>
  </si>
  <si>
    <t>Antonio Pinto Nogueira Accioly</t>
  </si>
  <si>
    <t>1840-10-11</t>
  </si>
  <si>
    <t>https://dadosabertos.camara.leg.br/api/v2/deputados/1980</t>
  </si>
  <si>
    <t>NOGUEIRA JÚNIOR</t>
  </si>
  <si>
    <t>José Bento Nogueira Júnior</t>
  </si>
  <si>
    <t>https://dadosabertos.camara.leg.br/api/v2/deputados/176334</t>
  </si>
  <si>
    <t>OLIVEIRA BELO</t>
  </si>
  <si>
    <t>Luiz Alves Leite de Oliveira Bello</t>
  </si>
  <si>
    <t>1849-03-05</t>
  </si>
  <si>
    <t>https://dadosabertos.camara.leg.br/api/v2/deputados/1934</t>
  </si>
  <si>
    <t>OLIVEIRA BRAGA</t>
  </si>
  <si>
    <t>Francisco de Assis Oliveira Braga</t>
  </si>
  <si>
    <t>https://dadosabertos.camara.leg.br/api/v2/deputados/1837</t>
  </si>
  <si>
    <t>OVÍDIO ABRANTES</t>
  </si>
  <si>
    <t>Ovidio Abrantes</t>
  </si>
  <si>
    <t>https://dadosabertos.camara.leg.br/api/v2/deputados/1825</t>
  </si>
  <si>
    <t>Pedro Augusto Borges</t>
  </si>
  <si>
    <t>1851-04-29</t>
  </si>
  <si>
    <t>https://dadosabertos.camara.leg.br/api/v2/deputados/1710</t>
  </si>
  <si>
    <t>PEDRO CHERMONT</t>
  </si>
  <si>
    <t>Pedro Leite Chermont</t>
  </si>
  <si>
    <t>1857-06-27</t>
  </si>
  <si>
    <t>https://dadosabertos.camara.leg.br/api/v2/deputados/2001</t>
  </si>
  <si>
    <t>PEREIRA DOS SANTOS</t>
  </si>
  <si>
    <t>Joaquim Pereira dos Santos</t>
  </si>
  <si>
    <t>1843-10-23</t>
  </si>
  <si>
    <t>https://dadosabertos.camara.leg.br/api/v2/deputados/3848</t>
  </si>
  <si>
    <t>PESSOA DE VASCONCELOS</t>
  </si>
  <si>
    <t>José Marcelino Pessoa de Vasconcelos</t>
  </si>
  <si>
    <t>https://dadosabertos.camara.leg.br/api/v2/deputados/3822</t>
  </si>
  <si>
    <t>RANGEL PESTANA</t>
  </si>
  <si>
    <t>Francisco Rangel Pestana</t>
  </si>
  <si>
    <t>1839-11-26</t>
  </si>
  <si>
    <t>https://dadosabertos.camara.leg.br/api/v2/deputados/1702</t>
  </si>
  <si>
    <t>RODOLPHO ABREU</t>
  </si>
  <si>
    <t>Rodolpho Ernesto de Abreu</t>
  </si>
  <si>
    <t>1858-01-25</t>
  </si>
  <si>
    <t>https://dadosabertos.camara.leg.br/api/v2/deputados/1643</t>
  </si>
  <si>
    <t>SAMPAIO FERRAZ</t>
  </si>
  <si>
    <t>João Batista de Sampaio Ferraz</t>
  </si>
  <si>
    <t>1857-02-16</t>
  </si>
  <si>
    <t>https://dadosabertos.camara.leg.br/api/v2/deputados/1873</t>
  </si>
  <si>
    <t>SILVA MARIZ</t>
  </si>
  <si>
    <t>https://dadosabertos.camara.leg.br/api/v2/deputados/2057</t>
  </si>
  <si>
    <t>SILVEIRA DRUMMOND</t>
  </si>
  <si>
    <t>José Antonio da Silveira Drummond</t>
  </si>
  <si>
    <t>https://dadosabertos.camara.leg.br/api/v2/deputados/2108</t>
  </si>
  <si>
    <t>SILVIO ROMERO</t>
  </si>
  <si>
    <t>Sylvio Romero</t>
  </si>
  <si>
    <t>1851-04-21</t>
  </si>
  <si>
    <t>https://dadosabertos.camara.leg.br/api/v2/deputados/3136</t>
  </si>
  <si>
    <t>TEÓFILO OTONI</t>
  </si>
  <si>
    <t>Teophilo Benedicto Ottoni</t>
  </si>
  <si>
    <t>1861-08-26</t>
  </si>
  <si>
    <t>https://dadosabertos.camara.leg.br/api/v2/deputados/1654</t>
  </si>
  <si>
    <t>URBANO GOUVEIA</t>
  </si>
  <si>
    <t>Urbano Coelho de Gouvêa</t>
  </si>
  <si>
    <t>1852-07-08</t>
  </si>
  <si>
    <t>https://dadosabertos.camara.leg.br/api/v2/deputados/1988</t>
  </si>
  <si>
    <t>AFFONSO COSTA</t>
  </si>
  <si>
    <t>AFFONSO GONÇALVES FERREIRA DA COSTA</t>
  </si>
  <si>
    <t>https://dadosabertos.camara.leg.br/api/v2/deputados/3871</t>
  </si>
  <si>
    <t>AGOSTINHO VIDAL</t>
  </si>
  <si>
    <t>Agostinho Vidal Leite de Castro</t>
  </si>
  <si>
    <t>1841-10-25</t>
  </si>
  <si>
    <t>https://dadosabertos.camara.leg.br/api/v2/deputados/1845</t>
  </si>
  <si>
    <t>ALMEIDA GOMES</t>
  </si>
  <si>
    <t>José Caetano de Almeida Gomes</t>
  </si>
  <si>
    <t>https://dadosabertos.camara.leg.br/api/v2/deputados/2012</t>
  </si>
  <si>
    <t>ÁLVARES RUBIÃO</t>
  </si>
  <si>
    <t>José Álvares Rubião</t>
  </si>
  <si>
    <t>1855-08-15</t>
  </si>
  <si>
    <t>1899-10-31</t>
  </si>
  <si>
    <t>Mangaratiba</t>
  </si>
  <si>
    <t>https://dadosabertos.camara.leg.br/api/v2/deputados/1943</t>
  </si>
  <si>
    <t>AMORIM FIGUEIRA</t>
  </si>
  <si>
    <t>Raimundo de Amorim Figueira</t>
  </si>
  <si>
    <t>1862-02-15</t>
  </si>
  <si>
    <t>https://dadosabertos.camara.leg.br/api/v2/deputados/1947</t>
  </si>
  <si>
    <t>AMPHILOPHIO</t>
  </si>
  <si>
    <t>Amphilophio Botelho Freire de Carvalho</t>
  </si>
  <si>
    <t>1850-07-16</t>
  </si>
  <si>
    <t>https://dadosabertos.camara.leg.br/api/v2/deputados/1894</t>
  </si>
  <si>
    <t>APPARÍCIO MARIENSE</t>
  </si>
  <si>
    <t>Aparicio Mariense da Silva</t>
  </si>
  <si>
    <t>1856-05-30</t>
  </si>
  <si>
    <t>https://dadosabertos.camara.leg.br/api/v2/deputados/1811</t>
  </si>
  <si>
    <t>ARISTIDES DE QUEIROZ</t>
  </si>
  <si>
    <t>Aristides Galvão de Queiroz</t>
  </si>
  <si>
    <t>https://dadosabertos.camara.leg.br/api/v2/deputados/3880</t>
  </si>
  <si>
    <t>ARTHUR PEIXOTO</t>
  </si>
  <si>
    <t>Arthur Vieira Peixoto</t>
  </si>
  <si>
    <t>1865-09-12</t>
  </si>
  <si>
    <t>https://dadosabertos.camara.leg.br/api/v2/deputados/1614</t>
  </si>
  <si>
    <t>ARTHUR RIOS</t>
  </si>
  <si>
    <t>Arthur Cesar Rios</t>
  </si>
  <si>
    <t>https://dadosabertos.camara.leg.br/api/v2/deputados/1973</t>
  </si>
  <si>
    <t>AUGUSTO CLEMENTINO</t>
  </si>
  <si>
    <t>Augusto Clementino da Silva</t>
  </si>
  <si>
    <t>1861-07-18</t>
  </si>
  <si>
    <t>https://dadosabertos.camara.leg.br/api/v2/deputados/1998</t>
  </si>
  <si>
    <t>BERNARDES DIAS</t>
  </si>
  <si>
    <t>Joaquim Bernardes Dias</t>
  </si>
  <si>
    <t>https://dadosabertos.camara.leg.br/api/v2/deputados/130115</t>
  </si>
  <si>
    <t>BRAZILIO DA LUZ</t>
  </si>
  <si>
    <t>Brazilio Ferreira da Luz</t>
  </si>
  <si>
    <t>1858-09-29</t>
  </si>
  <si>
    <t>https://dadosabertos.camara.leg.br/api/v2/deputados/1847</t>
  </si>
  <si>
    <t>CAMPOLINA</t>
  </si>
  <si>
    <t>José Caetano da Silva Campolina</t>
  </si>
  <si>
    <t>1860-12-27</t>
  </si>
  <si>
    <t>São Brás do Suaçui</t>
  </si>
  <si>
    <t>https://dadosabertos.camara.leg.br/api/v2/deputados/1841</t>
  </si>
  <si>
    <t>CARACCIOLO</t>
  </si>
  <si>
    <t>Joaquim Caracciolo Peixoto de Azevedo</t>
  </si>
  <si>
    <t>https://dadosabertos.camara.leg.br/api/v2/deputados/1848</t>
  </si>
  <si>
    <t>CARVALHO MOURÃO</t>
  </si>
  <si>
    <t>José Martins de Carvalho Mourão</t>
  </si>
  <si>
    <t>1847-06-18</t>
  </si>
  <si>
    <t>https://dadosabertos.camara.leg.br/api/v2/deputados/1924</t>
  </si>
  <si>
    <t>CASEMIRO DA ROCHA</t>
  </si>
  <si>
    <t>Alfredo Casemiro da Rocha</t>
  </si>
  <si>
    <t>1856-03-04</t>
  </si>
  <si>
    <t>https://dadosabertos.camara.leg.br/api/v2/deputados/2013</t>
  </si>
  <si>
    <t>CESÁRIO DE FREITAS</t>
  </si>
  <si>
    <t>Cezario Gabriel de Freitas</t>
  </si>
  <si>
    <t>https://dadosabertos.camara.leg.br/api/v2/deputados/3910</t>
  </si>
  <si>
    <t>COELHO CINTRA</t>
  </si>
  <si>
    <t>José Cupertino Coelho Cintra</t>
  </si>
  <si>
    <t>1843-09-18</t>
  </si>
  <si>
    <t>https://dadosabertos.camara.leg.br/api/v2/deputados/3896</t>
  </si>
  <si>
    <t>COELHO LISBOA</t>
  </si>
  <si>
    <t>João Coelho Gonçalves Lisbôa</t>
  </si>
  <si>
    <t>1859-06-27</t>
  </si>
  <si>
    <t>https://dadosabertos.camara.leg.br/api/v2/deputados/1849</t>
  </si>
  <si>
    <t>CUPERTINO DE SIQUEIRA</t>
  </si>
  <si>
    <t>José Cupertino de Siqueira</t>
  </si>
  <si>
    <t>https://dadosabertos.camara.leg.br/api/v2/deputados/1838</t>
  </si>
  <si>
    <t>EDUARDO DE BERREDO</t>
  </si>
  <si>
    <t>Antonio Eduardo de Berrêdo</t>
  </si>
  <si>
    <t>https://dadosabertos.camara.leg.br/api/v2/deputados/1908</t>
  </si>
  <si>
    <t>ERNESTO BRAZÍLIO</t>
  </si>
  <si>
    <t>Ernesto Brazilio de Araujo</t>
  </si>
  <si>
    <t>https://dadosabertos.camara.leg.br/api/v2/deputados/1955</t>
  </si>
  <si>
    <t>FELIPPE CARDOSO</t>
  </si>
  <si>
    <t>Felippe Basílio Cardoso Pires</t>
  </si>
  <si>
    <t>1898-05-04</t>
  </si>
  <si>
    <t>https://dadosabertos.camara.leg.br/api/v2/deputados/3909</t>
  </si>
  <si>
    <t>FERREIRA PIRES</t>
  </si>
  <si>
    <t>José Carlos Ferreira Pires</t>
  </si>
  <si>
    <t>1854-09-27</t>
  </si>
  <si>
    <t>https://dadosabertos.camara.leg.br/api/v2/deputados/1911</t>
  </si>
  <si>
    <t>FONSECA PORTELLA</t>
  </si>
  <si>
    <t>Manoel Henriques da Fonseca Portella</t>
  </si>
  <si>
    <t>https://dadosabertos.camara.leg.br/api/v2/deputados/130116</t>
  </si>
  <si>
    <t>FRANCISCO GLICERIO</t>
  </si>
  <si>
    <t>Francisco Glicerio de Cerqueira Leite</t>
  </si>
  <si>
    <t>1846-08-15</t>
  </si>
  <si>
    <t>https://dadosabertos.camara.leg.br/api/v2/deputados/3887</t>
  </si>
  <si>
    <t>FRANCISCO GURGEL</t>
  </si>
  <si>
    <t>Francisco Gurgel de Oliveira</t>
  </si>
  <si>
    <t>1848-09-07</t>
  </si>
  <si>
    <t>https://dadosabertos.camara.leg.br/api/v2/deputados/1581</t>
  </si>
  <si>
    <t>GEMINIANO BRAZIL</t>
  </si>
  <si>
    <t>Geminiano Brasil de Oliveira Góes</t>
  </si>
  <si>
    <t>1844-05-30</t>
  </si>
  <si>
    <t>Cristinápolis</t>
  </si>
  <si>
    <t>https://dadosabertos.camara.leg.br/api/v2/deputados/1690</t>
  </si>
  <si>
    <t>GONÇALVES RAMOS</t>
  </si>
  <si>
    <t>Joaquim Gonçalves Ramos</t>
  </si>
  <si>
    <t>https://dadosabertos.camara.leg.br/api/v2/deputados/2017</t>
  </si>
  <si>
    <t>GRANADEIRO GUIMARÃES</t>
  </si>
  <si>
    <t>Francisco Granadeiro Guimarães</t>
  </si>
  <si>
    <t>1899-08-21</t>
  </si>
  <si>
    <t>https://dadosabertos.camara.leg.br/api/v2/deputados/1839</t>
  </si>
  <si>
    <t>GUSTAVO VERAS</t>
  </si>
  <si>
    <t>Gustavo Collaço Fernandes Veras</t>
  </si>
  <si>
    <t>1897-07-01</t>
  </si>
  <si>
    <t>https://dadosabertos.camara.leg.br/api/v2/deputados/3893</t>
  </si>
  <si>
    <t>HELVECIO MONTE</t>
  </si>
  <si>
    <t>Helvecio da Silva Monte</t>
  </si>
  <si>
    <t>1840-11-26</t>
  </si>
  <si>
    <t>https://dadosabertos.camara.leg.br/api/v2/deputados/130120</t>
  </si>
  <si>
    <t>HENRIQUE VALADARES</t>
  </si>
  <si>
    <t>Henrique Valladares</t>
  </si>
  <si>
    <t>1852-03-15</t>
  </si>
  <si>
    <t>https://dadosabertos.camara.leg.br/api/v2/deputados/1975</t>
  </si>
  <si>
    <t>HENRIQUE VAZ</t>
  </si>
  <si>
    <t>Henrique Cesar de Souza Vaz</t>
  </si>
  <si>
    <t>https://dadosabertos.camara.leg.br/api/v2/deputados/1824</t>
  </si>
  <si>
    <t>ILDEFONSO LIMA</t>
  </si>
  <si>
    <t>Ildefonso Corrêa Lima</t>
  </si>
  <si>
    <t>1860-07-07</t>
  </si>
  <si>
    <t>https://dadosabertos.camara.leg.br/api/v2/deputados/1691</t>
  </si>
  <si>
    <t>JACOB DA PAIXÃO</t>
  </si>
  <si>
    <t>Antonio Jacob da Paixão</t>
  </si>
  <si>
    <t>1842-11-28</t>
  </si>
  <si>
    <t>Rio Pardo de Minas</t>
  </si>
  <si>
    <t>https://dadosabertos.camara.leg.br/api/v2/deputados/1583</t>
  </si>
  <si>
    <t>JOÃO DANTAS FILHO</t>
  </si>
  <si>
    <t>João dos Reis Souza Dantas Filho</t>
  </si>
  <si>
    <t>https://dadosabertos.camara.leg.br/api/v2/deputados/1778</t>
  </si>
  <si>
    <t>LAURO MÜLLER</t>
  </si>
  <si>
    <t>Lauro Severiano Müller</t>
  </si>
  <si>
    <t>1863-11-08</t>
  </si>
  <si>
    <t>https://dadosabertos.camara.leg.br/api/v2/deputados/3919</t>
  </si>
  <si>
    <t>LEONCIO CORRÊA</t>
  </si>
  <si>
    <t>Leoncio Corrêa</t>
  </si>
  <si>
    <t>1865-09-01</t>
  </si>
  <si>
    <t>https://dadosabertos.camara.leg.br/api/v2/deputados/3920</t>
  </si>
  <si>
    <t>LEONEL LORETTI</t>
  </si>
  <si>
    <t>Leonel Loretti da Silva Lima</t>
  </si>
  <si>
    <t>1863-01-27</t>
  </si>
  <si>
    <t>https://dadosabertos.camara.leg.br/api/v2/deputados/1965</t>
  </si>
  <si>
    <t>LEOPOLDO JARDIM</t>
  </si>
  <si>
    <t>Francisco Leopoldo Rodrigues Jardim</t>
  </si>
  <si>
    <t>1847-08-27</t>
  </si>
  <si>
    <t>https://dadosabertos.camara.leg.br/api/v2/deputados/2018</t>
  </si>
  <si>
    <t>LUCAS DE BARROS</t>
  </si>
  <si>
    <t>Lucas Monteiro de Barros</t>
  </si>
  <si>
    <t>1861-12-14</t>
  </si>
  <si>
    <t>https://dadosabertos.camara.leg.br/api/v2/deputados/1855</t>
  </si>
  <si>
    <t>LUIZ DETSI</t>
  </si>
  <si>
    <t>Luiz Arthur Detsi</t>
  </si>
  <si>
    <t>1863-05-16</t>
  </si>
  <si>
    <t>1898-07-15</t>
  </si>
  <si>
    <t>https://dadosabertos.camara.leg.br/api/v2/deputados/2019</t>
  </si>
  <si>
    <t>LUIZ FLACQUER</t>
  </si>
  <si>
    <t>José Luiz Flacquer</t>
  </si>
  <si>
    <t>1854-05-01</t>
  </si>
  <si>
    <t>https://dadosabertos.camara.leg.br/api/v2/deputados/1996</t>
  </si>
  <si>
    <t>MARCOS DE ARAÚJO</t>
  </si>
  <si>
    <t>Marcos Pereira de Araújo</t>
  </si>
  <si>
    <t>https://dadosabertos.camara.leg.br/api/v2/deputados/1899</t>
  </si>
  <si>
    <t>MARTINS COSTA</t>
  </si>
  <si>
    <t>José de Almeida Martins Costa Júnior</t>
  </si>
  <si>
    <t>https://dadosabertos.camara.leg.br/api/v2/deputados/3913</t>
  </si>
  <si>
    <t>MARTINS JÚNIOR</t>
  </si>
  <si>
    <t>José Isidoro Martins Junior</t>
  </si>
  <si>
    <t>1860-11-24</t>
  </si>
  <si>
    <t>https://dadosabertos.camara.leg.br/api/v2/deputados/1708</t>
  </si>
  <si>
    <t>MATTA BACELLAR</t>
  </si>
  <si>
    <t>José Teixeira da Matta Bacellar</t>
  </si>
  <si>
    <t>https://dadosabertos.camara.leg.br/api/v2/deputados/1969</t>
  </si>
  <si>
    <t>MELLO RÊGO</t>
  </si>
  <si>
    <t>Francisco Raphael de Mello Rêgo</t>
  </si>
  <si>
    <t>https://dadosabertos.camara.leg.br/api/v2/deputados/3889</t>
  </si>
  <si>
    <t>MENDES PIMENTEL</t>
  </si>
  <si>
    <t>Francisco Mendes Pimentel</t>
  </si>
  <si>
    <t>1869-01-21</t>
  </si>
  <si>
    <t>https://dadosabertos.camara.leg.br/api/v2/deputados/1886</t>
  </si>
  <si>
    <t>MIGUEL PERNAMBUCO</t>
  </si>
  <si>
    <t>Miguel José de Almeida Pernambuco</t>
  </si>
  <si>
    <t>1898-06-23</t>
  </si>
  <si>
    <t>https://dadosabertos.camara.leg.br/api/v2/deputados/1981</t>
  </si>
  <si>
    <t>OCTAVIANO DE BRITO</t>
  </si>
  <si>
    <t>Octaviano Ferreira de Brito</t>
  </si>
  <si>
    <t>https://dadosabertos.camara.leg.br/api/v2/deputados/1592</t>
  </si>
  <si>
    <t>OLYMPIO CAMPOS</t>
  </si>
  <si>
    <t>Olympio de Souza Campos</t>
  </si>
  <si>
    <t>1853-07-25</t>
  </si>
  <si>
    <t>Itabaianinha</t>
  </si>
  <si>
    <t>https://dadosabertos.camara.leg.br/api/v2/deputados/3929</t>
  </si>
  <si>
    <t>PEDRO FERREIRA</t>
  </si>
  <si>
    <t>Pedro Ferreira da Silva</t>
  </si>
  <si>
    <t>1860-05-19</t>
  </si>
  <si>
    <t>https://dadosabertos.camara.leg.br/api/v2/deputados/1914</t>
  </si>
  <si>
    <t>Adolpho Pereira de Burgos Ponce de Leon</t>
  </si>
  <si>
    <t>https://dadosabertos.camara.leg.br/api/v2/deputados/3930</t>
  </si>
  <si>
    <t>POSSIDONIO DA CUNHA</t>
  </si>
  <si>
    <t>Possidonio Mancio da Cunha Junior</t>
  </si>
  <si>
    <t>https://dadosabertos.camara.leg.br/api/v2/deputados/3897</t>
  </si>
  <si>
    <t>PY CRESPO</t>
  </si>
  <si>
    <t>João Py Crespo</t>
  </si>
  <si>
    <t>https://dadosabertos.camara.leg.br/api/v2/deputados/1945</t>
  </si>
  <si>
    <t>SILVÉRIO NERY</t>
  </si>
  <si>
    <t>Silverio José Nery</t>
  </si>
  <si>
    <t>1858-10-08</t>
  </si>
  <si>
    <t>Coari</t>
  </si>
  <si>
    <t>https://dadosabertos.camara.leg.br/api/v2/deputados/1984</t>
  </si>
  <si>
    <t>TELLES DE MENEZES</t>
  </si>
  <si>
    <t>José Raymundo Telles de Menezes</t>
  </si>
  <si>
    <t>1859-09-15</t>
  </si>
  <si>
    <t>https://dadosabertos.camara.leg.br/api/v2/deputados/1574</t>
  </si>
  <si>
    <t>THEÓPHILO SANTOS</t>
  </si>
  <si>
    <t>Theophilo Fernandes dos Santos</t>
  </si>
  <si>
    <t>1897-06-08</t>
  </si>
  <si>
    <t>https://dadosabertos.camara.leg.br/api/v2/deputados/1865</t>
  </si>
  <si>
    <t>THEOTONIO DE MAGALHÃES</t>
  </si>
  <si>
    <t>Theotonio de Magalhães e Castro</t>
  </si>
  <si>
    <t>1858-06-22</t>
  </si>
  <si>
    <t>https://dadosabertos.camara.leg.br/api/v2/deputados/1832</t>
  </si>
  <si>
    <t>TIMOTHEO DA COSTA</t>
  </si>
  <si>
    <t>Manoel Timotheo da Costa</t>
  </si>
  <si>
    <t>https://dadosabertos.camara.leg.br/api/v2/deputados/1596</t>
  </si>
  <si>
    <t>TORRES PORTUGAL</t>
  </si>
  <si>
    <t>Manoel Ambrosio da Silveira Torres Portugal</t>
  </si>
  <si>
    <t>1845-12-07</t>
  </si>
  <si>
    <t>https://dadosabertos.camara.leg.br/api/v2/deputados/1773</t>
  </si>
  <si>
    <t>URBANO MARCONDES</t>
  </si>
  <si>
    <t>Urbano Marcondes dos Santos Machado</t>
  </si>
  <si>
    <t>https://dadosabertos.camara.leg.br/api/v2/deputados/1840</t>
  </si>
  <si>
    <t>VIVEIROS</t>
  </si>
  <si>
    <t>José Francisco de Viveiros</t>
  </si>
  <si>
    <t>https://dadosabertos.camara.leg.br/api/v2/deputados/1961</t>
  </si>
  <si>
    <t>XAVIER DA SILVEIRA</t>
  </si>
  <si>
    <t>Joaquim Xavier da Silveira Junior</t>
  </si>
  <si>
    <t>1864-10-11</t>
  </si>
  <si>
    <t>https://dadosabertos.camara.leg.br/api/v2/deputados/1921</t>
  </si>
  <si>
    <t>ALBERTO SALES</t>
  </si>
  <si>
    <t>João Alberto Salles</t>
  </si>
  <si>
    <t>1857-10-24</t>
  </si>
  <si>
    <t>https://dadosabertos.camara.leg.br/api/v2/deputados/3937</t>
  </si>
  <si>
    <t>Alberto de Seixas Martins Torres</t>
  </si>
  <si>
    <t>1865-11-26</t>
  </si>
  <si>
    <t>https://dadosabertos.camara.leg.br/api/v2/deputados/1563</t>
  </si>
  <si>
    <t>ALMEIDA NOGUEIRA</t>
  </si>
  <si>
    <t>José Luiz de Almeida Nogueira</t>
  </si>
  <si>
    <t>1851-02-04</t>
  </si>
  <si>
    <t>https://dadosabertos.camara.leg.br/api/v2/deputados/3965</t>
  </si>
  <si>
    <t>ALMEIDA TORRES</t>
  </si>
  <si>
    <t>Francisco de Almeida Torres</t>
  </si>
  <si>
    <t>1848-01-05</t>
  </si>
  <si>
    <t>https://dadosabertos.camara.leg.br/api/v2/deputados/1827</t>
  </si>
  <si>
    <t>AMÉRICO DE MATOS</t>
  </si>
  <si>
    <t>José Americo de Mattos</t>
  </si>
  <si>
    <t>1897-05-23</t>
  </si>
  <si>
    <t>https://dadosabertos.camara.leg.br/api/v2/deputados/1828</t>
  </si>
  <si>
    <t>ANTÔNIO DE SIQUEIRA</t>
  </si>
  <si>
    <t>Antonio José de Siqueira</t>
  </si>
  <si>
    <t>https://dadosabertos.camara.leg.br/api/v2/deputados/1667</t>
  </si>
  <si>
    <t>ANTÔNIO OLINTO</t>
  </si>
  <si>
    <t>Antonio Olyntho dos Santos Pires</t>
  </si>
  <si>
    <t>1860-12-15</t>
  </si>
  <si>
    <t>https://dadosabertos.camara.leg.br/api/v2/deputados/3948</t>
  </si>
  <si>
    <t>ARMÍNIO TAVARES</t>
  </si>
  <si>
    <t>Arminio Coriolano Tavares dos Santos</t>
  </si>
  <si>
    <t>1898-05-07</t>
  </si>
  <si>
    <t>https://dadosabertos.camara.leg.br/api/v2/deputados/1646</t>
  </si>
  <si>
    <t>ATAÍDE JÚNIOR</t>
  </si>
  <si>
    <t>Antonio Borges de Athayde Junior</t>
  </si>
  <si>
    <t>Espírito Santo</t>
  </si>
  <si>
    <t>https://dadosabertos.camara.leg.br/api/v2/deputados/1655</t>
  </si>
  <si>
    <t>BENEDITO LEITE</t>
  </si>
  <si>
    <t>Benedito Pereira Leite</t>
  </si>
  <si>
    <t>1858-10-04</t>
  </si>
  <si>
    <t>https://dadosabertos.camara.leg.br/api/v2/deputados/1674</t>
  </si>
  <si>
    <t>CARLOS DAS CHAGAS</t>
  </si>
  <si>
    <t>Carlos Justiniano das Chagas</t>
  </si>
  <si>
    <t>1843-08-15</t>
  </si>
  <si>
    <t>https://dadosabertos.camara.leg.br/api/v2/deputados/3953</t>
  </si>
  <si>
    <t>CARLOS JORGE</t>
  </si>
  <si>
    <t>Carlos Jorge Calheiros de Lima</t>
  </si>
  <si>
    <t>1860-07-16</t>
  </si>
  <si>
    <t>https://dadosabertos.camara.leg.br/api/v2/deputados/1787</t>
  </si>
  <si>
    <t>CESÁRIO MOTA</t>
  </si>
  <si>
    <t>Cezario Nazianzeno de Azevedo Motta Magalhães Junior</t>
  </si>
  <si>
    <t>1847-03-05</t>
  </si>
  <si>
    <t>1897-04-24</t>
  </si>
  <si>
    <t>https://dadosabertos.camara.leg.br/api/v2/deputados/1548</t>
  </si>
  <si>
    <t>CHAGAS LOBATO</t>
  </si>
  <si>
    <t>João das Chagas Lobato</t>
  </si>
  <si>
    <t>1899-05-01</t>
  </si>
  <si>
    <t>https://dadosabertos.camara.leg.br/api/v2/deputados/1870</t>
  </si>
  <si>
    <t>CHATEAUBRIAND</t>
  </si>
  <si>
    <t>Chateaubriand Bandeira de Mello</t>
  </si>
  <si>
    <t>https://dadosabertos.camara.leg.br/api/v2/deputados/3956</t>
  </si>
  <si>
    <t>CLETO NUNES</t>
  </si>
  <si>
    <t>Cleto Nunes Pereira</t>
  </si>
  <si>
    <t>1855-05-03</t>
  </si>
  <si>
    <t>https://dadosabertos.camara.leg.br/api/v2/deputados/1663</t>
  </si>
  <si>
    <t>Antonio Corrêa da Costa</t>
  </si>
  <si>
    <t>1857-02-05</t>
  </si>
  <si>
    <t>https://dadosabertos.camara.leg.br/api/v2/deputados/1907</t>
  </si>
  <si>
    <t>COSTA AZEVEDO</t>
  </si>
  <si>
    <t>José Baptista da Costa Azevedo</t>
  </si>
  <si>
    <t>1896-08-30</t>
  </si>
  <si>
    <t>https://dadosabertos.camara.leg.br/api/v2/deputados/1676</t>
  </si>
  <si>
    <t>COSTA MACHADO</t>
  </si>
  <si>
    <t>José da Costa Machado e Souza</t>
  </si>
  <si>
    <t>1829-07-05</t>
  </si>
  <si>
    <t>Baependi</t>
  </si>
  <si>
    <t>https://dadosabertos.camara.leg.br/api/v2/deputados/1790</t>
  </si>
  <si>
    <t>DOMINGOS DE MORAIS</t>
  </si>
  <si>
    <t>Domingos Corrêa de Moraes</t>
  </si>
  <si>
    <t>1851-05-12</t>
  </si>
  <si>
    <t>https://dadosabertos.camara.leg.br/api/v2/deputados/3959</t>
  </si>
  <si>
    <t>EMÍLIO BLUM</t>
  </si>
  <si>
    <t>Emilio Blum</t>
  </si>
  <si>
    <t>1861-04-10</t>
  </si>
  <si>
    <t>https://dadosabertos.camara.leg.br/api/v2/deputados/1909</t>
  </si>
  <si>
    <t>EUZEBIO DE QUEIROZ</t>
  </si>
  <si>
    <t>Euzebio de Queiroz Carneiro Mattoso</t>
  </si>
  <si>
    <t>1860-11-30</t>
  </si>
  <si>
    <t>Quissamã</t>
  </si>
  <si>
    <t>https://dadosabertos.camara.leg.br/api/v2/deputados/1850</t>
  </si>
  <si>
    <t>FERRAZ JÚNIOR</t>
  </si>
  <si>
    <t>Antonio Dias Ferraz Junior</t>
  </si>
  <si>
    <t>1866-06-13</t>
  </si>
  <si>
    <t>https://dadosabertos.camara.leg.br/api/v2/deputados/1910</t>
  </si>
  <si>
    <t>FERREIRA DA LUZ</t>
  </si>
  <si>
    <t>Francisco Antunes Ferreira da Luz</t>
  </si>
  <si>
    <t>1894-07-17</t>
  </si>
  <si>
    <t>https://dadosabertos.camara.leg.br/api/v2/deputados/3963</t>
  </si>
  <si>
    <t>FILETO PIRES</t>
  </si>
  <si>
    <t>Fileto Pires Ferreira</t>
  </si>
  <si>
    <t>1866-03-16</t>
  </si>
  <si>
    <t>https://dadosabertos.camara.leg.br/api/v2/deputados/3964</t>
  </si>
  <si>
    <t>FLÁVIO DE ARAÚJO</t>
  </si>
  <si>
    <t>Flavio Guedes de Araujo</t>
  </si>
  <si>
    <t>1897-04-02</t>
  </si>
  <si>
    <t>https://dadosabertos.camara.leg.br/api/v2/deputados/1896</t>
  </si>
  <si>
    <t>FONSECA GUIMARÃES</t>
  </si>
  <si>
    <t>João Pinto da Fonseca Guimarães</t>
  </si>
  <si>
    <t>1838-08-13</t>
  </si>
  <si>
    <t>https://dadosabertos.camara.leg.br/api/v2/deputados/3946</t>
  </si>
  <si>
    <t>FORTES JUNQUEIRA</t>
  </si>
  <si>
    <t>Antonio Torquato Fortes Junqueira</t>
  </si>
  <si>
    <t>1839-04-21</t>
  </si>
  <si>
    <t>https://dadosabertos.camara.leg.br/api/v2/deputados/1571</t>
  </si>
  <si>
    <t>FRANÇA CARVALHO</t>
  </si>
  <si>
    <t>Carlos Antonio de França Carvalho</t>
  </si>
  <si>
    <t>1845-09-11</t>
  </si>
  <si>
    <t>https://dadosabertos.camara.leg.br/api/v2/deputados/3967</t>
  </si>
  <si>
    <t>FRANCISCO BENEVOLO</t>
  </si>
  <si>
    <t>Francisco Benevolo</t>
  </si>
  <si>
    <t>1855-12-13</t>
  </si>
  <si>
    <t>https://dadosabertos.camara.leg.br/api/v2/deputados/3973</t>
  </si>
  <si>
    <t>FRANCISCO DE BARROS</t>
  </si>
  <si>
    <t>Francisco Xavier Paes de Barros</t>
  </si>
  <si>
    <t>1860-07-23</t>
  </si>
  <si>
    <t>https://dadosabertos.camara.leg.br/api/v2/deputados/1912</t>
  </si>
  <si>
    <t>FRANCISCO SANTIAGO</t>
  </si>
  <si>
    <t>Francisco Santiago Gonçalves da Silva</t>
  </si>
  <si>
    <t>1895-05-24</t>
  </si>
  <si>
    <t>https://dadosabertos.camara.leg.br/api/v2/deputados/1638</t>
  </si>
  <si>
    <t>FURQUIM WERNECK</t>
  </si>
  <si>
    <t>Francisco Furquim Werneck de Almeida</t>
  </si>
  <si>
    <t>1846-09-29</t>
  </si>
  <si>
    <t>https://dadosabertos.camara.leg.br/api/v2/deputados/3988</t>
  </si>
  <si>
    <t>FURTADO</t>
  </si>
  <si>
    <t>Manoel Antonio Furtado</t>
  </si>
  <si>
    <t>https://dadosabertos.camara.leg.br/api/v2/deputados/1889</t>
  </si>
  <si>
    <t>GABRIEL FERREIRA</t>
  </si>
  <si>
    <t>Gabriel Luiz Ferreira</t>
  </si>
  <si>
    <t>1847-04-11</t>
  </si>
  <si>
    <t>1895-12-15</t>
  </si>
  <si>
    <t>https://dadosabertos.camara.leg.br/api/v2/deputados/130124</t>
  </si>
  <si>
    <t>GASPAR DRUMOND</t>
  </si>
  <si>
    <t>Gaspar Menezes de Vasconcellos Drummond Filho</t>
  </si>
  <si>
    <t>https://dadosabertos.camara.leg.br/api/v2/deputados/1822</t>
  </si>
  <si>
    <t>GONÇALO DE LAGOS</t>
  </si>
  <si>
    <t>Gonçalo de Lagos Fernandes Bastos</t>
  </si>
  <si>
    <t>1842-11-16</t>
  </si>
  <si>
    <t>1896-07-17</t>
  </si>
  <si>
    <t>https://dadosabertos.camara.leg.br/api/v2/deputados/1938</t>
  </si>
  <si>
    <t>GOUVEIA LIMA</t>
  </si>
  <si>
    <t>Antonio Alves de Gouveia Lima</t>
  </si>
  <si>
    <t>1830-09-08</t>
  </si>
  <si>
    <t>https://dadosabertos.camara.leg.br/api/v2/deputados/1705</t>
  </si>
  <si>
    <t>HOLANDA DE LIMA</t>
  </si>
  <si>
    <t>Diogo Holanda de Lima</t>
  </si>
  <si>
    <t>https://dadosabertos.camara.leg.br/api/v2/deputados/1578</t>
  </si>
  <si>
    <t>João Nogueira Penido</t>
  </si>
  <si>
    <t>1822-05-30</t>
  </si>
  <si>
    <t>https://dadosabertos.camara.leg.br/api/v2/deputados/130125</t>
  </si>
  <si>
    <t>JOSÉ BEVILAQUA</t>
  </si>
  <si>
    <t>José Bevilaqua</t>
  </si>
  <si>
    <t>1863-03-18</t>
  </si>
  <si>
    <t>https://dadosabertos.camara.leg.br/api/v2/deputados/1791</t>
  </si>
  <si>
    <t>JÚLIO DE MESQUITA</t>
  </si>
  <si>
    <t>Julio Cesar Ferreira de Mesquita</t>
  </si>
  <si>
    <t>1862-08-18</t>
  </si>
  <si>
    <t>https://dadosabertos.camara.leg.br/api/v2/deputados/1594</t>
  </si>
  <si>
    <t>JUNQUEIRA AIRES</t>
  </si>
  <si>
    <t>Luiz Francisco Junqueira Ayres de Almeida</t>
  </si>
  <si>
    <t>1860-02-22</t>
  </si>
  <si>
    <t>1896-05-10</t>
  </si>
  <si>
    <t>https://dadosabertos.camara.leg.br/api/v2/deputados/1610</t>
  </si>
  <si>
    <t>LIMA BACURI</t>
  </si>
  <si>
    <t>Francisco Ferreira de Lima Bacuri</t>
  </si>
  <si>
    <t>1848-10-04</t>
  </si>
  <si>
    <t>https://dadosabertos.camara.leg.br/api/v2/deputados/1853</t>
  </si>
  <si>
    <t>LIMA DUARTE</t>
  </si>
  <si>
    <t>Feliciano de Lima Duarte</t>
  </si>
  <si>
    <t>https://dadosabertos.camara.leg.br/api/v2/deputados/1830</t>
  </si>
  <si>
    <t>LINS DE VASCONCELOS</t>
  </si>
  <si>
    <t>Cândido de Oliveira Lins de Vasconcellos</t>
  </si>
  <si>
    <t>https://dadosabertos.camara.leg.br/api/v2/deputados/3981</t>
  </si>
  <si>
    <t>LOPES TROVÃO</t>
  </si>
  <si>
    <t>José Lopes da Silva Trovão</t>
  </si>
  <si>
    <t>1848-05-23</t>
  </si>
  <si>
    <t>https://dadosabertos.camara.leg.br/api/v2/deputados/1733</t>
  </si>
  <si>
    <t>LUÍS DE ANDRADE</t>
  </si>
  <si>
    <t>Luiz de Andrade</t>
  </si>
  <si>
    <t>1849-11-20</t>
  </si>
  <si>
    <t>https://dadosabertos.camara.leg.br/api/v2/deputados/1933</t>
  </si>
  <si>
    <t>LUÍS FLAQUER</t>
  </si>
  <si>
    <t>José Luiz Flaquer</t>
  </si>
  <si>
    <t>https://dadosabertos.camara.leg.br/api/v2/deputados/3992</t>
  </si>
  <si>
    <t>MARCIONILLO DE BARROS LINS</t>
  </si>
  <si>
    <t>Marcionillo de Barros Lins</t>
  </si>
  <si>
    <t>https://dadosabertos.camara.leg.br/api/v2/deputados/1843</t>
  </si>
  <si>
    <t>MARIANO RAMOS</t>
  </si>
  <si>
    <t>Mariano Ramos</t>
  </si>
  <si>
    <t>1864-06-17</t>
  </si>
  <si>
    <t>1896-04-20</t>
  </si>
  <si>
    <t>https://dadosabertos.camara.leg.br/api/v2/deputados/1556</t>
  </si>
  <si>
    <t>MENEZES PRADO</t>
  </si>
  <si>
    <t>Manoel José de Menezes Prado</t>
  </si>
  <si>
    <t>1844-02-06</t>
  </si>
  <si>
    <t>1897-03-01</t>
  </si>
  <si>
    <t>https://dadosabertos.camara.leg.br/api/v2/deputados/1793</t>
  </si>
  <si>
    <t>Manoel de Moraes Barros</t>
  </si>
  <si>
    <t>1836-05-01</t>
  </si>
  <si>
    <t>https://dadosabertos.camara.leg.br/api/v2/deputados/3977</t>
  </si>
  <si>
    <t>NOGUEIRA PARANAGUÁ</t>
  </si>
  <si>
    <t>Joaquim Nogueira Paranaguá</t>
  </si>
  <si>
    <t>1855-01-11</t>
  </si>
  <si>
    <t>https://dadosabertos.camara.leg.br/api/v2/deputados/3998</t>
  </si>
  <si>
    <t>OTAVIANO LOUREIRO</t>
  </si>
  <si>
    <t>Silvestre Octaviano Loureiro</t>
  </si>
  <si>
    <t>https://dadosabertos.camara.leg.br/api/v2/deputados/1860</t>
  </si>
  <si>
    <t>OTONI</t>
  </si>
  <si>
    <t>Octavio Esteves Ottoni</t>
  </si>
  <si>
    <t>1894-07-07</t>
  </si>
  <si>
    <t>https://dadosabertos.camara.leg.br/api/v2/deputados/1935</t>
  </si>
  <si>
    <t>PADUA SALLES</t>
  </si>
  <si>
    <t>Antonio de Padua Salles</t>
  </si>
  <si>
    <t>1860-11-02</t>
  </si>
  <si>
    <t>https://dadosabertos.camara.leg.br/api/v2/deputados/1861</t>
  </si>
  <si>
    <t>PARAÍSO CAVALCANTI</t>
  </si>
  <si>
    <t>Francisco Manoel Paraiso Cavalcanti</t>
  </si>
  <si>
    <t>https://dadosabertos.camara.leg.br/api/v2/deputados/1936</t>
  </si>
  <si>
    <t>PAULO DE QUEIRÓS</t>
  </si>
  <si>
    <t>Paulo de Souza Queiroz</t>
  </si>
  <si>
    <t>https://dadosabertos.camara.leg.br/api/v2/deputados/1743</t>
  </si>
  <si>
    <t>PEDRO VELHO</t>
  </si>
  <si>
    <t>Pedro Velho de Albuquerque Maranhão</t>
  </si>
  <si>
    <t>1856-11-27</t>
  </si>
  <si>
    <t>https://dadosabertos.camara.leg.br/api/v2/deputados/1755</t>
  </si>
  <si>
    <t>PEREIRA DA COSTA</t>
  </si>
  <si>
    <t>Joaquim Pereira da Costa</t>
  </si>
  <si>
    <t>https://dadosabertos.camara.leg.br/api/v2/deputados/1862</t>
  </si>
  <si>
    <t>PINTO DA FONSECA</t>
  </si>
  <si>
    <t>Antonio Pinto da Fonseca</t>
  </si>
  <si>
    <t>1859-08-13</t>
  </si>
  <si>
    <t>https://dadosabertos.camara.leg.br/api/v2/deputados/3984</t>
  </si>
  <si>
    <t>PORCIÚNCULA</t>
  </si>
  <si>
    <t>José Thomaz da Porciuncula</t>
  </si>
  <si>
    <t>1854-12-25</t>
  </si>
  <si>
    <t>https://dadosabertos.camara.leg.br/api/v2/deputados/3940</t>
  </si>
  <si>
    <t>RIBEIRO DE ALMEIDA</t>
  </si>
  <si>
    <t>Antonio Augusto Ribeiro de Almeida</t>
  </si>
  <si>
    <t>https://dadosabertos.camara.leg.br/api/v2/deputados/3966</t>
  </si>
  <si>
    <t>ROSA E SILVA</t>
  </si>
  <si>
    <t>Francisco de Assis Rosa e Silva</t>
  </si>
  <si>
    <t>1856-10-04</t>
  </si>
  <si>
    <t>https://dadosabertos.camara.leg.br/api/v2/deputados/1626</t>
  </si>
  <si>
    <t>SANTOS PEREIRA</t>
  </si>
  <si>
    <t>Francisco dos Santos Pereira</t>
  </si>
  <si>
    <t>1844-08-16</t>
  </si>
  <si>
    <t>https://dadosabertos.camara.leg.br/api/v2/deputados/1916</t>
  </si>
  <si>
    <t>SEBASTIÃO DE LACERDA</t>
  </si>
  <si>
    <t>Sebastião Eurico Gonçalves de Lacerda</t>
  </si>
  <si>
    <t>1864-05-18</t>
  </si>
  <si>
    <t>https://dadosabertos.camara.leg.br/api/v2/deputados/1818</t>
  </si>
  <si>
    <t>SEBASTIÃO LANDULFO</t>
  </si>
  <si>
    <t>Sebastião Landulpho da Rocha Medrado</t>
  </si>
  <si>
    <t>1865-09-15</t>
  </si>
  <si>
    <t>Mucugê</t>
  </si>
  <si>
    <t>https://dadosabertos.camara.leg.br/api/v2/deputados/3140</t>
  </si>
  <si>
    <t>SIMÃO DA CUNHA PEREIRA</t>
  </si>
  <si>
    <t>1859-05-24</t>
  </si>
  <si>
    <t>https://dadosabertos.camara.leg.br/api/v2/deputados/1737</t>
  </si>
  <si>
    <t>TOLENTINO DE CARVALHO</t>
  </si>
  <si>
    <t>José Nicoláu Tolentino de Carvalho</t>
  </si>
  <si>
    <t>https://dadosabertos.camara.leg.br/api/v2/deputados/1568</t>
  </si>
  <si>
    <t>VALADARES</t>
  </si>
  <si>
    <t>Benedicto Cordeiro de Campos Valadares</t>
  </si>
  <si>
    <t>1850-06-08</t>
  </si>
  <si>
    <t>https://dadosabertos.camara.leg.br/api/v2/deputados/1937</t>
  </si>
  <si>
    <t>VIEIRA DE MORAIS</t>
  </si>
  <si>
    <t>Manoel Jacintho Vieira de Moraes</t>
  </si>
  <si>
    <t>1852-09-12</t>
  </si>
  <si>
    <t>https://dadosabertos.camara.leg.br/api/v2/deputados/1565</t>
  </si>
  <si>
    <t>ZAMA</t>
  </si>
  <si>
    <t>Aristides Cesar Spinola Zama</t>
  </si>
  <si>
    <t>1837-11-19</t>
  </si>
  <si>
    <t>https://dadosabertos.camara.leg.br/api/v2/deputados/1744</t>
  </si>
  <si>
    <t>ABREU</t>
  </si>
  <si>
    <t>Joaquim Francisco de Abreu</t>
  </si>
  <si>
    <t>1836-03-13</t>
  </si>
  <si>
    <t>1895-07-14</t>
  </si>
  <si>
    <t>https://dadosabertos.camara.leg.br/api/v2/deputados/1759</t>
  </si>
  <si>
    <t>ALBERTO BRANDÃO</t>
  </si>
  <si>
    <t>Alberto Olimpio Brandão</t>
  </si>
  <si>
    <t>1897-05-09</t>
  </si>
  <si>
    <t>https://dadosabertos.camara.leg.br/api/v2/deputados/4002</t>
  </si>
  <si>
    <t>Alcides de Mendonça Lima</t>
  </si>
  <si>
    <t>https://dadosabertos.camara.leg.br/api/v2/deputados/1665</t>
  </si>
  <si>
    <t>ALEXANDRE STOCKLER</t>
  </si>
  <si>
    <t>Alexandre Stockler Pinto de Menezes</t>
  </si>
  <si>
    <t>1863-09-04</t>
  </si>
  <si>
    <t>Cambuquira</t>
  </si>
  <si>
    <t>https://dadosabertos.camara.leg.br/api/v2/deputados/130126</t>
  </si>
  <si>
    <t>ALFREDO BARBOSA</t>
  </si>
  <si>
    <t>Alfredo José Barbosa</t>
  </si>
  <si>
    <t>https://dadosabertos.camara.leg.br/api/v2/deputados/1762</t>
  </si>
  <si>
    <t>ALMEIDA PEREIRA</t>
  </si>
  <si>
    <t>Bento Carneiro de Almeida Pereira</t>
  </si>
  <si>
    <t>https://dadosabertos.camara.leg.br/api/v2/deputados/130127</t>
  </si>
  <si>
    <t>Almino Alvares Affonso</t>
  </si>
  <si>
    <t>1840-04-17</t>
  </si>
  <si>
    <t>1899-02-13</t>
  </si>
  <si>
    <t>https://dadosabertos.camara.leg.br/api/v2/deputados/1666</t>
  </si>
  <si>
    <t>AMÉRICO LUZ</t>
  </si>
  <si>
    <t>Américo Gomes Ribeiro da Luz</t>
  </si>
  <si>
    <t>1854-07-02</t>
  </si>
  <si>
    <t>https://dadosabertos.camara.leg.br/api/v2/deputados/4009</t>
  </si>
  <si>
    <t>AMORIM GARCIA</t>
  </si>
  <si>
    <t>Antonio de Amorim Garcia</t>
  </si>
  <si>
    <t>1850-09-02</t>
  </si>
  <si>
    <t>https://dadosabertos.camara.leg.br/api/v2/deputados/1724</t>
  </si>
  <si>
    <t>ANDRÉ CAVALCANTI</t>
  </si>
  <si>
    <t>André Cavalcanti de Albuquerque</t>
  </si>
  <si>
    <t>1834-02-18</t>
  </si>
  <si>
    <t>https://dadosabertos.camara.leg.br/api/v2/deputados/130128</t>
  </si>
  <si>
    <t>ANFRISIO FIALHO</t>
  </si>
  <si>
    <t>Anfrisio Fialho</t>
  </si>
  <si>
    <t>1839-04-14</t>
  </si>
  <si>
    <t>https://dadosabertos.camara.leg.br/api/v2/deputados/1725</t>
  </si>
  <si>
    <t>ANNIBAL FALCÃO</t>
  </si>
  <si>
    <t>Annibal Falcão</t>
  </si>
  <si>
    <t>1859-11-10</t>
  </si>
  <si>
    <t>https://dadosabertos.camara.leg.br/api/v2/deputados/1746</t>
  </si>
  <si>
    <t>ANTÃO DE FARIA</t>
  </si>
  <si>
    <t>Antão Gonçalves de Faria</t>
  </si>
  <si>
    <t>1854-01-17</t>
  </si>
  <si>
    <t>https://dadosabertos.camara.leg.br/api/v2/deputados/1661</t>
  </si>
  <si>
    <t>ANTONIO AZEREDO</t>
  </si>
  <si>
    <t>Antonio Francisco de Azeredo</t>
  </si>
  <si>
    <t>1861-08-22</t>
  </si>
  <si>
    <t>https://dadosabertos.camara.leg.br/api/v2/deputados/1613</t>
  </si>
  <si>
    <t>ANTÔNIO EUZÉBIO</t>
  </si>
  <si>
    <t>Antônio Euzébio Gonçalves de Almeida</t>
  </si>
  <si>
    <t>1841-08-14</t>
  </si>
  <si>
    <t>1891-03-27</t>
  </si>
  <si>
    <t>https://dadosabertos.camara.leg.br/api/v2/deputados/995</t>
  </si>
  <si>
    <t>ANTÔNIO PRADO</t>
  </si>
  <si>
    <t>Antônio da Silva Prado</t>
  </si>
  <si>
    <t>1840-02-25</t>
  </si>
  <si>
    <t>https://dadosabertos.camara.leg.br/api/v2/deputados/4021</t>
  </si>
  <si>
    <t>ARISTIDES LOBO</t>
  </si>
  <si>
    <t>Aristides da Silveira Lobo</t>
  </si>
  <si>
    <t>1838-02-12</t>
  </si>
  <si>
    <t>1896-03-27</t>
  </si>
  <si>
    <t>https://dadosabertos.camara.leg.br/api/v2/deputados/4020</t>
  </si>
  <si>
    <t>ARISTIDES MAIA</t>
  </si>
  <si>
    <t>Aristides de Araujo Maia</t>
  </si>
  <si>
    <t>1859-12-16</t>
  </si>
  <si>
    <t>https://dadosabertos.camara.leg.br/api/v2/deputados/4022</t>
  </si>
  <si>
    <t>ASTOLPHO PIO</t>
  </si>
  <si>
    <t>Astolpho Pio da Silva Pinto</t>
  </si>
  <si>
    <t>1842-03-23</t>
  </si>
  <si>
    <t>1892-03-25</t>
  </si>
  <si>
    <t>https://dadosabertos.camara.leg.br/api/v2/deputados/130129</t>
  </si>
  <si>
    <t>AUGUSTO TASSO FRAGOSO</t>
  </si>
  <si>
    <t>1869-08-28</t>
  </si>
  <si>
    <t>https://dadosabertos.camara.leg.br/api/v2/deputados/1723</t>
  </si>
  <si>
    <t>AYRES BELLO</t>
  </si>
  <si>
    <t>Ayres de Albuquerque Bello</t>
  </si>
  <si>
    <t>https://dadosabertos.camara.leg.br/api/v2/deputados/4076</t>
  </si>
  <si>
    <t>BARÃO DE SANTA HELENA</t>
  </si>
  <si>
    <t>José Joaquim Monteiro da Silva</t>
  </si>
  <si>
    <t>1827-08-20</t>
  </si>
  <si>
    <t>https://dadosabertos.camara.leg.br/api/v2/deputados/1616</t>
  </si>
  <si>
    <t>BARÃO DE SÃO MARCOS</t>
  </si>
  <si>
    <t>Joaquim Cardoso Pereira de Mello</t>
  </si>
  <si>
    <t>1837-05-03</t>
  </si>
  <si>
    <t>https://dadosabertos.camara.leg.br/api/v2/deputados/1617</t>
  </si>
  <si>
    <t>BARÃO DE VILLA VIÇOSA</t>
  </si>
  <si>
    <t>Antônio Joaquim Pires de Carvalho e Albuquerque</t>
  </si>
  <si>
    <t>1865-02-05</t>
  </si>
  <si>
    <t>https://dadosabertos.camara.leg.br/api/v2/deputados/1726</t>
  </si>
  <si>
    <t>BELARMINO CARNEIRO</t>
  </si>
  <si>
    <t>Bellarmino Carneiro</t>
  </si>
  <si>
    <t>1847-05-23</t>
  </si>
  <si>
    <t>https://dadosabertos.camara.leg.br/api/v2/deputados/1719</t>
  </si>
  <si>
    <t>BELARMINO MENDONÇA</t>
  </si>
  <si>
    <t>Belarmino Augusto de Mendonça Lobo</t>
  </si>
  <si>
    <t>1850-09-17</t>
  </si>
  <si>
    <t>https://dadosabertos.camara.leg.br/api/v2/deputados/4085</t>
  </si>
  <si>
    <t>BELFORT VIEIRA</t>
  </si>
  <si>
    <t>Manoel Ignácio Belfort Vieira</t>
  </si>
  <si>
    <t>1854-04-30</t>
  </si>
  <si>
    <t>https://dadosabertos.camara.leg.br/api/v2/deputados/130131</t>
  </si>
  <si>
    <t>BERNARDINO DE CAMPOS</t>
  </si>
  <si>
    <t>Bernardino José de Campos Júnior</t>
  </si>
  <si>
    <t>1841-09-06</t>
  </si>
  <si>
    <t>https://dadosabertos.camara.leg.br/api/v2/deputados/130132</t>
  </si>
  <si>
    <t>BRAZILIO DOS SANTOS</t>
  </si>
  <si>
    <t>Brazilio Rodrigues dos Santos</t>
  </si>
  <si>
    <t>1854-03-06</t>
  </si>
  <si>
    <t>https://dadosabertos.camara.leg.br/api/v2/deputados/3768</t>
  </si>
  <si>
    <t>CANTÃO</t>
  </si>
  <si>
    <t>José Ferreira Cantão</t>
  </si>
  <si>
    <t>1827-08-22</t>
  </si>
  <si>
    <t>1892-05-15</t>
  </si>
  <si>
    <t>https://dadosabertos.camara.leg.br/api/v2/deputados/1776</t>
  </si>
  <si>
    <t>CARLOS CAMPOS</t>
  </si>
  <si>
    <t>Carlos Augusto de Campos</t>
  </si>
  <si>
    <t>1855-08-24</t>
  </si>
  <si>
    <t>https://dadosabertos.camara.leg.br/api/v2/deputados/4060</t>
  </si>
  <si>
    <t>CARVALHAL</t>
  </si>
  <si>
    <t>João Thomaz Carvalhal</t>
  </si>
  <si>
    <t>1836-03-07</t>
  </si>
  <si>
    <t>https://dadosabertos.camara.leg.br/api/v2/deputados/1656</t>
  </si>
  <si>
    <t>CASIMIRO JUNIOR</t>
  </si>
  <si>
    <t>Casemiro Dias Vieira Junior</t>
  </si>
  <si>
    <t>https://dadosabertos.camara.leg.br/api/v2/deputados/1764</t>
  </si>
  <si>
    <t>CIRILO DE LEMOS</t>
  </si>
  <si>
    <t>Cyrillo de Lemos Nunes Fagundes</t>
  </si>
  <si>
    <t>https://dadosabertos.camara.leg.br/api/v2/deputados/1675</t>
  </si>
  <si>
    <t>CORREIA RABELO</t>
  </si>
  <si>
    <t>Francisco Correa Ferreira Rabello</t>
  </si>
  <si>
    <t>1844-06-15</t>
  </si>
  <si>
    <t>1892-06-21</t>
  </si>
  <si>
    <t>https://dadosabertos.camara.leg.br/api/v2/deputados/1677</t>
  </si>
  <si>
    <t>COSTA SENA</t>
  </si>
  <si>
    <t>José Cândido da Costa Sena</t>
  </si>
  <si>
    <t>1847-08-23</t>
  </si>
  <si>
    <t>https://dadosabertos.camara.leg.br/api/v2/deputados/1714</t>
  </si>
  <si>
    <t>COUTO CARTAXO</t>
  </si>
  <si>
    <t>Antonio Joaquim do Couto Cartaxo</t>
  </si>
  <si>
    <t>https://dadosabertos.camara.leg.br/api/v2/deputados/1618</t>
  </si>
  <si>
    <t>CUSTÓDIO DE MELO</t>
  </si>
  <si>
    <t>Custódio José de Mello</t>
  </si>
  <si>
    <t>1840-01-09</t>
  </si>
  <si>
    <t>https://dadosabertos.camara.leg.br/api/v2/deputados/4033</t>
  </si>
  <si>
    <t>DEMETRIO RIBEIRO</t>
  </si>
  <si>
    <t>Demetrio Nunes Ribeiro</t>
  </si>
  <si>
    <t>1855-06-04</t>
  </si>
  <si>
    <t>https://dadosabertos.camara.leg.br/api/v2/deputados/1678</t>
  </si>
  <si>
    <t>DOMINGOS PORTO</t>
  </si>
  <si>
    <t>Domingos da Silva Porto</t>
  </si>
  <si>
    <t>1856-08-15</t>
  </si>
  <si>
    <t>https://dadosabertos.camara.leg.br/api/v2/deputados/4036</t>
  </si>
  <si>
    <t>DOMINGOS ROCHA</t>
  </si>
  <si>
    <t>Domingos José da Rocha</t>
  </si>
  <si>
    <t>1862-08-27</t>
  </si>
  <si>
    <t>https://dadosabertos.camara.leg.br/api/v2/deputados/1680</t>
  </si>
  <si>
    <t>DUTRA NICÁCIO</t>
  </si>
  <si>
    <t>Antônio Dutra Nicácio</t>
  </si>
  <si>
    <t>1859-03-01</t>
  </si>
  <si>
    <t>https://dadosabertos.camara.leg.br/api/v2/deputados/1720</t>
  </si>
  <si>
    <t>EDUARDO GONÇALVES</t>
  </si>
  <si>
    <t>Eduardo Mendes Gonçalves</t>
  </si>
  <si>
    <t>https://dadosabertos.camara.leg.br/api/v2/deputados/4013</t>
  </si>
  <si>
    <t>ENNES DE SOUZA</t>
  </si>
  <si>
    <t>Antonio Ennes de Souza</t>
  </si>
  <si>
    <t>1848-05-06</t>
  </si>
  <si>
    <t>https://dadosabertos.camara.leg.br/api/v2/deputados/4039</t>
  </si>
  <si>
    <t>EPITÁCIO PESSOA</t>
  </si>
  <si>
    <t>Epitácio da Silva Pessoa</t>
  </si>
  <si>
    <t>1865-05-23</t>
  </si>
  <si>
    <t>https://dadosabertos.camara.leg.br/api/v2/deputados/4040</t>
  </si>
  <si>
    <t>ERNESTO DE OLIVEIRA</t>
  </si>
  <si>
    <t>Ernesto Alves de Oliveira</t>
  </si>
  <si>
    <t>1891-08-16</t>
  </si>
  <si>
    <t>https://dadosabertos.camara.leg.br/api/v2/deputados/1727</t>
  </si>
  <si>
    <t>ESPÍRITO SANTO</t>
  </si>
  <si>
    <t>Vicente Antonio do Espírito Santo</t>
  </si>
  <si>
    <t>https://dadosabertos.camara.leg.br/api/v2/deputados/1682</t>
  </si>
  <si>
    <t>FELICIANO PENNA</t>
  </si>
  <si>
    <t>Feliciano Augusto de Oliveira Penna</t>
  </si>
  <si>
    <t>1845-12-31</t>
  </si>
  <si>
    <t>https://dadosabertos.camara.leg.br/api/v2/deputados/130123</t>
  </si>
  <si>
    <t>FERNANDO ABBOTT</t>
  </si>
  <si>
    <t>Fernando Abbott</t>
  </si>
  <si>
    <t>1857-08-12</t>
  </si>
  <si>
    <t>https://dadosabertos.camara.leg.br/api/v2/deputados/1721</t>
  </si>
  <si>
    <t>FERNANDO SIMAS</t>
  </si>
  <si>
    <t>Fernando Machado Simas</t>
  </si>
  <si>
    <t>1851-04-24</t>
  </si>
  <si>
    <t>https://dadosabertos.camara.leg.br/api/v2/deputados/1683</t>
  </si>
  <si>
    <t>FERREIRA BRANDÃO</t>
  </si>
  <si>
    <t>Francisco Honorio Ferreira Brandão</t>
  </si>
  <si>
    <t>1839-04-24</t>
  </si>
  <si>
    <t>https://dadosabertos.camara.leg.br/api/v2/deputados/1549</t>
  </si>
  <si>
    <t>FERREIRA RABELO</t>
  </si>
  <si>
    <t>José Joaquim Ferreira Rabello</t>
  </si>
  <si>
    <t>1832-05-10</t>
  </si>
  <si>
    <t>https://dadosabertos.camara.leg.br/api/v2/deputados/1637</t>
  </si>
  <si>
    <t>FIGUEIREDO</t>
  </si>
  <si>
    <t>Francisco de Figueiredo</t>
  </si>
  <si>
    <t>1843-11-13</t>
  </si>
  <si>
    <t>https://dadosabertos.camara.leg.br/api/v2/deputados/4047</t>
  </si>
  <si>
    <t>FRANCISCO AMARAL</t>
  </si>
  <si>
    <t>Francisco de Paula Amaral</t>
  </si>
  <si>
    <t>1864-06-06</t>
  </si>
  <si>
    <t>1892-11-23</t>
  </si>
  <si>
    <t>https://dadosabertos.camara.leg.br/api/v2/deputados/130134</t>
  </si>
  <si>
    <t>FRANCISCO DE MATOS</t>
  </si>
  <si>
    <t>Francisco de Matos</t>
  </si>
  <si>
    <t>1864-09-27</t>
  </si>
  <si>
    <t>https://dadosabertos.camara.leg.br/api/v2/deputados/1664</t>
  </si>
  <si>
    <t>FREDERICO SOLON</t>
  </si>
  <si>
    <t>Frederico Solon de Sampaio Ribeiro</t>
  </si>
  <si>
    <t>1840-12-28</t>
  </si>
  <si>
    <t>https://dadosabertos.camara.leg.br/api/v2/deputados/130135</t>
  </si>
  <si>
    <t>GABINO BESOURO</t>
  </si>
  <si>
    <t>Gabino Besouro</t>
  </si>
  <si>
    <t>1851-06-22</t>
  </si>
  <si>
    <t>https://dadosabertos.camara.leg.br/api/v2/deputados/1687</t>
  </si>
  <si>
    <t>GABRIEL MAGALHÃES</t>
  </si>
  <si>
    <t>Gabriel de Paula Almeida Magalhães</t>
  </si>
  <si>
    <t>1833-09-15</t>
  </si>
  <si>
    <t>https://dadosabertos.camara.leg.br/api/v2/deputados/1689</t>
  </si>
  <si>
    <t>GONÇALVES CHAVES</t>
  </si>
  <si>
    <t>Antonio Gonçalves Chaves</t>
  </si>
  <si>
    <t>1839-09-16</t>
  </si>
  <si>
    <t>https://dadosabertos.camara.leg.br/api/v2/deputados/4068</t>
  </si>
  <si>
    <t>GUIMARÃES NATAL</t>
  </si>
  <si>
    <t>Joaquim Xavier Guimarães Natal</t>
  </si>
  <si>
    <t>1860-12-25</t>
  </si>
  <si>
    <t>https://dadosabertos.camara.leg.br/api/v2/deputados/4052</t>
  </si>
  <si>
    <t>HENRIQUE DE CARVALHO</t>
  </si>
  <si>
    <t>Henrique Alves de Carvalho</t>
  </si>
  <si>
    <t>1896-03-19</t>
  </si>
  <si>
    <t>https://dadosabertos.camara.leg.br/api/v2/deputados/1647</t>
  </si>
  <si>
    <t>HORÁCIO COSTA</t>
  </si>
  <si>
    <t>José Horácio Costa</t>
  </si>
  <si>
    <t>https://dadosabertos.camara.leg.br/api/v2/deputados/1640</t>
  </si>
  <si>
    <t>JESUINO DE ALBUQUERQUE</t>
  </si>
  <si>
    <t>Domingos Jesuino de Albuquerque Junior</t>
  </si>
  <si>
    <t>1855-07-05</t>
  </si>
  <si>
    <t>https://dadosabertos.camara.leg.br/api/v2/deputados/1692</t>
  </si>
  <si>
    <t>JOÃO AVELAR</t>
  </si>
  <si>
    <t>João Antonio de Avellar</t>
  </si>
  <si>
    <t>1858-12-08</t>
  </si>
  <si>
    <t>https://dadosabertos.camara.leg.br/api/v2/deputados/4055</t>
  </si>
  <si>
    <t>JOÃO BARBALHO</t>
  </si>
  <si>
    <t>João Barbalho Uchoa Cavalcanti</t>
  </si>
  <si>
    <t>1846-06-13</t>
  </si>
  <si>
    <t>https://dadosabertos.camara.leg.br/api/v2/deputados/4058</t>
  </si>
  <si>
    <t>João Pinheiro da Silva</t>
  </si>
  <si>
    <t>1860-12-16</t>
  </si>
  <si>
    <t>https://dadosabertos.camara.leg.br/api/v2/deputados/1728</t>
  </si>
  <si>
    <t>JOAQUIM PERNAMBUCO</t>
  </si>
  <si>
    <t>Joaquim José de Almeida Pernambuco</t>
  </si>
  <si>
    <t>https://dadosabertos.camara.leg.br/api/v2/deputados/4078</t>
  </si>
  <si>
    <t>JÚLIO DE CASTILHOS</t>
  </si>
  <si>
    <t>Júlio Prates de Castilhos</t>
  </si>
  <si>
    <t>1859-06-29</t>
  </si>
  <si>
    <t>https://dadosabertos.camara.leg.br/api/v2/deputados/4071</t>
  </si>
  <si>
    <t>LACERDA COUTINHO</t>
  </si>
  <si>
    <t>José Candido de Lacerda Coutinho</t>
  </si>
  <si>
    <t>1841-12-15</t>
  </si>
  <si>
    <t>https://dadosabertos.camara.leg.br/api/v2/deputados/4079</t>
  </si>
  <si>
    <t>LAURO SODRÉ</t>
  </si>
  <si>
    <t>Lauro Nina Sodré e Silva</t>
  </si>
  <si>
    <t>1858-10-17</t>
  </si>
  <si>
    <t>https://dadosabertos.camara.leg.br/api/v2/deputados/1555</t>
  </si>
  <si>
    <t>Leandro Ribeiro de Siqueira Maciel</t>
  </si>
  <si>
    <t>1825-07-04</t>
  </si>
  <si>
    <t>https://dadosabertos.camara.leg.br/api/v2/deputados/4073</t>
  </si>
  <si>
    <t>LEOPOLDO BULHÕES</t>
  </si>
  <si>
    <t>José Leopoldo de Bulhões Jardim</t>
  </si>
  <si>
    <t>1856-09-28</t>
  </si>
  <si>
    <t>https://dadosabertos.camara.leg.br/api/v2/deputados/1634</t>
  </si>
  <si>
    <t>LIBERATO BARROSO</t>
  </si>
  <si>
    <t>Benjamim Liberato Barroso</t>
  </si>
  <si>
    <t>1859-03-31</t>
  </si>
  <si>
    <t>https://dadosabertos.camara.leg.br/api/v2/deputados/1558</t>
  </si>
  <si>
    <t>LOPES CHAVES</t>
  </si>
  <si>
    <t>Joaquim Lopes Chaves</t>
  </si>
  <si>
    <t>1833-01-15</t>
  </si>
  <si>
    <t>https://dadosabertos.camara.leg.br/api/v2/deputados/1770</t>
  </si>
  <si>
    <t>Dionisio Manhães Barreto</t>
  </si>
  <si>
    <t>1842-03-21</t>
  </si>
  <si>
    <t>https://dadosabertos.camara.leg.br/api/v2/deputados/1722</t>
  </si>
  <si>
    <t>MARCIANO DE MAGALHÃES</t>
  </si>
  <si>
    <t>Marciano Augusto Botelho de Magalhães</t>
  </si>
  <si>
    <t>https://dadosabertos.camara.leg.br/api/v2/deputados/4091</t>
  </si>
  <si>
    <t>MARTINHO PRADO JUNIOR</t>
  </si>
  <si>
    <t>Martinho da Silva Prado Junior</t>
  </si>
  <si>
    <t>1843-11-17</t>
  </si>
  <si>
    <t>https://dadosabertos.camara.leg.br/api/v2/deputados/1635</t>
  </si>
  <si>
    <t>MARTINHO RODRIGUES</t>
  </si>
  <si>
    <t>Martinho Rodrigues de Souza</t>
  </si>
  <si>
    <t>https://dadosabertos.camara.leg.br/api/v2/deputados/1623</t>
  </si>
  <si>
    <t>MEDRADO</t>
  </si>
  <si>
    <t>https://dadosabertos.camara.leg.br/api/v2/deputados/1754</t>
  </si>
  <si>
    <t>MENA BARRETO</t>
  </si>
  <si>
    <t>Antonio Adolpho da Fontoura Menna Barreto</t>
  </si>
  <si>
    <t>1846-02-21</t>
  </si>
  <si>
    <t>https://dadosabertos.camara.leg.br/api/v2/deputados/1585</t>
  </si>
  <si>
    <t>MIGUEL CASTRO</t>
  </si>
  <si>
    <t>Miguel Joaquim de Almeida Castro</t>
  </si>
  <si>
    <t>1834-12-04</t>
  </si>
  <si>
    <t>https://dadosabertos.camara.leg.br/api/v2/deputados/1795</t>
  </si>
  <si>
    <t>MURSA</t>
  </si>
  <si>
    <t>Joaquim de Souza Mursa</t>
  </si>
  <si>
    <t>1893-10-21</t>
  </si>
  <si>
    <t>https://dadosabertos.camara.leg.br/api/v2/deputados/4084</t>
  </si>
  <si>
    <t>NASCIMENTO</t>
  </si>
  <si>
    <t>Manoel Coelho Bastos do Nascimento</t>
  </si>
  <si>
    <t>https://dadosabertos.camara.leg.br/api/v2/deputados/1709</t>
  </si>
  <si>
    <t>Raymundo Nina Ribeiro</t>
  </si>
  <si>
    <t>1894-04-05</t>
  </si>
  <si>
    <t>https://dadosabertos.camara.leg.br/api/v2/deputados/1652</t>
  </si>
  <si>
    <t>NOVAES MELLO</t>
  </si>
  <si>
    <t>Manoel Leite de Novaes Mello</t>
  </si>
  <si>
    <t>https://dadosabertos.camara.leg.br/api/v2/deputados/4049</t>
  </si>
  <si>
    <t>OITICICA</t>
  </si>
  <si>
    <t>Francisco de Paula Leite e Oiticica</t>
  </si>
  <si>
    <t>1853-04-02</t>
  </si>
  <si>
    <t>https://dadosabertos.camara.leg.br/api/v2/deputados/4023</t>
  </si>
  <si>
    <t>OLIVEIRA PINTO</t>
  </si>
  <si>
    <t>Augusto de Oliveira Pinto</t>
  </si>
  <si>
    <t>https://dadosabertos.camara.leg.br/api/v2/deputados/1598</t>
  </si>
  <si>
    <t>PACÍFICO MASCARENHAS</t>
  </si>
  <si>
    <t>Pacífico Gonçalves da Silva Mascarenhas</t>
  </si>
  <si>
    <t>1843-01-07</t>
  </si>
  <si>
    <t>https://dadosabertos.camara.leg.br/api/v2/deputados/4030</t>
  </si>
  <si>
    <t>PALLETA</t>
  </si>
  <si>
    <t>Constantino Luiz Palleta</t>
  </si>
  <si>
    <t>1863-10-14</t>
  </si>
  <si>
    <t>https://dadosabertos.camara.leg.br/api/v2/deputados/1624</t>
  </si>
  <si>
    <t>PAULA ARGOLO</t>
  </si>
  <si>
    <t>Francisco de Paula Argolo</t>
  </si>
  <si>
    <t>1847-01-28</t>
  </si>
  <si>
    <t>https://dadosabertos.camara.leg.br/api/v2/deputados/1716</t>
  </si>
  <si>
    <t>PEDRO AMÉRICO</t>
  </si>
  <si>
    <t>Pedro Américo de Figueiredo e Mello</t>
  </si>
  <si>
    <t>1843-04-23</t>
  </si>
  <si>
    <t>https://dadosabertos.camara.leg.br/api/v2/deputados/4043</t>
  </si>
  <si>
    <t>PIRES FERREIRA</t>
  </si>
  <si>
    <t>Firmino Pires Ferreira</t>
  </si>
  <si>
    <t>1848-09-25</t>
  </si>
  <si>
    <t>https://dadosabertos.camara.leg.br/api/v2/deputados/1605</t>
  </si>
  <si>
    <t>PONTES DE MIRANDA</t>
  </si>
  <si>
    <t>Joaquim Pontes de Miranda</t>
  </si>
  <si>
    <t>https://dadosabertos.camara.leg.br/api/v2/deputados/1564</t>
  </si>
  <si>
    <t>PRISCO PARAIZO</t>
  </si>
  <si>
    <t>Francisco Prisco de Souza Paraizo</t>
  </si>
  <si>
    <t>1840-01-18</t>
  </si>
  <si>
    <t>1895-11-08</t>
  </si>
  <si>
    <t>https://dadosabertos.camara.leg.br/api/v2/deputados/1736</t>
  </si>
  <si>
    <t>RAYMUNDO BANDEIRA</t>
  </si>
  <si>
    <t>Raymundo Carneiro de Souza Bandeira</t>
  </si>
  <si>
    <t>1855-09-24</t>
  </si>
  <si>
    <t>https://dadosabertos.camara.leg.br/api/v2/deputados/1717</t>
  </si>
  <si>
    <t>RETUMBA</t>
  </si>
  <si>
    <t>João da Silva Retumba</t>
  </si>
  <si>
    <t>1857-11-01</t>
  </si>
  <si>
    <t>1899-07-13</t>
  </si>
  <si>
    <t>https://dadosabertos.camara.leg.br/api/v2/deputados/4010</t>
  </si>
  <si>
    <t>RIBEIRO ARANTES</t>
  </si>
  <si>
    <t>Antonio Belfort Ribeiro Arantes</t>
  </si>
  <si>
    <t>https://dadosabertos.camara.leg.br/api/v2/deputados/1756</t>
  </si>
  <si>
    <t>ROCHA OSORIO</t>
  </si>
  <si>
    <t>Manoel Luiz da Rocha Osorio</t>
  </si>
  <si>
    <t>1893-03-27</t>
  </si>
  <si>
    <t>https://dadosabertos.camara.leg.br/api/v2/deputados/1606</t>
  </si>
  <si>
    <t>RODRIGO DE ARAÚJO</t>
  </si>
  <si>
    <t>Rodrigo Correa de Araújo</t>
  </si>
  <si>
    <t>https://dadosabertos.camara.leg.br/api/v2/deputados/1591</t>
  </si>
  <si>
    <t>Francisco de Paula Rodrigues Alves</t>
  </si>
  <si>
    <t>1848-07-07</t>
  </si>
  <si>
    <t>https://dadosabertos.camara.leg.br/api/v2/deputados/1798</t>
  </si>
  <si>
    <t>RUBIÃO JUNIOR</t>
  </si>
  <si>
    <t>JOÃO ÁLVARES RUBIÃO JUNIOR</t>
  </si>
  <si>
    <t>1851-06-14</t>
  </si>
  <si>
    <t>https://dadosabertos.camara.leg.br/api/v2/deputados/1718</t>
  </si>
  <si>
    <t>SÁ ANDRADE</t>
  </si>
  <si>
    <t>João Batista de Sá Andrade</t>
  </si>
  <si>
    <t>https://dadosabertos.camara.leg.br/api/v2/deputados/1779</t>
  </si>
  <si>
    <t>SCHMIDT</t>
  </si>
  <si>
    <t>Felippe Schmidt</t>
  </si>
  <si>
    <t>1859-05-04</t>
  </si>
  <si>
    <t>https://dadosabertos.camara.leg.br/api/v2/deputados/4099</t>
  </si>
  <si>
    <t>SEVERINO VIEIRA</t>
  </si>
  <si>
    <t>Severino dos Santos Vieira</t>
  </si>
  <si>
    <t>1849-06-08</t>
  </si>
  <si>
    <t>https://dadosabertos.camara.leg.br/api/v2/deputados/1757</t>
  </si>
  <si>
    <t>THOMAZ FLORES</t>
  </si>
  <si>
    <t>Thomaz Thompson Flores</t>
  </si>
  <si>
    <t>1852-01-10</t>
  </si>
  <si>
    <t>1897-06-22</t>
  </si>
  <si>
    <t>https://dadosabertos.camara.leg.br/api/v2/deputados/1611</t>
  </si>
  <si>
    <t>UCHOA RODRIGUES</t>
  </si>
  <si>
    <t>Manoel Uchoa Rodrigues</t>
  </si>
  <si>
    <t>https://dadosabertos.camara.leg.br/api/v2/deputados/1799</t>
  </si>
  <si>
    <t>VIEIRA BUENO</t>
  </si>
  <si>
    <t>Manoel de Assis Vieira Bueno</t>
  </si>
  <si>
    <t>1848-11-02</t>
  </si>
  <si>
    <t>https://dadosabertos.camara.leg.br/api/v2/deputados/4069</t>
  </si>
  <si>
    <t>VINHAES</t>
  </si>
  <si>
    <t>José Augusto Vinhaes</t>
  </si>
  <si>
    <t>1858-01-07</t>
  </si>
  <si>
    <t>https://dadosabertos.camara.leg.br/api/v2/deputados/1703</t>
  </si>
  <si>
    <t>VIOTTI</t>
  </si>
  <si>
    <t>Policarpo Rodrigues Viotti</t>
  </si>
  <si>
    <t>1843-06-21</t>
  </si>
  <si>
    <t>https://dadosabertos.camara.leg.br/api/v2/deputados/1775</t>
  </si>
  <si>
    <t>VIRGILIO PESSÔA</t>
  </si>
  <si>
    <t>Virgílio de Andrade Pessôa</t>
  </si>
  <si>
    <t>https://dadosabertos.camara.leg.br/api/v2/deputados/1774</t>
  </si>
  <si>
    <t>VIRIATO DE MEDEIROS</t>
  </si>
  <si>
    <t>José Gonçalves Viriato de Medeiros</t>
  </si>
  <si>
    <t>https://dadosabertos.camara.leg.br/api/v2/deputados/1191</t>
  </si>
  <si>
    <t>ACIOLI FRANCO</t>
  </si>
  <si>
    <t>Luiz Accioli Pereira Franco</t>
  </si>
  <si>
    <t>1888-05-26</t>
  </si>
  <si>
    <t>https://dadosabertos.camara.leg.br/api/v2/deputados/1157</t>
  </si>
  <si>
    <t>AFONSO CELSO JÚNIOR</t>
  </si>
  <si>
    <t>Affonso Celso de Assis Figueiredo Júnior</t>
  </si>
  <si>
    <t>1860-03-31</t>
  </si>
  <si>
    <t>https://dadosabertos.camara.leg.br/api/v2/deputados/1085</t>
  </si>
  <si>
    <t>AFONSO PENA</t>
  </si>
  <si>
    <t>Affonso Augusto Moreira Penna</t>
  </si>
  <si>
    <t>1847-11-30</t>
  </si>
  <si>
    <t>https://dadosabertos.camara.leg.br/api/v2/deputados/1172</t>
  </si>
  <si>
    <t>ALCOFORADO JÚNIOR</t>
  </si>
  <si>
    <t>José Bernardo Galvão Alcoforado Júnior</t>
  </si>
  <si>
    <t>1840-09-02</t>
  </si>
  <si>
    <t>https://dadosabertos.camara.leg.br/api/v2/deputados/930</t>
  </si>
  <si>
    <t>Tristão de Alencar Araripe</t>
  </si>
  <si>
    <t>1821-10-07</t>
  </si>
  <si>
    <t>https://dadosabertos.camara.leg.br/api/v2/deputados/1181</t>
  </si>
  <si>
    <t>ALFREDO CHAVES</t>
  </si>
  <si>
    <t>Alfredo Rodrigues Fernandes Chaves</t>
  </si>
  <si>
    <t>1844-01-16</t>
  </si>
  <si>
    <t>https://dadosabertos.camara.leg.br/api/v2/deputados/1247</t>
  </si>
  <si>
    <t>ALFREDO CORREIA</t>
  </si>
  <si>
    <t>Alfredo Correa de Oliveira</t>
  </si>
  <si>
    <t>https://dadosabertos.camara.leg.br/api/v2/deputados/1142</t>
  </si>
  <si>
    <t>ÁLVARO CAMINHA</t>
  </si>
  <si>
    <t>Álvaro Caminha Tavares da Silva</t>
  </si>
  <si>
    <t>1840-03-25</t>
  </si>
  <si>
    <t>1897-03-18</t>
  </si>
  <si>
    <t>https://dadosabertos.camara.leg.br/api/v2/deputados/1108</t>
  </si>
  <si>
    <t>ALVES DE ARAÚJO</t>
  </si>
  <si>
    <t>Manoel Alves de Araújo</t>
  </si>
  <si>
    <t>1836-03-19</t>
  </si>
  <si>
    <t>Morretes</t>
  </si>
  <si>
    <t>https://dadosabertos.camara.leg.br/api/v2/deputados/1221</t>
  </si>
  <si>
    <t>Américo de Souza Gomes</t>
  </si>
  <si>
    <t>https://dadosabertos.camara.leg.br/api/v2/deputados/988</t>
  </si>
  <si>
    <t>ANDRADE FIGUEIRA</t>
  </si>
  <si>
    <t>Domingos de Andrade Figueira</t>
  </si>
  <si>
    <t>1834-06-24</t>
  </si>
  <si>
    <t>https://dadosabertos.camara.leg.br/api/v2/deputados/1002</t>
  </si>
  <si>
    <t>ARAÚJO GÓIS JÚNIOR</t>
  </si>
  <si>
    <t>Innocêncio Marques de Araújo Góis Júnior</t>
  </si>
  <si>
    <t>https://dadosabertos.camara.leg.br/api/v2/deputados/1137</t>
  </si>
  <si>
    <t>ARAÚJO PINHO</t>
  </si>
  <si>
    <t>João Ferreira de Araújo Pinho</t>
  </si>
  <si>
    <t>1851-06-19</t>
  </si>
  <si>
    <t>https://dadosabertos.camara.leg.br/api/v2/deputados/924</t>
  </si>
  <si>
    <t>BARÃO DA VILA DA BARRA</t>
  </si>
  <si>
    <t>Francisco Bonifácio de Abreu</t>
  </si>
  <si>
    <t>1819-11-29</t>
  </si>
  <si>
    <t>1887-07-30</t>
  </si>
  <si>
    <t>https://dadosabertos.camara.leg.br/api/v2/deputados/970</t>
  </si>
  <si>
    <t>BARÃO DE ARAÇAJI</t>
  </si>
  <si>
    <t>Francisco de Caldas Lins</t>
  </si>
  <si>
    <t>1828-11-10</t>
  </si>
  <si>
    <t>1897-11-28</t>
  </si>
  <si>
    <t>https://dadosabertos.camara.leg.br/api/v2/deputados/925</t>
  </si>
  <si>
    <t>BARÃO DE JEREMOABO</t>
  </si>
  <si>
    <t>Cicero Dantas Martins</t>
  </si>
  <si>
    <t>1838-06-28</t>
  </si>
  <si>
    <t>https://dadosabertos.camara.leg.br/api/v2/deputados/1158</t>
  </si>
  <si>
    <t>BARÃO DE LEOPOLDINA</t>
  </si>
  <si>
    <t>José de Resende Monteiro</t>
  </si>
  <si>
    <t>https://dadosabertos.camara.leg.br/api/v2/deputados/1248</t>
  </si>
  <si>
    <t>BARÃO DE LUCENA</t>
  </si>
  <si>
    <t>Henrique Pereira de Lucena</t>
  </si>
  <si>
    <t>1835-05-27</t>
  </si>
  <si>
    <t>https://dadosabertos.camara.leg.br/api/v2/deputados/1144</t>
  </si>
  <si>
    <t>BARÃO DO CANINDÉ</t>
  </si>
  <si>
    <t>Paulino Franklin do Amaral</t>
  </si>
  <si>
    <t>1842-12-24</t>
  </si>
  <si>
    <t>https://dadosabertos.camara.leg.br/api/v2/deputados/1235</t>
  </si>
  <si>
    <t>BARÃO DO DIAMANTINO</t>
  </si>
  <si>
    <t>Antonio Cerqueira Caldas</t>
  </si>
  <si>
    <t>1818-05-28</t>
  </si>
  <si>
    <t>1892-07-14</t>
  </si>
  <si>
    <t>https://dadosabertos.camara.leg.br/api/v2/deputados/1138</t>
  </si>
  <si>
    <t>BARÃO DO GUAÍ</t>
  </si>
  <si>
    <t>Joaquim Elísio Pereira Marinho</t>
  </si>
  <si>
    <t>1841-01-21</t>
  </si>
  <si>
    <t>https://dadosabertos.camara.leg.br/api/v2/deputados/1222</t>
  </si>
  <si>
    <t>BARÃO DO RIO DAS CONTAS</t>
  </si>
  <si>
    <t>Pedro Muniz Barreto de Aragão</t>
  </si>
  <si>
    <t>1827-08-17</t>
  </si>
  <si>
    <t>1894-04-20</t>
  </si>
  <si>
    <t>https://dadosabertos.camara.leg.br/api/v2/deputados/948</t>
  </si>
  <si>
    <t>BARROS COBRA</t>
  </si>
  <si>
    <t>José Ignácio de Barros Cobra</t>
  </si>
  <si>
    <t>https://dadosabertos.camara.leg.br/api/v2/deputados/989</t>
  </si>
  <si>
    <t>BELISÁRIO</t>
  </si>
  <si>
    <t>Francisco Belisário Soares de Souza</t>
  </si>
  <si>
    <t>1839-11-09</t>
  </si>
  <si>
    <t>1889-09-24</t>
  </si>
  <si>
    <t>https://dadosabertos.camara.leg.br/api/v2/deputados/1173</t>
  </si>
  <si>
    <t>BENTO RAMOS</t>
  </si>
  <si>
    <t>Bento Ceciliano dos Santos Ramos</t>
  </si>
  <si>
    <t>1889-02-13</t>
  </si>
  <si>
    <t>https://dadosabertos.camara.leg.br/api/v2/deputados/1256</t>
  </si>
  <si>
    <t>BULHÕES DE CARVALHO</t>
  </si>
  <si>
    <t>João Evangelista Sayão de Bulhões Carvalho</t>
  </si>
  <si>
    <t>https://dadosabertos.camara.leg.br/api/v2/deputados/1087</t>
  </si>
  <si>
    <t>CÂNDIDO DE OLIVEIRA</t>
  </si>
  <si>
    <t>Candido Luiz Maria de Oliveira</t>
  </si>
  <si>
    <t>1845-07-06</t>
  </si>
  <si>
    <t>https://dadosabertos.camara.leg.br/api/v2/deputados/1257</t>
  </si>
  <si>
    <t>CÂNDIDO DRUMOND</t>
  </si>
  <si>
    <t>Cândido Drumond furtado de Mendonça</t>
  </si>
  <si>
    <t>https://dadosabertos.camara.leg.br/api/v2/deputados/1016</t>
  </si>
  <si>
    <t>CARLOS PEIXOTO</t>
  </si>
  <si>
    <t>Carlos Peixoto de Mello</t>
  </si>
  <si>
    <t>https://dadosabertos.camara.leg.br/api/v2/deputados/795</t>
  </si>
  <si>
    <t>CARNEIRO DA CUNHA</t>
  </si>
  <si>
    <t>Anisio Salathiel Carneiro da Cunha</t>
  </si>
  <si>
    <t>1830-02-28</t>
  </si>
  <si>
    <t>1898-09-07</t>
  </si>
  <si>
    <t>Alhandra</t>
  </si>
  <si>
    <t>https://dadosabertos.camara.leg.br/api/v2/deputados/1210</t>
  </si>
  <si>
    <t>CASTRIOTO</t>
  </si>
  <si>
    <t>Carlos Frederico Castrioto</t>
  </si>
  <si>
    <t>1833-09-17</t>
  </si>
  <si>
    <t>1894-08-18</t>
  </si>
  <si>
    <t>https://dadosabertos.camara.leg.br/api/v2/deputados/889</t>
  </si>
  <si>
    <t>CESÁRIO ALVIM</t>
  </si>
  <si>
    <t>José Cesário de Faria Alvim</t>
  </si>
  <si>
    <t>1839-06-07</t>
  </si>
  <si>
    <t>https://dadosabertos.camara.leg.br/api/v2/deputados/1219</t>
  </si>
  <si>
    <t>CLARINDO CHAVES</t>
  </si>
  <si>
    <t>Clarindo Adolpho de Oliveira Chaves</t>
  </si>
  <si>
    <t>https://dadosabertos.camara.leg.br/api/v2/deputados/1261</t>
  </si>
  <si>
    <t>COCHRANE</t>
  </si>
  <si>
    <t>Ignácio Wallace da Gama Cochrane</t>
  </si>
  <si>
    <t>1836-10-03</t>
  </si>
  <si>
    <t>https://dadosabertos.camara.leg.br/api/v2/deputados/1038</t>
  </si>
  <si>
    <t>COELHO DE ALMEIDA</t>
  </si>
  <si>
    <t>1838-11-28</t>
  </si>
  <si>
    <t>1895-09-20</t>
  </si>
  <si>
    <t>https://dadosabertos.camara.leg.br/api/v2/deputados/1205</t>
  </si>
  <si>
    <t>COELHO DE RESENDE</t>
  </si>
  <si>
    <t>Simplício Coelho de Rezende</t>
  </si>
  <si>
    <t>1841-04-01</t>
  </si>
  <si>
    <t>https://dadosabertos.camara.leg.br/api/v2/deputados/1066</t>
  </si>
  <si>
    <t>COELHO E CAMPOS</t>
  </si>
  <si>
    <t>José Luiz Coelho e Campos</t>
  </si>
  <si>
    <t>1841-02-04</t>
  </si>
  <si>
    <t>https://dadosabertos.camara.leg.br/api/v2/deputados/982</t>
  </si>
  <si>
    <t>Antônio Coelho Rodrigues</t>
  </si>
  <si>
    <t>1846-04-04</t>
  </si>
  <si>
    <t>https://dadosabertos.camara.leg.br/api/v2/deputados/1265</t>
  </si>
  <si>
    <t>CONDE DO PINHAL</t>
  </si>
  <si>
    <t>Antonio Carlos de Arruda Botelho</t>
  </si>
  <si>
    <t>1827-08-23</t>
  </si>
  <si>
    <t>https://dadosabertos.camara.leg.br/api/v2/deputados/1203</t>
  </si>
  <si>
    <t>CORREIA DE ARAÚJO</t>
  </si>
  <si>
    <t>Antonio Francisco Corrêa de Araújo</t>
  </si>
  <si>
    <t>1886-05-14</t>
  </si>
  <si>
    <t>https://dadosabertos.camara.leg.br/api/v2/deputados/1242</t>
  </si>
  <si>
    <t>COSTA AGUIAR</t>
  </si>
  <si>
    <t>José Lourenço da Costa Aguiar</t>
  </si>
  <si>
    <t>1847-08-09</t>
  </si>
  <si>
    <t>https://dadosabertos.camara.leg.br/api/v2/deputados/1009</t>
  </si>
  <si>
    <t>COSTA PEREIRA</t>
  </si>
  <si>
    <t>José Fernandes da Costa Pereira Junior</t>
  </si>
  <si>
    <t>1833-01-20</t>
  </si>
  <si>
    <t>1889-12-10</t>
  </si>
  <si>
    <t>https://dadosabertos.camara.leg.br/api/v2/deputados/1238</t>
  </si>
  <si>
    <t>CRISTIANO DA LUZ</t>
  </si>
  <si>
    <t>Christiano Carneiro Ribeiro da Luz</t>
  </si>
  <si>
    <t>https://dadosabertos.camara.leg.br/api/v2/deputados/1168</t>
  </si>
  <si>
    <t>CRUZ</t>
  </si>
  <si>
    <t>Guilherme Francisco Cruz</t>
  </si>
  <si>
    <t>https://dadosabertos.camara.leg.br/api/v2/deputados/1039</t>
  </si>
  <si>
    <t>CUNHA LEITÃO</t>
  </si>
  <si>
    <t>Antonio Candido da Cunha Leitão</t>
  </si>
  <si>
    <t>1845-10-23</t>
  </si>
  <si>
    <t>https://dadosabertos.camara.leg.br/api/v2/deputados/1239</t>
  </si>
  <si>
    <t>CUSTÓDIO MARTINS</t>
  </si>
  <si>
    <t>Custódio José Ferreira Martins</t>
  </si>
  <si>
    <t>https://dadosabertos.camara.leg.br/api/v2/deputados/1044</t>
  </si>
  <si>
    <t>DELFINO CINTRA</t>
  </si>
  <si>
    <t>Delphino Pinheiro de Ulhôa Cintra</t>
  </si>
  <si>
    <t>1838-08-20</t>
  </si>
  <si>
    <t>https://dadosabertos.camara.leg.br/api/v2/deputados/1121</t>
  </si>
  <si>
    <t>DIANA</t>
  </si>
  <si>
    <t>José Francisco Diana</t>
  </si>
  <si>
    <t>1841-07-10</t>
  </si>
  <si>
    <t>https://dadosabertos.camara.leg.br/api/v2/deputados/943</t>
  </si>
  <si>
    <t>DIAS CARNEIRO</t>
  </si>
  <si>
    <t>Francisco Dias Carneiro</t>
  </si>
  <si>
    <t>1837-11-23</t>
  </si>
  <si>
    <t>1896-01-17</t>
  </si>
  <si>
    <t>https://dadosabertos.camara.leg.br/api/v2/deputados/1232</t>
  </si>
  <si>
    <t>DOMINGUES DA SILVA</t>
  </si>
  <si>
    <t>https://dadosabertos.camara.leg.br/api/v2/deputados/996</t>
  </si>
  <si>
    <t>DUARTE DE AZEVEDO</t>
  </si>
  <si>
    <t>Manoel Antonio Duarte de Azevedo</t>
  </si>
  <si>
    <t>1831-01-16</t>
  </si>
  <si>
    <t>https://dadosabertos.camara.leg.br/api/v2/deputados/1263</t>
  </si>
  <si>
    <t>ELIAS CHAVES</t>
  </si>
  <si>
    <t>Elias Antonio Pacheco Chaves</t>
  </si>
  <si>
    <t>1842-05-28</t>
  </si>
  <si>
    <t>https://dadosabertos.camara.leg.br/api/v2/deputados/1025</t>
  </si>
  <si>
    <t>ELIAS DE ALBUQUERQUE</t>
  </si>
  <si>
    <t>Elias Frederico de Almeida e Albuquerque</t>
  </si>
  <si>
    <t>1888-07-14</t>
  </si>
  <si>
    <t>https://dadosabertos.camara.leg.br/api/v2/deputados/1244</t>
  </si>
  <si>
    <t>ELIAS RAMOS</t>
  </si>
  <si>
    <t>Elias Eliaco Eliseu da Costa Ramos</t>
  </si>
  <si>
    <t>https://dadosabertos.camara.leg.br/api/v2/deputados/1011</t>
  </si>
  <si>
    <t>ESCRAGNOLLE TAUNAY</t>
  </si>
  <si>
    <t>ALFREDO MARIA ADRIANO D' ESCRAGNOLLE TAUNAY</t>
  </si>
  <si>
    <t>1843-02-22</t>
  </si>
  <si>
    <t>1889-01-25</t>
  </si>
  <si>
    <t>https://dadosabertos.camara.leg.br/api/v2/deputados/1236</t>
  </si>
  <si>
    <t>ESPERIDIÃO MARQUES</t>
  </si>
  <si>
    <t>Manoel Esperidião da Costa Marques</t>
  </si>
  <si>
    <t>https://dadosabertos.camara.leg.br/api/v2/deputados/1026</t>
  </si>
  <si>
    <t>EUFRÁSIO CORREIA</t>
  </si>
  <si>
    <t>Manoel Eufrasio Correia</t>
  </si>
  <si>
    <t>1839-08-16</t>
  </si>
  <si>
    <t>1888-02-04</t>
  </si>
  <si>
    <t>https://dadosabertos.camara.leg.br/api/v2/deputados/1218</t>
  </si>
  <si>
    <t>FELINTO GONZAGA</t>
  </si>
  <si>
    <t>Felinto Elysio Lemos Gonzaga</t>
  </si>
  <si>
    <t>1887-07-14</t>
  </si>
  <si>
    <t>https://dadosabertos.camara.leg.br/api/v2/deputados/1249</t>
  </si>
  <si>
    <t>FELIPE DE FIGUEIROA</t>
  </si>
  <si>
    <t>Filipe de Figueiroa Faria</t>
  </si>
  <si>
    <t>https://dadosabertos.camara.leg.br/api/v2/deputados/1223</t>
  </si>
  <si>
    <t>FERNANDES DA CUNHA FILHO</t>
  </si>
  <si>
    <t>Joaquim Jerônymo Fernandes da Cunha Filho</t>
  </si>
  <si>
    <t>https://dadosabertos.camara.leg.br/api/v2/deputados/1183</t>
  </si>
  <si>
    <t>FERNANDES DE OLIVEIRA</t>
  </si>
  <si>
    <t>Joaquim Antonio Fernandes de Oliveira</t>
  </si>
  <si>
    <t>1897-10-12</t>
  </si>
  <si>
    <t>https://dadosabertos.camara.leg.br/api/v2/deputados/1260</t>
  </si>
  <si>
    <t>FERNANDO HACKRADT</t>
  </si>
  <si>
    <t>Fernando Hackradt Júnior</t>
  </si>
  <si>
    <t>1852-11-11</t>
  </si>
  <si>
    <t>Biguaçu</t>
  </si>
  <si>
    <t>https://dadosabertos.camara.leg.br/api/v2/deputados/1602</t>
  </si>
  <si>
    <t>Antonio José Ferreira Braga</t>
  </si>
  <si>
    <t>1845-12-30</t>
  </si>
  <si>
    <t>https://dadosabertos.camara.leg.br/api/v2/deputados/992</t>
  </si>
  <si>
    <t>FERREIRA VIANA</t>
  </si>
  <si>
    <t>Antônio Ferreira Viana</t>
  </si>
  <si>
    <t>1834-05-11</t>
  </si>
  <si>
    <t>https://dadosabertos.camara.leg.br/api/v2/deputados/1224</t>
  </si>
  <si>
    <t>FREIRE DE CARVALHO</t>
  </si>
  <si>
    <t>José Eduardo Freire de Carvalho</t>
  </si>
  <si>
    <t>1828-06-06</t>
  </si>
  <si>
    <t>https://dadosabertos.camara.leg.br/api/v2/deputados/1264</t>
  </si>
  <si>
    <t>GERALDO REZENDE</t>
  </si>
  <si>
    <t>Geraldo Ribeiro de Souza Resende</t>
  </si>
  <si>
    <t>1846-04-19</t>
  </si>
  <si>
    <t>https://dadosabertos.camara.leg.br/api/v2/deputados/882</t>
  </si>
  <si>
    <t>GOMES DE CASTRO</t>
  </si>
  <si>
    <t>Augusto Olympio Gomes de Castro</t>
  </si>
  <si>
    <t>1836-11-07</t>
  </si>
  <si>
    <t>https://dadosabertos.camara.leg.br/api/v2/deputados/1174</t>
  </si>
  <si>
    <t>HENRIQUE MARQUES</t>
  </si>
  <si>
    <t>Henrique Marques de Hollanda Cavalcanti</t>
  </si>
  <si>
    <t>1854-12-21</t>
  </si>
  <si>
    <t>https://dadosabertos.camara.leg.br/api/v2/deputados/450</t>
  </si>
  <si>
    <t>HENRIQUES</t>
  </si>
  <si>
    <t>Antonio José Henriques</t>
  </si>
  <si>
    <t>1895-07-20</t>
  </si>
  <si>
    <t>https://dadosabertos.camara.leg.br/api/v2/deputados/1228</t>
  </si>
  <si>
    <t>JAGUARIBE FILHO</t>
  </si>
  <si>
    <t>Domingos José Nogueira Jaguaribe Filho</t>
  </si>
  <si>
    <t>1847-11-02</t>
  </si>
  <si>
    <t>https://dadosabertos.camara.leg.br/api/v2/deputados/1251</t>
  </si>
  <si>
    <t>JAIME ROSA</t>
  </si>
  <si>
    <t>Jayme de Albuquerque Rosa</t>
  </si>
  <si>
    <t>1891-03-21</t>
  </si>
  <si>
    <t>https://dadosabertos.camara.leg.br/api/v2/deputados/1160</t>
  </si>
  <si>
    <t>JOÃO CAETANO</t>
  </si>
  <si>
    <t>João Caetano de Oliveira e Souza</t>
  </si>
  <si>
    <t>https://dadosabertos.camara.leg.br/api/v2/deputados/1233</t>
  </si>
  <si>
    <t>João Henrique Vieira da Silva</t>
  </si>
  <si>
    <t>https://dadosabertos.camara.leg.br/api/v2/deputados/1032</t>
  </si>
  <si>
    <t>JOÃO MANUEL</t>
  </si>
  <si>
    <t>João Manoel de Carvalho</t>
  </si>
  <si>
    <t>https://dadosabertos.camara.leg.br/api/v2/deputados/1114</t>
  </si>
  <si>
    <t>JOAQUIM NABUCO</t>
  </si>
  <si>
    <t>Joaquim Aurélio Barreto Nabuco de Araújo</t>
  </si>
  <si>
    <t>1849-08-19</t>
  </si>
  <si>
    <t>https://dadosabertos.camara.leg.br/api/v2/deputados/1207</t>
  </si>
  <si>
    <t>JOAQUIM PEDRO</t>
  </si>
  <si>
    <t>Joaquim Pedro Soares</t>
  </si>
  <si>
    <t>1897-03-04</t>
  </si>
  <si>
    <t>https://dadosabertos.camara.leg.br/api/v2/deputados/1225</t>
  </si>
  <si>
    <t>José Marcelino de Souza</t>
  </si>
  <si>
    <t>1848-10-15</t>
  </si>
  <si>
    <t>https://dadosabertos.camara.leg.br/api/v2/deputados/1145</t>
  </si>
  <si>
    <t>JOSÉ POMPEU</t>
  </si>
  <si>
    <t>José Pompeu de Albuquerque Cavalcanti</t>
  </si>
  <si>
    <t>1839-04-10</t>
  </si>
  <si>
    <t>1891-07-14</t>
  </si>
  <si>
    <t>https://dadosabertos.camara.leg.br/api/v2/deputados/1184</t>
  </si>
  <si>
    <t>Manoel Peixoto de Lacerda Werneck</t>
  </si>
  <si>
    <t>1830-06-17</t>
  </si>
  <si>
    <t>1898-03-22</t>
  </si>
  <si>
    <t>Paty do Alferes</t>
  </si>
  <si>
    <t>https://dadosabertos.camara.leg.br/api/v2/deputados/1200</t>
  </si>
  <si>
    <t>José Maria Leitão da Cunha</t>
  </si>
  <si>
    <t>1851-07-05</t>
  </si>
  <si>
    <t>https://dadosabertos.camara.leg.br/api/v2/deputados/1094</t>
  </si>
  <si>
    <t>LEMOS</t>
  </si>
  <si>
    <t>Manoel Joaquim de Lemos</t>
  </si>
  <si>
    <t>https://dadosabertos.camara.leg.br/api/v2/deputados/869</t>
  </si>
  <si>
    <t>LOURENÇO DE ALBUQUERQUE</t>
  </si>
  <si>
    <t>Lourenço Bezerra Cavalcanti de Albuquerque</t>
  </si>
  <si>
    <t>1842-10-10</t>
  </si>
  <si>
    <t>https://dadosabertos.camara.leg.br/api/v2/deputados/1266</t>
  </si>
  <si>
    <t>LUÍS FREIRE</t>
  </si>
  <si>
    <t>Luiz Francisco Freire</t>
  </si>
  <si>
    <t>1894-10-14</t>
  </si>
  <si>
    <t>https://dadosabertos.camara.leg.br/api/v2/deputados/1217</t>
  </si>
  <si>
    <t>LUIS MOREIRA</t>
  </si>
  <si>
    <t>Luiz Antonio Moreira de Mendonça</t>
  </si>
  <si>
    <t>https://dadosabertos.camara.leg.br/api/v2/deputados/1169</t>
  </si>
  <si>
    <t>MAC-DOWELL</t>
  </si>
  <si>
    <t>Samuel Wallace Mac-Dowell</t>
  </si>
  <si>
    <t>1843-05-26</t>
  </si>
  <si>
    <t>https://dadosabertos.camara.leg.br/api/v2/deputados/1243</t>
  </si>
  <si>
    <t>MÂNCIO RIBEIRO</t>
  </si>
  <si>
    <t>Mâncio Caetano Ribeiro</t>
  </si>
  <si>
    <t>1844-05-17</t>
  </si>
  <si>
    <t>https://dadosabertos.camara.leg.br/api/v2/deputados/1175</t>
  </si>
  <si>
    <t>MANUEL PORTELA</t>
  </si>
  <si>
    <t>Manoel do Nascimento Machado Portella</t>
  </si>
  <si>
    <t>1833-12-25</t>
  </si>
  <si>
    <t>https://dadosabertos.camara.leg.br/api/v2/deputados/1230</t>
  </si>
  <si>
    <t>MARCONDES FIGUEIRA</t>
  </si>
  <si>
    <t>José Marcondes de Andrade Figueira</t>
  </si>
  <si>
    <t>https://dadosabertos.camara.leg.br/api/v2/deputados/1068</t>
  </si>
  <si>
    <t>MARIANO DA SILVA</t>
  </si>
  <si>
    <t>Mariano Joaquim da Silva</t>
  </si>
  <si>
    <t>1889-04-01</t>
  </si>
  <si>
    <t>https://dadosabertos.camara.leg.br/api/v2/deputados/1229</t>
  </si>
  <si>
    <t>MATOSO CÂMARA</t>
  </si>
  <si>
    <t>Joaquim Mattoso Duque-Estrada Câmara</t>
  </si>
  <si>
    <t>https://dadosabertos.camara.leg.br/api/v2/deputados/1189</t>
  </si>
  <si>
    <t>MENDONÇA SOBRINHO</t>
  </si>
  <si>
    <t>Bernardo Antonio de Mendonça Sobrinho</t>
  </si>
  <si>
    <t>1857-04-05</t>
  </si>
  <si>
    <t>https://dadosabertos.camara.leg.br/api/v2/deputados/1252</t>
  </si>
  <si>
    <t>MIRANDA RIBEIRO</t>
  </si>
  <si>
    <t>João de Miranda Ribeiro Sobrinho</t>
  </si>
  <si>
    <t>https://dadosabertos.camara.leg.br/api/v2/deputados/1161</t>
  </si>
  <si>
    <t>MONTANDON</t>
  </si>
  <si>
    <t>Eduardo Augusto Montandon</t>
  </si>
  <si>
    <t>1835-12-02</t>
  </si>
  <si>
    <t>https://dadosabertos.camara.leg.br/api/v2/deputados/1240</t>
  </si>
  <si>
    <t>MONTEIRO MANSO</t>
  </si>
  <si>
    <t>Antonio Romualdo Monteiro Manso</t>
  </si>
  <si>
    <t>https://dadosabertos.camara.leg.br/api/v2/deputados/1162</t>
  </si>
  <si>
    <t>MOURÃO</t>
  </si>
  <si>
    <t>Aureliano Martins de Carvalho Mourão</t>
  </si>
  <si>
    <t>https://dadosabertos.camara.leg.br/api/v2/deputados/1163</t>
  </si>
  <si>
    <t>OLÍMPIO VALADÃO</t>
  </si>
  <si>
    <t>Olympio Oscar de Vilhena Valadão</t>
  </si>
  <si>
    <t>https://dadosabertos.camara.leg.br/api/v2/deputados/1267</t>
  </si>
  <si>
    <t>OLIVEIRA RIBEIRO</t>
  </si>
  <si>
    <t>Pedro Antonio de Oliveira Ribeiro</t>
  </si>
  <si>
    <t>1851-09-08</t>
  </si>
  <si>
    <t>https://dadosabertos.camara.leg.br/api/v2/deputados/1258</t>
  </si>
  <si>
    <t>PAES LEME</t>
  </si>
  <si>
    <t>Pedro Dias Gordilho Paes Leme</t>
  </si>
  <si>
    <t>1839-02-19</t>
  </si>
  <si>
    <t>https://dadosabertos.camara.leg.br/api/v2/deputados/1220</t>
  </si>
  <si>
    <t>PASSOS MIRANDA</t>
  </si>
  <si>
    <t>Antonio dos Passos Miranda</t>
  </si>
  <si>
    <t>1847-03-29</t>
  </si>
  <si>
    <t>1899-12-08</t>
  </si>
  <si>
    <t>https://dadosabertos.camara.leg.br/api/v2/deputados/1202</t>
  </si>
  <si>
    <t>PAULA PRIMO</t>
  </si>
  <si>
    <t>Francisco de Paula e Silva Primo</t>
  </si>
  <si>
    <t>https://dadosabertos.camara.leg.br/api/v2/deputados/1253</t>
  </si>
  <si>
    <t>PAULINO CHAVES</t>
  </si>
  <si>
    <t>Paulino Rodrigues Fernandes Chaves</t>
  </si>
  <si>
    <t>https://dadosabertos.camara.leg.br/api/v2/deputados/1112</t>
  </si>
  <si>
    <t>PEDRO BELTRÃO</t>
  </si>
  <si>
    <t>Pedro da Cunha Beltrão</t>
  </si>
  <si>
    <t>https://dadosabertos.camara.leg.br/api/v2/deputados/1241</t>
  </si>
  <si>
    <t>PEDRO BRANDÃO</t>
  </si>
  <si>
    <t>Pedro Maria da Silva Brandão</t>
  </si>
  <si>
    <t>1889-08-03</t>
  </si>
  <si>
    <t>https://dadosabertos.camara.leg.br/api/v2/deputados/1227</t>
  </si>
  <si>
    <t>Pedro Carneiro da Silva</t>
  </si>
  <si>
    <t>1887-08-30</t>
  </si>
  <si>
    <t>https://dadosabertos.camara.leg.br/api/v2/deputados/1259</t>
  </si>
  <si>
    <t>Pedro Luiz Soares de Souza</t>
  </si>
  <si>
    <t>https://dadosabertos.camara.leg.br/api/v2/deputados/461</t>
  </si>
  <si>
    <t>João Manoel Pereira da Silva</t>
  </si>
  <si>
    <t>1817-08-30</t>
  </si>
  <si>
    <t>1898-06-16</t>
  </si>
  <si>
    <t>https://dadosabertos.camara.leg.br/api/v2/deputados/690</t>
  </si>
  <si>
    <t>PINTO LIMA</t>
  </si>
  <si>
    <t>Francisco Xavier Pinto Lima</t>
  </si>
  <si>
    <t>1832-02-20</t>
  </si>
  <si>
    <t>https://dadosabertos.camara.leg.br/api/v2/deputados/822</t>
  </si>
  <si>
    <t>RATISBONA</t>
  </si>
  <si>
    <t>Leandro Chaves de Mello Ratisbona</t>
  </si>
  <si>
    <t>1824-05-01</t>
  </si>
  <si>
    <t>https://dadosabertos.camara.leg.br/api/v2/deputados/1234</t>
  </si>
  <si>
    <t>RIBEIRO DA CUNHA</t>
  </si>
  <si>
    <t>Manoel José Ribeiro da Cunha</t>
  </si>
  <si>
    <t>1850-02-18</t>
  </si>
  <si>
    <t>https://dadosabertos.camara.leg.br/api/v2/deputados/1069</t>
  </si>
  <si>
    <t>RIBEIRO DE MENEZES</t>
  </si>
  <si>
    <t>Francisco Ildefonso Ribeiro de Menezes</t>
  </si>
  <si>
    <t>1887-07-27</t>
  </si>
  <si>
    <t>https://dadosabertos.camara.leg.br/api/v2/deputados/768</t>
  </si>
  <si>
    <t>RODRIGO SILVA</t>
  </si>
  <si>
    <t>Rodrigo Augusto da Silva</t>
  </si>
  <si>
    <t>1833-12-07</t>
  </si>
  <si>
    <t>https://dadosabertos.camara.leg.br/api/v2/deputados/823</t>
  </si>
  <si>
    <t>RODRIGUES JÚNIOR</t>
  </si>
  <si>
    <t>Antonio Joaquim Rodrigues Júnior</t>
  </si>
  <si>
    <t>1837-03-12</t>
  </si>
  <si>
    <t>https://dadosabertos.camara.leg.br/api/v2/deputados/1254</t>
  </si>
  <si>
    <t>SÉVE NAVARRO</t>
  </si>
  <si>
    <t>Antonio Caetano Seve Navarro</t>
  </si>
  <si>
    <t>1841-03-11</t>
  </si>
  <si>
    <t>1898-01-20</t>
  </si>
  <si>
    <t>https://dadosabertos.camara.leg.br/api/v2/deputados/945</t>
  </si>
  <si>
    <t>SILVA MAIA</t>
  </si>
  <si>
    <t>José da Silva Maia</t>
  </si>
  <si>
    <t>1811-02-26</t>
  </si>
  <si>
    <t>1893-04-24</t>
  </si>
  <si>
    <t>https://dadosabertos.camara.leg.br/api/v2/deputados/1255</t>
  </si>
  <si>
    <t>SILVA TAVARES</t>
  </si>
  <si>
    <t>Francisco da Silva Tavares</t>
  </si>
  <si>
    <t>1844-03-03</t>
  </si>
  <si>
    <t>https://dadosabertos.camara.leg.br/api/v2/deputados/1166</t>
  </si>
  <si>
    <t>SOARES</t>
  </si>
  <si>
    <t>Manoel José Soares</t>
  </si>
  <si>
    <t>1829-03-01</t>
  </si>
  <si>
    <t>1893-09-12</t>
  </si>
  <si>
    <t>https://dadosabertos.camara.leg.br/api/v2/deputados/1245</t>
  </si>
  <si>
    <t>SORIANO DE SOUZA</t>
  </si>
  <si>
    <t>José Soriano de Souza</t>
  </si>
  <si>
    <t>1895-08-12</t>
  </si>
  <si>
    <t>https://dadosabertos.camara.leg.br/api/v2/deputados/1033</t>
  </si>
  <si>
    <t>TARQUÍNIO DE SOUZA</t>
  </si>
  <si>
    <t>Tarquinio Braulio de Souza Amarantho</t>
  </si>
  <si>
    <t>1829-07-20</t>
  </si>
  <si>
    <t>1894-08-29</t>
  </si>
  <si>
    <t>Nísia Floresta</t>
  </si>
  <si>
    <t>https://dadosabertos.camara.leg.br/api/v2/deputados/979</t>
  </si>
  <si>
    <t>TEODORO DA SILVA</t>
  </si>
  <si>
    <t>Theodoro Machado Freire Pereira da Silva</t>
  </si>
  <si>
    <t>1832-09-25</t>
  </si>
  <si>
    <t>https://dadosabertos.camara.leg.br/api/v2/deputados/1246</t>
  </si>
  <si>
    <t>VISCONDE DE NACAR</t>
  </si>
  <si>
    <t>MAnoel Antônio Guimarães</t>
  </si>
  <si>
    <t>1813-02-15</t>
  </si>
  <si>
    <t>1893-08-16</t>
  </si>
  <si>
    <t>https://dadosabertos.camara.leg.br/api/v2/deputados/1231</t>
  </si>
  <si>
    <t>XAVIER DA SILVA</t>
  </si>
  <si>
    <t>Ignácio Xavier da Silva</t>
  </si>
  <si>
    <t>1855-09-29</t>
  </si>
  <si>
    <t>https://dadosabertos.camara.leg.br/api/v2/deputados/1136</t>
  </si>
  <si>
    <t>ADRIANO PIMENTEL</t>
  </si>
  <si>
    <t>Adriano Xavier de Oliveira Pimentel</t>
  </si>
  <si>
    <t>https://dadosabertos.camara.leg.br/api/v2/deputados/1151</t>
  </si>
  <si>
    <t>ALMEIDA OLIVEIRA</t>
  </si>
  <si>
    <t>Antonio de Almeida e Oliveira</t>
  </si>
  <si>
    <t>1887-10-27</t>
  </si>
  <si>
    <t>https://dadosabertos.camara.leg.br/api/v2/deputados/1198</t>
  </si>
  <si>
    <t>ANTONIO BEZERRA</t>
  </si>
  <si>
    <t>Antonio Bezerra da Rocha Moraes</t>
  </si>
  <si>
    <t>https://dadosabertos.camara.leg.br/api/v2/deputados/1588</t>
  </si>
  <si>
    <t>Antônio Carlos Ribeiro de Andrada</t>
  </si>
  <si>
    <t>1836-03-03</t>
  </si>
  <si>
    <t>1893-12-26</t>
  </si>
  <si>
    <t>https://dadosabertos.camara.leg.br/api/v2/deputados/1110</t>
  </si>
  <si>
    <t>ANTONIO DE SIQUEIRA</t>
  </si>
  <si>
    <t>Antonio Manoel de Siqueira Cavalcanti</t>
  </si>
  <si>
    <t>https://dadosabertos.camara.leg.br/api/v2/deputados/1143</t>
  </si>
  <si>
    <t>ANTONIO PINTO</t>
  </si>
  <si>
    <t>Antonio Pinto de Mendonça</t>
  </si>
  <si>
    <t>1839-12-03</t>
  </si>
  <si>
    <t>https://dadosabertos.camara.leg.br/api/v2/deputados/1155</t>
  </si>
  <si>
    <t>AUGUSTO FLEURY</t>
  </si>
  <si>
    <t>Augusto Cesar de Pádua Fleury</t>
  </si>
  <si>
    <t>https://dadosabertos.camara.leg.br/api/v2/deputados/560</t>
  </si>
  <si>
    <t>BARÃO DE ANADIA</t>
  </si>
  <si>
    <t>Manoel Joaquim de Mendonça Castello Branco</t>
  </si>
  <si>
    <t>1886-09-15</t>
  </si>
  <si>
    <t>https://dadosabertos.camara.leg.br/api/v2/deputados/657</t>
  </si>
  <si>
    <t>BEZERRA CAVALCANTI</t>
  </si>
  <si>
    <t>Amaro Carneiro Bezerra Cavalcanti</t>
  </si>
  <si>
    <t>1825-01-15</t>
  </si>
  <si>
    <t>1890-11-23</t>
  </si>
  <si>
    <t>https://dadosabertos.camara.leg.br/api/v2/deputados/909</t>
  </si>
  <si>
    <t>BEZERRA DE MENEZES</t>
  </si>
  <si>
    <t>Adolpho Bezerra de Menezes</t>
  </si>
  <si>
    <t>1831-08-29</t>
  </si>
  <si>
    <t>https://dadosabertos.camara.leg.br/api/v2/deputados/1120</t>
  </si>
  <si>
    <t>CAMARGO</t>
  </si>
  <si>
    <t>Antonio Eleutério Camargo</t>
  </si>
  <si>
    <t>1895-05-31</t>
  </si>
  <si>
    <t>https://dadosabertos.camara.leg.br/api/v2/deputados/1213</t>
  </si>
  <si>
    <t>CAMPOS SALES</t>
  </si>
  <si>
    <t>Manoel Ferraz de Campos salles</t>
  </si>
  <si>
    <t>1841-02-15</t>
  </si>
  <si>
    <t>https://dadosabertos.camara.leg.br/api/v2/deputados/1088</t>
  </si>
  <si>
    <t>CARLOS AFONSO</t>
  </si>
  <si>
    <t>Carlos Afonso de Assis Figueiredo</t>
  </si>
  <si>
    <t>https://dadosabertos.camara.leg.br/api/v2/deputados/1139</t>
  </si>
  <si>
    <t>CARNEIRO DA ROCHA</t>
  </si>
  <si>
    <t>Antonio Carneiro da Rocha</t>
  </si>
  <si>
    <t>1842-09-21</t>
  </si>
  <si>
    <t>https://dadosabertos.camara.leg.br/api/v2/deputados/1178</t>
  </si>
  <si>
    <t>Cândido Gil Castello Branco</t>
  </si>
  <si>
    <t>1820-01-02</t>
  </si>
  <si>
    <t>1887-04-04</t>
  </si>
  <si>
    <t>https://dadosabertos.camara.leg.br/api/v2/deputados/1194</t>
  </si>
  <si>
    <t>CHAGAS</t>
  </si>
  <si>
    <t>Antonio Justiniano das chagas</t>
  </si>
  <si>
    <t>https://dadosabertos.camara.leg.br/api/v2/deputados/18</t>
  </si>
  <si>
    <t>CRUZ GOUVEIA</t>
  </si>
  <si>
    <t>José Evaristo da Cruz Gouveia</t>
  </si>
  <si>
    <t>https://dadosabertos.camara.leg.br/api/v2/deputados/1201</t>
  </si>
  <si>
    <t>DANTAS GÓIS</t>
  </si>
  <si>
    <t>Manoel Dantas Corrêa Góes</t>
  </si>
  <si>
    <t>1827-08-27</t>
  </si>
  <si>
    <t>https://dadosabertos.camara.leg.br/api/v2/deputados/1199</t>
  </si>
  <si>
    <t>DEMÉTRIO BEZERRA</t>
  </si>
  <si>
    <t>Demétrio Bezerra da Rocha Moraes</t>
  </si>
  <si>
    <t>1850-11-27</t>
  </si>
  <si>
    <t>https://dadosabertos.camara.leg.br/api/v2/deputados/955</t>
  </si>
  <si>
    <t>DIOGO DE VASCONCELOS</t>
  </si>
  <si>
    <t>Diogo Luiz de Almeida Pereira de Vasconcellos</t>
  </si>
  <si>
    <t>https://dadosabertos.camara.leg.br/api/v2/deputados/798</t>
  </si>
  <si>
    <t>EPAMINONDAS</t>
  </si>
  <si>
    <t>Antonio Epaminondas de Mello</t>
  </si>
  <si>
    <t>1885-03-18</t>
  </si>
  <si>
    <t>https://dadosabertos.camara.leg.br/api/v2/deputados/892</t>
  </si>
  <si>
    <t>FELÍCIO DOS SANTOS</t>
  </si>
  <si>
    <t>Antônio Felício dos Santos</t>
  </si>
  <si>
    <t>1843-01-08</t>
  </si>
  <si>
    <t>https://dadosabertos.camara.leg.br/api/v2/deputados/817</t>
  </si>
  <si>
    <t>FERREIRA DE MOURA</t>
  </si>
  <si>
    <t>João Ferreira de Moura</t>
  </si>
  <si>
    <t>1830-03-27</t>
  </si>
  <si>
    <t>https://dadosabertos.camara.leg.br/api/v2/deputados/1060</t>
  </si>
  <si>
    <t>FRANKLIN DÓRIA</t>
  </si>
  <si>
    <t>Franklin Américo de Menezes Dória</t>
  </si>
  <si>
    <t>1836-07-12</t>
  </si>
  <si>
    <t>https://dadosabertos.camara.leg.br/api/v2/deputados/1204</t>
  </si>
  <si>
    <t>Gaspar Menezes Vasconcellos Drumond</t>
  </si>
  <si>
    <t>https://dadosabertos.camara.leg.br/api/v2/deputados/1073</t>
  </si>
  <si>
    <t>ILDEFONSO DE ARAÚJO</t>
  </si>
  <si>
    <t>Ildefonso José de Araújo</t>
  </si>
  <si>
    <t>https://dadosabertos.camara.leg.br/api/v2/deputados/1206</t>
  </si>
  <si>
    <t>ITAQUI</t>
  </si>
  <si>
    <t>Egydio Barbosa de Oliveira Itaqui</t>
  </si>
  <si>
    <t>1835-09-10</t>
  </si>
  <si>
    <t>https://dadosabertos.camara.leg.br/api/v2/deputados/1115</t>
  </si>
  <si>
    <t>JOAQUIM TAVARES</t>
  </si>
  <si>
    <t>Joaquim Tavares de Mello Barreto</t>
  </si>
  <si>
    <t>1840-06-24</t>
  </si>
  <si>
    <t>https://dadosabertos.camara.leg.br/api/v2/deputados/1140</t>
  </si>
  <si>
    <t>JUVÊNCIO ALVES</t>
  </si>
  <si>
    <t>Juvêncio Alves de Souza</t>
  </si>
  <si>
    <t>https://dadosabertos.camara.leg.br/api/v2/deputados/1149</t>
  </si>
  <si>
    <t>LEOPOLDO CUNHA</t>
  </si>
  <si>
    <t>Leopoldo Augusto Deocleciano de Mello Cunha</t>
  </si>
  <si>
    <t>1833-10-28</t>
  </si>
  <si>
    <t>https://dadosabertos.camara.leg.br/api/v2/deputados/1195</t>
  </si>
  <si>
    <t>MARES GUIA</t>
  </si>
  <si>
    <t>Ernesto Pio dos Mares Guia</t>
  </si>
  <si>
    <t>https://dadosabertos.camara.leg.br/api/v2/deputados/1193</t>
  </si>
  <si>
    <t>METELO</t>
  </si>
  <si>
    <t>José Maria Metello</t>
  </si>
  <si>
    <t>1853-07-10</t>
  </si>
  <si>
    <t>https://dadosabertos.camara.leg.br/api/v2/deputados/849</t>
  </si>
  <si>
    <t>José Moreira Brandão Castello Branco</t>
  </si>
  <si>
    <t>1828-09-04</t>
  </si>
  <si>
    <t>1895-06-16</t>
  </si>
  <si>
    <t>https://dadosabertos.camara.leg.br/api/v2/deputados/1131</t>
  </si>
  <si>
    <t>MOREIRA DE BARROS</t>
  </si>
  <si>
    <t>Antonio Moreira de Barros</t>
  </si>
  <si>
    <t>1896-07-04</t>
  </si>
  <si>
    <t>https://dadosabertos.camara.leg.br/api/v2/deputados/783</t>
  </si>
  <si>
    <t>PÁDUA FLEURY</t>
  </si>
  <si>
    <t>André Augusto de Pádua Fleury</t>
  </si>
  <si>
    <t>1830-04-09</t>
  </si>
  <si>
    <t>https://dadosabertos.camara.leg.br/api/v2/deputados/1214</t>
  </si>
  <si>
    <t>Prudente José de Moraes Barros</t>
  </si>
  <si>
    <t>1841-10-04</t>
  </si>
  <si>
    <t>https://dadosabertos.camara.leg.br/api/v2/deputados/1197</t>
  </si>
  <si>
    <t>RIBEIRO DA LUZ</t>
  </si>
  <si>
    <t>Joaquim Bento Ribeiro da Luz</t>
  </si>
  <si>
    <t>1855-07-18</t>
  </si>
  <si>
    <t>https://dadosabertos.camara.leg.br/api/v2/deputados/1215</t>
  </si>
  <si>
    <t>ROMERO</t>
  </si>
  <si>
    <t>Joviniano Ramos Romero</t>
  </si>
  <si>
    <t>1858-05-05</t>
  </si>
  <si>
    <t>https://dadosabertos.camara.leg.br/api/v2/deputados/1208</t>
  </si>
  <si>
    <t>SALGADO</t>
  </si>
  <si>
    <t>Joaquim Pedro Salgado</t>
  </si>
  <si>
    <t>1835-05-20</t>
  </si>
  <si>
    <t>https://dadosabertos.camara.leg.br/api/v2/deputados/1212</t>
  </si>
  <si>
    <t>SCHUTEL</t>
  </si>
  <si>
    <t>Duarte Paranhos Schutel</t>
  </si>
  <si>
    <t>1837-06-08</t>
  </si>
  <si>
    <t>https://dadosabertos.camara.leg.br/api/v2/deputados/1102</t>
  </si>
  <si>
    <t>SEGISMUNDO GONÇALVES</t>
  </si>
  <si>
    <t>Segismundo Antonio Gonçalves</t>
  </si>
  <si>
    <t>1845-09-29</t>
  </si>
  <si>
    <t>https://dadosabertos.camara.leg.br/api/v2/deputados/1185</t>
  </si>
  <si>
    <t>SILVA MAFRA</t>
  </si>
  <si>
    <t>Manoel da Silva Mafra</t>
  </si>
  <si>
    <t>1831-10-12</t>
  </si>
  <si>
    <t>https://dadosabertos.camara.leg.br/api/v2/deputados/1190</t>
  </si>
  <si>
    <t>SINIMBU JÚNIOR</t>
  </si>
  <si>
    <t>João Lins Vieira Cansansão de Sinimbu Júnior</t>
  </si>
  <si>
    <t>1853-05-20</t>
  </si>
  <si>
    <t>https://dadosabertos.camara.leg.br/api/v2/deputados/1078</t>
  </si>
  <si>
    <t>TOMAS POMPEU</t>
  </si>
  <si>
    <t>Thomaz Pompeu de Souza Brazil</t>
  </si>
  <si>
    <t>1852-06-30</t>
  </si>
  <si>
    <t>https://dadosabertos.camara.leg.br/api/v2/deputados/1117</t>
  </si>
  <si>
    <t>ULISSES VIANA</t>
  </si>
  <si>
    <t>Ulisses Machado Pereira Vianna</t>
  </si>
  <si>
    <t>1848-12-17</t>
  </si>
  <si>
    <t>https://dadosabertos.camara.leg.br/api/v2/deputados/1211</t>
  </si>
  <si>
    <t>VALDETARO</t>
  </si>
  <si>
    <t>Alfredo Camillo Valdetaro</t>
  </si>
  <si>
    <t>https://dadosabertos.camara.leg.br/api/v2/deputados/1154</t>
  </si>
  <si>
    <t>VIANA VAZ</t>
  </si>
  <si>
    <t>José Vianna Vaz</t>
  </si>
  <si>
    <t>1852-06-22</t>
  </si>
  <si>
    <t>https://dadosabertos.camara.leg.br/api/v2/deputados/847</t>
  </si>
  <si>
    <t>VISCONDE DE SOUSA CARVALHO</t>
  </si>
  <si>
    <t>Antonio Alves de Souza Carvalho</t>
  </si>
  <si>
    <t>1832-07-13</t>
  </si>
  <si>
    <t>1885-04-03</t>
  </si>
  <si>
    <t>https://dadosabertos.camara.leg.br/api/v2/deputados/738</t>
  </si>
  <si>
    <t>ABELARDO DE BRITO</t>
  </si>
  <si>
    <t>Laurindo Abelardo de Brito</t>
  </si>
  <si>
    <t>1827-09-08</t>
  </si>
  <si>
    <t>1885-04-08</t>
  </si>
  <si>
    <t>https://dadosabertos.camara.leg.br/api/v2/deputados/1147</t>
  </si>
  <si>
    <t>ACIOLI DE AZEVEDO</t>
  </si>
  <si>
    <t>Daniel Accioli de Azevedo</t>
  </si>
  <si>
    <t>1882-06-07</t>
  </si>
  <si>
    <t>https://dadosabertos.camara.leg.br/api/v2/deputados/754</t>
  </si>
  <si>
    <t>João de Almeida Pereira Filho</t>
  </si>
  <si>
    <t>1826-11-01</t>
  </si>
  <si>
    <t>1883-07-05</t>
  </si>
  <si>
    <t>https://dadosabertos.camara.leg.br/api/v2/deputados/1150</t>
  </si>
  <si>
    <t>ANTERO CÍCERO</t>
  </si>
  <si>
    <t>Antero Cícero de Assis</t>
  </si>
  <si>
    <t>1883-10-09</t>
  </si>
  <si>
    <t>https://dadosabertos.camara.leg.br/api/v2/deputados/918</t>
  </si>
  <si>
    <t>BARÃO DA ESTÂNCIA</t>
  </si>
  <si>
    <t>Antônio Dias Coelho Mello</t>
  </si>
  <si>
    <t>1822-06-13</t>
  </si>
  <si>
    <t>https://dadosabertos.camara.leg.br/api/v2/deputados/1055</t>
  </si>
  <si>
    <t>CARVALHO RESENDE</t>
  </si>
  <si>
    <t>Francisco Ignácio Carvalho Rezende</t>
  </si>
  <si>
    <t>1883-05-04</t>
  </si>
  <si>
    <t>https://dadosabertos.camara.leg.br/api/v2/deputados/1159</t>
  </si>
  <si>
    <t>CONTAGEM</t>
  </si>
  <si>
    <t>Martinho Alvares da Silva Contagem</t>
  </si>
  <si>
    <t>https://dadosabertos.camara.leg.br/api/v2/deputados/764</t>
  </si>
  <si>
    <t>Antonio da Costa Pinto e Silva</t>
  </si>
  <si>
    <t>1826-03-13</t>
  </si>
  <si>
    <t>1887-06-12</t>
  </si>
  <si>
    <t>https://dadosabertos.camara.leg.br/api/v2/deputados/991</t>
  </si>
  <si>
    <t>DUQUE-ESTRADA TEIXEIRA</t>
  </si>
  <si>
    <t>Luiz Joaquim Duque-Estrada Teixeira</t>
  </si>
  <si>
    <t>1836-06-06</t>
  </si>
  <si>
    <t>1884-09-09</t>
  </si>
  <si>
    <t>https://dadosabertos.camara.leg.br/api/v2/deputados/1182</t>
  </si>
  <si>
    <t>ELIAS MORAIS</t>
  </si>
  <si>
    <t>Elias Antonio de Moraes</t>
  </si>
  <si>
    <t>https://dadosabertos.camara.leg.br/api/v2/deputados/1067</t>
  </si>
  <si>
    <t>ESPÍNDOLA</t>
  </si>
  <si>
    <t>Thomaz do Bomfim Espíndola</t>
  </si>
  <si>
    <t>1832-09-18</t>
  </si>
  <si>
    <t>1889-03-06</t>
  </si>
  <si>
    <t>https://dadosabertos.camara.leg.br/api/v2/deputados/1179</t>
  </si>
  <si>
    <t>FELISBERTO</t>
  </si>
  <si>
    <t>Felisberto Pereira da Silva</t>
  </si>
  <si>
    <t>https://dadosabertos.camara.leg.br/api/v2/deputados/1052</t>
  </si>
  <si>
    <t>FRANCO DE SÁ</t>
  </si>
  <si>
    <t>Felippe Franco de Sá</t>
  </si>
  <si>
    <t>1838-10-11</t>
  </si>
  <si>
    <t>https://dadosabertos.camara.leg.br/api/v2/deputados/1171</t>
  </si>
  <si>
    <t>GENEROSO MARQUES</t>
  </si>
  <si>
    <t>Generoso Marques dos Santos</t>
  </si>
  <si>
    <t>1844-01-13</t>
  </si>
  <si>
    <t>https://dadosabertos.camara.leg.br/api/v2/deputados/1156</t>
  </si>
  <si>
    <t>GONÇALVES DE CARVALHO</t>
  </si>
  <si>
    <t>Antonio Gonçalves de Carvalho</t>
  </si>
  <si>
    <t>1844-08-31</t>
  </si>
  <si>
    <t>https://dadosabertos.camara.leg.br/api/v2/deputados/1180</t>
  </si>
  <si>
    <t>HENRIQUE D'ÁVILA</t>
  </si>
  <si>
    <t>Henrique Francisco D'Ávila</t>
  </si>
  <si>
    <t>1833-08-31</t>
  </si>
  <si>
    <t>https://dadosabertos.camara.leg.br/api/v2/deputados/1020</t>
  </si>
  <si>
    <t>INÁCIO MARTINS</t>
  </si>
  <si>
    <t>Ignacio Antonio de Assis Martins</t>
  </si>
  <si>
    <t>1839-11-16</t>
  </si>
  <si>
    <t>https://dadosabertos.camara.leg.br/api/v2/deputados/1119</t>
  </si>
  <si>
    <t>JOSÉ BASSON</t>
  </si>
  <si>
    <t>José Basson de Miranda Osório</t>
  </si>
  <si>
    <t>1836-11-17</t>
  </si>
  <si>
    <t>https://dadosabertos.camara.leg.br/api/v2/deputados/724</t>
  </si>
  <si>
    <t>José Rodrigues de Lima Duarte</t>
  </si>
  <si>
    <t>1896-12-03</t>
  </si>
  <si>
    <t>https://dadosabertos.camara.leg.br/api/v2/deputados/1105</t>
  </si>
  <si>
    <t>MANUEL CARLOS</t>
  </si>
  <si>
    <t>Manoel Carlos de Gouvêa</t>
  </si>
  <si>
    <t>https://dadosabertos.camara.leg.br/api/v2/deputados/1272</t>
  </si>
  <si>
    <t>Martim Francisco Ribeiro de Andrada</t>
  </si>
  <si>
    <t>1825-06-10</t>
  </si>
  <si>
    <t>1886-03-02</t>
  </si>
  <si>
    <t>MUSSIDAN</t>
  </si>
  <si>
    <t>https://dadosabertos.camara.leg.br/api/v2/deputados/4104</t>
  </si>
  <si>
    <t>Martinho Alvares da Silva Campos</t>
  </si>
  <si>
    <t>1816-11-21</t>
  </si>
  <si>
    <t>1887-03-29</t>
  </si>
  <si>
    <t>https://dadosabertos.camara.leg.br/api/v2/deputados/1146</t>
  </si>
  <si>
    <t>METON</t>
  </si>
  <si>
    <t>Meton de Franca Alencar</t>
  </si>
  <si>
    <t>1843-09-07</t>
  </si>
  <si>
    <t>1893-02-21</t>
  </si>
  <si>
    <t>https://dadosabertos.camara.leg.br/api/v2/deputados/1101</t>
  </si>
  <si>
    <t>MORAIS JARDIM</t>
  </si>
  <si>
    <t>Jeronymo Rodrigues de Moraes Jardim</t>
  </si>
  <si>
    <t>https://dadosabertos.camara.leg.br/api/v2/deputados/1186</t>
  </si>
  <si>
    <t>PAULA SOUSA</t>
  </si>
  <si>
    <t>Bento Francisco de Paula Souza</t>
  </si>
  <si>
    <t>https://dadosabertos.camara.leg.br/api/v2/deputados/1274</t>
  </si>
  <si>
    <t>Paulino José Soares de Souza</t>
  </si>
  <si>
    <t>1834-04-21</t>
  </si>
  <si>
    <t>https://dadosabertos.camara.leg.br/api/v2/deputados/1164</t>
  </si>
  <si>
    <t>PEREIRA CABRAL</t>
  </si>
  <si>
    <t>José Manoel Pereira Cabral</t>
  </si>
  <si>
    <t>1837-02-14</t>
  </si>
  <si>
    <t>https://dadosabertos.camara.leg.br/api/v2/deputados/1176</t>
  </si>
  <si>
    <t>PERETTI</t>
  </si>
  <si>
    <t>Manoel da Trindade Peretti</t>
  </si>
  <si>
    <t>https://dadosabertos.camara.leg.br/api/v2/deputados/1135</t>
  </si>
  <si>
    <t>PRADO PIMENTEL</t>
  </si>
  <si>
    <t>Graciliano Aristides do Prado Pimentel</t>
  </si>
  <si>
    <t>1840-04-20</t>
  </si>
  <si>
    <t>1899-03-10</t>
  </si>
  <si>
    <t>https://dadosabertos.camara.leg.br/api/v2/deputados/1177</t>
  </si>
  <si>
    <t>Francisco do Rego Barros de Lacerda</t>
  </si>
  <si>
    <t>1831-08-02</t>
  </si>
  <si>
    <t>1899-01-24</t>
  </si>
  <si>
    <t>https://dadosabertos.camara.leg.br/api/v2/deputados/1123</t>
  </si>
  <si>
    <t>RIBAS</t>
  </si>
  <si>
    <t>Antonio Antunes Ribas</t>
  </si>
  <si>
    <t>1843-10-08</t>
  </si>
  <si>
    <t>https://dadosabertos.camara.leg.br/api/v2/deputados/1075</t>
  </si>
  <si>
    <t>RODOLFO DANTAS</t>
  </si>
  <si>
    <t>Rodolpho Epiphanio de Souza Dantas</t>
  </si>
  <si>
    <t>1854-10-14</t>
  </si>
  <si>
    <t>https://dadosabertos.camara.leg.br/api/v2/deputados/1141</t>
  </si>
  <si>
    <t>Joaquim Rodrigues Lima</t>
  </si>
  <si>
    <t>https://dadosabertos.camara.leg.br/api/v2/deputados/1076</t>
  </si>
  <si>
    <t>RUI BARBOSA</t>
  </si>
  <si>
    <t>Ruy Barboza de Oliveira</t>
  </si>
  <si>
    <t>1849-11-05</t>
  </si>
  <si>
    <t>https://dadosabertos.camara.leg.br/api/v2/deputados/1152</t>
  </si>
  <si>
    <t>SALUSTIANO</t>
  </si>
  <si>
    <t>Salustiano Ferreira de Moraes Rego</t>
  </si>
  <si>
    <t>https://dadosabertos.camara.leg.br/api/v2/deputados/845</t>
  </si>
  <si>
    <t>SERÁFICO</t>
  </si>
  <si>
    <t>Innocêncio Seráphico de Assis Carvalho</t>
  </si>
  <si>
    <t>1884-04-07</t>
  </si>
  <si>
    <t>https://dadosabertos.camara.leg.br/api/v2/deputados/1063</t>
  </si>
  <si>
    <t>SEVERINO RIBEIRO</t>
  </si>
  <si>
    <t>Severino Ribeiro Carneiro Monteiro</t>
  </si>
  <si>
    <t>1829-11-10</t>
  </si>
  <si>
    <t>1886-03-31</t>
  </si>
  <si>
    <t>https://dadosabertos.camara.leg.br/api/v2/deputados/1165</t>
  </si>
  <si>
    <t>SILVIANO BRANDÃO</t>
  </si>
  <si>
    <t>Francisco Silviano de Almeida Brandão</t>
  </si>
  <si>
    <t>1848-09-08</t>
  </si>
  <si>
    <t>https://dadosabertos.camara.leg.br/api/v2/deputados/884</t>
  </si>
  <si>
    <t>SINVAL</t>
  </si>
  <si>
    <t>Sinval Odorico de Moura</t>
  </si>
  <si>
    <t>1828-09-03</t>
  </si>
  <si>
    <t>1885-12-09</t>
  </si>
  <si>
    <t>https://dadosabertos.camara.leg.br/api/v2/deputados/977</t>
  </si>
  <si>
    <t>SOUSA LEÃO</t>
  </si>
  <si>
    <t>Ignacio Joaquim de Souza Leão</t>
  </si>
  <si>
    <t>1826-11-25</t>
  </si>
  <si>
    <t>https://dadosabertos.camara.leg.br/api/v2/deputados/1187</t>
  </si>
  <si>
    <t>SOUSA QUEIRÓZ FILHO</t>
  </si>
  <si>
    <t>Francisco Antonio de Souza Queiróz Filho</t>
  </si>
  <si>
    <t>1834-07-02</t>
  </si>
  <si>
    <t>https://dadosabertos.camara.leg.br/api/v2/deputados/1170</t>
  </si>
  <si>
    <t>TERTULIANO HENRIQUES</t>
  </si>
  <si>
    <t>Manoel Tertuliano Thomaz Henriques</t>
  </si>
  <si>
    <t>https://dadosabertos.camara.leg.br/api/v2/deputados/1188</t>
  </si>
  <si>
    <t>ULHOA CINTRA</t>
  </si>
  <si>
    <t>Antonio Pinheiro de Ulhoa Cintra</t>
  </si>
  <si>
    <t>1895-08-14</t>
  </si>
  <si>
    <t>https://dadosabertos.camara.leg.br/api/v2/deputados/1167</t>
  </si>
  <si>
    <t>VIEIRA DE ANDRADE</t>
  </si>
  <si>
    <t>Joaquim Vieira de Andrade</t>
  </si>
  <si>
    <t>1845-02-05</t>
  </si>
  <si>
    <t>1897-02-26</t>
  </si>
  <si>
    <t>https://dadosabertos.camara.leg.br/api/v2/deputados/1226</t>
  </si>
  <si>
    <t>ABREU E SILVA</t>
  </si>
  <si>
    <t>Antonio Alvares de Abreu e Silva</t>
  </si>
  <si>
    <t>https://dadosabertos.camara.leg.br/api/v2/deputados/832</t>
  </si>
  <si>
    <t>AFONSO CELSO</t>
  </si>
  <si>
    <t>Affonso Celso de Assis Figueiredo 1º</t>
  </si>
  <si>
    <t>1837-02-21</t>
  </si>
  <si>
    <t>https://dadosabertos.camara.leg.br/api/v2/deputados/907</t>
  </si>
  <si>
    <t>ALMEIDA BARBOSA</t>
  </si>
  <si>
    <t>Antônio Francisco de Almeida Barbosa</t>
  </si>
  <si>
    <t>1880-09-25</t>
  </si>
  <si>
    <t>https://dadosabertos.camara.leg.br/api/v2/deputados/1071</t>
  </si>
  <si>
    <t>ALMEIDA COUTO</t>
  </si>
  <si>
    <t>José Luiz de Almeida Couto</t>
  </si>
  <si>
    <t>1895-10-09</t>
  </si>
  <si>
    <t>https://dadosabertos.camara.leg.br/api/v2/deputados/854</t>
  </si>
  <si>
    <t>ANDRADE PINTO</t>
  </si>
  <si>
    <t>Eduardo de Andrade Pinto</t>
  </si>
  <si>
    <t>1834-06-23</t>
  </si>
  <si>
    <t>1895-01-10</t>
  </si>
  <si>
    <t>https://dadosabertos.camara.leg.br/api/v2/deputados/1128</t>
  </si>
  <si>
    <t>Antonio Carlos Ribeiro de Andrada Machado e Silva</t>
  </si>
  <si>
    <t>1830-10-13</t>
  </si>
  <si>
    <t>https://dadosabertos.camara.leg.br/api/v2/deputados/732</t>
  </si>
  <si>
    <t>ARAGÃO E MELO</t>
  </si>
  <si>
    <t>Antonio Manoel de Aragão e Mello</t>
  </si>
  <si>
    <t>https://dadosabertos.camara.leg.br/api/v2/deputados/1086</t>
  </si>
  <si>
    <t>AURELIANO MAGALHÃES</t>
  </si>
  <si>
    <t>Aureliano Moreira de Magalhães</t>
  </si>
  <si>
    <t>https://dadosabertos.camara.leg.br/api/v2/deputados/1099</t>
  </si>
  <si>
    <t>AZAMBUJA MEIRELES</t>
  </si>
  <si>
    <t>Francisco Gomes de Azambuja Meirelles</t>
  </si>
  <si>
    <t>https://dadosabertos.camara.leg.br/api/v2/deputados/612</t>
  </si>
  <si>
    <t>BARÃO DE VILA BELA</t>
  </si>
  <si>
    <t>Domingos de Souza Leão</t>
  </si>
  <si>
    <t>1819-12-16</t>
  </si>
  <si>
    <t>1879-10-18</t>
  </si>
  <si>
    <t>Sanharó</t>
  </si>
  <si>
    <t>https://dadosabertos.camara.leg.br/api/v2/deputados/916</t>
  </si>
  <si>
    <t>BARÃO HOMEM DE MELO</t>
  </si>
  <si>
    <t>Francisco Ignacio Marcondes Homem de Mello</t>
  </si>
  <si>
    <t>1837-05-01</t>
  </si>
  <si>
    <t>https://dadosabertos.camara.leg.br/api/v2/deputados/1133</t>
  </si>
  <si>
    <t>BARROS PIMENTEL</t>
  </si>
  <si>
    <t>Sancho de Barros Pimentel</t>
  </si>
  <si>
    <t>1849-10-16</t>
  </si>
  <si>
    <t>https://dadosabertos.camara.leg.br/api/v2/deputados/908</t>
  </si>
  <si>
    <t>João Baptista Pereira</t>
  </si>
  <si>
    <t>1833-10-20</t>
  </si>
  <si>
    <t>1899-07-09</t>
  </si>
  <si>
    <t>https://dadosabertos.camara.leg.br/api/v2/deputados/880</t>
  </si>
  <si>
    <t>BELFORT DUARTE</t>
  </si>
  <si>
    <t>Francisco de Paula Belfort Duarte</t>
  </si>
  <si>
    <t>https://dadosabertos.camara.leg.br/api/v2/deputados/900</t>
  </si>
  <si>
    <t>BUARQUE DE MACEDO</t>
  </si>
  <si>
    <t>Manoel Buarque de Macedo</t>
  </si>
  <si>
    <t>1837-03-01</t>
  </si>
  <si>
    <t>1881-08-29</t>
  </si>
  <si>
    <t>https://dadosabertos.camara.leg.br/api/v2/deputados/1072</t>
  </si>
  <si>
    <t>BULCÃO</t>
  </si>
  <si>
    <t>Gonçalo Marinho de Aragão Bulcão</t>
  </si>
  <si>
    <t>1839-03-16</t>
  </si>
  <si>
    <t>1894-04-10</t>
  </si>
  <si>
    <t>https://dadosabertos.camara.leg.br/api/v2/deputados/1100</t>
  </si>
  <si>
    <t>BULHÕES</t>
  </si>
  <si>
    <t>Antonio Augusto de Bulhões</t>
  </si>
  <si>
    <t>1879-03-13</t>
  </si>
  <si>
    <t>https://dadosabertos.camara.leg.br/api/v2/deputados/1089</t>
  </si>
  <si>
    <t>Francisco Corrêa Ferreira Rabelo</t>
  </si>
  <si>
    <t>https://dadosabertos.camara.leg.br/api/v2/deputados/1070</t>
  </si>
  <si>
    <t>José da Costa Azevedo, Barão de Ladário</t>
  </si>
  <si>
    <t>1823-11-30</t>
  </si>
  <si>
    <t>https://dadosabertos.camara.leg.br/api/v2/deputados/1113</t>
  </si>
  <si>
    <t>https://dadosabertos.camara.leg.br/api/v2/deputados/1083</t>
  </si>
  <si>
    <t>COUTO MAGALHÃES</t>
  </si>
  <si>
    <t>José Vieira Couto de Magalhães</t>
  </si>
  <si>
    <t>1837-11-01</t>
  </si>
  <si>
    <t>1898-09-14</t>
  </si>
  <si>
    <t>https://dadosabertos.camara.leg.br/api/v2/deputados/684</t>
  </si>
  <si>
    <t>DANTAS</t>
  </si>
  <si>
    <t>Manoel Pinto de Souza Dantas</t>
  </si>
  <si>
    <t>https://dadosabertos.camara.leg.br/api/v2/deputados/773</t>
  </si>
  <si>
    <t>Esperidião Eloy de Barros Pimentel</t>
  </si>
  <si>
    <t>1824-12-14</t>
  </si>
  <si>
    <t>https://dadosabertos.camara.leg.br/api/v2/deputados/1081</t>
  </si>
  <si>
    <t>FÁBIO REIS</t>
  </si>
  <si>
    <t>Fábio Alexandrino de Carvalho Reis</t>
  </si>
  <si>
    <t>1815-10-13</t>
  </si>
  <si>
    <t>1890-02-26</t>
  </si>
  <si>
    <t>https://dadosabertos.camara.leg.br/api/v2/deputados/1062</t>
  </si>
  <si>
    <t>FERNANDO OSÓRIO</t>
  </si>
  <si>
    <t>Fernando Luiz Osorio</t>
  </si>
  <si>
    <t>1848-05-30</t>
  </si>
  <si>
    <t>1896-11-26</t>
  </si>
  <si>
    <t>https://dadosabertos.camara.leg.br/api/v2/deputados/1090</t>
  </si>
  <si>
    <t>FIDÉLIS BOTELHO</t>
  </si>
  <si>
    <t>Fidelis de Andrade Botelho</t>
  </si>
  <si>
    <t>1832-11-22</t>
  </si>
  <si>
    <t>Carrancas</t>
  </si>
  <si>
    <t>https://dadosabertos.camara.leg.br/api/v2/deputados/1035</t>
  </si>
  <si>
    <t>FLORÊNCIO DE ABREU</t>
  </si>
  <si>
    <t>Florencio Carlos de Abreu e Silva</t>
  </si>
  <si>
    <t>1839-10-20</t>
  </si>
  <si>
    <t>1881-12-12</t>
  </si>
  <si>
    <t>https://dadosabertos.camara.leg.br/api/v2/deputados/851</t>
  </si>
  <si>
    <t>FLORES</t>
  </si>
  <si>
    <t>Luiz da Silva Flores</t>
  </si>
  <si>
    <t>1880-07-18</t>
  </si>
  <si>
    <t>https://dadosabertos.camara.leg.br/api/v2/deputados/731</t>
  </si>
  <si>
    <t>FRANCO DE ALMEIDA</t>
  </si>
  <si>
    <t>Tito Franco de Almeida</t>
  </si>
  <si>
    <t>1829-01-04</t>
  </si>
  <si>
    <t>1899-02-17</t>
  </si>
  <si>
    <t>https://dadosabertos.camara.leg.br/api/v2/deputados/816</t>
  </si>
  <si>
    <t>FREDERICO DE ALMEIDA</t>
  </si>
  <si>
    <t>Frederico Augusto de Almeida</t>
  </si>
  <si>
    <t>https://dadosabertos.camara.leg.br/api/v2/deputados/1124</t>
  </si>
  <si>
    <t>FREDERICO REGO</t>
  </si>
  <si>
    <t>Frederico de Almeida Rego</t>
  </si>
  <si>
    <t>https://dadosabertos.camara.leg.br/api/v2/deputados/1118</t>
  </si>
  <si>
    <t>FREITAS</t>
  </si>
  <si>
    <t>José Manoel de Freitas</t>
  </si>
  <si>
    <t>1832-03-14</t>
  </si>
  <si>
    <t>1887-11-10</t>
  </si>
  <si>
    <t>Jerumenha</t>
  </si>
  <si>
    <t>https://dadosabertos.camara.leg.br/api/v2/deputados/1125</t>
  </si>
  <si>
    <t>FREITAS COUTINHO</t>
  </si>
  <si>
    <t>Julio Cesar de Freitas Coutinho</t>
  </si>
  <si>
    <t>1845-05-26</t>
  </si>
  <si>
    <t>1889-10-10</t>
  </si>
  <si>
    <t>https://dadosabertos.camara.leg.br/api/v2/deputados/1091</t>
  </si>
  <si>
    <t>GALDINO DAS NEVES</t>
  </si>
  <si>
    <t>Galdino Emiliano das Neves</t>
  </si>
  <si>
    <t>1897-09-01</t>
  </si>
  <si>
    <t>https://dadosabertos.camara.leg.br/api/v2/deputados/765</t>
  </si>
  <si>
    <t>GAVIÃO PEIXOTO</t>
  </si>
  <si>
    <t>Bernardo Avelino Gavião Peixoto</t>
  </si>
  <si>
    <t>https://dadosabertos.camara.leg.br/api/v2/deputados/1092</t>
  </si>
  <si>
    <t>HIGINO DA SILVA</t>
  </si>
  <si>
    <t>Hygino Alvares de Abreu e Silva</t>
  </si>
  <si>
    <t>1880-05-13</t>
  </si>
  <si>
    <t>https://dadosabertos.camara.leg.br/api/v2/deputados/824</t>
  </si>
  <si>
    <t>HORTA DE ARAÚJO</t>
  </si>
  <si>
    <t>José Feliciano Horta de Araújo</t>
  </si>
  <si>
    <t>https://dadosabertos.camara.leg.br/api/v2/deputados/1074</t>
  </si>
  <si>
    <t>JERÔNIMO SODRÉ</t>
  </si>
  <si>
    <t>Jeronymo Sodré Pereira</t>
  </si>
  <si>
    <t>https://dadosabertos.camara.leg.br/api/v2/deputados/1077</t>
  </si>
  <si>
    <t>JOÃO BRÍGIDO</t>
  </si>
  <si>
    <t>João Brígido dos Santos</t>
  </si>
  <si>
    <t>1829-12-01</t>
  </si>
  <si>
    <t>São João da Barra</t>
  </si>
  <si>
    <t>https://dadosabertos.camara.leg.br/api/v2/deputados/1082</t>
  </si>
  <si>
    <t>JOAQUIM SERRA</t>
  </si>
  <si>
    <t>Joaquim Maria Serra Sobrinho</t>
  </si>
  <si>
    <t>1838-07-20</t>
  </si>
  <si>
    <t>1888-10-20</t>
  </si>
  <si>
    <t>https://dadosabertos.camara.leg.br/api/v2/deputados/1977</t>
  </si>
  <si>
    <t>1827-11-08</t>
  </si>
  <si>
    <t>Bordeaux</t>
  </si>
  <si>
    <t>https://dadosabertos.camara.leg.br/api/v2/deputados/857</t>
  </si>
  <si>
    <t>JOSÉ CAETANO</t>
  </si>
  <si>
    <t>José Caetano dos Santos</t>
  </si>
  <si>
    <t>https://dadosabertos.camara.leg.br/api/v2/deputados/1093</t>
  </si>
  <si>
    <t>LAFAIETE</t>
  </si>
  <si>
    <t>Lafayette Rodrigues Pereira</t>
  </si>
  <si>
    <t>1834-03-28</t>
  </si>
  <si>
    <t>https://dadosabertos.camara.leg.br/api/v2/deputados/1552</t>
  </si>
  <si>
    <t>Pedro Leão Velloso</t>
  </si>
  <si>
    <t>Itapicuru</t>
  </si>
  <si>
    <t>https://dadosabertos.camara.leg.br/api/v2/deputados/1130</t>
  </si>
  <si>
    <t>LEÔNCIO DE CARVALHO</t>
  </si>
  <si>
    <t>Carlos Leôncio de Carvalho</t>
  </si>
  <si>
    <t>https://dadosabertos.camara.leg.br/api/v2/deputados/1080</t>
  </si>
  <si>
    <t>José Liberato Barroso</t>
  </si>
  <si>
    <t>1830-09-21</t>
  </si>
  <si>
    <t>1885-10-01</t>
  </si>
  <si>
    <t>https://dadosabertos.camara.leg.br/api/v2/deputados/744</t>
  </si>
  <si>
    <t>LUÍS FELIPE</t>
  </si>
  <si>
    <t>Luis Felipe de Souza Leão</t>
  </si>
  <si>
    <t>1832-07-20</t>
  </si>
  <si>
    <t>1898-08-30</t>
  </si>
  <si>
    <t>https://dadosabertos.camara.leg.br/api/v2/deputados/858</t>
  </si>
  <si>
    <t>Joaquim Manoel de Macedo</t>
  </si>
  <si>
    <t>1820-06-24</t>
  </si>
  <si>
    <t>1882-04-11</t>
  </si>
  <si>
    <t>https://dadosabertos.camara.leg.br/api/v2/deputados/1084</t>
  </si>
  <si>
    <t>MALHEIROS</t>
  </si>
  <si>
    <t>Joaquim Mendes Malheiros</t>
  </si>
  <si>
    <t>https://dadosabertos.camara.leg.br/api/v2/deputados/1106</t>
  </si>
  <si>
    <t>MANUEL DE MAGALHÃES</t>
  </si>
  <si>
    <t>Manoel Vicente de Magalhães</t>
  </si>
  <si>
    <t>https://dadosabertos.camara.leg.br/api/v2/deputados/1095</t>
  </si>
  <si>
    <t>MANUEL EUSTÁQUIO</t>
  </si>
  <si>
    <t>Manoel Eustaquio Martins de Andrade</t>
  </si>
  <si>
    <t>https://dadosabertos.camara.leg.br/api/v2/deputados/1107</t>
  </si>
  <si>
    <t>MANUEL PEDRO</t>
  </si>
  <si>
    <t>Manoel Pedro Cardozo Vieira</t>
  </si>
  <si>
    <t>1880-01-10</t>
  </si>
  <si>
    <t>https://dadosabertos.camara.leg.br/api/v2/deputados/899</t>
  </si>
  <si>
    <t>MEIRA DE VASCONCELOS</t>
  </si>
  <si>
    <t>João Florentino Meira de Vasconcellos</t>
  </si>
  <si>
    <t>https://dadosabertos.camara.leg.br/api/v2/deputados/1127</t>
  </si>
  <si>
    <t>MELO E ALVIM</t>
  </si>
  <si>
    <t>João de Souza Mello e Alvim</t>
  </si>
  <si>
    <t>1823-11-06</t>
  </si>
  <si>
    <t>1885-04-17</t>
  </si>
  <si>
    <t>https://dadosabertos.camara.leg.br/api/v2/deputados/1097</t>
  </si>
  <si>
    <t>Virgilio Martins de Mello Franco</t>
  </si>
  <si>
    <t>1839-08-29</t>
  </si>
  <si>
    <t>https://dadosabertos.camara.leg.br/api/v2/deputados/1134</t>
  </si>
  <si>
    <t>MONTE</t>
  </si>
  <si>
    <t>João José do Monte</t>
  </si>
  <si>
    <t>1843-06-17</t>
  </si>
  <si>
    <t>https://dadosabertos.camara.leg.br/api/v2/deputados/917</t>
  </si>
  <si>
    <t>OLEGÁRIO</t>
  </si>
  <si>
    <t>Olegário Herculano de Aquino e Castro</t>
  </si>
  <si>
    <t>1828-03-30</t>
  </si>
  <si>
    <t>https://dadosabertos.camara.leg.br/api/v2/deputados/876</t>
  </si>
  <si>
    <t>PAULA PESSOA</t>
  </si>
  <si>
    <t>Francisco de Paula Pessoa Junior</t>
  </si>
  <si>
    <t>https://dadosabertos.camara.leg.br/api/v2/deputados/861</t>
  </si>
  <si>
    <t>PEDRO LUIS</t>
  </si>
  <si>
    <t>Pedro Luiz Pereira de Souza</t>
  </si>
  <si>
    <t>1839-12-13</t>
  </si>
  <si>
    <t>1884-07-16</t>
  </si>
  <si>
    <t>https://dadosabertos.camara.leg.br/api/v2/deputados/1103</t>
  </si>
  <si>
    <t>ROSO DANIM</t>
  </si>
  <si>
    <t>José de Araújo Roso Danim</t>
  </si>
  <si>
    <t>https://dadosabertos.camara.leg.br/api/v2/deputados/527</t>
  </si>
  <si>
    <t>SALDANHA MARINHO</t>
  </si>
  <si>
    <t>Joaquim Saldanha Marinho</t>
  </si>
  <si>
    <t>1816-05-04</t>
  </si>
  <si>
    <t>1895-05-27</t>
  </si>
  <si>
    <t>https://dadosabertos.camara.leg.br/api/v2/deputados/1104</t>
  </si>
  <si>
    <t>Américo Marques Santa Rosa</t>
  </si>
  <si>
    <t>1833-01-22</t>
  </si>
  <si>
    <t>1899-09-02</t>
  </si>
  <si>
    <t>https://dadosabertos.camara.leg.br/api/v2/deputados/1109</t>
  </si>
  <si>
    <t>SÉRGIO DE CASTRO</t>
  </si>
  <si>
    <t>Sergio Francisco de Souza Castro</t>
  </si>
  <si>
    <t>1831-08-10</t>
  </si>
  <si>
    <t>Iguape</t>
  </si>
  <si>
    <t>https://dadosabertos.camara.leg.br/api/v2/deputados/863</t>
  </si>
  <si>
    <t>SILVEIRA DE SOUZA</t>
  </si>
  <si>
    <t>João Silveira de Souza</t>
  </si>
  <si>
    <t>1824-02-04</t>
  </si>
  <si>
    <t>https://dadosabertos.camara.leg.br/api/v2/deputados/1036</t>
  </si>
  <si>
    <t>SILVEIRA MARTINS</t>
  </si>
  <si>
    <t>Gaspar Silveira Martins</t>
  </si>
  <si>
    <t>1835-08-05</t>
  </si>
  <si>
    <t>Melo</t>
  </si>
  <si>
    <t>https://dadosabertos.camara.leg.br/api/v2/deputados/1116</t>
  </si>
  <si>
    <t>SOARES BRANDÃO</t>
  </si>
  <si>
    <t>Francisco de Carvalho Soares Brandão</t>
  </si>
  <si>
    <t>1839-10-31</t>
  </si>
  <si>
    <t>1899-09-01</t>
  </si>
  <si>
    <t>https://dadosabertos.camara.leg.br/api/v2/deputados/877</t>
  </si>
  <si>
    <t>SOUSA ANDRADE</t>
  </si>
  <si>
    <t>Joaquim Bento de Souza Andrade</t>
  </si>
  <si>
    <t>1835-06-19</t>
  </si>
  <si>
    <t>1893-04-26</t>
  </si>
  <si>
    <t>https://dadosabertos.camara.leg.br/api/v2/deputados/1126</t>
  </si>
  <si>
    <t>SOUSA LIMA</t>
  </si>
  <si>
    <t>José Antonio de Souza Lima</t>
  </si>
  <si>
    <t>1831-07-25</t>
  </si>
  <si>
    <t>https://dadosabertos.camara.leg.br/api/v2/deputados/819</t>
  </si>
  <si>
    <t>SOUTO</t>
  </si>
  <si>
    <t>Salustiano Ferreira Souto</t>
  </si>
  <si>
    <t>1814-03-21</t>
  </si>
  <si>
    <t>1887-09-19</t>
  </si>
  <si>
    <t>Senhor do Bonfim</t>
  </si>
  <si>
    <t>https://dadosabertos.camara.leg.br/api/v2/deputados/1132</t>
  </si>
  <si>
    <t>TAMANDARÉ</t>
  </si>
  <si>
    <t>Manoel Baptista da Cruz Tamandaré</t>
  </si>
  <si>
    <t>https://dadosabertos.camara.leg.br/api/v2/deputados/830</t>
  </si>
  <si>
    <t>TAVARES BELFORT</t>
  </si>
  <si>
    <t>José Joaquim Tavares Belfort</t>
  </si>
  <si>
    <t>1840-03-18</t>
  </si>
  <si>
    <t>1887-07-11</t>
  </si>
  <si>
    <t>https://dadosabertos.camara.leg.br/api/v2/deputados/1096</t>
  </si>
  <si>
    <t>TEODOMIRO</t>
  </si>
  <si>
    <t>Theodomiro Alves Pereira</t>
  </si>
  <si>
    <t>https://dadosabertos.camara.leg.br/api/v2/deputados/1079</t>
  </si>
  <si>
    <t>TEODORETO SOUTO</t>
  </si>
  <si>
    <t>Theodoreto Carlos de Faria Souto</t>
  </si>
  <si>
    <t>1841-11-04</t>
  </si>
  <si>
    <t>1893-08-11</t>
  </si>
  <si>
    <t>https://dadosabertos.camara.leg.br/api/v2/deputados/1098</t>
  </si>
  <si>
    <t>Theophilo Carlos Benedicto Ottoni</t>
  </si>
  <si>
    <t>1842-09-06</t>
  </si>
  <si>
    <t>1883-02-01</t>
  </si>
  <si>
    <t>https://dadosabertos.camara.leg.br/api/v2/deputados/878</t>
  </si>
  <si>
    <t>João Ernesto Viriato de Medeiros</t>
  </si>
  <si>
    <t>1823-06-23</t>
  </si>
  <si>
    <t>https://dadosabertos.camara.leg.br/api/v2/deputados/833</t>
  </si>
  <si>
    <t>VISCONDE DE PRADOS</t>
  </si>
  <si>
    <t>Camilo Maria Ferreira Armond</t>
  </si>
  <si>
    <t>1815-08-07</t>
  </si>
  <si>
    <t>1882-08-14</t>
  </si>
  <si>
    <t>https://dadosabertos.camara.leg.br/api/v2/deputados/451</t>
  </si>
  <si>
    <t>AGUIAR</t>
  </si>
  <si>
    <t>João José Ferreira de Aguiar</t>
  </si>
  <si>
    <t>1810-01-10</t>
  </si>
  <si>
    <t>1888-11-18</t>
  </si>
  <si>
    <t>https://dadosabertos.camara.leg.br/api/v2/deputados/463</t>
  </si>
  <si>
    <t>ALVES DOS SANTOS</t>
  </si>
  <si>
    <t>José Alves dos Santos</t>
  </si>
  <si>
    <t>https://dadosabertos.camara.leg.br/api/v2/deputados/1064</t>
  </si>
  <si>
    <t>ALVES MACHADO</t>
  </si>
  <si>
    <t>Bernardino Alves Machado</t>
  </si>
  <si>
    <t>https://dadosabertos.camara.leg.br/api/v2/deputados/1053</t>
  </si>
  <si>
    <t>ANTUNES</t>
  </si>
  <si>
    <t>Euzebio José Antunes</t>
  </si>
  <si>
    <t>1830-08-14</t>
  </si>
  <si>
    <t>1886-09-21</t>
  </si>
  <si>
    <t>https://dadosabertos.camara.leg.br/api/v2/deputados/625</t>
  </si>
  <si>
    <t>ARAUJO LIMA</t>
  </si>
  <si>
    <t>Raymundo Ferreira de Araújo Lima</t>
  </si>
  <si>
    <t>1818-06-23</t>
  </si>
  <si>
    <t>https://dadosabertos.camara.leg.br/api/v2/deputados/564</t>
  </si>
  <si>
    <t>AUGUSTO CHAVES</t>
  </si>
  <si>
    <t>José Augusto Chaves</t>
  </si>
  <si>
    <t>1892-02-18</t>
  </si>
  <si>
    <t>https://dadosabertos.camara.leg.br/api/v2/deputados/1003</t>
  </si>
  <si>
    <t>AZEVEDO MONTEIRO</t>
  </si>
  <si>
    <t>Francisco de Azevedo Monteiro</t>
  </si>
  <si>
    <t>https://dadosabertos.camara.leg.br/api/v2/deputados/1051</t>
  </si>
  <si>
    <t>BARÃO DE AQUIRAZ</t>
  </si>
  <si>
    <t>Gonçalo Batista Vieira</t>
  </si>
  <si>
    <t>1819-05-17</t>
  </si>
  <si>
    <t>1896-03-10</t>
  </si>
  <si>
    <t>Jucás</t>
  </si>
  <si>
    <t>https://dadosabertos.camara.leg.br/api/v2/deputados/1001</t>
  </si>
  <si>
    <t>BARÃO DE MACEIÓ</t>
  </si>
  <si>
    <t>Antonio Teixeira da Rocha</t>
  </si>
  <si>
    <t>1824-04-14</t>
  </si>
  <si>
    <t>1886-07-29</t>
  </si>
  <si>
    <t>https://dadosabertos.camara.leg.br/api/v2/deputados/1012</t>
  </si>
  <si>
    <t>BARÃO DE PENALVA</t>
  </si>
  <si>
    <t>Antonio Augusto de Barros e Vasconcellos</t>
  </si>
  <si>
    <t>1831-12-13</t>
  </si>
  <si>
    <t>https://dadosabertos.camara.leg.br/api/v2/deputados/1048</t>
  </si>
  <si>
    <t>BARÃO DE SÃO DOMINGOS</t>
  </si>
  <si>
    <t>Domingos Monteiro Peixoto</t>
  </si>
  <si>
    <t>https://dadosabertos.camara.leg.br/api/v2/deputados/919</t>
  </si>
  <si>
    <t>BERNARDO DE MENDONÇA</t>
  </si>
  <si>
    <t>Bernardo Antônio de Mendonça Castello Branco</t>
  </si>
  <si>
    <t>https://dadosabertos.camara.leg.br/api/v2/deputados/986</t>
  </si>
  <si>
    <t>BITTENCOURT</t>
  </si>
  <si>
    <t>José Bernardino da Cunha Bittencourt</t>
  </si>
  <si>
    <t>1827-01-03</t>
  </si>
  <si>
    <t>https://dadosabertos.camara.leg.br/api/v2/deputados/990</t>
  </si>
  <si>
    <t>Isidoro Borges Monteiro</t>
  </si>
  <si>
    <t>https://dadosabertos.camara.leg.br/api/v2/deputados/640</t>
  </si>
  <si>
    <t>BRETAS</t>
  </si>
  <si>
    <t>Agostinho José Ferreira Bretas</t>
  </si>
  <si>
    <t>https://dadosabertos.camara.leg.br/api/v2/deputados/950</t>
  </si>
  <si>
    <t>CAMILO FIGUEIREDO</t>
  </si>
  <si>
    <t>Camilo da Cunha Figueiredo</t>
  </si>
  <si>
    <t>https://dadosabertos.camara.leg.br/api/v2/deputados/939</t>
  </si>
  <si>
    <t>CARDOSO DE MENESES</t>
  </si>
  <si>
    <t>João Cardoso de Menezes e Souza</t>
  </si>
  <si>
    <t>1827-04-25</t>
  </si>
  <si>
    <t>https://dadosabertos.camara.leg.br/api/v2/deputados/806</t>
  </si>
  <si>
    <t>CARLOS DA LUZ</t>
  </si>
  <si>
    <t>Francisco Carlos da Luz</t>
  </si>
  <si>
    <t>1830-10-29</t>
  </si>
  <si>
    <t>https://dadosabertos.camara.leg.br/api/v2/deputados/968</t>
  </si>
  <si>
    <t>CORREIA</t>
  </si>
  <si>
    <t>Manoel Francisco Correia</t>
  </si>
  <si>
    <t>1831-11-01</t>
  </si>
  <si>
    <t>https://dadosabertos.camara.leg.br/api/v2/deputados/1058</t>
  </si>
  <si>
    <t>Joaquim Corrêa de Araújo</t>
  </si>
  <si>
    <t>1845-05-04</t>
  </si>
  <si>
    <t>https://dadosabertos.camara.leg.br/api/v2/deputados/797</t>
  </si>
  <si>
    <t>CORREIA DE OLIVEIRA</t>
  </si>
  <si>
    <t>João Alfredo Correia de Oliveira</t>
  </si>
  <si>
    <t>1835-12-12</t>
  </si>
  <si>
    <t>https://dadosabertos.camara.leg.br/api/v2/deputados/1042</t>
  </si>
  <si>
    <t>COTRIM</t>
  </si>
  <si>
    <t>Thomaz Pedro de Bittencourt Cotrim</t>
  </si>
  <si>
    <t>1826-07-06</t>
  </si>
  <si>
    <t>1879-07-05</t>
  </si>
  <si>
    <t>https://dadosabertos.camara.leg.br/api/v2/deputados/972</t>
  </si>
  <si>
    <t>CUNHA FIGUEIREDO JÚNIOR</t>
  </si>
  <si>
    <t>José Bento da Cunha Figueiredo Júnior</t>
  </si>
  <si>
    <t>1833-11-29</t>
  </si>
  <si>
    <t>1885-08-03</t>
  </si>
  <si>
    <t>https://dadosabertos.camara.leg.br/api/v2/deputados/733</t>
  </si>
  <si>
    <t>DIOGO VELHO</t>
  </si>
  <si>
    <t>Diogo Velho Cavalcanti de Albuquerque</t>
  </si>
  <si>
    <t>1829-11-09</t>
  </si>
  <si>
    <t>1899-11-13</t>
  </si>
  <si>
    <t>https://dadosabertos.camara.leg.br/api/v2/deputados/568</t>
  </si>
  <si>
    <t>Francisco Domingues da Silva</t>
  </si>
  <si>
    <t>1812-09-15</t>
  </si>
  <si>
    <t>1886-05-09</t>
  </si>
  <si>
    <t>https://dadosabertos.camara.leg.br/api/v2/deputados/1065</t>
  </si>
  <si>
    <t>ESTEVÃO REZENDE</t>
  </si>
  <si>
    <t>Estevão Ribeiro de Souza Resende</t>
  </si>
  <si>
    <t>1840-08-19</t>
  </si>
  <si>
    <t>https://dadosabertos.camara.leg.br/api/v2/deputados/698</t>
  </si>
  <si>
    <t>FERNANDES VIEIRA</t>
  </si>
  <si>
    <t>Manoel Fernandes Vieira</t>
  </si>
  <si>
    <t>1819-09-19</t>
  </si>
  <si>
    <t>https://dadosabertos.camara.leg.br/api/v2/deputados/1056</t>
  </si>
  <si>
    <t>Fernando Teixeira de Souza Magalhães</t>
  </si>
  <si>
    <t>https://dadosabertos.camara.leg.br/api/v2/deputados/810</t>
  </si>
  <si>
    <t>FIEL DE CARVALHO</t>
  </si>
  <si>
    <t>Fiel José de Carvalho e Oliveira</t>
  </si>
  <si>
    <t>1828-05-21</t>
  </si>
  <si>
    <t>1889-07-29</t>
  </si>
  <si>
    <t>https://dadosabertos.camara.leg.br/api/v2/deputados/927</t>
  </si>
  <si>
    <t>Antônio Ladisláu de Figueiredo Rocha</t>
  </si>
  <si>
    <t>https://dadosabertos.camara.leg.br/api/v2/deputados/1005</t>
  </si>
  <si>
    <t>FREITAS HENRIQUES</t>
  </si>
  <si>
    <t>João Antonio de Araujo Freitas Henriques</t>
  </si>
  <si>
    <t>1822-08-26</t>
  </si>
  <si>
    <t>https://dadosabertos.camara.leg.br/api/v2/deputados/791</t>
  </si>
  <si>
    <t>Francisco Januário da Gama Cerqueira</t>
  </si>
  <si>
    <t>1827-01-23</t>
  </si>
  <si>
    <t>1888-04-13</t>
  </si>
  <si>
    <t>https://dadosabertos.camara.leg.br/api/v2/deputados/984</t>
  </si>
  <si>
    <t>Francisco Gomes da Silva Júnior</t>
  </si>
  <si>
    <t>https://dadosabertos.camara.leg.br/api/v2/deputados/1024</t>
  </si>
  <si>
    <t>Antonio Joaquim Gomes do Amaral</t>
  </si>
  <si>
    <t>https://dadosabertos.camara.leg.br/api/v2/deputados/1027</t>
  </si>
  <si>
    <t>GUSMÃO LOBO</t>
  </si>
  <si>
    <t>Francisco Leopoldino de Gusmão Lobo</t>
  </si>
  <si>
    <t>1838-06-07</t>
  </si>
  <si>
    <t>https://dadosabertos.camara.leg.br/api/v2/deputados/1010</t>
  </si>
  <si>
    <t>HELEODORO JOSE DA SILVA</t>
  </si>
  <si>
    <t>Heleodoro José da Silva</t>
  </si>
  <si>
    <t>https://dadosabertos.camara.leg.br/api/v2/deputados/944</t>
  </si>
  <si>
    <t>HERÁCLITO GRAÇA</t>
  </si>
  <si>
    <t>Heraclyto de Alencastro Pereira da Graça</t>
  </si>
  <si>
    <t>1837-10-18</t>
  </si>
  <si>
    <t>https://dadosabertos.camara.leg.br/api/v2/deputados/1028</t>
  </si>
  <si>
    <t>HOLANDA CAVALCANTI</t>
  </si>
  <si>
    <t>Manoel Arthur de Hollanda Cavalcanti</t>
  </si>
  <si>
    <t>1840-08-10</t>
  </si>
  <si>
    <t>https://dadosabertos.camara.leg.br/api/v2/deputados/957</t>
  </si>
  <si>
    <t>JERONIMO PENIDO</t>
  </si>
  <si>
    <t>Jeronymo Maximo Nogueira Penido</t>
  </si>
  <si>
    <t>1843-07-31</t>
  </si>
  <si>
    <t>1893-02-17</t>
  </si>
  <si>
    <t>https://dadosabertos.camara.leg.br/api/v2/deputados/708</t>
  </si>
  <si>
    <t>João Mendes de Almeida 1º</t>
  </si>
  <si>
    <t>1831-05-22</t>
  </si>
  <si>
    <t>1898-10-16</t>
  </si>
  <si>
    <t>https://dadosabertos.camara.leg.br/api/v2/deputados/958</t>
  </si>
  <si>
    <t>Joaquim Pedro de Mello</t>
  </si>
  <si>
    <t>https://dadosabertos.camara.leg.br/api/v2/deputados/813</t>
  </si>
  <si>
    <t>JOSÉ ANGELO</t>
  </si>
  <si>
    <t>José Ângelo Márcio da Silva</t>
  </si>
  <si>
    <t>1889-08-08</t>
  </si>
  <si>
    <t>https://dadosabertos.camara.leg.br/api/v2/deputados/959</t>
  </si>
  <si>
    <t>JOSÉ CALMON</t>
  </si>
  <si>
    <t>José Calmon Valle da Gama</t>
  </si>
  <si>
    <t>https://dadosabertos.camara.leg.br/api/v2/deputados/1277</t>
  </si>
  <si>
    <t>JOSÉ DE ALENCAR</t>
  </si>
  <si>
    <t>José Martiniano de Alencar</t>
  </si>
  <si>
    <t>1829-05-01</t>
  </si>
  <si>
    <t>1877-12-12</t>
  </si>
  <si>
    <t>https://dadosabertos.camara.leg.br/api/v2/deputados/811</t>
  </si>
  <si>
    <t>LEANDRO BEZERRA</t>
  </si>
  <si>
    <t>Leandro Bezerra Monteiro</t>
  </si>
  <si>
    <t>1826-06-11</t>
  </si>
  <si>
    <t>https://dadosabertos.camara.leg.br/api/v2/deputados/1057</t>
  </si>
  <si>
    <t>LUCAS MATEUS</t>
  </si>
  <si>
    <t>Lucas Matheus Monteiro de Castro</t>
  </si>
  <si>
    <t>https://dadosabertos.camara.leg.br/api/v2/deputados/940</t>
  </si>
  <si>
    <t>Luiz José de Carvalho Mello e Mattos</t>
  </si>
  <si>
    <t>1839-01-23</t>
  </si>
  <si>
    <t>1881-07-15</t>
  </si>
  <si>
    <t>https://dadosabertos.camara.leg.br/api/v2/deputados/799</t>
  </si>
  <si>
    <t>MELO REGO</t>
  </si>
  <si>
    <t>Francisco Raphael de Mello Rego</t>
  </si>
  <si>
    <t>1819-04-04</t>
  </si>
  <si>
    <t>https://dadosabertos.camara.leg.br/api/v2/deputados/814</t>
  </si>
  <si>
    <t>MOREIRA</t>
  </si>
  <si>
    <t>Antonio José Moreira</t>
  </si>
  <si>
    <t>1877-03-01</t>
  </si>
  <si>
    <t>https://dadosabertos.camara.leg.br/api/v2/deputados/1054</t>
  </si>
  <si>
    <t>NOBRE</t>
  </si>
  <si>
    <t>Carlos José de Souza Nobre</t>
  </si>
  <si>
    <t>1839-08-02</t>
  </si>
  <si>
    <t>1882-08-23</t>
  </si>
  <si>
    <t>https://dadosabertos.camara.leg.br/api/v2/deputados/1008</t>
  </si>
  <si>
    <t>PAULINO NOGUEIRA</t>
  </si>
  <si>
    <t>Paulino Nogueira Borges da Fonseca</t>
  </si>
  <si>
    <t>1841-02-27</t>
  </si>
  <si>
    <t>https://dadosabertos.camara.leg.br/api/v2/deputados/1059</t>
  </si>
  <si>
    <t>PEDRO AFONSO</t>
  </si>
  <si>
    <t>Pedro Affonso Ferreira</t>
  </si>
  <si>
    <t>1836-08-05</t>
  </si>
  <si>
    <t>1897-09-02</t>
  </si>
  <si>
    <t>https://dadosabertos.camara.leg.br/api/v2/deputados/961</t>
  </si>
  <si>
    <t>PERDIGÃO MALHEIRO</t>
  </si>
  <si>
    <t>Agostinho Marques Perdigão Malheiro 2º</t>
  </si>
  <si>
    <t>1824-01-05</t>
  </si>
  <si>
    <t>1881-06-03</t>
  </si>
  <si>
    <t>https://dadosabertos.camara.leg.br/api/v2/deputados/689</t>
  </si>
  <si>
    <t>PEREIRA FRANCO</t>
  </si>
  <si>
    <t>Luiz Antonio Pereira Franco</t>
  </si>
  <si>
    <t>1826-10-19</t>
  </si>
  <si>
    <t>https://dadosabertos.camara.leg.br/api/v2/deputados/654</t>
  </si>
  <si>
    <t>PINTO DE CAMPOS</t>
  </si>
  <si>
    <t>Joaquim Pinto de Campos</t>
  </si>
  <si>
    <t>1887-12-05</t>
  </si>
  <si>
    <t>https://dadosabertos.camara.leg.br/api/v2/deputados/1061</t>
  </si>
  <si>
    <t>Fernando Pires Ferreira</t>
  </si>
  <si>
    <t>1843-04-26</t>
  </si>
  <si>
    <t>https://dadosabertos.camara.leg.br/api/v2/deputados/976</t>
  </si>
  <si>
    <t>PORTELA</t>
  </si>
  <si>
    <t>Joaquim Pires Machado Portella</t>
  </si>
  <si>
    <t>1827-03-12</t>
  </si>
  <si>
    <t>https://dadosabertos.camara.leg.br/api/v2/deputados/1049</t>
  </si>
  <si>
    <t>Francisco José da Rocha</t>
  </si>
  <si>
    <t>1832-02-10</t>
  </si>
  <si>
    <t>1897-03-16</t>
  </si>
  <si>
    <t>https://dadosabertos.camara.leg.br/api/v2/deputados/794</t>
  </si>
  <si>
    <t>SIQUEIRA MENDES</t>
  </si>
  <si>
    <t>Manoel José de Siqueira Mendes</t>
  </si>
  <si>
    <t>1825-09-06</t>
  </si>
  <si>
    <t>1892-05-05</t>
  </si>
  <si>
    <t>https://dadosabertos.camara.leg.br/api/v2/deputados/1050</t>
  </si>
  <si>
    <t>SOUZA FRANÇA</t>
  </si>
  <si>
    <t>Manoel Ernesto de Souza França</t>
  </si>
  <si>
    <t>1831-06-30</t>
  </si>
  <si>
    <t>1879-12-24</t>
  </si>
  <si>
    <t>https://dadosabertos.camara.leg.br/api/v2/deputados/644</t>
  </si>
  <si>
    <t>VERSIANI</t>
  </si>
  <si>
    <t>Carlos José Versiani</t>
  </si>
  <si>
    <t>1819-12-20</t>
  </si>
  <si>
    <t>https://dadosabertos.camara.leg.br/api/v2/deputados/1029</t>
  </si>
  <si>
    <t>AGESILAU</t>
  </si>
  <si>
    <t>Agesiláo Pereira da Silva</t>
  </si>
  <si>
    <t>https://dadosabertos.camara.leg.br/api/v2/deputados/420</t>
  </si>
  <si>
    <t>ALCOFORADO</t>
  </si>
  <si>
    <t>José Bernardo Galvão Alcoforado</t>
  </si>
  <si>
    <t>1810-01-23</t>
  </si>
  <si>
    <t>https://dadosabertos.camara.leg.br/api/v2/deputados/776</t>
  </si>
  <si>
    <t>ÂNGELO DO AMARAL</t>
  </si>
  <si>
    <t>Ângelo Thomaz do Amaral</t>
  </si>
  <si>
    <t>1822-08-29</t>
  </si>
  <si>
    <t>https://dadosabertos.camara.leg.br/api/v2/deputados/923</t>
  </si>
  <si>
    <t>Innocêncio Marques de Araújo Goes</t>
  </si>
  <si>
    <t>1811-07-04</t>
  </si>
  <si>
    <t>1897-05-13</t>
  </si>
  <si>
    <t>https://dadosabertos.camara.leg.br/api/v2/deputados/565</t>
  </si>
  <si>
    <t>BAHIA</t>
  </si>
  <si>
    <t>Manoel Joaquim Bahia</t>
  </si>
  <si>
    <t>1875-10-07</t>
  </si>
  <si>
    <t>https://dadosabertos.camara.leg.br/api/v2/deputados/1014</t>
  </si>
  <si>
    <t>BALBINO DA CUNHA</t>
  </si>
  <si>
    <t>Balbino Candido da Cunha</t>
  </si>
  <si>
    <t>1833-04-15</t>
  </si>
  <si>
    <t>https://dadosabertos.camara.leg.br/api/v2/deputados/362</t>
  </si>
  <si>
    <t>BANDEIRA DE MELO</t>
  </si>
  <si>
    <t>João Capistrano Bandeira de Mello</t>
  </si>
  <si>
    <t>1811-10-23</t>
  </si>
  <si>
    <t>1881-05-30</t>
  </si>
  <si>
    <t>https://dadosabertos.camara.leg.br/api/v2/deputados/993</t>
  </si>
  <si>
    <t>BARÃO DA LAGUNA</t>
  </si>
  <si>
    <t>Jesuino Lamego Costa</t>
  </si>
  <si>
    <t>1811-09-13</t>
  </si>
  <si>
    <t>1886-02-16</t>
  </si>
  <si>
    <t>https://dadosabertos.camara.leg.br/api/v2/deputados/660</t>
  </si>
  <si>
    <t>BARÃO DE MAUÁ</t>
  </si>
  <si>
    <t>Irineu Evangelista de Souza</t>
  </si>
  <si>
    <t>1813-12-28</t>
  </si>
  <si>
    <t>1889-10-21</t>
  </si>
  <si>
    <t>https://dadosabertos.camara.leg.br/api/v2/deputados/1043</t>
  </si>
  <si>
    <t>BARÃO DE PIRATININGA</t>
  </si>
  <si>
    <t>Antônio Joaquim da Rosa</t>
  </si>
  <si>
    <t>1886-12-27</t>
  </si>
  <si>
    <t>https://dadosabertos.camara.leg.br/api/v2/deputados/864</t>
  </si>
  <si>
    <t>BARÃO DE SÃO JOÃO DO RIO CLARO</t>
  </si>
  <si>
    <t>Amador Rodrigues de Lacerda Jordão</t>
  </si>
  <si>
    <t>1873-08-31</t>
  </si>
  <si>
    <t>https://dadosabertos.camara.leg.br/api/v2/deputados/661</t>
  </si>
  <si>
    <t>BRUSQUE</t>
  </si>
  <si>
    <t>Francisco Carlos de Araújo Brusque</t>
  </si>
  <si>
    <t>1822-05-24</t>
  </si>
  <si>
    <t>1886-09-24</t>
  </si>
  <si>
    <t>https://dadosabertos.camara.leg.br/api/v2/deputados/946</t>
  </si>
  <si>
    <t>CAMILO BARRETO</t>
  </si>
  <si>
    <t>Ernesto Camillo Barreto</t>
  </si>
  <si>
    <t>1826-02-19</t>
  </si>
  <si>
    <t>1896-03-26</t>
  </si>
  <si>
    <t>https://dadosabertos.camara.leg.br/api/v2/deputados/1007</t>
  </si>
  <si>
    <t>CAMINHA</t>
  </si>
  <si>
    <t>Antonio Ferreira dos Santos Caminha</t>
  </si>
  <si>
    <t>https://dadosabertos.camara.leg.br/api/v2/deputados/1015</t>
  </si>
  <si>
    <t>CAMPOS CARVALHO</t>
  </si>
  <si>
    <t>João Ribeiro de Campos Carvalho</t>
  </si>
  <si>
    <t>1848-09-09</t>
  </si>
  <si>
    <t>1876-12-01</t>
  </si>
  <si>
    <t>https://dadosabertos.camara.leg.br/api/v2/deputados/942</t>
  </si>
  <si>
    <t>CAMPOS DE MEDEIROS</t>
  </si>
  <si>
    <t>Joaquim José de Campos da Costa de Medeiros e Albuquerque</t>
  </si>
  <si>
    <t>1825-10-31</t>
  </si>
  <si>
    <t>1892-04-11</t>
  </si>
  <si>
    <t>https://dadosabertos.camara.leg.br/api/v2/deputados/951</t>
  </si>
  <si>
    <t>CÂNDIDO MURTA</t>
  </si>
  <si>
    <t>Cândido Freire de Figueiredo Murta</t>
  </si>
  <si>
    <t>https://dadosabertos.camara.leg.br/api/v2/deputados/910</t>
  </si>
  <si>
    <t>CÂNDIDO TORRES</t>
  </si>
  <si>
    <t>Cândido José Rodrigues Torres Filho</t>
  </si>
  <si>
    <t>https://dadosabertos.camara.leg.br/api/v2/deputados/1037</t>
  </si>
  <si>
    <t>CARDOSO JÚNIOR</t>
  </si>
  <si>
    <t>Francisco José Cardoso Júnior</t>
  </si>
  <si>
    <t>1826-01-15</t>
  </si>
  <si>
    <t>https://dadosabertos.camara.leg.br/api/v2/deputados/1017</t>
  </si>
  <si>
    <t>CARNEIRO LEÃO</t>
  </si>
  <si>
    <t>HONÓRIO HERMETO CARNEIRO LEÃO FILHO</t>
  </si>
  <si>
    <t>1832-06-13</t>
  </si>
  <si>
    <t>1873-03-02</t>
  </si>
  <si>
    <t>https://dadosabertos.camara.leg.br/api/v2/deputados/348</t>
  </si>
  <si>
    <t>CASADO</t>
  </si>
  <si>
    <t>Matheus Casado de Araújo Lima Arnaud</t>
  </si>
  <si>
    <t>https://dadosabertos.camara.leg.br/api/v2/deputados/750</t>
  </si>
  <si>
    <t>CONDE DE PORTO ALEGRE</t>
  </si>
  <si>
    <t>Manoel Marques de Souza</t>
  </si>
  <si>
    <t>1804-06-13</t>
  </si>
  <si>
    <t>1875-07-18</t>
  </si>
  <si>
    <t>https://dadosabertos.camara.leg.br/api/v2/deputados/583</t>
  </si>
  <si>
    <t>CRUZ MACHADO</t>
  </si>
  <si>
    <t>Antonio Candido da Cruz Machado</t>
  </si>
  <si>
    <t>1820-03-11</t>
  </si>
  <si>
    <t>https://dadosabertos.camara.leg.br/api/v2/deputados/1018</t>
  </si>
  <si>
    <t>CUNHA FERREIRA</t>
  </si>
  <si>
    <t>Bernardino da Cunha Ferreira</t>
  </si>
  <si>
    <t>https://dadosabertos.camara.leg.br/api/v2/deputados/1004</t>
  </si>
  <si>
    <t>EUNÁPIO DEIRÓ</t>
  </si>
  <si>
    <t>Pedro Eunapio da Silva Deiró</t>
  </si>
  <si>
    <t>1829-01-18</t>
  </si>
  <si>
    <t>https://dadosabertos.camara.leg.br/api/v2/deputados/1019</t>
  </si>
  <si>
    <t>EVANGELISTA DE ARAÚJO</t>
  </si>
  <si>
    <t>Francisco Evangelista de Araújo</t>
  </si>
  <si>
    <t>https://dadosabertos.camara.leg.br/api/v2/deputados/964</t>
  </si>
  <si>
    <t>FAUSTO AGUIAR</t>
  </si>
  <si>
    <t>Fausto Augusto de Aguiar</t>
  </si>
  <si>
    <t>1817-12-19</t>
  </si>
  <si>
    <t>1890-02-25</t>
  </si>
  <si>
    <t>https://dadosabertos.camara.leg.br/api/v2/deputados/1013</t>
  </si>
  <si>
    <t>FERNANDO DE CARVALHO</t>
  </si>
  <si>
    <t>Fernando Alves de Carvalho</t>
  </si>
  <si>
    <t>https://dadosabertos.camara.leg.br/api/v2/deputados/956</t>
  </si>
  <si>
    <t>HORTA BARBOSA</t>
  </si>
  <si>
    <t>Luiz Eugênio Horta Barbosa</t>
  </si>
  <si>
    <t>https://dadosabertos.camara.leg.br/api/v2/deputados/1021</t>
  </si>
  <si>
    <t>JOAQUIM BENTO</t>
  </si>
  <si>
    <t>Joaquim Bento de Oliveira Júnior</t>
  </si>
  <si>
    <t>1846-12-10</t>
  </si>
  <si>
    <t>1878-03-06</t>
  </si>
  <si>
    <t>https://dadosabertos.camara.leg.br/api/v2/deputados/475</t>
  </si>
  <si>
    <t>JUNQUEIRA</t>
  </si>
  <si>
    <t>João José de Oliveira Junqueira</t>
  </si>
  <si>
    <t>1887-11-09</t>
  </si>
  <si>
    <t>https://dadosabertos.camara.leg.br/api/v2/deputados/929</t>
  </si>
  <si>
    <t>LEAL DE MENEZES</t>
  </si>
  <si>
    <t>Augusto Leal de Menezes</t>
  </si>
  <si>
    <t>https://dadosabertos.camara.leg.br/api/v2/deputados/439</t>
  </si>
  <si>
    <t>LUIS CARLOS</t>
  </si>
  <si>
    <t>Luiz Carlos da Fonseca</t>
  </si>
  <si>
    <t>1887-04-21</t>
  </si>
  <si>
    <t>https://dadosabertos.camara.leg.br/api/v2/deputados/973</t>
  </si>
  <si>
    <t>MANUEL CLEMENTINO</t>
  </si>
  <si>
    <t>Manoel Clementino Carneiro da Cunha</t>
  </si>
  <si>
    <t>1825-11-25</t>
  </si>
  <si>
    <t>1899-02-05</t>
  </si>
  <si>
    <t>https://dadosabertos.camara.leg.br/api/v2/deputados/1046</t>
  </si>
  <si>
    <t>MARTINHO DE FREITAS</t>
  </si>
  <si>
    <t>Martinho de Freitas Vieira de Mello</t>
  </si>
  <si>
    <t>1844-04-01</t>
  </si>
  <si>
    <t>1897-04-23</t>
  </si>
  <si>
    <t>https://dadosabertos.camara.leg.br/api/v2/deputados/1030</t>
  </si>
  <si>
    <t>MIRANDA OSÓRIO</t>
  </si>
  <si>
    <t>Manoel Pinheiro de Miranda Osorio</t>
  </si>
  <si>
    <t>https://dadosabertos.camara.leg.br/api/v2/deputados/1031</t>
  </si>
  <si>
    <t>MORAIS REGO</t>
  </si>
  <si>
    <t>Thomaz de Moraes Rego</t>
  </si>
  <si>
    <t>https://dadosabertos.camara.leg.br/api/v2/deputados/974</t>
  </si>
  <si>
    <t>MORAIS SILVA</t>
  </si>
  <si>
    <t>Antônio Joaquim de Moraes e Silva</t>
  </si>
  <si>
    <t>https://dadosabertos.camara.leg.br/api/v2/deputados/1000</t>
  </si>
  <si>
    <t>OLÍMPIO GALVÃO</t>
  </si>
  <si>
    <t>Olympio Euzebio Arroxellas Galvão</t>
  </si>
  <si>
    <t>1842-01-28</t>
  </si>
  <si>
    <t>1882-03-04</t>
  </si>
  <si>
    <t>https://dadosabertos.camara.leg.br/api/v2/deputados/1045</t>
  </si>
  <si>
    <t>OLIVEIRA BORGES</t>
  </si>
  <si>
    <t>Francisco de Paula Oliveira Borges</t>
  </si>
  <si>
    <t>https://dadosabertos.camara.leg.br/api/v2/deputados/947</t>
  </si>
  <si>
    <t>PARANHOS</t>
  </si>
  <si>
    <t>José Maria da Silva Paranhos Júnior</t>
  </si>
  <si>
    <t>1845-04-20</t>
  </si>
  <si>
    <t>https://dadosabertos.camara.leg.br/api/v2/deputados/587</t>
  </si>
  <si>
    <t>PAULA FONSECA</t>
  </si>
  <si>
    <t>Antonio Gabriel de Paula Fonseca</t>
  </si>
  <si>
    <t>1875-07-16</t>
  </si>
  <si>
    <t>https://dadosabertos.camara.leg.br/api/v2/deputados/1022</t>
  </si>
  <si>
    <t>José Pereira dos Santos</t>
  </si>
  <si>
    <t>https://dadosabertos.camara.leg.br/api/v2/deputados/1040</t>
  </si>
  <si>
    <t>PINHEIRO GUIMARÃES</t>
  </si>
  <si>
    <t>Francisco Pinheiro Guimarães</t>
  </si>
  <si>
    <t>1832-12-24</t>
  </si>
  <si>
    <t>1877-10-05</t>
  </si>
  <si>
    <t>https://dadosabertos.camara.leg.br/api/v2/deputados/967</t>
  </si>
  <si>
    <t>PINTO PESSOA</t>
  </si>
  <si>
    <t>Francisco Pinto Pessoa</t>
  </si>
  <si>
    <t>1875-03-28</t>
  </si>
  <si>
    <t>https://dadosabertos.camara.leg.br/api/v2/deputados/1006</t>
  </si>
  <si>
    <t>REBELO</t>
  </si>
  <si>
    <t>Henrique Jorge Rebello</t>
  </si>
  <si>
    <t>1879-09-12</t>
  </si>
  <si>
    <t>https://dadosabertos.camara.leg.br/api/v2/deputados/1023</t>
  </si>
  <si>
    <t>ROCHA LEÃO</t>
  </si>
  <si>
    <t>Antonio da Rocha Fernandes Leão</t>
  </si>
  <si>
    <t>https://dadosabertos.camara.leg.br/api/v2/deputados/793</t>
  </si>
  <si>
    <t>SALATIEL BRAGA</t>
  </si>
  <si>
    <t>Salathiel de Andrade Braga</t>
  </si>
  <si>
    <t>https://dadosabertos.camara.leg.br/api/v2/deputados/618</t>
  </si>
  <si>
    <t>SOBRAL PINTO</t>
  </si>
  <si>
    <t>Manoel Sobral Pinto</t>
  </si>
  <si>
    <t>https://dadosabertos.camara.leg.br/api/v2/deputados/760</t>
  </si>
  <si>
    <t>TEIXEIRA JÚNIOR</t>
  </si>
  <si>
    <t>Jeronymo José Teixeira Júnior</t>
  </si>
  <si>
    <t>1830-11-25</t>
  </si>
  <si>
    <t>1892-12-26</t>
  </si>
  <si>
    <t>https://dadosabertos.camara.leg.br/api/v2/deputados/619</t>
  </si>
  <si>
    <t>WILKENS DE MATOS</t>
  </si>
  <si>
    <t>João Wilkens de Mattos</t>
  </si>
  <si>
    <t>1822-03-08</t>
  </si>
  <si>
    <t>1889-05-03</t>
  </si>
  <si>
    <t>https://dadosabertos.camara.leg.br/api/v2/deputados/1041</t>
  </si>
  <si>
    <t>XAVIER DE BRITO</t>
  </si>
  <si>
    <t>Frederico Augusto Xavier de Brito</t>
  </si>
  <si>
    <t>https://dadosabertos.camara.leg.br/api/v2/deputados/922</t>
  </si>
  <si>
    <t>Antônio Luiz Affonso de Carvalho</t>
  </si>
  <si>
    <t>1828-03-05</t>
  </si>
  <si>
    <t>1892-01-25</t>
  </si>
  <si>
    <t>https://dadosabertos.camara.leg.br/api/v2/deputados/533</t>
  </si>
  <si>
    <t>ANTÃO</t>
  </si>
  <si>
    <t>Joaquim Antão Fernandes Leão</t>
  </si>
  <si>
    <t>1809-01-17</t>
  </si>
  <si>
    <t>1887-04-12</t>
  </si>
  <si>
    <t>https://dadosabertos.camara.leg.br/api/v2/deputados/965</t>
  </si>
  <si>
    <t>ASSIS ROCHA</t>
  </si>
  <si>
    <t>Francisco de Assis Pereira Rocha</t>
  </si>
  <si>
    <t>1807-01-25</t>
  </si>
  <si>
    <t>1872-01-27</t>
  </si>
  <si>
    <t>https://dadosabertos.camara.leg.br/api/v2/deputados/1270</t>
  </si>
  <si>
    <t>AUGUSTO DE OLIVEIRA</t>
  </si>
  <si>
    <t>Augusto Frederico de Oliveira</t>
  </si>
  <si>
    <t>https://dadosabertos.camara.leg.br/api/v2/deputados/981</t>
  </si>
  <si>
    <t>AURELIANO DE CARVALHO</t>
  </si>
  <si>
    <t>Aureliano Ferreira de Carvalho</t>
  </si>
  <si>
    <t>1871-07-18</t>
  </si>
  <si>
    <t>https://dadosabertos.camara.leg.br/api/v2/deputados/985</t>
  </si>
  <si>
    <t>AZAMBUJA</t>
  </si>
  <si>
    <t>Antônio Alves Guimarães Azambuja</t>
  </si>
  <si>
    <t>https://dadosabertos.camara.leg.br/api/v2/deputados/941</t>
  </si>
  <si>
    <t>BARÃO DE ANAJATUBA</t>
  </si>
  <si>
    <t>José Maria Barreto</t>
  </si>
  <si>
    <t>1871-08-25</t>
  </si>
  <si>
    <t>https://dadosabertos.camara.leg.br/api/v2/deputados/966</t>
  </si>
  <si>
    <t>BARÃO DE MAMANGUAPE</t>
  </si>
  <si>
    <t>Flavio Clementino da Silva Freire</t>
  </si>
  <si>
    <t>1816-08-01</t>
  </si>
  <si>
    <t>https://dadosabertos.camara.leg.br/api/v2/deputados/971</t>
  </si>
  <si>
    <t>BARROS BARRETO</t>
  </si>
  <si>
    <t>Francisco do Rego Barros Barreto</t>
  </si>
  <si>
    <t>1828-12-23</t>
  </si>
  <si>
    <t>https://dadosabertos.camara.leg.br/api/v2/deputados/949</t>
  </si>
  <si>
    <t>BENJAMIM</t>
  </si>
  <si>
    <t>Benjamim Rodrigues Pereira</t>
  </si>
  <si>
    <t>https://dadosabertos.camara.leg.br/api/v2/deputados/952</t>
  </si>
  <si>
    <t>CÂNDIDO DA ROCHA</t>
  </si>
  <si>
    <t>Antônio Cândido da Rocha</t>
  </si>
  <si>
    <t>1821-09-04</t>
  </si>
  <si>
    <t>1882-09-26</t>
  </si>
  <si>
    <t>https://dadosabertos.camara.leg.br/api/v2/deputados/576</t>
  </si>
  <si>
    <t>CANDIDO MENDES</t>
  </si>
  <si>
    <t>Candido Mendes de Almeida</t>
  </si>
  <si>
    <t>1818-10-16</t>
  </si>
  <si>
    <t>1881-03-01</t>
  </si>
  <si>
    <t>https://dadosabertos.camara.leg.br/api/v2/deputados/953</t>
  </si>
  <si>
    <t>CANEDO</t>
  </si>
  <si>
    <t>Antônio Augusto da Silva Canedo</t>
  </si>
  <si>
    <t>https://dadosabertos.camara.leg.br/api/v2/deputados/954</t>
  </si>
  <si>
    <t>CAPANEMA</t>
  </si>
  <si>
    <t>José Xavier da Silva Capanema</t>
  </si>
  <si>
    <t>https://dadosabertos.camara.leg.br/api/v2/deputados/598</t>
  </si>
  <si>
    <t>CONDE DE BAEPENDI</t>
  </si>
  <si>
    <t>Brás Carneiro Nogueira da Costa e Gama</t>
  </si>
  <si>
    <t>1812-05-22</t>
  </si>
  <si>
    <t>1887-05-12</t>
  </si>
  <si>
    <t>https://dadosabertos.camara.leg.br/api/v2/deputados/969</t>
  </si>
  <si>
    <t>DIAS DA ROCHA</t>
  </si>
  <si>
    <t>Joaquim Dias da Rocha</t>
  </si>
  <si>
    <t>https://dadosabertos.camara.leg.br/api/v2/deputados/926</t>
  </si>
  <si>
    <t>DIONÍSIO MARTINS</t>
  </si>
  <si>
    <t>Dionysio Gonçalves Martins</t>
  </si>
  <si>
    <t>1837-02-04</t>
  </si>
  <si>
    <t>https://dadosabertos.camara.leg.br/api/v2/deputados/931</t>
  </si>
  <si>
    <t>DOMINGUES</t>
  </si>
  <si>
    <t>Justino Domingues da Silva</t>
  </si>
  <si>
    <t>1823-01-28</t>
  </si>
  <si>
    <t>https://dadosabertos.camara.leg.br/api/v2/deputados/983</t>
  </si>
  <si>
    <t>ENÉAS NOGUEIRA</t>
  </si>
  <si>
    <t>Enéas José Nogueira</t>
  </si>
  <si>
    <t>https://dadosabertos.camara.leg.br/api/v2/deputados/594</t>
  </si>
  <si>
    <t>EVANGELISTA LOBATO</t>
  </si>
  <si>
    <t>João Evangelista de Negreiros Sayão Lobato</t>
  </si>
  <si>
    <t>1817-08-16</t>
  </si>
  <si>
    <t>https://dadosabertos.camara.leg.br/api/v2/deputados/331</t>
  </si>
  <si>
    <t>FERNANDES BRAGA</t>
  </si>
  <si>
    <t>Antonio Rodrigues Fernandes Braga</t>
  </si>
  <si>
    <t>1875-02-26</t>
  </si>
  <si>
    <t>https://dadosabertos.camara.leg.br/api/v2/deputados/685</t>
  </si>
  <si>
    <t>FERNANDES DA CUNHA</t>
  </si>
  <si>
    <t>Joaquim Jerônymo Fernandes da Cunha</t>
  </si>
  <si>
    <t>1827-09-30</t>
  </si>
  <si>
    <t>https://dadosabertos.camara.leg.br/api/v2/deputados/789</t>
  </si>
  <si>
    <t>FERREIRA DA VEIGA</t>
  </si>
  <si>
    <t>Evaristo Ferreira da Veiga</t>
  </si>
  <si>
    <t>1832-02-05</t>
  </si>
  <si>
    <t>1889-03-07</t>
  </si>
  <si>
    <t>https://dadosabertos.camara.leg.br/api/v2/deputados/788</t>
  </si>
  <si>
    <t>FERREIRA LAGE</t>
  </si>
  <si>
    <t>Mariano Procopio Ferreira Lage</t>
  </si>
  <si>
    <t>1821-06-23</t>
  </si>
  <si>
    <t>1872-02-14</t>
  </si>
  <si>
    <t>https://dadosabertos.camara.leg.br/api/v2/deputados/296</t>
  </si>
  <si>
    <t>FIGUEIRA DE MELO</t>
  </si>
  <si>
    <t>Jeronymo Martiniano Figueira de Mello</t>
  </si>
  <si>
    <t>1809-04-19</t>
  </si>
  <si>
    <t>1878-08-20</t>
  </si>
  <si>
    <t>https://dadosabertos.camara.leg.br/api/v2/deputados/608</t>
  </si>
  <si>
    <t>José Bento da Cunha Figueiredo</t>
  </si>
  <si>
    <t>1808-04-22</t>
  </si>
  <si>
    <t>https://dadosabertos.camara.leg.br/api/v2/deputados/997</t>
  </si>
  <si>
    <t>FLORIANO GODÓI</t>
  </si>
  <si>
    <t>Joaquim Floriano de Godóy</t>
  </si>
  <si>
    <t>1826-01-04</t>
  </si>
  <si>
    <t>https://dadosabertos.camara.leg.br/api/v2/deputados/934</t>
  </si>
  <si>
    <t>FONTES</t>
  </si>
  <si>
    <t>Custodio Cardoso Fontes</t>
  </si>
  <si>
    <t>https://dadosabertos.camara.leg.br/api/v2/deputados/994</t>
  </si>
  <si>
    <t>GALVÃO</t>
  </si>
  <si>
    <t>Manoel do Nascimento da Fonseca Galvão</t>
  </si>
  <si>
    <t>1837-12-25</t>
  </si>
  <si>
    <t>https://dadosabertos.camara.leg.br/api/v2/deputados/928</t>
  </si>
  <si>
    <t>GONÇALVES DA SILVA</t>
  </si>
  <si>
    <t>José Gonçalves da Silva</t>
  </si>
  <si>
    <t>1838-12-22</t>
  </si>
  <si>
    <t>https://dadosabertos.camara.leg.br/api/v2/deputados/219413</t>
  </si>
  <si>
    <t>MANOEL PEREIRA GUIMARÃES</t>
  </si>
  <si>
    <t>https://dadosabertos.camara.leg.br/api/v2/deputados/664</t>
  </si>
  <si>
    <t>JACINTHO DE MENDONÇA</t>
  </si>
  <si>
    <t>João Jacintho de Mendonça</t>
  </si>
  <si>
    <t>1817-03-16</t>
  </si>
  <si>
    <t>1869-06-03</t>
  </si>
  <si>
    <t>https://dadosabertos.camara.leg.br/api/v2/deputados/626</t>
  </si>
  <si>
    <t>JAGUARIBE</t>
  </si>
  <si>
    <t>Domingos José Nogueira Jaguaribe</t>
  </si>
  <si>
    <t>1820-09-14</t>
  </si>
  <si>
    <t>1890-06-05</t>
  </si>
  <si>
    <t>https://dadosabertos.camara.leg.br/api/v2/deputados/577</t>
  </si>
  <si>
    <t>JANSEN DO PAÇO</t>
  </si>
  <si>
    <t>José Jansen do Paço</t>
  </si>
  <si>
    <t>https://dadosabertos.camara.leg.br/api/v2/deputados/987</t>
  </si>
  <si>
    <t>JOAQUIM DE MENDONÇA</t>
  </si>
  <si>
    <t>Joaquim Jacintho de Mendonça</t>
  </si>
  <si>
    <t>1828-05-20</t>
  </si>
  <si>
    <t>1891-01-31</t>
  </si>
  <si>
    <t>https://dadosabertos.camara.leg.br/api/v2/deputados/921</t>
  </si>
  <si>
    <t>LEONEL DE ALENCAR</t>
  </si>
  <si>
    <t>Leonel Martiniano Alencar</t>
  </si>
  <si>
    <t>1832-12-05</t>
  </si>
  <si>
    <t>https://dadosabertos.camara.leg.br/api/v2/deputados/438</t>
  </si>
  <si>
    <t>LIMA E SILVA</t>
  </si>
  <si>
    <t>José Joaquim de Lima e Silva Sobrinho</t>
  </si>
  <si>
    <t>1809-10-07</t>
  </si>
  <si>
    <t>https://dadosabertos.camara.leg.br/api/v2/deputados/920</t>
  </si>
  <si>
    <t>MELO MORAIS</t>
  </si>
  <si>
    <t>Alexandre José de Mello Morais</t>
  </si>
  <si>
    <t>1816-06-23</t>
  </si>
  <si>
    <t>1882-09-06</t>
  </si>
  <si>
    <t>https://dadosabertos.camara.leg.br/api/v2/deputados/960</t>
  </si>
  <si>
    <t>Domiciano Matheus Monteiro de Castro</t>
  </si>
  <si>
    <t>https://dadosabertos.camara.leg.br/api/v2/deputados/932</t>
  </si>
  <si>
    <t>José Antônio Moreira da Rocha</t>
  </si>
  <si>
    <t>1830-12-14</t>
  </si>
  <si>
    <t>https://dadosabertos.camara.leg.br/api/v2/deputados/465</t>
  </si>
  <si>
    <t>NEBIAS</t>
  </si>
  <si>
    <t>Joaquim Octavio Nebias</t>
  </si>
  <si>
    <t>1811-06-01</t>
  </si>
  <si>
    <t>1872-07-16</t>
  </si>
  <si>
    <t>https://dadosabertos.camara.leg.br/api/v2/deputados/774</t>
  </si>
  <si>
    <t>PAIS DE MENDONÇA</t>
  </si>
  <si>
    <t>Jacintho Paes de Mendonça</t>
  </si>
  <si>
    <t>1825-10-10</t>
  </si>
  <si>
    <t>https://dadosabertos.camara.leg.br/api/v2/deputados/998</t>
  </si>
  <si>
    <t>PAULA TOLEDO</t>
  </si>
  <si>
    <t>Francisco de Paula Toledo</t>
  </si>
  <si>
    <t>1832-07-18</t>
  </si>
  <si>
    <t>1890-04-26</t>
  </si>
  <si>
    <t>https://dadosabertos.camara.leg.br/api/v2/deputados/687</t>
  </si>
  <si>
    <t>PEDERNEIRAS</t>
  </si>
  <si>
    <t>Innocêncio Velloso Pederneiras</t>
  </si>
  <si>
    <t>1818-06-14</t>
  </si>
  <si>
    <t>1891-06-18</t>
  </si>
  <si>
    <t>https://dadosabertos.camara.leg.br/api/v2/deputados/898</t>
  </si>
  <si>
    <t>PINHEIRO</t>
  </si>
  <si>
    <t>Antônio Francisco Pinheiro</t>
  </si>
  <si>
    <t>https://dadosabertos.camara.leg.br/api/v2/deputados/933</t>
  </si>
  <si>
    <t>PINTO BRAGA</t>
  </si>
  <si>
    <t>Domingos José Pinto Braga Júnior</t>
  </si>
  <si>
    <t>1823-08-06</t>
  </si>
  <si>
    <t>1884-01-31</t>
  </si>
  <si>
    <t>https://dadosabertos.camara.leg.br/api/v2/deputados/962</t>
  </si>
  <si>
    <t>PINTO MOREIRA</t>
  </si>
  <si>
    <t>João Pinto Moreira</t>
  </si>
  <si>
    <t>1876-02-09</t>
  </si>
  <si>
    <t>https://dadosabertos.camara.leg.br/api/v2/deputados/659</t>
  </si>
  <si>
    <t>RAPOSO DA CÂMARA</t>
  </si>
  <si>
    <t>Otaviano Cabral Raposo da Câmara</t>
  </si>
  <si>
    <t>1819-10-15</t>
  </si>
  <si>
    <t>1880-11-10</t>
  </si>
  <si>
    <t>https://dadosabertos.camara.leg.br/api/v2/deputados/643</t>
  </si>
  <si>
    <t>Joaquim Delfino Ribeiro da Luz</t>
  </si>
  <si>
    <t>1824-12-26</t>
  </si>
  <si>
    <t>https://dadosabertos.camara.leg.br/api/v2/deputados/597</t>
  </si>
  <si>
    <t>SAIÃO LOBATO</t>
  </si>
  <si>
    <t>Francisco de Paula de Negreiros Sayão Lobato</t>
  </si>
  <si>
    <t>1815-05-25</t>
  </si>
  <si>
    <t>1884-07-14</t>
  </si>
  <si>
    <t>https://dadosabertos.camara.leg.br/api/v2/deputados/747</t>
  </si>
  <si>
    <t>SALES</t>
  </si>
  <si>
    <t>Antonio Francisco de Salles</t>
  </si>
  <si>
    <t>https://dadosabertos.camara.leg.br/api/v2/deputados/782</t>
  </si>
  <si>
    <t>SILVA NUNES</t>
  </si>
  <si>
    <t>Luiz Antonio da Silva Nunes</t>
  </si>
  <si>
    <t>https://dadosabertos.camara.leg.br/api/v2/deputados/4498</t>
  </si>
  <si>
    <t>1829-03-02</t>
  </si>
  <si>
    <t>1885-03-14</t>
  </si>
  <si>
    <t>https://dadosabertos.camara.leg.br/api/v2/deputados/978</t>
  </si>
  <si>
    <t>SOUSA REIS</t>
  </si>
  <si>
    <t>Joaquim de Souza Reis</t>
  </si>
  <si>
    <t>https://dadosabertos.camara.leg.br/api/v2/deputados/525</t>
  </si>
  <si>
    <t>TAQUES</t>
  </si>
  <si>
    <t>Benevenuto Augusto de Magalhães Taques</t>
  </si>
  <si>
    <t>1881-10-17</t>
  </si>
  <si>
    <t>https://dadosabertos.camara.leg.br/api/v2/deputados/457</t>
  </si>
  <si>
    <t>UCHÔA CAVALCANTI</t>
  </si>
  <si>
    <t>Álvaro Barbalho Uchôa Cavalcanti</t>
  </si>
  <si>
    <t>1818-04-02</t>
  </si>
  <si>
    <t>1889-09-15</t>
  </si>
  <si>
    <t>https://dadosabertos.camara.leg.br/api/v2/deputados/963</t>
  </si>
  <si>
    <t>VICENTE DE FIGUEIREDO</t>
  </si>
  <si>
    <t>Vicente José de Figueiredo</t>
  </si>
  <si>
    <t>https://dadosabertos.camara.leg.br/api/v2/deputados/784</t>
  </si>
  <si>
    <t>Luiz Antonio Vieira da Silva</t>
  </si>
  <si>
    <t>1828-10-02</t>
  </si>
  <si>
    <t>1889-11-03</t>
  </si>
  <si>
    <t>https://dadosabertos.camara.leg.br/api/v2/deputados/255</t>
  </si>
  <si>
    <t>VISCONDE DE CAMARAGIBE</t>
  </si>
  <si>
    <t>Pedro Francisco de Paula Cavalcanti de Albuquerque</t>
  </si>
  <si>
    <t>1806-04-19</t>
  </si>
  <si>
    <t>1875-12-02</t>
  </si>
  <si>
    <t>https://dadosabertos.camara.leg.br/api/v2/deputados/870</t>
  </si>
  <si>
    <t>ADOLFO DE BARROS</t>
  </si>
  <si>
    <t>Adolpho de Barros Cavalcanti de Albuquerque Lacerda</t>
  </si>
  <si>
    <t>1834-01-20</t>
  </si>
  <si>
    <t>https://dadosabertos.camara.leg.br/api/v2/deputados/874</t>
  </si>
  <si>
    <t>ALBUQUERQUE BARROS</t>
  </si>
  <si>
    <t>José Julio de Albuquerque Barros</t>
  </si>
  <si>
    <t>1841-05-11</t>
  </si>
  <si>
    <t>1893-08-31</t>
  </si>
  <si>
    <t>https://dadosabertos.camara.leg.br/api/v2/deputados/906</t>
  </si>
  <si>
    <t>ALBUQUERQUE MELO</t>
  </si>
  <si>
    <t>José Maria de Albuquerque Mello</t>
  </si>
  <si>
    <t>1895-03-04</t>
  </si>
  <si>
    <t>https://dadosabertos.camara.leg.br/api/v2/deputados/812</t>
  </si>
  <si>
    <t>AMBRÓSIO MACHADO</t>
  </si>
  <si>
    <t>Ambrósio Machado da Cunha Cavalcanti</t>
  </si>
  <si>
    <t>1830-10-07</t>
  </si>
  <si>
    <t>1897-04-04</t>
  </si>
  <si>
    <t>https://dadosabertos.camara.leg.br/api/v2/deputados/915</t>
  </si>
  <si>
    <t>AMERICO BRASILIENSE</t>
  </si>
  <si>
    <t>Américo Brasiliense de Almeida e Mello</t>
  </si>
  <si>
    <t>1833-08-08</t>
  </si>
  <si>
    <t>1896-03-25</t>
  </si>
  <si>
    <t>https://dadosabertos.camara.leg.br/api/v2/deputados/886</t>
  </si>
  <si>
    <t>AMERICO LOBO</t>
  </si>
  <si>
    <t>Americo Lobo Leite Pereira</t>
  </si>
  <si>
    <t>1841-06-28</t>
  </si>
  <si>
    <t>https://dadosabertos.camara.leg.br/api/v2/deputados/840</t>
  </si>
  <si>
    <t>ARAUJO BARROS</t>
  </si>
  <si>
    <t>Francisco de Araujo Barros</t>
  </si>
  <si>
    <t>1874-07-29</t>
  </si>
  <si>
    <t>https://dadosabertos.camara.leg.br/api/v2/deputados/887</t>
  </si>
  <si>
    <t>ARAUJO MOREIRA</t>
  </si>
  <si>
    <t>João Carlos de Araujo Moreira</t>
  </si>
  <si>
    <t>https://dadosabertos.camara.leg.br/api/v2/deputados/872</t>
  </si>
  <si>
    <t>ARAUJO VASCONCELOS</t>
  </si>
  <si>
    <t>João Antônio de Araujo e Vasconcellos</t>
  </si>
  <si>
    <t>https://dadosabertos.camara.leg.br/api/v2/deputados/885</t>
  </si>
  <si>
    <t>ASSIS</t>
  </si>
  <si>
    <t>Joaquim José de Assis</t>
  </si>
  <si>
    <t>1830-01-17</t>
  </si>
  <si>
    <t>1889-06-05</t>
  </si>
  <si>
    <t>https://dadosabertos.camara.leg.br/api/v2/deputados/820</t>
  </si>
  <si>
    <t>BARÃO DO CRATO</t>
  </si>
  <si>
    <t>Bernardo Duarte Brandão</t>
  </si>
  <si>
    <t>1832-07-15</t>
  </si>
  <si>
    <t>1880-06-19</t>
  </si>
  <si>
    <t>https://dadosabertos.camara.leg.br/api/v2/deputados/815</t>
  </si>
  <si>
    <t>BARBOSA DE OLIVEIRA</t>
  </si>
  <si>
    <t>João José Barbosa de Oliveira</t>
  </si>
  <si>
    <t>1818-07-02</t>
  </si>
  <si>
    <t>1874-11-29</t>
  </si>
  <si>
    <t>https://dadosabertos.camara.leg.br/api/v2/deputados/197</t>
  </si>
  <si>
    <t>José de Barros Pimentel</t>
  </si>
  <si>
    <t>1817-05-17</t>
  </si>
  <si>
    <t>1895-05-06</t>
  </si>
  <si>
    <t>https://dadosabertos.camara.leg.br/api/v2/deputados/868</t>
  </si>
  <si>
    <t>BITTENCOURT SAMPAIO</t>
  </si>
  <si>
    <t>Francisco Leite Bittencourt Sampaio</t>
  </si>
  <si>
    <t>1894-02-01</t>
  </si>
  <si>
    <t>1895-10-10</t>
  </si>
  <si>
    <t>https://dadosabertos.camara.leg.br/api/v2/deputados/653</t>
  </si>
  <si>
    <t>BRANDÃO</t>
  </si>
  <si>
    <t>Francisco Carlos Brandão</t>
  </si>
  <si>
    <t>https://dadosabertos.camara.leg.br/api/v2/deputados/848</t>
  </si>
  <si>
    <t>BURLAMAQUI</t>
  </si>
  <si>
    <t>Polydoro Cesar Burlamaque</t>
  </si>
  <si>
    <t>1836-06-15</t>
  </si>
  <si>
    <t>https://dadosabertos.camara.leg.br/api/v2/deputados/888</t>
  </si>
  <si>
    <t>CASSIANO</t>
  </si>
  <si>
    <t>Cassiano Bernardo de Noronha Gonzaga</t>
  </si>
  <si>
    <t>https://dadosabertos.camara.leg.br/api/v2/deputados/648</t>
  </si>
  <si>
    <t>CORREIA DAS NEVES</t>
  </si>
  <si>
    <t>Lindolfo José Corrêa das Neves</t>
  </si>
  <si>
    <t>1819-08-05</t>
  </si>
  <si>
    <t>1884-05-19</t>
  </si>
  <si>
    <t>https://dadosabertos.camara.leg.br/api/v2/deputados/901</t>
  </si>
  <si>
    <t>Floriano Corrêa de Brito</t>
  </si>
  <si>
    <t>https://dadosabertos.camara.leg.br/api/v2/deputados/532</t>
  </si>
  <si>
    <t>CRISPINIANO</t>
  </si>
  <si>
    <t>João Chrispiniano Soares</t>
  </si>
  <si>
    <t>1809-07-24</t>
  </si>
  <si>
    <t>1876-08-15</t>
  </si>
  <si>
    <t>https://dadosabertos.camara.leg.br/api/v2/deputados/535</t>
  </si>
  <si>
    <t>CRISTIANO OTONI</t>
  </si>
  <si>
    <t>Christiano Benedicto Ottoni</t>
  </si>
  <si>
    <t>1811-05-21</t>
  </si>
  <si>
    <t>1896-05-18</t>
  </si>
  <si>
    <t>https://dadosabertos.camara.leg.br/api/v2/deputados/911</t>
  </si>
  <si>
    <t>DIAS DA CRUZ</t>
  </si>
  <si>
    <t>Francisco de Menezes Dias da Cruz</t>
  </si>
  <si>
    <t>1826-02-10</t>
  </si>
  <si>
    <t>1878-06-26</t>
  </si>
  <si>
    <t>https://dadosabertos.camara.leg.br/api/v2/deputados/890</t>
  </si>
  <si>
    <t>ERNESTO DA COSTA</t>
  </si>
  <si>
    <t>Antônio Ernesto da Costa</t>
  </si>
  <si>
    <t>https://dadosabertos.camara.leg.br/api/v2/deputados/777</t>
  </si>
  <si>
    <t>ESPÍNOLA</t>
  </si>
  <si>
    <t>Antonio de Souza Spínola</t>
  </si>
  <si>
    <t>https://dadosabertos.camara.leg.br/api/v2/deputados/547</t>
  </si>
  <si>
    <t>FARIA</t>
  </si>
  <si>
    <t>Joaquim Francisco de Faria</t>
  </si>
  <si>
    <t>https://dadosabertos.camara.leg.br/api/v2/deputados/891</t>
  </si>
  <si>
    <t>FARNESE</t>
  </si>
  <si>
    <t>Flavio Farnese da Paixão</t>
  </si>
  <si>
    <t>1871-09-06</t>
  </si>
  <si>
    <t>https://dadosabertos.camara.leg.br/api/v2/deputados/801</t>
  </si>
  <si>
    <t>FIALHO</t>
  </si>
  <si>
    <t>Francisco José Fialho</t>
  </si>
  <si>
    <t>https://dadosabertos.camara.leg.br/api/v2/deputados/790</t>
  </si>
  <si>
    <t>FONSECA VIANA</t>
  </si>
  <si>
    <t>Antonio da Fonseca Vianna</t>
  </si>
  <si>
    <t>https://dadosabertos.camara.leg.br/api/v2/deputados/881</t>
  </si>
  <si>
    <t>FONTENELE</t>
  </si>
  <si>
    <t>Manoel Benício Fontenelle</t>
  </si>
  <si>
    <t>1828-12-25</t>
  </si>
  <si>
    <t>1895-07-06</t>
  </si>
  <si>
    <t>https://dadosabertos.camara.leg.br/api/v2/deputados/897</t>
  </si>
  <si>
    <t>GAMA ABREU</t>
  </si>
  <si>
    <t>José Coelho da Gama e Abreu</t>
  </si>
  <si>
    <t>1832-04-12</t>
  </si>
  <si>
    <t>https://dadosabertos.camara.leg.br/api/v2/deputados/875</t>
  </si>
  <si>
    <t>HIPÓLITO PAMPLONA</t>
  </si>
  <si>
    <t>Hipólito Cassiano Pamplona</t>
  </si>
  <si>
    <t>1819-03-02</t>
  </si>
  <si>
    <t>1895-05-10</t>
  </si>
  <si>
    <t>https://dadosabertos.camara.leg.br/api/v2/deputados/883</t>
  </si>
  <si>
    <t>JANSEN PEREIRA</t>
  </si>
  <si>
    <t>Izidoro Jansen Pereira</t>
  </si>
  <si>
    <t>https://dadosabertos.camara.leg.br/api/v2/deputados/839</t>
  </si>
  <si>
    <t>JOÃO LEITE</t>
  </si>
  <si>
    <t>João Leite Ferreira Júnior</t>
  </si>
  <si>
    <t>https://dadosabertos.camara.leg.br/api/v2/deputados/902</t>
  </si>
  <si>
    <t>João Francisco Teixeira</t>
  </si>
  <si>
    <t>https://dadosabertos.camara.leg.br/api/v2/deputados/591</t>
  </si>
  <si>
    <t>Ambrosio Leitão da Cunha</t>
  </si>
  <si>
    <t>1825-08-21</t>
  </si>
  <si>
    <t>1898-12-05</t>
  </si>
  <si>
    <t>https://dadosabertos.camara.leg.br/api/v2/deputados/905</t>
  </si>
  <si>
    <t>LUSTOSA DA CUNHA</t>
  </si>
  <si>
    <t>José Lustosa da Cunha Paranaguá</t>
  </si>
  <si>
    <t>1827-07-02</t>
  </si>
  <si>
    <t>Parnaguá</t>
  </si>
  <si>
    <t>https://dadosabertos.camara.leg.br/api/v2/deputados/683</t>
  </si>
  <si>
    <t>MADUREIRA</t>
  </si>
  <si>
    <t>Justiniano Baptista Madureira</t>
  </si>
  <si>
    <t>https://dadosabertos.camara.leg.br/api/v2/deputados/903</t>
  </si>
  <si>
    <t>MELO CAVALCANTI</t>
  </si>
  <si>
    <t>Joaquim Francisco de Mello Cavalcanti</t>
  </si>
  <si>
    <t>https://dadosabertos.camara.leg.br/api/v2/deputados/893</t>
  </si>
  <si>
    <t>Bernardo de Mello Franco</t>
  </si>
  <si>
    <t>1821-05-26</t>
  </si>
  <si>
    <t>1880-08-04</t>
  </si>
  <si>
    <t>https://dadosabertos.camara.leg.br/api/v2/deputados/912</t>
  </si>
  <si>
    <t>MORAIS COSTA</t>
  </si>
  <si>
    <t>Joaquim José de Morais Costa</t>
  </si>
  <si>
    <t>https://dadosabertos.camara.leg.br/api/v2/deputados/588</t>
  </si>
  <si>
    <t>PAULA SANTOS</t>
  </si>
  <si>
    <t>Francisco de Paula Santos</t>
  </si>
  <si>
    <t>1881-04-21</t>
  </si>
  <si>
    <t>https://dadosabertos.camara.leg.br/api/v2/deputados/871</t>
  </si>
  <si>
    <t>PEDRO LEITÃO</t>
  </si>
  <si>
    <t>Pedro Leitão da Cunha</t>
  </si>
  <si>
    <t>https://dadosabertos.camara.leg.br/api/v2/deputados/844</t>
  </si>
  <si>
    <t>PEREIRA DE BRITO</t>
  </si>
  <si>
    <t>Caetano Xavier Pereira de Brito</t>
  </si>
  <si>
    <t>https://dadosabertos.camara.leg.br/api/v2/deputados/894</t>
  </si>
  <si>
    <t>Francisco Augusto Pereira Lima</t>
  </si>
  <si>
    <t>https://dadosabertos.camara.leg.br/api/v2/deputados/879</t>
  </si>
  <si>
    <t>PINTO DE FIGUEIREDO</t>
  </si>
  <si>
    <t>Carlos Pinto de Figueiredo</t>
  </si>
  <si>
    <t>https://dadosabertos.camara.leg.br/api/v2/deputados/831</t>
  </si>
  <si>
    <t>SILVA PEREIRA</t>
  </si>
  <si>
    <t>Caetano Xavier da Silva Pereira</t>
  </si>
  <si>
    <t>1875-03-09</t>
  </si>
  <si>
    <t>https://dadosabertos.camara.leg.br/api/v2/deputados/727</t>
  </si>
  <si>
    <t>SILVEIRA LOBO</t>
  </si>
  <si>
    <t>Francisco de Paula da Silveira Lobo</t>
  </si>
  <si>
    <t>1826-01-01</t>
  </si>
  <si>
    <t>1886-04-24</t>
  </si>
  <si>
    <t>https://dadosabertos.camara.leg.br/api/v2/deputados/904</t>
  </si>
  <si>
    <t>SIZENANDO NABUCO</t>
  </si>
  <si>
    <t>Sizenando Barreto Nabuco de Araújo</t>
  </si>
  <si>
    <t>1842-07-16</t>
  </si>
  <si>
    <t>1892-03-11</t>
  </si>
  <si>
    <t>https://dadosabertos.camara.leg.br/api/v2/deputados/775</t>
  </si>
  <si>
    <t>TAVARES BASTOS</t>
  </si>
  <si>
    <t>Aureliano Cândido Tavares Bastos</t>
  </si>
  <si>
    <t>1839-04-20</t>
  </si>
  <si>
    <t>1875-12-03</t>
  </si>
  <si>
    <t>https://dadosabertos.camara.leg.br/api/v2/deputados/895</t>
  </si>
  <si>
    <t>TEIXEIRA GUIMARÃES</t>
  </si>
  <si>
    <t>José de Rezende Teixeira Guimarães</t>
  </si>
  <si>
    <t>https://dadosabertos.camara.leg.br/api/v2/deputados/781</t>
  </si>
  <si>
    <t>TIBERIO</t>
  </si>
  <si>
    <t>Álvaro Tibério de Moncorvo Lima</t>
  </si>
  <si>
    <t>1868-12-17</t>
  </si>
  <si>
    <t>https://dadosabertos.camara.leg.br/api/v2/deputados/494</t>
  </si>
  <si>
    <t>TOSCANO DE BRITO</t>
  </si>
  <si>
    <t>Felizardo Toscano de Brito</t>
  </si>
  <si>
    <t>1876-11-29</t>
  </si>
  <si>
    <t>https://dadosabertos.camara.leg.br/api/v2/deputados/896</t>
  </si>
  <si>
    <t>VAZ PINTO</t>
  </si>
  <si>
    <t>Antônio Vaz Pinto Coelho da Cunha</t>
  </si>
  <si>
    <t>https://dadosabertos.camara.leg.br/api/v2/deputados/913</t>
  </si>
  <si>
    <t>VERÍSSIMO DE MATOS</t>
  </si>
  <si>
    <t>Antônio Veríssimo de Mattos</t>
  </si>
  <si>
    <t>https://dadosabertos.camara.leg.br/api/v2/deputados/873</t>
  </si>
  <si>
    <t>VILABOIM</t>
  </si>
  <si>
    <t>Manoel Pedro Alvares Moreira Villaboim</t>
  </si>
  <si>
    <t>https://dadosabertos.camara.leg.br/api/v2/deputados/850</t>
  </si>
  <si>
    <t>AFONSO ALVES</t>
  </si>
  <si>
    <t>Joaquim José Affonso Alves</t>
  </si>
  <si>
    <t>https://dadosabertos.camara.leg.br/api/v2/deputados/827</t>
  </si>
  <si>
    <t>ALMEIDA BRAGA</t>
  </si>
  <si>
    <t>Gentil Homem de Almeida Braga</t>
  </si>
  <si>
    <t>1835-03-25</t>
  </si>
  <si>
    <t>1876-07-25</t>
  </si>
  <si>
    <t>https://dadosabertos.camara.leg.br/api/v2/deputados/413</t>
  </si>
  <si>
    <t>BARBOSA DE ALMEIDA</t>
  </si>
  <si>
    <t>Luiz Antonio Barbosa de Almeida</t>
  </si>
  <si>
    <t>1812-07-05</t>
  </si>
  <si>
    <t>1892-08-08</t>
  </si>
  <si>
    <t>https://dadosabertos.camara.leg.br/api/v2/deputados/841</t>
  </si>
  <si>
    <t>Ignacio de Barros Barreto</t>
  </si>
  <si>
    <t>1827-07-23</t>
  </si>
  <si>
    <t>1887-11-03</t>
  </si>
  <si>
    <t>https://dadosabertos.camara.leg.br/api/v2/deputados/855</t>
  </si>
  <si>
    <t>BELEGARDE</t>
  </si>
  <si>
    <t>Pedro de Alcântara Bellegarde</t>
  </si>
  <si>
    <t>1807-12-03</t>
  </si>
  <si>
    <t>1864-02-12</t>
  </si>
  <si>
    <t>https://dadosabertos.camara.leg.br/api/v2/deputados/828</t>
  </si>
  <si>
    <t>CARLOS RIBEIRO</t>
  </si>
  <si>
    <t>Carlos Fernando Ribeiro</t>
  </si>
  <si>
    <t>1889-09-11</t>
  </si>
  <si>
    <t>https://dadosabertos.camara.leg.br/api/v2/deputados/543</t>
  </si>
  <si>
    <t>CARNEIRO DE CAMPOS</t>
  </si>
  <si>
    <t>Frederico Carneiro de Campos</t>
  </si>
  <si>
    <t>1867-11-14</t>
  </si>
  <si>
    <t>https://dadosabertos.camara.leg.br/api/v2/deputados/557</t>
  </si>
  <si>
    <t>CARRÃO</t>
  </si>
  <si>
    <t>João da Silva Carrão</t>
  </si>
  <si>
    <t>1814-05-14</t>
  </si>
  <si>
    <t>1888-06-04</t>
  </si>
  <si>
    <t>https://dadosabertos.camara.leg.br/api/v2/deputados/225374</t>
  </si>
  <si>
    <t>CARVALHO DE MENDONÇA</t>
  </si>
  <si>
    <t>Manoel Ignácio de Carvalho Mendonça Filho</t>
  </si>
  <si>
    <t>1881-08-16</t>
  </si>
  <si>
    <t>https://dadosabertos.camara.leg.br/api/v2/deputados/936</t>
  </si>
  <si>
    <t>CASIMIRO MADUREIRA</t>
  </si>
  <si>
    <t>Casimiro de Senna Madureira</t>
  </si>
  <si>
    <t>https://dadosabertos.camara.leg.br/api/v2/deputados/716</t>
  </si>
  <si>
    <t>CESAR</t>
  </si>
  <si>
    <t>Antonio Joaquim Cesar</t>
  </si>
  <si>
    <t>https://dadosabertos.camara.leg.br/api/v2/deputados/865</t>
  </si>
  <si>
    <t>COSTA GUIMARÃES</t>
  </si>
  <si>
    <t>Antonio Moreira da Costa Guimarães</t>
  </si>
  <si>
    <t>https://dadosabertos.camara.leg.br/api/v2/deputados/226064</t>
  </si>
  <si>
    <t>José da Costa Machado Junior</t>
  </si>
  <si>
    <t>https://dadosabertos.camara.leg.br/api/v2/deputados/785</t>
  </si>
  <si>
    <t>DE LAMARE</t>
  </si>
  <si>
    <t>Joaquim Raymundo de Lamare</t>
  </si>
  <si>
    <t>1811-10-15</t>
  </si>
  <si>
    <t>1889-06-10</t>
  </si>
  <si>
    <t>https://dadosabertos.camara.leg.br/api/v2/deputados/834</t>
  </si>
  <si>
    <t>DOMICIANO</t>
  </si>
  <si>
    <t>Domiciano Leite Ribeiro</t>
  </si>
  <si>
    <t>1812-04-03</t>
  </si>
  <si>
    <t>1881-06-12</t>
  </si>
  <si>
    <t>https://dadosabertos.camara.leg.br/api/v2/deputados/842</t>
  </si>
  <si>
    <t>FEITOSA</t>
  </si>
  <si>
    <t>Antonio Vicente do Nascimento Feitosa</t>
  </si>
  <si>
    <t>1816-06-10</t>
  </si>
  <si>
    <t>1868-08-29</t>
  </si>
  <si>
    <t>https://dadosabertos.camara.leg.br/api/v2/deputados/835</t>
  </si>
  <si>
    <t>Joaquim Felício dos Santos</t>
  </si>
  <si>
    <t>1828-02-01</t>
  </si>
  <si>
    <t>1895-10-21</t>
  </si>
  <si>
    <t>https://dadosabertos.camara.leg.br/api/v2/deputados/856</t>
  </si>
  <si>
    <t>FERNANDES MOREIRA</t>
  </si>
  <si>
    <t>José Fernandes Moreira</t>
  </si>
  <si>
    <t>https://dadosabertos.camara.leg.br/api/v2/deputados/829</t>
  </si>
  <si>
    <t>FERREIRA VALE</t>
  </si>
  <si>
    <t>José Joaquim Ferreira Valle</t>
  </si>
  <si>
    <t>1823-06-15</t>
  </si>
  <si>
    <t>1899-02-02</t>
  </si>
  <si>
    <t>https://dadosabertos.camara.leg.br/api/v2/deputados/821</t>
  </si>
  <si>
    <t>José Antonio de Figueiredo</t>
  </si>
  <si>
    <t>1823-12-15</t>
  </si>
  <si>
    <t>1876-04-18</t>
  </si>
  <si>
    <t>https://dadosabertos.camara.leg.br/api/v2/deputados/530</t>
  </si>
  <si>
    <t>Francisco José Furtado</t>
  </si>
  <si>
    <t>1818-08-03</t>
  </si>
  <si>
    <t>1870-07-23</t>
  </si>
  <si>
    <t>https://dadosabertos.camara.leg.br/api/v2/deputados/843</t>
  </si>
  <si>
    <t>GODOI</t>
  </si>
  <si>
    <t>José Leandro de Godoy Vasconcellos</t>
  </si>
  <si>
    <t>1834-02-27</t>
  </si>
  <si>
    <t>1888-11-11</t>
  </si>
  <si>
    <t>https://dadosabertos.camara.leg.br/api/v2/deputados/707</t>
  </si>
  <si>
    <t>GOMES DE SOUZA</t>
  </si>
  <si>
    <t>Joaquim Gomes de Souza</t>
  </si>
  <si>
    <t>1829-02-15</t>
  </si>
  <si>
    <t>1864-06-01</t>
  </si>
  <si>
    <t>https://dadosabertos.camara.leg.br/api/v2/deputados/735</t>
  </si>
  <si>
    <t>HENRIQUES DE ALMEIDA</t>
  </si>
  <si>
    <t>Philinto Henriques de Almeida</t>
  </si>
  <si>
    <t>https://dadosabertos.camara.leg.br/api/v2/deputados/226063</t>
  </si>
  <si>
    <t>JACOBINA</t>
  </si>
  <si>
    <t>Antonio de Araujo Ferreira Jacobina</t>
  </si>
  <si>
    <t>1829-12-08</t>
  </si>
  <si>
    <t>1896-12-01</t>
  </si>
  <si>
    <t>https://dadosabertos.camara.leg.br/api/v2/deputados/739</t>
  </si>
  <si>
    <t>JESUINO MARCONDES</t>
  </si>
  <si>
    <t>Jesuíno Marconde de Oliveira e Sá</t>
  </si>
  <si>
    <t>1827-06-01</t>
  </si>
  <si>
    <t>https://dadosabertos.camara.leg.br/api/v2/deputados/488</t>
  </si>
  <si>
    <t>José Jorge da Silva</t>
  </si>
  <si>
    <t>1810-04-12</t>
  </si>
  <si>
    <t>1880-02-05</t>
  </si>
  <si>
    <t>https://dadosabertos.camara.leg.br/api/v2/deputados/779</t>
  </si>
  <si>
    <t>João José de Oliveira Junqueira Júnior</t>
  </si>
  <si>
    <t>https://dadosabertos.camara.leg.br/api/v2/deputados/836</t>
  </si>
  <si>
    <t>LIMPO DE ABREU</t>
  </si>
  <si>
    <t>Henrique Limpo de Abreu</t>
  </si>
  <si>
    <t>1839-04-28</t>
  </si>
  <si>
    <t>1881-06-30</t>
  </si>
  <si>
    <t>https://dadosabertos.camara.leg.br/api/v2/deputados/499</t>
  </si>
  <si>
    <t>LOPES NETO</t>
  </si>
  <si>
    <t>Felippe Lopes Netto</t>
  </si>
  <si>
    <t>https://dadosabertos.camara.leg.br/api/v2/deputados/859</t>
  </si>
  <si>
    <t>MANUEL JOAQUIM</t>
  </si>
  <si>
    <t>Manoel Joaquim da Silva</t>
  </si>
  <si>
    <t>1818-01-06</t>
  </si>
  <si>
    <t>1888-10-19</t>
  </si>
  <si>
    <t>https://dadosabertos.camara.leg.br/api/v2/deputados/540</t>
  </si>
  <si>
    <t>Manoel de Mello Franco</t>
  </si>
  <si>
    <t>1812-01-31</t>
  </si>
  <si>
    <t>1871-11-03</t>
  </si>
  <si>
    <t>https://dadosabertos.camara.leg.br/api/v2/deputados/860</t>
  </si>
  <si>
    <t>José Feliciano de Moraes Costa</t>
  </si>
  <si>
    <t>https://dadosabertos.camara.leg.br/api/v2/deputados/852</t>
  </si>
  <si>
    <t>NERY</t>
  </si>
  <si>
    <t>Felippe Bethbezé de Oliveira Nery</t>
  </si>
  <si>
    <t>1820-03-03</t>
  </si>
  <si>
    <t>https://dadosabertos.camara.leg.br/api/v2/deputados/636</t>
  </si>
  <si>
    <t>NUNES GONÇALVES</t>
  </si>
  <si>
    <t>Antonio Marcellino Nunes Gonçalves</t>
  </si>
  <si>
    <t>1823-04-06</t>
  </si>
  <si>
    <t>1899-05-31</t>
  </si>
  <si>
    <t>https://dadosabertos.camara.leg.br/api/v2/deputados/669</t>
  </si>
  <si>
    <t>OTAVIANO</t>
  </si>
  <si>
    <t>Francisco Otaviano de Almeida Rosa</t>
  </si>
  <si>
    <t>1825-06-26</t>
  </si>
  <si>
    <t>1889-05-28</t>
  </si>
  <si>
    <t>https://dadosabertos.camara.leg.br/api/v2/deputados/380</t>
  </si>
  <si>
    <t>Theophilo Benedicto Ottoni</t>
  </si>
  <si>
    <t>1807-11-27</t>
  </si>
  <si>
    <t>1869-10-17</t>
  </si>
  <si>
    <t>https://dadosabertos.camara.leg.br/api/v2/deputados/610</t>
  </si>
  <si>
    <t>PAIS BARRETO</t>
  </si>
  <si>
    <t>Francisco Xavier Paes Barreto</t>
  </si>
  <si>
    <t>1864-02-28</t>
  </si>
  <si>
    <t>https://dadosabertos.camara.leg.br/api/v2/deputados/482</t>
  </si>
  <si>
    <t>PAMPLONA</t>
  </si>
  <si>
    <t>Frederico Augusto Pamplona</t>
  </si>
  <si>
    <t>1865-10-11</t>
  </si>
  <si>
    <t>https://dadosabertos.camara.leg.br/api/v2/deputados/613</t>
  </si>
  <si>
    <t>PARANAGUÁ</t>
  </si>
  <si>
    <t>João Lustosa da Cunha Paranaguá</t>
  </si>
  <si>
    <t>1821-08-21</t>
  </si>
  <si>
    <t>https://dadosabertos.camara.leg.br/api/v2/deputados/866</t>
  </si>
  <si>
    <t>PAULA SOUZA</t>
  </si>
  <si>
    <t>Antonio Francisco de Paula e Souza</t>
  </si>
  <si>
    <t>1819-10-03</t>
  </si>
  <si>
    <t>1866-11-18</t>
  </si>
  <si>
    <t>https://dadosabertos.camara.leg.br/api/v2/deputados/818</t>
  </si>
  <si>
    <t>Pedro Antonio Falcão Brandão</t>
  </si>
  <si>
    <t>https://dadosabertos.camara.leg.br/api/v2/deputados/853</t>
  </si>
  <si>
    <t>Antonio Gomes Pinheiro Machado</t>
  </si>
  <si>
    <t>https://dadosabertos.camara.leg.br/api/v2/deputados/298</t>
  </si>
  <si>
    <t>PINTO DE MENDONÇA</t>
  </si>
  <si>
    <t>Antônio Pinto de Mendonça</t>
  </si>
  <si>
    <t>1803-04-04</t>
  </si>
  <si>
    <t>1872-04-15</t>
  </si>
  <si>
    <t>https://dadosabertos.camara.leg.br/api/v2/deputados/838</t>
  </si>
  <si>
    <t>RAIOL</t>
  </si>
  <si>
    <t>Domingos Antonio Raiol</t>
  </si>
  <si>
    <t>1830-03-30</t>
  </si>
  <si>
    <t>https://dadosabertos.camara.leg.br/api/v2/deputados/700</t>
  </si>
  <si>
    <t>RIBEIRO</t>
  </si>
  <si>
    <t>Raymundo Francisco Ribeiro</t>
  </si>
  <si>
    <t>1820-03-23</t>
  </si>
  <si>
    <t>1894-06-11</t>
  </si>
  <si>
    <t>https://dadosabertos.camara.leg.br/api/v2/deputados/655</t>
  </si>
  <si>
    <t>SÁ E ALBUQUERQUE</t>
  </si>
  <si>
    <t>Antonio Coelho de Sá e Albuquerque</t>
  </si>
  <si>
    <t>1821-10-18</t>
  </si>
  <si>
    <t>1868-02-22</t>
  </si>
  <si>
    <t>https://dadosabertos.camara.leg.br/api/v2/deputados/867</t>
  </si>
  <si>
    <t>SANTOS GOMES</t>
  </si>
  <si>
    <t>Francisco Gomes dos Santos Lopes</t>
  </si>
  <si>
    <t>https://dadosabertos.camara.leg.br/api/v2/deputados/623</t>
  </si>
  <si>
    <t>SARAIVA</t>
  </si>
  <si>
    <t>José Antonio Saraiva</t>
  </si>
  <si>
    <t>1823-03-01</t>
  </si>
  <si>
    <t>1895-07-21</t>
  </si>
  <si>
    <t>https://dadosabertos.camara.leg.br/api/v2/deputados/745</t>
  </si>
  <si>
    <t>SILVINO CAVALCANTI</t>
  </si>
  <si>
    <t>Silvino Cavalcanti de Albuquerque</t>
  </si>
  <si>
    <t>https://dadosabertos.camara.leg.br/api/v2/deputados/846</t>
  </si>
  <si>
    <t>SOUSA BANDEIRA</t>
  </si>
  <si>
    <t>Antonio Herculano de Souza Bandeira</t>
  </si>
  <si>
    <t>1813-04-13</t>
  </si>
  <si>
    <t>1884-11-30</t>
  </si>
  <si>
    <t>https://dadosabertos.camara.leg.br/api/v2/deputados/359</t>
  </si>
  <si>
    <t>José Ferreira Souto</t>
  </si>
  <si>
    <t>1864-02-22</t>
  </si>
  <si>
    <t>https://dadosabertos.camara.leg.br/api/v2/deputados/826</t>
  </si>
  <si>
    <t>TEODORO</t>
  </si>
  <si>
    <t>Theodoro Rodrigues de Moraes</t>
  </si>
  <si>
    <t>https://dadosabertos.camara.leg.br/api/v2/deputados/397</t>
  </si>
  <si>
    <t>URBANO</t>
  </si>
  <si>
    <t>Urbano Sabino Pessoa de Mello</t>
  </si>
  <si>
    <t>1870-12-07</t>
  </si>
  <si>
    <t>https://dadosabertos.camara.leg.br/api/v2/deputados/511</t>
  </si>
  <si>
    <t>Manoel de Jesus Valdetaro</t>
  </si>
  <si>
    <t>1807-09-04</t>
  </si>
  <si>
    <t>1872-11-21</t>
  </si>
  <si>
    <t>https://dadosabertos.camara.leg.br/api/v2/deputados/825</t>
  </si>
  <si>
    <t>VASCONCELOS</t>
  </si>
  <si>
    <t>José Marcelino Pereira Vasconcellos</t>
  </si>
  <si>
    <t>1821-10-01</t>
  </si>
  <si>
    <t>1874-11-26</t>
  </si>
  <si>
    <t>https://dadosabertos.camara.leg.br/api/v2/deputados/638</t>
  </si>
  <si>
    <t>VIRIATO</t>
  </si>
  <si>
    <t>Viriato Bandeira Duarte</t>
  </si>
  <si>
    <t>1819-07-21</t>
  </si>
  <si>
    <t>1893-12-03</t>
  </si>
  <si>
    <t>https://dadosabertos.camara.leg.br/api/v2/deputados/605</t>
  </si>
  <si>
    <t>ZACARIAS</t>
  </si>
  <si>
    <t>Zacarias de Góis e Vasconcelos</t>
  </si>
  <si>
    <t>1815-11-15</t>
  </si>
  <si>
    <t>1877-12-28</t>
  </si>
  <si>
    <t>https://dadosabertos.camara.leg.br/api/v2/deputados/804</t>
  </si>
  <si>
    <t>AMARO DA SILVEIRA</t>
  </si>
  <si>
    <t>Amaro José D'ávila da Silveira</t>
  </si>
  <si>
    <t>https://dadosabertos.camara.leg.br/api/v2/deputados/807</t>
  </si>
  <si>
    <t>BARÃO DE BELA VISTA</t>
  </si>
  <si>
    <t>José de Aguiar Toledo</t>
  </si>
  <si>
    <t>1823-06-13</t>
  </si>
  <si>
    <t>1898-08-14</t>
  </si>
  <si>
    <t>https://dadosabertos.camara.leg.br/api/v2/deputados/676</t>
  </si>
  <si>
    <t>BARÃO DE MAROIM</t>
  </si>
  <si>
    <t>João Gomes de Mello</t>
  </si>
  <si>
    <t>1809-09-18</t>
  </si>
  <si>
    <t>1890-04-23</t>
  </si>
  <si>
    <t>https://dadosabertos.camara.leg.br/api/v2/deputados/671</t>
  </si>
  <si>
    <t>BARBOSA DA CUNHA</t>
  </si>
  <si>
    <t>Antonio Gonçalves Barbosa da Cunha</t>
  </si>
  <si>
    <t>https://dadosabertos.camara.leg.br/api/v2/deputados/551</t>
  </si>
  <si>
    <t>BARCELOS</t>
  </si>
  <si>
    <t>Israel Rodrigues Barcellos</t>
  </si>
  <si>
    <t>1817-09-11</t>
  </si>
  <si>
    <t>1890-10-06</t>
  </si>
  <si>
    <t>https://dadosabertos.camara.leg.br/api/v2/deputados/772</t>
  </si>
  <si>
    <t>Benjamim Franklin da Rocha Vieira</t>
  </si>
  <si>
    <t>https://dadosabertos.camara.leg.br/api/v2/deputados/809</t>
  </si>
  <si>
    <t>CALAZANS</t>
  </si>
  <si>
    <t>Pedro Luziense de Bittencourt Calazans</t>
  </si>
  <si>
    <t>1837-01-29</t>
  </si>
  <si>
    <t>1874-02-24</t>
  </si>
  <si>
    <t>Santa Luzia do Itanhy</t>
  </si>
  <si>
    <t>https://dadosabertos.camara.leg.br/api/v2/deputados/786</t>
  </si>
  <si>
    <t>CARNEIRO DE MENDONÇA</t>
  </si>
  <si>
    <t>Melchior Carneiro de Mendonça Franco</t>
  </si>
  <si>
    <t>1875-04-19</t>
  </si>
  <si>
    <t>https://dadosabertos.camara.leg.br/api/v2/deputados/787</t>
  </si>
  <si>
    <t>CIRILO</t>
  </si>
  <si>
    <t>Francisco Cyrillo Ribeiro de Souza</t>
  </si>
  <si>
    <t>1890-11-02</t>
  </si>
  <si>
    <t>https://dadosabertos.camara.leg.br/api/v2/deputados/713</t>
  </si>
  <si>
    <t>COUTO</t>
  </si>
  <si>
    <t>Antonio Corrêa do Couto</t>
  </si>
  <si>
    <t>1827-11-02</t>
  </si>
  <si>
    <t>https://dadosabertos.camara.leg.br/api/v2/deputados/706</t>
  </si>
  <si>
    <t>João Pedro Dias Vieira</t>
  </si>
  <si>
    <t>1820-03-30</t>
  </si>
  <si>
    <t>1870-10-30</t>
  </si>
  <si>
    <t>https://dadosabertos.camara.leg.br/api/v2/deputados/805</t>
  </si>
  <si>
    <t>FELIX DA CUNHA</t>
  </si>
  <si>
    <t>Felix Xavier da Cunha</t>
  </si>
  <si>
    <t>1833-09-16</t>
  </si>
  <si>
    <t>1865-02-21</t>
  </si>
  <si>
    <t>https://dadosabertos.camara.leg.br/api/v2/deputados/569</t>
  </si>
  <si>
    <t>Miguel Fernandes Vieira</t>
  </si>
  <si>
    <t>1816-01-13</t>
  </si>
  <si>
    <t>1862-08-06</t>
  </si>
  <si>
    <t>https://dadosabertos.camara.leg.br/api/v2/deputados/778</t>
  </si>
  <si>
    <t>GASPARINO</t>
  </si>
  <si>
    <t>Gasparino Moreira de Castro</t>
  </si>
  <si>
    <t>https://dadosabertos.camara.leg.br/api/v2/deputados/808</t>
  </si>
  <si>
    <t>LESSA</t>
  </si>
  <si>
    <t>Flamínio Antônio do Nascimento Lessa</t>
  </si>
  <si>
    <t>1822-09-07</t>
  </si>
  <si>
    <t>1877-02-09</t>
  </si>
  <si>
    <t>https://dadosabertos.camara.leg.br/api/v2/deputados/627</t>
  </si>
  <si>
    <t>MACÁRIO</t>
  </si>
  <si>
    <t>Jerônymo Macário Figueira de Mello</t>
  </si>
  <si>
    <t>1830-04-01</t>
  </si>
  <si>
    <t>https://dadosabertos.camara.leg.br/api/v2/deputados/1544</t>
  </si>
  <si>
    <t>1817-04-21</t>
  </si>
  <si>
    <t>1865-12-30</t>
  </si>
  <si>
    <t>https://dadosabertos.camara.leg.br/api/v2/deputados/555</t>
  </si>
  <si>
    <t>José Maria da Silva Paranhos</t>
  </si>
  <si>
    <t>1819-03-16</t>
  </si>
  <si>
    <t>1880-11-01</t>
  </si>
  <si>
    <t>https://dadosabertos.camara.leg.br/api/v2/deputados/118</t>
  </si>
  <si>
    <t>PEDREIRA</t>
  </si>
  <si>
    <t>Luiz Pedreira do Couto Ferraz</t>
  </si>
  <si>
    <t>1818-05-07</t>
  </si>
  <si>
    <t>1886-08-12</t>
  </si>
  <si>
    <t>https://dadosabertos.camara.leg.br/api/v2/deputados/701</t>
  </si>
  <si>
    <t>Antonio Pereira Pinto</t>
  </si>
  <si>
    <t>1819-03-20</t>
  </si>
  <si>
    <t>1880-06-05</t>
  </si>
  <si>
    <t>https://dadosabertos.camara.leg.br/api/v2/deputados/792</t>
  </si>
  <si>
    <t>RABELO HORTA</t>
  </si>
  <si>
    <t>Manoel José Gomes Rabello Horta</t>
  </si>
  <si>
    <t>1887-08-03</t>
  </si>
  <si>
    <t>https://dadosabertos.camara.leg.br/api/v2/deputados/803</t>
  </si>
  <si>
    <t>RAPOSO DA CAMARA</t>
  </si>
  <si>
    <t>Gabriel Soares Raposo da Câmara</t>
  </si>
  <si>
    <t>https://dadosabertos.camara.leg.br/api/v2/deputados/258</t>
  </si>
  <si>
    <t>1803-08-18</t>
  </si>
  <si>
    <t>1863-03-07</t>
  </si>
  <si>
    <t>https://dadosabertos.camara.leg.br/api/v2/deputados/703</t>
  </si>
  <si>
    <t>SANTA CRUZ</t>
  </si>
  <si>
    <t>Felippe Antonio Cardoso de Santa Cruz</t>
  </si>
  <si>
    <t>https://dadosabertos.camara.leg.br/api/v2/deputados/759</t>
  </si>
  <si>
    <t>SERGIO DE MACEDO</t>
  </si>
  <si>
    <t>Sergio Teixeira de Macedo</t>
  </si>
  <si>
    <t>1809-09-09</t>
  </si>
  <si>
    <t>1867-11-11</t>
  </si>
  <si>
    <t>https://dadosabertos.camara.leg.br/api/v2/deputados/680</t>
  </si>
  <si>
    <t>SERRA CARNEIRO</t>
  </si>
  <si>
    <t>Francisco da Serra Carneiro</t>
  </si>
  <si>
    <t>https://dadosabertos.camara.leg.br/api/v2/deputados/796</t>
  </si>
  <si>
    <t>SILVEIRA DA MOTA</t>
  </si>
  <si>
    <t>Joaquim Ignácio Silveira da Motta</t>
  </si>
  <si>
    <t>1818-05-02</t>
  </si>
  <si>
    <t>https://dadosabertos.camara.leg.br/api/v2/deputados/802</t>
  </si>
  <si>
    <t>SOUSA MENDES</t>
  </si>
  <si>
    <t>Simplicio de Souza Mendes</t>
  </si>
  <si>
    <t>https://dadosabertos.camara.leg.br/api/v2/deputados/490</t>
  </si>
  <si>
    <t>TORRES-HOMEM</t>
  </si>
  <si>
    <t>Francisco de Salles Torres-Homem</t>
  </si>
  <si>
    <t>1812-01-29</t>
  </si>
  <si>
    <t>1876-06-03</t>
  </si>
  <si>
    <t>https://dadosabertos.camara.leg.br/api/v2/deputados/501</t>
  </si>
  <si>
    <t>VILELA TAVARES</t>
  </si>
  <si>
    <t>Jeronymo Villela de Castro Tavares</t>
  </si>
  <si>
    <t>1815-10-08</t>
  </si>
  <si>
    <t>1869-04-25</t>
  </si>
  <si>
    <t>https://dadosabertos.camara.leg.br/api/v2/deputados/678</t>
  </si>
  <si>
    <t>ACIOLI DE LIMA</t>
  </si>
  <si>
    <t>José Casado Accioli de Lima</t>
  </si>
  <si>
    <t>https://dadosabertos.camara.leg.br/api/v2/deputados/763</t>
  </si>
  <si>
    <t>AGUIAR BARROS</t>
  </si>
  <si>
    <t>Antonio de Aguiar Barros</t>
  </si>
  <si>
    <t>1823-12-25</t>
  </si>
  <si>
    <t>1889-01-30</t>
  </si>
  <si>
    <t>https://dadosabertos.camara.leg.br/api/v2/deputados/714</t>
  </si>
  <si>
    <t>Pedro de Alcântara Machado</t>
  </si>
  <si>
    <t>1808-08-27</t>
  </si>
  <si>
    <t>https://dadosabertos.camara.leg.br/api/v2/deputados/753</t>
  </si>
  <si>
    <t>ALEXANDRE DE SIQUEIRA</t>
  </si>
  <si>
    <t>Alexandre Joaquim da Siqueira</t>
  </si>
  <si>
    <t>1814-12-19</t>
  </si>
  <si>
    <t>https://dadosabertos.camara.leg.br/api/v2/deputados/567</t>
  </si>
  <si>
    <t>ANDRÉ BASTOS</t>
  </si>
  <si>
    <t>André Bastos de Oliveira</t>
  </si>
  <si>
    <t>1808-02-14</t>
  </si>
  <si>
    <t>1862-07-07</t>
  </si>
  <si>
    <t>https://dadosabertos.camara.leg.br/api/v2/deputados/740</t>
  </si>
  <si>
    <t>ANTONIO CAVALCANTI</t>
  </si>
  <si>
    <t>Antonio Luiz Cavalcanti de Albuquerque</t>
  </si>
  <si>
    <t>https://dadosabertos.camara.leg.br/api/v2/deputados/681</t>
  </si>
  <si>
    <t>ANTUNES DE CAMPOS</t>
  </si>
  <si>
    <t>Francisco Luis Antunes de Campos</t>
  </si>
  <si>
    <t>https://dadosabertos.camara.leg.br/api/v2/deputados/637</t>
  </si>
  <si>
    <t>ARAÚJO JORGE</t>
  </si>
  <si>
    <t>Silvério Fernandes de Araújo Jorge</t>
  </si>
  <si>
    <t>1817-07-20</t>
  </si>
  <si>
    <t>https://dadosabertos.camara.leg.br/api/v2/deputados/693</t>
  </si>
  <si>
    <t>Francisco de Araújo Lima</t>
  </si>
  <si>
    <t>https://dadosabertos.camara.leg.br/api/v2/deputados/715</t>
  </si>
  <si>
    <t>ATAÍDE</t>
  </si>
  <si>
    <t>Francisco de Assis Athayde</t>
  </si>
  <si>
    <t>https://dadosabertos.camara.leg.br/api/v2/deputados/730</t>
  </si>
  <si>
    <t>AUGUSTO CORRÊA</t>
  </si>
  <si>
    <t>João Augusto Corrêa de Aguiar</t>
  </si>
  <si>
    <t>https://dadosabertos.camara.leg.br/api/v2/deputados/770</t>
  </si>
  <si>
    <t>BAPTISTA MONTEIRO</t>
  </si>
  <si>
    <t>João Baptista Monteiro</t>
  </si>
  <si>
    <t>https://dadosabertos.camara.leg.br/api/v2/deputados/704</t>
  </si>
  <si>
    <t>BARÃO DE SÃO BENTO</t>
  </si>
  <si>
    <t>Francisco Mariano de Viveiros Sobrinho</t>
  </si>
  <si>
    <t>1819-01-12</t>
  </si>
  <si>
    <t>1860-01-10</t>
  </si>
  <si>
    <t>https://dadosabertos.camara.leg.br/api/v2/deputados/431</t>
  </si>
  <si>
    <t>BARBOSA</t>
  </si>
  <si>
    <t>Luiz Antonio Barbosa</t>
  </si>
  <si>
    <t>1814-06-20</t>
  </si>
  <si>
    <t>1860-03-15</t>
  </si>
  <si>
    <t>https://dadosabertos.camara.leg.br/api/v2/deputados/741</t>
  </si>
  <si>
    <t>BARROS DE LACERDA</t>
  </si>
  <si>
    <t>Sebastião do Rego Barros de Lacerda</t>
  </si>
  <si>
    <t>https://dadosabertos.camara.leg.br/api/v2/deputados/705</t>
  </si>
  <si>
    <t>BELFORT</t>
  </si>
  <si>
    <t>José Joaquim Teixeira Vieira Belfort</t>
  </si>
  <si>
    <t>https://dadosabertos.camara.leg.br/api/v2/deputados/228</t>
  </si>
  <si>
    <t>Bernardo Belisário Soares de Souza</t>
  </si>
  <si>
    <t>1861-05-28</t>
  </si>
  <si>
    <t>https://dadosabertos.camara.leg.br/api/v2/deputados/780</t>
  </si>
  <si>
    <t>BENEVIDES</t>
  </si>
  <si>
    <t>Salvador Corrêa de Sá e Benevides</t>
  </si>
  <si>
    <t>https://dadosabertos.camara.leg.br/api/v2/deputados/751</t>
  </si>
  <si>
    <t>BORGES FORTES</t>
  </si>
  <si>
    <t>João Pereira da Silva Borges Fortes</t>
  </si>
  <si>
    <t>https://dadosabertos.camara.leg.br/api/v2/deputados/682</t>
  </si>
  <si>
    <t>Balthazar de Araújo Aragão Bulcão</t>
  </si>
  <si>
    <t>https://dadosabertos.camara.leg.br/api/v2/deputados/679</t>
  </si>
  <si>
    <t>CALHEIROS</t>
  </si>
  <si>
    <t>Roberto Calheiros de Mello</t>
  </si>
  <si>
    <t>1821-01-26</t>
  </si>
  <si>
    <t>1895-05-04</t>
  </si>
  <si>
    <t>https://dadosabertos.camara.leg.br/api/v2/deputados/694</t>
  </si>
  <si>
    <t>CAMILO LINHARES</t>
  </si>
  <si>
    <t>José Camilo Linhares</t>
  </si>
  <si>
    <t>https://dadosabertos.camara.leg.br/api/v2/deputados/742</t>
  </si>
  <si>
    <t>Francisco João Carneiro da Cunha</t>
  </si>
  <si>
    <t>https://dadosabertos.camara.leg.br/api/v2/deputados/755</t>
  </si>
  <si>
    <t>João Nepomuceno Castrioto</t>
  </si>
  <si>
    <t>https://dadosabertos.camara.leg.br/api/v2/deputados/382</t>
  </si>
  <si>
    <t>CERQUEIRA LEITE</t>
  </si>
  <si>
    <t>Pedro de Alcântara Cerqueira Leite</t>
  </si>
  <si>
    <t>1807-06-28</t>
  </si>
  <si>
    <t>https://dadosabertos.camara.leg.br/api/v2/deputados/718</t>
  </si>
  <si>
    <t>CHAGAS ANDRADE</t>
  </si>
  <si>
    <t>João das Chagas Andrade</t>
  </si>
  <si>
    <t>https://dadosabertos.camara.leg.br/api/v2/deputados/695</t>
  </si>
  <si>
    <t>CÍCERO DE ALBUQUERQUE</t>
  </si>
  <si>
    <t>Gervásio Cícero de Albuquerque Mello</t>
  </si>
  <si>
    <t>1830-05-07</t>
  </si>
  <si>
    <t>1878-02-12</t>
  </si>
  <si>
    <t>https://dadosabertos.camara.leg.br/api/v2/deputados/756</t>
  </si>
  <si>
    <t>COELHO DE CASTRO</t>
  </si>
  <si>
    <t>https://dadosabertos.camara.leg.br/api/v2/deputados/617</t>
  </si>
  <si>
    <t>COSTA MOREIRA</t>
  </si>
  <si>
    <t>Pedro Antonio da Costa Moreira</t>
  </si>
  <si>
    <t>https://dadosabertos.camara.leg.br/api/v2/deputados/702</t>
  </si>
  <si>
    <t>CUNHA MATTOS</t>
  </si>
  <si>
    <t>Libânio Augusto da Cunha Mattos</t>
  </si>
  <si>
    <t>1818-10-02</t>
  </si>
  <si>
    <t>https://dadosabertos.camara.leg.br/api/v2/deputados/717</t>
  </si>
  <si>
    <t>CYRILLO</t>
  </si>
  <si>
    <t>Francisco Ciryllo Ribeiro e Souza</t>
  </si>
  <si>
    <t>https://dadosabertos.camara.leg.br/api/v2/deputados/711</t>
  </si>
  <si>
    <t>DELFINO DE ALMEIDA</t>
  </si>
  <si>
    <t>José Delphino de Almeida</t>
  </si>
  <si>
    <t>https://dadosabertos.camara.leg.br/api/v2/deputados/696</t>
  </si>
  <si>
    <t>DUARTE BRANDÃO</t>
  </si>
  <si>
    <t>José Vicente Duarte Brandão</t>
  </si>
  <si>
    <t>1829-09-21</t>
  </si>
  <si>
    <t>https://dadosabertos.camara.leg.br/api/v2/deputados/743</t>
  </si>
  <si>
    <t>DUARTE PEREIRA</t>
  </si>
  <si>
    <t>Luiz Duarte Pereira</t>
  </si>
  <si>
    <t>https://dadosabertos.camara.leg.br/api/v2/deputados/620</t>
  </si>
  <si>
    <t>DUTRA ROCHA</t>
  </si>
  <si>
    <t>Torquato Rodrigues Dutra Rocha</t>
  </si>
  <si>
    <t>https://dadosabertos.camara.leg.br/api/v2/deputados/537</t>
  </si>
  <si>
    <t>FELICÍSSIMO</t>
  </si>
  <si>
    <t>José Felicíssimo do Nascimento</t>
  </si>
  <si>
    <t>1884-01-09</t>
  </si>
  <si>
    <t>https://dadosabertos.camara.leg.br/api/v2/deputados/719</t>
  </si>
  <si>
    <t>FELIPPE DE ARAÚJO</t>
  </si>
  <si>
    <t>Antonio Felippe de Araújo</t>
  </si>
  <si>
    <t>1857-06-23</t>
  </si>
  <si>
    <t>https://dadosabertos.camara.leg.br/api/v2/deputados/621</t>
  </si>
  <si>
    <t>FIUSA</t>
  </si>
  <si>
    <t>Luiz Barbalho Muniz Fiuza</t>
  </si>
  <si>
    <t>1813-08-25</t>
  </si>
  <si>
    <t>1866-09-11</t>
  </si>
  <si>
    <t>https://dadosabertos.camara.leg.br/api/v2/deputados/721</t>
  </si>
  <si>
    <t>Francisco Alvares da Silva Campos</t>
  </si>
  <si>
    <t>https://dadosabertos.camara.leg.br/api/v2/deputados/757</t>
  </si>
  <si>
    <t>FRIAS</t>
  </si>
  <si>
    <t>Manoel de Frias e Vasconcellos</t>
  </si>
  <si>
    <t>https://dadosabertos.camara.leg.br/api/v2/deputados/749</t>
  </si>
  <si>
    <t>GARCIA DE ALMEIDA</t>
  </si>
  <si>
    <t>José Xavier Garcia de Almeida</t>
  </si>
  <si>
    <t>1869-10-11</t>
  </si>
  <si>
    <t>https://dadosabertos.camara.leg.br/api/v2/deputados/697</t>
  </si>
  <si>
    <t>Sebastião Gonçalves da Silva</t>
  </si>
  <si>
    <t>1827-01-20</t>
  </si>
  <si>
    <t>1879-12-16</t>
  </si>
  <si>
    <t>https://dadosabertos.camara.leg.br/api/v2/deputados/722</t>
  </si>
  <si>
    <t>HERMÓGENES</t>
  </si>
  <si>
    <t>Hermógenes Casimiro de Araújo</t>
  </si>
  <si>
    <t>1861-09-26</t>
  </si>
  <si>
    <t>https://dadosabertos.camara.leg.br/api/v2/deputados/761</t>
  </si>
  <si>
    <t>JERONYMO COELHO</t>
  </si>
  <si>
    <t>Jeronymo Francisco Coelho</t>
  </si>
  <si>
    <t>1806-09-30</t>
  </si>
  <si>
    <t>1860-01-16</t>
  </si>
  <si>
    <t>https://dadosabertos.camara.leg.br/api/v2/deputados/709</t>
  </si>
  <si>
    <t>João Paulo de Miranda</t>
  </si>
  <si>
    <t>https://dadosabertos.camara.leg.br/api/v2/deputados/723</t>
  </si>
  <si>
    <t>JOSÉ JOAQUIM</t>
  </si>
  <si>
    <t>José Joaquim Ferreira Monteiro de Barros</t>
  </si>
  <si>
    <t>https://dadosabertos.camara.leg.br/api/v2/deputados/686</t>
  </si>
  <si>
    <t>LANDULPHO</t>
  </si>
  <si>
    <t>José Joaquim Landulpho da Rocha Medrado</t>
  </si>
  <si>
    <t>1860-09-23</t>
  </si>
  <si>
    <t>https://dadosabertos.camara.leg.br/api/v2/deputados/361</t>
  </si>
  <si>
    <t>MACHADO</t>
  </si>
  <si>
    <t>Antonio José Machado</t>
  </si>
  <si>
    <t>1809-10-14</t>
  </si>
  <si>
    <t>1861-07-11</t>
  </si>
  <si>
    <t>https://dadosabertos.camara.leg.br/api/v2/deputados/622</t>
  </si>
  <si>
    <t>MENDES DA COSTA</t>
  </si>
  <si>
    <t>Francisco Mendes da Costa Corrêa</t>
  </si>
  <si>
    <t>https://dadosabertos.camara.leg.br/api/v2/deputados/935</t>
  </si>
  <si>
    <t>MIGUEL DE ARAÚJO</t>
  </si>
  <si>
    <t>Miguel Joaquim de Araújo</t>
  </si>
  <si>
    <t>https://dadosabertos.camara.leg.br/api/v2/deputados/441</t>
  </si>
  <si>
    <t>Antonio José Monteiro de Barros</t>
  </si>
  <si>
    <t>https://dadosabertos.camara.leg.br/api/v2/deputados/766</t>
  </si>
  <si>
    <t>MOURA E COSTA</t>
  </si>
  <si>
    <t>Manoel Marcondes de Moura e Costa</t>
  </si>
  <si>
    <t>https://dadosabertos.camara.leg.br/api/v2/deputados/1278</t>
  </si>
  <si>
    <t>NABUCO DE ARAÚJO</t>
  </si>
  <si>
    <t>José Thomaz Nabuco de Araújo Júnior</t>
  </si>
  <si>
    <t>1813-08-14</t>
  </si>
  <si>
    <t>1878-03-19</t>
  </si>
  <si>
    <t>https://dadosabertos.camara.leg.br/api/v2/deputados/758</t>
  </si>
  <si>
    <t>NETO DOS REIS</t>
  </si>
  <si>
    <t>Antonio Dias Coelho Netto do Reis</t>
  </si>
  <si>
    <t>1829-09-04</t>
  </si>
  <si>
    <t>1896-02-09</t>
  </si>
  <si>
    <t>https://dadosabertos.camara.leg.br/api/v2/deputados/736</t>
  </si>
  <si>
    <t>OLINTO MEIRA</t>
  </si>
  <si>
    <t>Olyntho José Meira</t>
  </si>
  <si>
    <t>1829-06-07</t>
  </si>
  <si>
    <t>https://dadosabertos.camara.leg.br/api/v2/deputados/466</t>
  </si>
  <si>
    <t>PACHECO</t>
  </si>
  <si>
    <t>Joaquim José Pacheco</t>
  </si>
  <si>
    <t>1808-12-11</t>
  </si>
  <si>
    <t>1884-06-01</t>
  </si>
  <si>
    <t>https://dadosabertos.camara.leg.br/api/v2/deputados/725</t>
  </si>
  <si>
    <t>PAIVA</t>
  </si>
  <si>
    <t>Domingos Theodoro de Azevedo Paiva</t>
  </si>
  <si>
    <t>https://dadosabertos.camara.leg.br/api/v2/deputados/712</t>
  </si>
  <si>
    <t>PEIXOTO DE AZEVEDO</t>
  </si>
  <si>
    <t>Antonio Peixoto de Azevedo</t>
  </si>
  <si>
    <t>https://dadosabertos.camara.leg.br/api/v2/deputados/230662</t>
  </si>
  <si>
    <t>PEREIRA DA CUNHA</t>
  </si>
  <si>
    <t>Antônio Luís Pereira da Cunha</t>
  </si>
  <si>
    <t>https://dadosabertos.camara.leg.br/api/v2/deputados/646</t>
  </si>
  <si>
    <t>PEREIRA SALES</t>
  </si>
  <si>
    <t>Marcos Pereira Salles</t>
  </si>
  <si>
    <t>1860-11-06</t>
  </si>
  <si>
    <t>https://dadosabertos.camara.leg.br/api/v2/deputados/752</t>
  </si>
  <si>
    <t>Manoel Antonio da Rocha Faria</t>
  </si>
  <si>
    <t>1830-03-07</t>
  </si>
  <si>
    <t>1894-06-20</t>
  </si>
  <si>
    <t>https://dadosabertos.camara.leg.br/api/v2/deputados/726</t>
  </si>
  <si>
    <t>ROCHA FRANCO</t>
  </si>
  <si>
    <t>Modestino Carlos da Rocha Franco</t>
  </si>
  <si>
    <t>https://dadosabertos.camara.leg.br/api/v2/deputados/516</t>
  </si>
  <si>
    <t>RODRIGUES DOS SANTOS</t>
  </si>
  <si>
    <t>Gabriel José Rodrigues dos Santos</t>
  </si>
  <si>
    <t>1816-04-01</t>
  </si>
  <si>
    <t>1858-05-23</t>
  </si>
  <si>
    <t>https://dadosabertos.camara.leg.br/api/v2/deputados/573</t>
  </si>
  <si>
    <t>RODRIGUES JARDIM</t>
  </si>
  <si>
    <t>José Rodrigues Jardim</t>
  </si>
  <si>
    <t>https://dadosabertos.camara.leg.br/api/v2/deputados/710</t>
  </si>
  <si>
    <t>RODRIGUES LOPES</t>
  </si>
  <si>
    <t>José Joaquim Rodrigues Lopes</t>
  </si>
  <si>
    <t>1803-01-13</t>
  </si>
  <si>
    <t>1895-03-30</t>
  </si>
  <si>
    <t>https://dadosabertos.camara.leg.br/api/v2/deputados/691</t>
  </si>
  <si>
    <t>SAMPAIO VIANNA</t>
  </si>
  <si>
    <t>Luiz Antonio de Sampaio Vianna</t>
  </si>
  <si>
    <t>https://dadosabertos.camara.leg.br/api/v2/deputados/748</t>
  </si>
  <si>
    <t>SILVA MIRANDA</t>
  </si>
  <si>
    <t>João da Silva Miranda</t>
  </si>
  <si>
    <t>https://dadosabertos.camara.leg.br/api/v2/deputados/746</t>
  </si>
  <si>
    <t>SIQUEIRA CAVALCANTI</t>
  </si>
  <si>
    <t>Antonio dos Santos Siqueira Cavalcanti Júnior</t>
  </si>
  <si>
    <t>https://dadosabertos.camara.leg.br/api/v2/deputados/728</t>
  </si>
  <si>
    <t>SOUSA RIBEIRO</t>
  </si>
  <si>
    <t>José da Costa Machado e Souza Ribeiro</t>
  </si>
  <si>
    <t>https://dadosabertos.camara.leg.br/api/v2/deputados/729</t>
  </si>
  <si>
    <t>TAVARES DE MELO</t>
  </si>
  <si>
    <t>José Tavares de Mello</t>
  </si>
  <si>
    <t>https://dadosabertos.camara.leg.br/api/v2/deputados/692</t>
  </si>
  <si>
    <t>TEIXEIRA SOARES</t>
  </si>
  <si>
    <t>Manoel Teixeira Soares</t>
  </si>
  <si>
    <t>https://dadosabertos.camara.leg.br/api/v2/deputados/276</t>
  </si>
  <si>
    <t>TOBIAS DE AGUIAR</t>
  </si>
  <si>
    <t>Raphael Tobias de Aguiar</t>
  </si>
  <si>
    <t>1795-10-04</t>
  </si>
  <si>
    <t>1857-10-07</t>
  </si>
  <si>
    <t>https://dadosabertos.camara.leg.br/api/v2/deputados/771</t>
  </si>
  <si>
    <t>TOBIAS LEITE</t>
  </si>
  <si>
    <t>Tobias Rabello Leite</t>
  </si>
  <si>
    <t>1827-04-06</t>
  </si>
  <si>
    <t>1896-08-03</t>
  </si>
  <si>
    <t>https://dadosabertos.camara.leg.br/api/v2/deputados/737</t>
  </si>
  <si>
    <t>TOSCANO BARRETO</t>
  </si>
  <si>
    <t>Victorino do Rego Toscano Barreto</t>
  </si>
  <si>
    <t>https://dadosabertos.camara.leg.br/api/v2/deputados/446</t>
  </si>
  <si>
    <t>VASCONCELLOS</t>
  </si>
  <si>
    <t>Francisco Diogo Pereira de Vasconcellos</t>
  </si>
  <si>
    <t>1812-12-28</t>
  </si>
  <si>
    <t>1863-03-31</t>
  </si>
  <si>
    <t>https://dadosabertos.camara.leg.br/api/v2/deputados/769</t>
  </si>
  <si>
    <t>XAVIER DA ROCHA</t>
  </si>
  <si>
    <t>Felippe Xavier da Rocha</t>
  </si>
  <si>
    <t>https://dadosabertos.camara.leg.br/api/v2/deputados/123</t>
  </si>
  <si>
    <t>ALBUQUERQUE</t>
  </si>
  <si>
    <t>Manoel José de Albuquerque</t>
  </si>
  <si>
    <t>1858-05-22</t>
  </si>
  <si>
    <t>https://dadosabertos.camara.leg.br/api/v2/deputados/937</t>
  </si>
  <si>
    <t>ALMEIDA E ALBUQUERQUE</t>
  </si>
  <si>
    <t>Frederico de Almeida e Albuquerque</t>
  </si>
  <si>
    <t>1879-07-08</t>
  </si>
  <si>
    <t>https://dadosabertos.camara.leg.br/api/v2/deputados/385</t>
  </si>
  <si>
    <t>ANGELO CUSTÓDIO</t>
  </si>
  <si>
    <t>Angelo Custódio Corrêa</t>
  </si>
  <si>
    <t>1856-06-01</t>
  </si>
  <si>
    <t>https://dadosabertos.camara.leg.br/api/v2/deputados/563</t>
  </si>
  <si>
    <t>ANGELO RAMOS</t>
  </si>
  <si>
    <t>Angelo Francisco Ramos</t>
  </si>
  <si>
    <t>https://dadosabertos.camara.leg.br/api/v2/deputados/651</t>
  </si>
  <si>
    <t>ANTONIO CANDIDO</t>
  </si>
  <si>
    <t>Antonio Candido Ferreira de Abreu</t>
  </si>
  <si>
    <t>1876-03-29</t>
  </si>
  <si>
    <t>https://dadosabertos.camara.leg.br/api/v2/deputados/647</t>
  </si>
  <si>
    <t>Antonio Carlos de Almeida e Albuquerque</t>
  </si>
  <si>
    <t>https://dadosabertos.camara.leg.br/api/v2/deputados/474</t>
  </si>
  <si>
    <t>APRIGIO</t>
  </si>
  <si>
    <t>Aprigio José de Souza</t>
  </si>
  <si>
    <t>https://dadosabertos.camara.leg.br/api/v2/deputados/624</t>
  </si>
  <si>
    <t>APRIGIO GUIMARÃES</t>
  </si>
  <si>
    <t>Aprigio Justiniano da Silva Guimarães</t>
  </si>
  <si>
    <t>1832-01-03</t>
  </si>
  <si>
    <t>1880-09-03</t>
  </si>
  <si>
    <t>https://dadosabertos.camara.leg.br/api/v2/deputados/448</t>
  </si>
  <si>
    <t>Francisco de Assis Pereira Rocha Júnior</t>
  </si>
  <si>
    <t>https://dadosabertos.camara.leg.br/api/v2/deputados/652</t>
  </si>
  <si>
    <t>AZEREDO COUTINHO</t>
  </si>
  <si>
    <t>Honório Pereira de Azeredo Coutinho</t>
  </si>
  <si>
    <t>https://dadosabertos.camara.leg.br/api/v2/deputados/632</t>
  </si>
  <si>
    <t>BARÃO DE GURUPI</t>
  </si>
  <si>
    <t>Antonio Raymundo Teixeira Vieira Belfort</t>
  </si>
  <si>
    <t>1818-06-17</t>
  </si>
  <si>
    <t>https://dadosabertos.camara.leg.br/api/v2/deputados/333</t>
  </si>
  <si>
    <t>BARRETO PEDROSO</t>
  </si>
  <si>
    <t>Antonio Pereira Barreto Pedroso</t>
  </si>
  <si>
    <t>1800-01-18</t>
  </si>
  <si>
    <t>1883-08-05</t>
  </si>
  <si>
    <t>https://dadosabertos.camara.leg.br/api/v2/deputados/639</t>
  </si>
  <si>
    <t>BERNARDES DE GOUVEIA</t>
  </si>
  <si>
    <t>Francisco Soares Bernardes de Gouveia</t>
  </si>
  <si>
    <t>1821-10-21</t>
  </si>
  <si>
    <t>1889-12-02</t>
  </si>
  <si>
    <t>https://dadosabertos.camara.leg.br/api/v2/deputados/672</t>
  </si>
  <si>
    <t>BROTERO</t>
  </si>
  <si>
    <t>João Dabney de Avellar Brotero</t>
  </si>
  <si>
    <t>1826-12-24</t>
  </si>
  <si>
    <t>1859-09-01</t>
  </si>
  <si>
    <t>https://dadosabertos.camara.leg.br/api/v2/deputados/662</t>
  </si>
  <si>
    <t>CALDRE E FIÃO</t>
  </si>
  <si>
    <t>José Antonio do Valle Caldre e Fião</t>
  </si>
  <si>
    <t>1821-10-15</t>
  </si>
  <si>
    <t>1876-03-14</t>
  </si>
  <si>
    <t>https://dadosabertos.camara.leg.br/api/v2/deputados/668</t>
  </si>
  <si>
    <t>CANDIDO BORGES</t>
  </si>
  <si>
    <t>Candido Borges Monteiro</t>
  </si>
  <si>
    <t>1812-10-12</t>
  </si>
  <si>
    <t>1872-08-25</t>
  </si>
  <si>
    <t>https://dadosabertos.camara.leg.br/api/v2/deputados/410</t>
  </si>
  <si>
    <t>CANSANSÃO DE SINIMBU</t>
  </si>
  <si>
    <t>João Lins Vieira Cansansão de Sinimbu</t>
  </si>
  <si>
    <t>1810-11-20</t>
  </si>
  <si>
    <t>https://dadosabertos.camara.leg.br/api/v2/deputados/462</t>
  </si>
  <si>
    <t>Carlos Carneiro de Campos</t>
  </si>
  <si>
    <t>1805-11-01</t>
  </si>
  <si>
    <t>1878-04-28</t>
  </si>
  <si>
    <t>https://dadosabertos.camara.leg.br/api/v2/deputados/633</t>
  </si>
  <si>
    <t>CERQUEIRA PINTO</t>
  </si>
  <si>
    <t>Manoel de Cerqueira Pinto</t>
  </si>
  <si>
    <t>https://dadosabertos.camara.leg.br/api/v2/deputados/630</t>
  </si>
  <si>
    <t>CÔNEGO LEAL</t>
  </si>
  <si>
    <t>Feliciano José Leal</t>
  </si>
  <si>
    <t>https://dadosabertos.camara.leg.br/api/v2/deputados/430</t>
  </si>
  <si>
    <t>CÔNEGO SILVA</t>
  </si>
  <si>
    <t>Antonio José da Silva</t>
  </si>
  <si>
    <t>1858-11-06</t>
  </si>
  <si>
    <t>https://dadosabertos.camara.leg.br/api/v2/deputados/649</t>
  </si>
  <si>
    <t>CRISPIM</t>
  </si>
  <si>
    <t>Crispim Antonio de Miranda Henriques</t>
  </si>
  <si>
    <t>https://dadosabertos.camara.leg.br/api/v2/deputados/480</t>
  </si>
  <si>
    <t>CRUZ SECO</t>
  </si>
  <si>
    <t>Joaquim José da Cruz Secco</t>
  </si>
  <si>
    <t>1883-10-01</t>
  </si>
  <si>
    <t>https://dadosabertos.camara.leg.br/api/v2/deputados/658</t>
  </si>
  <si>
    <t>CUNHA</t>
  </si>
  <si>
    <t>José Joaquim da Cunha</t>
  </si>
  <si>
    <t>https://dadosabertos.camara.leg.br/api/v2/deputados/634</t>
  </si>
  <si>
    <t>D. FRANCISCO</t>
  </si>
  <si>
    <t>D. Francisco Balthazar da Silveira</t>
  </si>
  <si>
    <t>1807-06-20</t>
  </si>
  <si>
    <t>1887-02-27</t>
  </si>
  <si>
    <t>https://dadosabertos.camara.leg.br/api/v2/deputados/310</t>
  </si>
  <si>
    <t>DIAS DE CARVALHO</t>
  </si>
  <si>
    <t>José Pedro Dias de Carvalho</t>
  </si>
  <si>
    <t>1805-07-16</t>
  </si>
  <si>
    <t>1881-07-26</t>
  </si>
  <si>
    <t>https://dadosabertos.camara.leg.br/api/v2/deputados/522</t>
  </si>
  <si>
    <t>EDUARDO FRANÇA</t>
  </si>
  <si>
    <t>Eduardo Ferreira França</t>
  </si>
  <si>
    <t>1809-06-08</t>
  </si>
  <si>
    <t>1857-03-11</t>
  </si>
  <si>
    <t>https://dadosabertos.camara.leg.br/api/v2/deputados/460</t>
  </si>
  <si>
    <t>Euzebio de Queiroz Coutinho Matoso Camara</t>
  </si>
  <si>
    <t>1812-12-27</t>
  </si>
  <si>
    <t>1868-05-07</t>
  </si>
  <si>
    <t>Luanda</t>
  </si>
  <si>
    <t>https://dadosabertos.camara.leg.br/api/v2/deputados/523</t>
  </si>
  <si>
    <t>FERRAZ</t>
  </si>
  <si>
    <t>Angelo Muniz da Silva Ferraz</t>
  </si>
  <si>
    <t>1812-11-03</t>
  </si>
  <si>
    <t>1867-01-18</t>
  </si>
  <si>
    <t>https://dadosabertos.camara.leg.br/api/v2/deputados/584</t>
  </si>
  <si>
    <t>FIRMINO</t>
  </si>
  <si>
    <t>Firmino Rodrigues Silva</t>
  </si>
  <si>
    <t>1816-10-23</t>
  </si>
  <si>
    <t>https://dadosabertos.camara.leg.br/api/v2/deputados/631</t>
  </si>
  <si>
    <t>Antonio de Padua Fleury</t>
  </si>
  <si>
    <t>1795-12-08</t>
  </si>
  <si>
    <t>1859-11-19</t>
  </si>
  <si>
    <t>https://dadosabertos.camara.leg.br/api/v2/deputados/663</t>
  </si>
  <si>
    <t>Luis de Freitas e Castro</t>
  </si>
  <si>
    <t>https://dadosabertos.camara.leg.br/api/v2/deputados/524</t>
  </si>
  <si>
    <t>GOIS SIQUEIRA</t>
  </si>
  <si>
    <t>José de Goes Siqueira</t>
  </si>
  <si>
    <t>1817-10-15</t>
  </si>
  <si>
    <t>1874-08-20</t>
  </si>
  <si>
    <t>https://dadosabertos.camara.leg.br/api/v2/deputados/350</t>
  </si>
  <si>
    <t>GOMES RIBEIRO</t>
  </si>
  <si>
    <t>Francisco Joaquim Gomes Ribeiro</t>
  </si>
  <si>
    <t>https://dadosabertos.camara.leg.br/api/v2/deputados/673</t>
  </si>
  <si>
    <t>HIPOLITO</t>
  </si>
  <si>
    <t>Hippolyto José Soares de Souza</t>
  </si>
  <si>
    <t>https://dadosabertos.camara.leg.br/api/v2/deputados/641</t>
  </si>
  <si>
    <t>HORTA</t>
  </si>
  <si>
    <t>Caetano Alves Rodrigues Horta</t>
  </si>
  <si>
    <t>https://dadosabertos.camara.leg.br/api/v2/deputados/570</t>
  </si>
  <si>
    <t>INÁCIO BARBOSA</t>
  </si>
  <si>
    <t>Ignacio Joaquim Barbosa</t>
  </si>
  <si>
    <t>1821-10-10</t>
  </si>
  <si>
    <t>https://dadosabertos.camara.leg.br/api/v2/deputados/635</t>
  </si>
  <si>
    <t>JOSÉ ASCENÇO</t>
  </si>
  <si>
    <t>José Ascenço da Costa Ferreira Júnior</t>
  </si>
  <si>
    <t>1822-02-10</t>
  </si>
  <si>
    <t>1897-07-27</t>
  </si>
  <si>
    <t>https://dadosabertos.camara.leg.br/api/v2/deputados/674</t>
  </si>
  <si>
    <t>JOSÉ MATHIAS</t>
  </si>
  <si>
    <t>José Mathias Ferreira de Abreu</t>
  </si>
  <si>
    <t>https://dadosabertos.camara.leg.br/api/v2/deputados/650</t>
  </si>
  <si>
    <t>José Paulino de Figueiredo</t>
  </si>
  <si>
    <t>https://dadosabertos.camara.leg.br/api/v2/deputados/675</t>
  </si>
  <si>
    <t>LIMA</t>
  </si>
  <si>
    <t>Francisco José de Lima</t>
  </si>
  <si>
    <t>https://dadosabertos.camara.leg.br/api/v2/deputados/427</t>
  </si>
  <si>
    <t>LISBOA</t>
  </si>
  <si>
    <t>Venâncio José Lisboa</t>
  </si>
  <si>
    <t>1810-03-07</t>
  </si>
  <si>
    <t>1880-05-24</t>
  </si>
  <si>
    <t>https://dadosabertos.camara.leg.br/api/v2/deputados/531</t>
  </si>
  <si>
    <t>LISBOA SERRA</t>
  </si>
  <si>
    <t>João Duarte Lisboa Serra</t>
  </si>
  <si>
    <t>1818-05-31</t>
  </si>
  <si>
    <t>1855-04-16</t>
  </si>
  <si>
    <t>https://dadosabertos.camara.leg.br/api/v2/deputados/599</t>
  </si>
  <si>
    <t>LIVRAMENTO</t>
  </si>
  <si>
    <t>Joaquim Augusto do Livramento</t>
  </si>
  <si>
    <t>1820-02-04</t>
  </si>
  <si>
    <t>1883-05-07</t>
  </si>
  <si>
    <t>https://dadosabertos.camara.leg.br/api/v2/deputados/642</t>
  </si>
  <si>
    <t>LUIS SOARES</t>
  </si>
  <si>
    <t>Luiz Soares de Gouvêa Horta</t>
  </si>
  <si>
    <t>https://dadosabertos.camara.leg.br/api/v2/deputados/629</t>
  </si>
  <si>
    <t>LUIZ ARAUJO</t>
  </si>
  <si>
    <t>Luiz José Ferreira de Araújo</t>
  </si>
  <si>
    <t>https://dadosabertos.camara.leg.br/api/v2/deputados/324</t>
  </si>
  <si>
    <t>MACIEL MONTEIRO</t>
  </si>
  <si>
    <t>Antonio Peregrino Maciel Monteiro</t>
  </si>
  <si>
    <t>1804-04-30</t>
  </si>
  <si>
    <t>1868-01-05</t>
  </si>
  <si>
    <t>https://dadosabertos.camara.leg.br/api/v2/deputados/415</t>
  </si>
  <si>
    <t>MAGALHÃES CASTRO</t>
  </si>
  <si>
    <t>José Antonio de Magalhães Castro</t>
  </si>
  <si>
    <t>1814-06-08</t>
  </si>
  <si>
    <t>1896-12-18</t>
  </si>
  <si>
    <t>https://dadosabertos.camara.leg.br/api/v2/deputados/476</t>
  </si>
  <si>
    <t>MARCELINO DE BRITO</t>
  </si>
  <si>
    <t>Joaquim Marcellino de Brito</t>
  </si>
  <si>
    <t>1799-06-02</t>
  </si>
  <si>
    <t>1879-01-26</t>
  </si>
  <si>
    <t>https://dadosabertos.camara.leg.br/api/v2/deputados/580</t>
  </si>
  <si>
    <t>MARTINS FERREIRA</t>
  </si>
  <si>
    <t>José Martins Ferreira</t>
  </si>
  <si>
    <t>https://dadosabertos.camara.leg.br/api/v2/deputados/428</t>
  </si>
  <si>
    <t>MIRANDA</t>
  </si>
  <si>
    <t>João Antônio de Miranda</t>
  </si>
  <si>
    <t>1805-12-23</t>
  </si>
  <si>
    <t>1861-11-01</t>
  </si>
  <si>
    <t>https://dadosabertos.camara.leg.br/api/v2/deputados/467</t>
  </si>
  <si>
    <t>PACHECO JORDÃO</t>
  </si>
  <si>
    <t>Fernando Pacheco Jordão</t>
  </si>
  <si>
    <t>https://dadosabertos.camara.leg.br/api/v2/deputados/616</t>
  </si>
  <si>
    <t>PAULA BATISTA</t>
  </si>
  <si>
    <t>Francisco de Paula Baptista</t>
  </si>
  <si>
    <t>1811-02-04</t>
  </si>
  <si>
    <t>1881-05-25</t>
  </si>
  <si>
    <t>https://dadosabertos.camara.leg.br/api/v2/deputados/381</t>
  </si>
  <si>
    <t>PAULA CANDIDO</t>
  </si>
  <si>
    <t>Francisco de Paula Candido</t>
  </si>
  <si>
    <t>1805-04-02</t>
  </si>
  <si>
    <t>1864-04-05</t>
  </si>
  <si>
    <t>https://dadosabertos.camara.leg.br/api/v2/deputados/468</t>
  </si>
  <si>
    <t>PEREIRA JORGE</t>
  </si>
  <si>
    <t>Joaquim Firmino Pereira Jorge</t>
  </si>
  <si>
    <t>https://dadosabertos.camara.leg.br/api/v2/deputados/593</t>
  </si>
  <si>
    <t>PIMENTA DE MAGALHÃES</t>
  </si>
  <si>
    <t>José Joaquim Pimenta de Magalhães</t>
  </si>
  <si>
    <t>https://dadosabertos.camara.leg.br/api/v2/deputados/416</t>
  </si>
  <si>
    <t>PINTO PACA</t>
  </si>
  <si>
    <t>Manoel Jaoquim Pinto Pacca</t>
  </si>
  <si>
    <t>1864-08-27</t>
  </si>
  <si>
    <t>https://dadosabertos.camara.leg.br/api/v2/deputados/665</t>
  </si>
  <si>
    <t>PRATES</t>
  </si>
  <si>
    <t>Fidencio Nepomuceno Prates</t>
  </si>
  <si>
    <t>https://dadosabertos.camara.leg.br/api/v2/deputados/477</t>
  </si>
  <si>
    <t>Francisco Antonio Ribeiro</t>
  </si>
  <si>
    <t>https://dadosabertos.camara.leg.br/api/v2/deputados/443</t>
  </si>
  <si>
    <t>Justiniano José da Rocha</t>
  </si>
  <si>
    <t>1812-11-08</t>
  </si>
  <si>
    <t>1863-07-10</t>
  </si>
  <si>
    <t>https://dadosabertos.camara.leg.br/api/v2/deputados/485</t>
  </si>
  <si>
    <t>SANTOS E ALMEIDA</t>
  </si>
  <si>
    <t>José Thomaz dos Santos Almeida</t>
  </si>
  <si>
    <t>1855-11-07</t>
  </si>
  <si>
    <t>https://dadosabertos.camara.leg.br/api/v2/deputados/314</t>
  </si>
  <si>
    <t>SEARA</t>
  </si>
  <si>
    <t>Antonio Corrêa Seara</t>
  </si>
  <si>
    <t>1802-01-02</t>
  </si>
  <si>
    <t>1858-07-06</t>
  </si>
  <si>
    <t>https://dadosabertos.camara.leg.br/api/v2/deputados/571</t>
  </si>
  <si>
    <t>SILVA GUIMARÃES</t>
  </si>
  <si>
    <t>Pedro Pereira da Silva Guimarães</t>
  </si>
  <si>
    <t>1814-06-29</t>
  </si>
  <si>
    <t>1876-04-13</t>
  </si>
  <si>
    <t>https://dadosabertos.camara.leg.br/api/v2/deputados/604</t>
  </si>
  <si>
    <t>José Ignácio Silveira da Motta</t>
  </si>
  <si>
    <t>1807-02-15</t>
  </si>
  <si>
    <t>1893-10-16</t>
  </si>
  <si>
    <t>https://dadosabertos.camara.leg.br/api/v2/deputados/677</t>
  </si>
  <si>
    <t>SIQUEIRA QUEIROZ</t>
  </si>
  <si>
    <t>João de Siqueira Queiroz</t>
  </si>
  <si>
    <t>1875-10-05</t>
  </si>
  <si>
    <t>https://dadosabertos.camara.leg.br/api/v2/deputados/656</t>
  </si>
  <si>
    <t>Antonio de Souza Mendes</t>
  </si>
  <si>
    <t>https://dadosabertos.camara.leg.br/api/v2/deputados/386</t>
  </si>
  <si>
    <t>SOUZA FRANCO</t>
  </si>
  <si>
    <t>Bernardo de Souza Franco</t>
  </si>
  <si>
    <t>1805-06-28</t>
  </si>
  <si>
    <t>1875-05-08</t>
  </si>
  <si>
    <t>https://dadosabertos.camara.leg.br/api/v2/deputados/503</t>
  </si>
  <si>
    <t>SOUZA RAMOS</t>
  </si>
  <si>
    <t>José Ildefonso de Souza Ramos</t>
  </si>
  <si>
    <t>1812-09-28</t>
  </si>
  <si>
    <t>1883-07-23</t>
  </si>
  <si>
    <t>https://dadosabertos.camara.leg.br/api/v2/deputados/670</t>
  </si>
  <si>
    <t>TEIXEIRA DE MACEDO</t>
  </si>
  <si>
    <t>Diogo Teixeira de Macedo</t>
  </si>
  <si>
    <t>1813-12-23</t>
  </si>
  <si>
    <t>1882-11-19</t>
  </si>
  <si>
    <t>https://dadosabertos.camara.leg.br/api/v2/deputados/589</t>
  </si>
  <si>
    <t>TEIXEIRA DE SOUZA</t>
  </si>
  <si>
    <t>Manoel Teixeira de Souza</t>
  </si>
  <si>
    <t>1878-08-21</t>
  </si>
  <si>
    <t>https://dadosabertos.camara.leg.br/api/v2/deputados/628</t>
  </si>
  <si>
    <t>TEÓFILO</t>
  </si>
  <si>
    <t>Manoel Theóphilo Gaspar de Oliveira</t>
  </si>
  <si>
    <t>1816-03-17</t>
  </si>
  <si>
    <t>1859-08-15</t>
  </si>
  <si>
    <t>https://dadosabertos.camara.leg.br/api/v2/deputados/521</t>
  </si>
  <si>
    <t>TITARA</t>
  </si>
  <si>
    <t>José Correa da Silva Títara</t>
  </si>
  <si>
    <t>1873-11-07</t>
  </si>
  <si>
    <t>Coqueiro Seco</t>
  </si>
  <si>
    <t>https://dadosabertos.camara.leg.br/api/v2/deputados/667</t>
  </si>
  <si>
    <t>TRAVASSOS</t>
  </si>
  <si>
    <t>Manoel José de Freitas Travassos</t>
  </si>
  <si>
    <t>1812-07-08</t>
  </si>
  <si>
    <t>1885-08-24</t>
  </si>
  <si>
    <t>https://dadosabertos.camara.leg.br/api/v2/deputados/338</t>
  </si>
  <si>
    <t>VIANA</t>
  </si>
  <si>
    <t>Joaquim Francisco Vianna</t>
  </si>
  <si>
    <t>1803-01-15</t>
  </si>
  <si>
    <t>1864-04-11</t>
  </si>
  <si>
    <t>https://dadosabertos.camara.leg.br/api/v2/deputados/590</t>
  </si>
  <si>
    <t>VIEIRA DE MATOS</t>
  </si>
  <si>
    <t>José Agostinho Vieira de Matos</t>
  </si>
  <si>
    <t>1809-08-13</t>
  </si>
  <si>
    <t>1875-06-21</t>
  </si>
  <si>
    <t>https://dadosabertos.camara.leg.br/api/v2/deputados/419</t>
  </si>
  <si>
    <t>WANDERLEY</t>
  </si>
  <si>
    <t>João Maurício Wanderley</t>
  </si>
  <si>
    <t>1815-10-23</t>
  </si>
  <si>
    <t>https://dadosabertos.camara.leg.br/api/v2/deputados/347</t>
  </si>
  <si>
    <t>AFONSO DE ALBUQUERQUE</t>
  </si>
  <si>
    <t>Affonso de Albuquerque e Mello</t>
  </si>
  <si>
    <t>https://dadosabertos.camara.leg.br/api/v2/deputados/472</t>
  </si>
  <si>
    <t>João José de Almeida Couto</t>
  </si>
  <si>
    <t>https://dadosabertos.camara.leg.br/api/v2/deputados/582</t>
  </si>
  <si>
    <t>ALVES DE MENDONÇA</t>
  </si>
  <si>
    <t>Francisco Alves de Mendonça</t>
  </si>
  <si>
    <t>1850-04-12</t>
  </si>
  <si>
    <t>https://dadosabertos.camara.leg.br/api/v2/deputados/581</t>
  </si>
  <si>
    <t>ALVES RIBEIRO</t>
  </si>
  <si>
    <t>Manoel Alves Ribeiro</t>
  </si>
  <si>
    <t>https://dadosabertos.camara.leg.br/api/v2/deputados/574</t>
  </si>
  <si>
    <t>ANTONIO DO PAÇO</t>
  </si>
  <si>
    <t>Antonio Jansen do Paço</t>
  </si>
  <si>
    <t>https://dadosabertos.camara.leg.br/api/v2/deputados/595</t>
  </si>
  <si>
    <t>Bernardo Augusto Nascentes de Azambuja</t>
  </si>
  <si>
    <t>https://dadosabertos.camara.leg.br/api/v2/deputados/575</t>
  </si>
  <si>
    <t>BARROS VASCONCELOS</t>
  </si>
  <si>
    <t>Antonio de Barros Vasconcellos</t>
  </si>
  <si>
    <t>https://dadosabertos.camara.leg.br/api/v2/deputados/562</t>
  </si>
  <si>
    <t>BISPO DO PARÁ</t>
  </si>
  <si>
    <t>D. José Affonso de Moraes Torres</t>
  </si>
  <si>
    <t>1805-01-23</t>
  </si>
  <si>
    <t>https://dadosabertos.camara.leg.br/api/v2/deputados/552</t>
  </si>
  <si>
    <t>CALVET</t>
  </si>
  <si>
    <t>José de Paiva Magalhães Calvet</t>
  </si>
  <si>
    <t>1808-03-19</t>
  </si>
  <si>
    <t>1853-05-13</t>
  </si>
  <si>
    <t>https://dadosabertos.camara.leg.br/api/v2/deputados/615</t>
  </si>
  <si>
    <t>CARLOS WANDERLEY</t>
  </si>
  <si>
    <t>João Carlos Wanderley</t>
  </si>
  <si>
    <t>1811-07-25</t>
  </si>
  <si>
    <t>Açú</t>
  </si>
  <si>
    <t>https://dadosabertos.camara.leg.br/api/v2/deputados/17</t>
  </si>
  <si>
    <t>Joaquim Manoel Carneiro da Cunha</t>
  </si>
  <si>
    <t>1859-09-07</t>
  </si>
  <si>
    <t>https://dadosabertos.camara.leg.br/api/v2/deputados/559</t>
  </si>
  <si>
    <t>CARVALHO MOREIRA</t>
  </si>
  <si>
    <t>Francisco Ignácio de Carvalho Moreira</t>
  </si>
  <si>
    <t>1816-12-26</t>
  </si>
  <si>
    <t>https://dadosabertos.camara.leg.br/api/v2/deputados/596</t>
  </si>
  <si>
    <t>CERQUEIRA</t>
  </si>
  <si>
    <t>Thomaz José Pinto de Cerqueira</t>
  </si>
  <si>
    <t>1805-07-08</t>
  </si>
  <si>
    <t>https://dadosabertos.camara.leg.br/api/v2/deputados/423</t>
  </si>
  <si>
    <t>COELHO</t>
  </si>
  <si>
    <t>José Joaquim Coelho</t>
  </si>
  <si>
    <t>1797-09-25</t>
  </si>
  <si>
    <t>1860-06-19</t>
  </si>
  <si>
    <t>https://dadosabertos.camara.leg.br/api/v2/deputados/606</t>
  </si>
  <si>
    <t>Manoel Corrêa Lima</t>
  </si>
  <si>
    <t>https://dadosabertos.camara.leg.br/api/v2/deputados/377</t>
  </si>
  <si>
    <t>Antonio da Costa Pinto</t>
  </si>
  <si>
    <t>1802-11-25</t>
  </si>
  <si>
    <t>1880-03-20</t>
  </si>
  <si>
    <t>https://dadosabertos.camara.leg.br/api/v2/deputados/300</t>
  </si>
  <si>
    <t>D. JOSÉ</t>
  </si>
  <si>
    <t>D. José de Assis Mascarenhas</t>
  </si>
  <si>
    <t>1868-10-05</t>
  </si>
  <si>
    <t>https://dadosabertos.camara.leg.br/api/v2/deputados/458</t>
  </si>
  <si>
    <t>D. MANUEL</t>
  </si>
  <si>
    <t>D. Manoel de Assis Mascarenhas</t>
  </si>
  <si>
    <t>1805-08-28</t>
  </si>
  <si>
    <t>1867-01-30</t>
  </si>
  <si>
    <t>https://dadosabertos.camara.leg.br/api/v2/deputados/449</t>
  </si>
  <si>
    <t>FERNANDES CHAVES</t>
  </si>
  <si>
    <t>Pedro Rodrigues Fernandes Chaves</t>
  </si>
  <si>
    <t>1810-04-27</t>
  </si>
  <si>
    <t>1866-06-23</t>
  </si>
  <si>
    <t>https://dadosabertos.camara.leg.br/api/v2/deputados/278</t>
  </si>
  <si>
    <t>FERNANDES DA SILVEIRA</t>
  </si>
  <si>
    <t>Antônio Fernandes da Silveira</t>
  </si>
  <si>
    <t>1862-05-13</t>
  </si>
  <si>
    <t>https://dadosabertos.camara.leg.br/api/v2/deputados/600</t>
  </si>
  <si>
    <t>FERREIRA DE ABREU</t>
  </si>
  <si>
    <t>José Mathias Ferreira de Abreu Júnior</t>
  </si>
  <si>
    <t>1816-10-15</t>
  </si>
  <si>
    <t>1869-06-07</t>
  </si>
  <si>
    <t>https://dadosabertos.camara.leg.br/api/v2/deputados/607</t>
  </si>
  <si>
    <t>FERREIRA DE ALBUQUERQUE</t>
  </si>
  <si>
    <t>Felix Antonio Ferreira de Albuquerque</t>
  </si>
  <si>
    <t>https://dadosabertos.camara.leg.br/api/v2/deputados/378</t>
  </si>
  <si>
    <t>Herculano Ferreira Penna</t>
  </si>
  <si>
    <t>1811-01-14</t>
  </si>
  <si>
    <t>1867-09-27</t>
  </si>
  <si>
    <t>https://dadosabertos.camara.leg.br/api/v2/deputados/585</t>
  </si>
  <si>
    <t>GOMES CÂNDIDO</t>
  </si>
  <si>
    <t>Antonio Gomes Cândido</t>
  </si>
  <si>
    <t>https://dadosabertos.camara.leg.br/api/v2/deputados/133</t>
  </si>
  <si>
    <t>GONÇALVES MARTINS</t>
  </si>
  <si>
    <t>Francisco Gonçalves Martins</t>
  </si>
  <si>
    <t>1807-03-12</t>
  </si>
  <si>
    <t>1872-09-10</t>
  </si>
  <si>
    <t>https://dadosabertos.camara.leg.br/api/v2/deputados/422</t>
  </si>
  <si>
    <t>GRAÇA</t>
  </si>
  <si>
    <t>José Pereira da Graça Júnior</t>
  </si>
  <si>
    <t>1812-03-14</t>
  </si>
  <si>
    <t>1889-01-29</t>
  </si>
  <si>
    <t>https://dadosabertos.camara.leg.br/api/v2/deputados/251</t>
  </si>
  <si>
    <t>HENRIQUES DE REZENDE</t>
  </si>
  <si>
    <t>Venâncio Henriques de Rezende</t>
  </si>
  <si>
    <t>1866-02-09</t>
  </si>
  <si>
    <t>Sirinhaém</t>
  </si>
  <si>
    <t>https://dadosabertos.camara.leg.br/api/v2/deputados/325</t>
  </si>
  <si>
    <t>1794-02-02</t>
  </si>
  <si>
    <t>1873-12-08</t>
  </si>
  <si>
    <t>https://dadosabertos.camara.leg.br/api/v2/deputados/578</t>
  </si>
  <si>
    <t>JOAQUIM MARIANO</t>
  </si>
  <si>
    <t>Joaquim Mariano Franco de Sá</t>
  </si>
  <si>
    <t>https://dadosabertos.camara.leg.br/api/v2/deputados/609</t>
  </si>
  <si>
    <t>JOAQUIM VILELA</t>
  </si>
  <si>
    <t>Joaquim Villela de Castro Tavares</t>
  </si>
  <si>
    <t>1816-02-02</t>
  </si>
  <si>
    <t>1858-03-11</t>
  </si>
  <si>
    <t>https://dadosabertos.camara.leg.br/api/v2/deputados/553</t>
  </si>
  <si>
    <t>JOBIM</t>
  </si>
  <si>
    <t>José Martins de Cruz Jobim</t>
  </si>
  <si>
    <t>1802-02-26</t>
  </si>
  <si>
    <t>1878-08-23</t>
  </si>
  <si>
    <t>https://dadosabertos.camara.leg.br/api/v2/deputados/601</t>
  </si>
  <si>
    <t>JOSÉ MANOEL</t>
  </si>
  <si>
    <t>José Manoel da Silva</t>
  </si>
  <si>
    <t>1877-03-27</t>
  </si>
  <si>
    <t>https://dadosabertos.camara.leg.br/api/v2/deputados/437</t>
  </si>
  <si>
    <t>JULIO DE MIRANDA</t>
  </si>
  <si>
    <t>Manoel Júlio de Miranda</t>
  </si>
  <si>
    <t>https://dadosabertos.camara.leg.br/api/v2/deputados/586</t>
  </si>
  <si>
    <t>LUIZ SOARES</t>
  </si>
  <si>
    <t>Luiz Soares de Gouveia Horta</t>
  </si>
  <si>
    <t>https://dadosabertos.camara.leg.br/api/v2/deputados/579</t>
  </si>
  <si>
    <t>MACIEL DA COSTA</t>
  </si>
  <si>
    <t>Gregório de Tavares Osório Maciel da Costa</t>
  </si>
  <si>
    <t>https://dadosabertos.camara.leg.br/api/v2/deputados/208</t>
  </si>
  <si>
    <t>MARIA DO AMARAL</t>
  </si>
  <si>
    <t>Manoel Maria do Amaral</t>
  </si>
  <si>
    <t>https://dadosabertos.camara.leg.br/api/v2/deputados/238</t>
  </si>
  <si>
    <t>MENDES DOS SANTOS</t>
  </si>
  <si>
    <t>Gabriel Mendes dos Santos</t>
  </si>
  <si>
    <t>1873-05-31</t>
  </si>
  <si>
    <t>https://dadosabertos.camara.leg.br/api/v2/deputados/602</t>
  </si>
  <si>
    <t>MONSENHOR RAMALHO</t>
  </si>
  <si>
    <t>João José Vieira Ramalho</t>
  </si>
  <si>
    <t>https://dadosabertos.camara.leg.br/api/v2/deputados/9</t>
  </si>
  <si>
    <t>MONTEZUMA</t>
  </si>
  <si>
    <t>Francisco Gê Acayaba Montezuma</t>
  </si>
  <si>
    <t>1794-03-23</t>
  </si>
  <si>
    <t>1870-02-15</t>
  </si>
  <si>
    <t>https://dadosabertos.camara.leg.br/api/v2/deputados/550</t>
  </si>
  <si>
    <t>MORAIS SARMENTO</t>
  </si>
  <si>
    <t>Casimiro José de Moraes Sarmento</t>
  </si>
  <si>
    <t>1813-08-13</t>
  </si>
  <si>
    <t>1860-02-10</t>
  </si>
  <si>
    <t>https://dadosabertos.camara.leg.br/api/v2/deputados/294</t>
  </si>
  <si>
    <t>MOURA MAGALHÃES</t>
  </si>
  <si>
    <t>João José de Moura Magalhães</t>
  </si>
  <si>
    <t>1850-03-14</t>
  </si>
  <si>
    <t>https://dadosabertos.camara.leg.br/api/v2/deputados/561</t>
  </si>
  <si>
    <t>NUNES AGUIAR</t>
  </si>
  <si>
    <t>Antonio Nunes de Aguiar</t>
  </si>
  <si>
    <t>1807-11-22</t>
  </si>
  <si>
    <t>1876-06-17</t>
  </si>
  <si>
    <t>https://dadosabertos.camara.leg.br/api/v2/deputados/572</t>
  </si>
  <si>
    <t>OLIMPIO MACHADO</t>
  </si>
  <si>
    <t>Eduardo Olimpio Machado</t>
  </si>
  <si>
    <t>1817-03-31</t>
  </si>
  <si>
    <t>1855-08-14</t>
  </si>
  <si>
    <t>https://dadosabertos.camara.leg.br/api/v2/deputados/390</t>
  </si>
  <si>
    <t>OLIVEIRA</t>
  </si>
  <si>
    <t>Joaquim José de Oliveira</t>
  </si>
  <si>
    <t>https://dadosabertos.camara.leg.br/api/v2/deputados/592</t>
  </si>
  <si>
    <t>PAIS DE SOUZA</t>
  </si>
  <si>
    <t>João Lourenço Paes de Souza</t>
  </si>
  <si>
    <t>https://dadosabertos.camara.leg.br/api/v2/deputados/603</t>
  </si>
  <si>
    <t>PEIXOTO GOMIDE</t>
  </si>
  <si>
    <t>Francisco de Assis Peixoto Gomide</t>
  </si>
  <si>
    <t>1850-04-04</t>
  </si>
  <si>
    <t>https://dadosabertos.camara.leg.br/api/v2/deputados/614</t>
  </si>
  <si>
    <t>Anselmo Francisco Peretti</t>
  </si>
  <si>
    <t>1812-04-21</t>
  </si>
  <si>
    <t>1877-10-09</t>
  </si>
  <si>
    <t>https://dadosabertos.camara.leg.br/api/v2/deputados/611</t>
  </si>
  <si>
    <t>REIS E SILVA</t>
  </si>
  <si>
    <t>Alexandre Bernardinho dos Reis e Silva</t>
  </si>
  <si>
    <t>https://dadosabertos.camara.leg.br/api/v2/deputados/542</t>
  </si>
  <si>
    <t>TENREIRO ARANHA</t>
  </si>
  <si>
    <t>João Baptista de Figueiredo Tenreiro Aranha</t>
  </si>
  <si>
    <t>1798-06-23</t>
  </si>
  <si>
    <t>1861-01-19</t>
  </si>
  <si>
    <t>https://dadosabertos.camara.leg.br/api/v2/deputados/360</t>
  </si>
  <si>
    <t>Manoel Vieira Tosta</t>
  </si>
  <si>
    <t>1807-07-12</t>
  </si>
  <si>
    <t>1896-02-22</t>
  </si>
  <si>
    <t>https://dadosabertos.camara.leg.br/api/v2/deputados/566</t>
  </si>
  <si>
    <t>VITOR DE OLIVEIRA</t>
  </si>
  <si>
    <t>Vitor de Oliveira</t>
  </si>
  <si>
    <t>https://dadosabertos.camara.leg.br/api/v2/deputados/545</t>
  </si>
  <si>
    <t>ABREU LIMA</t>
  </si>
  <si>
    <t>Joaquim Teixeira Peixoto de Abreu Lima</t>
  </si>
  <si>
    <t>https://dadosabertos.camara.leg.br/api/v2/deputados/491</t>
  </si>
  <si>
    <t>ACAUÃ</t>
  </si>
  <si>
    <t>Benedicto Marques da Silva Acauã</t>
  </si>
  <si>
    <t>1814-06-14</t>
  </si>
  <si>
    <t>1873-02-20</t>
  </si>
  <si>
    <t>https://dadosabertos.camara.leg.br/api/v2/deputados/495</t>
  </si>
  <si>
    <t>AFONSO FERREIRA</t>
  </si>
  <si>
    <t>Antonio Affonso Ferreira</t>
  </si>
  <si>
    <t>1812-03-15</t>
  </si>
  <si>
    <t>1850-12-20</t>
  </si>
  <si>
    <t>https://dadosabertos.camara.leg.br/api/v2/deputados/492</t>
  </si>
  <si>
    <t>AIRES DO NASCIMENTO</t>
  </si>
  <si>
    <t>Miguel Joaquim Ayres do Nascimento</t>
  </si>
  <si>
    <t>https://dadosabertos.camara.leg.br/api/v2/deputados/373</t>
  </si>
  <si>
    <t>ALVARENGA</t>
  </si>
  <si>
    <t>Tristão Antonio de Alvarenga</t>
  </si>
  <si>
    <t>https://dadosabertos.camara.leg.br/api/v2/deputados/546</t>
  </si>
  <si>
    <t>José Francisco de Arruda Câmara</t>
  </si>
  <si>
    <t>https://dadosabertos.camara.leg.br/api/v2/deputados/534</t>
  </si>
  <si>
    <t>ASSIS ALMEIDA</t>
  </si>
  <si>
    <t>Francisco de Assis e Almeida</t>
  </si>
  <si>
    <t>https://dadosabertos.camara.leg.br/api/v2/deputados/512</t>
  </si>
  <si>
    <t>CAMPOS MELO</t>
  </si>
  <si>
    <t>Antonio Manoel de Campos Mello</t>
  </si>
  <si>
    <t>https://dadosabertos.camara.leg.br/api/v2/deputados/391</t>
  </si>
  <si>
    <t>Manoel Ignacio de Carvalho Mendonça</t>
  </si>
  <si>
    <t>1851-04-13</t>
  </si>
  <si>
    <t>https://dadosabertos.camara.leg.br/api/v2/deputados/548</t>
  </si>
  <si>
    <t>Antonio Borges Leal Castello Branco</t>
  </si>
  <si>
    <t>1871-04-07</t>
  </si>
  <si>
    <t>https://dadosabertos.camara.leg.br/api/v2/deputados/230</t>
  </si>
  <si>
    <t>CHICHORRO DA GAMA</t>
  </si>
  <si>
    <t>Antonio Pinto Chichorro da Gama</t>
  </si>
  <si>
    <t>1887-06-10</t>
  </si>
  <si>
    <t>https://dadosabertos.camara.leg.br/api/v2/deputados/558</t>
  </si>
  <si>
    <t>CLEMENTE DOS SANTOS</t>
  </si>
  <si>
    <t>Antonio Clemente dos Santos</t>
  </si>
  <si>
    <t>https://dadosabertos.camara.leg.br/api/v2/deputados/388</t>
  </si>
  <si>
    <t>COELHO BASTOS</t>
  </si>
  <si>
    <t>João Coelho Bastos</t>
  </si>
  <si>
    <t>https://dadosabertos.camara.leg.br/api/v2/deputados/376</t>
  </si>
  <si>
    <t>COELHO DA CUNHA</t>
  </si>
  <si>
    <t>José Feliciano Pinto Coelho da Cunha</t>
  </si>
  <si>
    <t>1792-12-01</t>
  </si>
  <si>
    <t>1869-07-09</t>
  </si>
  <si>
    <t>https://dadosabertos.camara.leg.br/api/v2/deputados/536</t>
  </si>
  <si>
    <t>ELIAS</t>
  </si>
  <si>
    <t>Elias Pinto de Carvalho</t>
  </si>
  <si>
    <t>1815-07-20</t>
  </si>
  <si>
    <t>1884-05-28</t>
  </si>
  <si>
    <t>https://dadosabertos.camara.leg.br/api/v2/deputados/481</t>
  </si>
  <si>
    <t>FERNANDES DE BARROS</t>
  </si>
  <si>
    <t>João Fernandes de Barros</t>
  </si>
  <si>
    <t>https://dadosabertos.camara.leg.br/api/v2/deputados/42</t>
  </si>
  <si>
    <t>FRANÇA</t>
  </si>
  <si>
    <t>Manoel José de Sousa França</t>
  </si>
  <si>
    <t>1856-02-08</t>
  </si>
  <si>
    <t>https://dadosabertos.camara.leg.br/api/v2/deputados/493</t>
  </si>
  <si>
    <t>FRANÇA LEITE</t>
  </si>
  <si>
    <t>Nicolao Rodrigues dos Santos França Leite</t>
  </si>
  <si>
    <t>1803-04-07</t>
  </si>
  <si>
    <t>1867-07-06</t>
  </si>
  <si>
    <t>https://dadosabertos.camara.leg.br/api/v2/deputados/371</t>
  </si>
  <si>
    <t>FRANCO</t>
  </si>
  <si>
    <t>Joaquim Franco de Sá</t>
  </si>
  <si>
    <t>1807-12-25</t>
  </si>
  <si>
    <t>1851-11-11</t>
  </si>
  <si>
    <t>https://dadosabertos.camara.leg.br/api/v2/deputados/137</t>
  </si>
  <si>
    <t>GABRIEL GETULIO</t>
  </si>
  <si>
    <t>Gabriel Getúlio Monteiro de Mendonça</t>
  </si>
  <si>
    <t>1850-01-05</t>
  </si>
  <si>
    <t>https://dadosabertos.camara.leg.br/api/v2/deputados/513</t>
  </si>
  <si>
    <t>Bernardo José Pinto Gavião Peixoto</t>
  </si>
  <si>
    <t>1792-05-17</t>
  </si>
  <si>
    <t>https://dadosabertos.camara.leg.br/api/v2/deputados/487</t>
  </si>
  <si>
    <t>GODÓI</t>
  </si>
  <si>
    <t>Antonio Thomaz de Godoy</t>
  </si>
  <si>
    <t>1812-12-08</t>
  </si>
  <si>
    <t>1858-07-02</t>
  </si>
  <si>
    <t>https://dadosabertos.camara.leg.br/api/v2/deputados/554</t>
  </si>
  <si>
    <t>GOMES DE MENEZES</t>
  </si>
  <si>
    <t>José Augusto Gomes de Menezes</t>
  </si>
  <si>
    <t>1852-12-22</t>
  </si>
  <si>
    <t>https://dadosabertos.camara.leg.br/api/v2/deputados/508</t>
  </si>
  <si>
    <t>GOMES DOS SANTOS</t>
  </si>
  <si>
    <t>Thomaz Gomes dos Santos</t>
  </si>
  <si>
    <t>1803-04-17</t>
  </si>
  <si>
    <t>https://dadosabertos.camara.leg.br/api/v2/deputados/538</t>
  </si>
  <si>
    <t>GONÇALVES</t>
  </si>
  <si>
    <t>https://dadosabertos.camara.leg.br/api/v2/deputados/544</t>
  </si>
  <si>
    <t>GRACIANO</t>
  </si>
  <si>
    <t>Graciano Adolpho Cavalcanti de Albuquerque</t>
  </si>
  <si>
    <t>https://dadosabertos.camara.leg.br/api/v2/deputados/1275</t>
  </si>
  <si>
    <t>José de Assis Alves Branco Muniz Barreto</t>
  </si>
  <si>
    <t>1819-09-27</t>
  </si>
  <si>
    <t>1853-03-17</t>
  </si>
  <si>
    <t>https://dadosabertos.camara.leg.br/api/v2/deputados/549</t>
  </si>
  <si>
    <t>Marcos Antonio de Macedo</t>
  </si>
  <si>
    <t>1808-06-18</t>
  </si>
  <si>
    <t>https://dadosabertos.camara.leg.br/api/v2/deputados/379</t>
  </si>
  <si>
    <t>MARINHO</t>
  </si>
  <si>
    <t>José Antônio Marinho</t>
  </si>
  <si>
    <t>1803-10-07</t>
  </si>
  <si>
    <t>1853-03-13</t>
  </si>
  <si>
    <t>https://dadosabertos.camara.leg.br/api/v2/deputados/539</t>
  </si>
  <si>
    <t>MEIRELES</t>
  </si>
  <si>
    <t>Joaquim Cândido Soares de Meirelles</t>
  </si>
  <si>
    <t>1797-11-05</t>
  </si>
  <si>
    <t>1868-07-13</t>
  </si>
  <si>
    <t>https://dadosabertos.camara.leg.br/api/v2/deputados/393</t>
  </si>
  <si>
    <t>MENDES DA CUNHA</t>
  </si>
  <si>
    <t>Manoel Mendes da Cunha Azevedo</t>
  </si>
  <si>
    <t>1797-12-02</t>
  </si>
  <si>
    <t>1858-07-13</t>
  </si>
  <si>
    <t>https://dadosabertos.camara.leg.br/api/v2/deputados/210</t>
  </si>
  <si>
    <t>MUNIZ BARRETO</t>
  </si>
  <si>
    <t>Joaquim Francisco Alves Branco Muniz Barreto</t>
  </si>
  <si>
    <t>1800-05-27</t>
  </si>
  <si>
    <t>https://dadosabertos.camara.leg.br/api/v2/deputados/395</t>
  </si>
  <si>
    <t>NUNES MACHADO</t>
  </si>
  <si>
    <t>Joaquim Nunes Machado</t>
  </si>
  <si>
    <t>1809-08-15</t>
  </si>
  <si>
    <t>1849-02-02</t>
  </si>
  <si>
    <t>https://dadosabertos.camara.leg.br/api/v2/deputados/309</t>
  </si>
  <si>
    <t>PAULA CERQUEIRA</t>
  </si>
  <si>
    <t>Francisco de Paula Cerqueira Leite</t>
  </si>
  <si>
    <t>1875-09-16</t>
  </si>
  <si>
    <t>https://dadosabertos.camara.leg.br/api/v2/deputados/1273</t>
  </si>
  <si>
    <t>PAULINO DE SOUZA</t>
  </si>
  <si>
    <t>1807-10-04</t>
  </si>
  <si>
    <t>1866-07-15</t>
  </si>
  <si>
    <t>https://dadosabertos.camara.leg.br/api/v2/deputados/364</t>
  </si>
  <si>
    <t>PEIXOTO DE ALENCAR</t>
  </si>
  <si>
    <t>Carlos Augusto Peixoto de Alencar</t>
  </si>
  <si>
    <t>1805-05-08</t>
  </si>
  <si>
    <t>1866-09-17</t>
  </si>
  <si>
    <t>https://dadosabertos.camara.leg.br/api/v2/deputados/456</t>
  </si>
  <si>
    <t>PEIXOTO DE BRITO</t>
  </si>
  <si>
    <t>Felix Peixoto de Brito e Mello</t>
  </si>
  <si>
    <t>1807-08-24</t>
  </si>
  <si>
    <t>1878-01-13</t>
  </si>
  <si>
    <t>https://dadosabertos.camara.leg.br/api/v2/deputados/483</t>
  </si>
  <si>
    <t>POMPEU</t>
  </si>
  <si>
    <t>Thomaz Pompeo de Souza Brasil</t>
  </si>
  <si>
    <t>1818-06-06</t>
  </si>
  <si>
    <t>1877-09-02</t>
  </si>
  <si>
    <t>https://dadosabertos.camara.leg.br/api/v2/deputados/541</t>
  </si>
  <si>
    <t>QUINTILIANO</t>
  </si>
  <si>
    <t>Quintiliano José da Silva</t>
  </si>
  <si>
    <t>1889-08-25</t>
  </si>
  <si>
    <t>https://dadosabertos.camara.leg.br/api/v2/deputados/528</t>
  </si>
  <si>
    <t>RAMALHO</t>
  </si>
  <si>
    <t>Joaquim Ignacio Ramalho</t>
  </si>
  <si>
    <t>1810-01-06</t>
  </si>
  <si>
    <t>https://dadosabertos.camara.leg.br/api/v2/deputados/396</t>
  </si>
  <si>
    <t>REGO MONTEIRO</t>
  </si>
  <si>
    <t>Antonio da Costa Rego Monteiro</t>
  </si>
  <si>
    <t>1805-08-14</t>
  </si>
  <si>
    <t>1859-08-01</t>
  </si>
  <si>
    <t>https://dadosabertos.camara.leg.br/api/v2/deputados/226062</t>
  </si>
  <si>
    <t>RIBEIRO DE RESENDE</t>
  </si>
  <si>
    <t>Estevão Ribeiro de Rezende</t>
  </si>
  <si>
    <t>1878-06-07</t>
  </si>
  <si>
    <t>https://dadosabertos.camara.leg.br/api/v2/deputados/526</t>
  </si>
  <si>
    <t>SABOIA</t>
  </si>
  <si>
    <t>Domingos Carlos de Saboia</t>
  </si>
  <si>
    <t>1803-06-13</t>
  </si>
  <si>
    <t>1862-06-24</t>
  </si>
  <si>
    <t>https://dadosabertos.camara.leg.br/api/v2/deputados/471</t>
  </si>
  <si>
    <t>José Tavares Bastos</t>
  </si>
  <si>
    <t>1893-08-08</t>
  </si>
  <si>
    <t>https://dadosabertos.camara.leg.br/api/v2/deputados/556</t>
  </si>
  <si>
    <t>VICENTE TORRES-HOMEM</t>
  </si>
  <si>
    <t>Joaquim Vicente Torres-Homem</t>
  </si>
  <si>
    <t>1858-12-09</t>
  </si>
  <si>
    <t>https://dadosabertos.camara.leg.br/api/v2/deputados/340</t>
  </si>
  <si>
    <t>ALVARES MACHADO</t>
  </si>
  <si>
    <t>Francisco Alvares Machado de Vasconcellos</t>
  </si>
  <si>
    <t>1791-12-21</t>
  </si>
  <si>
    <t>1846-07-04</t>
  </si>
  <si>
    <t>https://dadosabertos.camara.leg.br/api/v2/deputados/473</t>
  </si>
  <si>
    <t>AMÂNCIO</t>
  </si>
  <si>
    <t>Amâncio João Pereira de Andrade</t>
  </si>
  <si>
    <t>https://dadosabertos.camara.leg.br/api/v2/deputados/90</t>
  </si>
  <si>
    <t>ANDRADA MACHADO</t>
  </si>
  <si>
    <t>Antônio Carlos Ribeiro de Andrada Machado e Silva</t>
  </si>
  <si>
    <t>1773-11-01</t>
  </si>
  <si>
    <t>1845-12-05</t>
  </si>
  <si>
    <t>https://dadosabertos.camara.leg.br/api/v2/deputados/478</t>
  </si>
  <si>
    <t>BEZERRA</t>
  </si>
  <si>
    <t>Manoel Soares da Silva Bezerra</t>
  </si>
  <si>
    <t>1810-08-01</t>
  </si>
  <si>
    <t>1888-11-29</t>
  </si>
  <si>
    <t>https://dadosabertos.camara.leg.br/api/v2/deputados/326</t>
  </si>
  <si>
    <t>BISPO CAPELÃO-MOR</t>
  </si>
  <si>
    <t>Manoel do Monte Rodrigues de Araújo</t>
  </si>
  <si>
    <t>1796-03-17</t>
  </si>
  <si>
    <t>1863-06-11</t>
  </si>
  <si>
    <t>https://dadosabertos.camara.leg.br/api/v2/deputados/125</t>
  </si>
  <si>
    <t>BRICIO</t>
  </si>
  <si>
    <t>Marcos Antônio Brício</t>
  </si>
  <si>
    <t>1800-12-24</t>
  </si>
  <si>
    <t>1871-08-11</t>
  </si>
  <si>
    <t>https://dadosabertos.camara.leg.br/api/v2/deputados/429</t>
  </si>
  <si>
    <t>CARVALHO</t>
  </si>
  <si>
    <t>José Joaquim de Carvalho</t>
  </si>
  <si>
    <t>https://dadosabertos.camara.leg.br/api/v2/deputados/479</t>
  </si>
  <si>
    <t>CARVALHO E SILVA</t>
  </si>
  <si>
    <t>José Vieira Rodrigues de Carvalho e Silva</t>
  </si>
  <si>
    <t>https://dadosabertos.camara.leg.br/api/v2/deputados/502</t>
  </si>
  <si>
    <t>CONDE DO RIO PARDO</t>
  </si>
  <si>
    <t>Thomaz Joaquim Pereira Valente</t>
  </si>
  <si>
    <t>1849-08-30</t>
  </si>
  <si>
    <t>https://dadosabertos.camara.leg.br/api/v2/deputados/173</t>
  </si>
  <si>
    <t>CUNHA BARBOSA</t>
  </si>
  <si>
    <t>Januário da Cunha Barboza</t>
  </si>
  <si>
    <t>1780-07-10</t>
  </si>
  <si>
    <t>1846-02-22</t>
  </si>
  <si>
    <t>https://dadosabertos.camara.leg.br/api/v2/deputados/486</t>
  </si>
  <si>
    <t>DIAS DE MOTA</t>
  </si>
  <si>
    <t>Fernando Sebastião Dias da Motta</t>
  </si>
  <si>
    <t>https://dadosabertos.camara.leg.br/api/v2/deputados/247</t>
  </si>
  <si>
    <t>ERNESTO FRANÇA</t>
  </si>
  <si>
    <t>Ernesto Ferreira França</t>
  </si>
  <si>
    <t>1804-06-21</t>
  </si>
  <si>
    <t>1872-05-14</t>
  </si>
  <si>
    <t>https://dadosabertos.camara.leg.br/api/v2/deputados/311</t>
  </si>
  <si>
    <t>FERNANDES TORRES</t>
  </si>
  <si>
    <t>José Joaquim Fernandes Torres</t>
  </si>
  <si>
    <t>1797-04-17</t>
  </si>
  <si>
    <t>1869-12-24</t>
  </si>
  <si>
    <t>https://dadosabertos.camara.leg.br/api/v2/deputados/215</t>
  </si>
  <si>
    <t>FERREIRA DE CASTRO</t>
  </si>
  <si>
    <t>Vicente Ferreira de Castro e Silva</t>
  </si>
  <si>
    <t>1792-10-23</t>
  </si>
  <si>
    <t>1873-01-28</t>
  </si>
  <si>
    <t>https://dadosabertos.camara.leg.br/api/v2/deputados/506</t>
  </si>
  <si>
    <t>GONÇALVES DE MAGALHÃES</t>
  </si>
  <si>
    <t>Domingos José Gonçalves de Magalhães</t>
  </si>
  <si>
    <t>1811-08-13</t>
  </si>
  <si>
    <t>https://dadosabertos.camara.leg.br/api/v2/deputados/498</t>
  </si>
  <si>
    <t>JOSÉ PEDRO DA SILVA</t>
  </si>
  <si>
    <t>José Pedro da Silva</t>
  </si>
  <si>
    <t>https://dadosabertos.camara.leg.br/api/v2/deputados/509</t>
  </si>
  <si>
    <t>JOSINO</t>
  </si>
  <si>
    <t>Josino do Nascimento Silva</t>
  </si>
  <si>
    <t>1811-07-31</t>
  </si>
  <si>
    <t>1886-06-06</t>
  </si>
  <si>
    <t>https://dadosabertos.camara.leg.br/api/v2/deputados/138</t>
  </si>
  <si>
    <t>Antônio Paulino Limpo de Abreu</t>
  </si>
  <si>
    <t>1798-09-22</t>
  </si>
  <si>
    <t>1883-09-14</t>
  </si>
  <si>
    <t>https://dadosabertos.camara.leg.br/api/v2/deputados/394</t>
  </si>
  <si>
    <t>LOPES GAMA</t>
  </si>
  <si>
    <t>Miguel do Sacramento Lopes Gama</t>
  </si>
  <si>
    <t>1791-09-29</t>
  </si>
  <si>
    <t>1852-12-09</t>
  </si>
  <si>
    <t>https://dadosabertos.camara.leg.br/api/v2/deputados/167</t>
  </si>
  <si>
    <t>MACHADO DE OLIVEIRA</t>
  </si>
  <si>
    <t>José Joaquim Machado de Oliveira</t>
  </si>
  <si>
    <t>1792-07-08</t>
  </si>
  <si>
    <t>1867-08-16</t>
  </si>
  <si>
    <t>https://dadosabertos.camara.leg.br/api/v2/deputados/504</t>
  </si>
  <si>
    <t>MARANHÃO</t>
  </si>
  <si>
    <t>André de Albuquerque Maranhão Júnior</t>
  </si>
  <si>
    <t>https://dadosabertos.camara.leg.br/api/v2/deputados/469</t>
  </si>
  <si>
    <t>MARIZ</t>
  </si>
  <si>
    <t>Alexandre Maria de Mariz Sarmento</t>
  </si>
  <si>
    <t>1791-11-09</t>
  </si>
  <si>
    <t>1870-10-07</t>
  </si>
  <si>
    <t>https://dadosabertos.camara.leg.br/api/v2/deputados/505</t>
  </si>
  <si>
    <t>Francisco de Queiroz Coutinho Mattoso Câmara</t>
  </si>
  <si>
    <t>https://dadosabertos.camara.leg.br/api/v2/deputados/514</t>
  </si>
  <si>
    <t>MENDONÇA E CASTRO</t>
  </si>
  <si>
    <t>Felício Pinto Coelho de Mendonça e Castro</t>
  </si>
  <si>
    <t>https://dadosabertos.camara.leg.br/api/v2/deputados/484</t>
  </si>
  <si>
    <t>José Francisco de Andrade Almeida Monjardim</t>
  </si>
  <si>
    <t>https://dadosabertos.camara.leg.br/api/v2/deputados/37</t>
  </si>
  <si>
    <t>MUNIZ TAVARES</t>
  </si>
  <si>
    <t>Francisco Muniz Tavares</t>
  </si>
  <si>
    <t>1793-02-16</t>
  </si>
  <si>
    <t>1876-10-23</t>
  </si>
  <si>
    <t>https://dadosabertos.camara.leg.br/api/v2/deputados/134</t>
  </si>
  <si>
    <t>ODORICO MENDES</t>
  </si>
  <si>
    <t>Manoel Odorico Mendes</t>
  </si>
  <si>
    <t>1799-01-24</t>
  </si>
  <si>
    <t>1864-08-17</t>
  </si>
  <si>
    <t>https://dadosabertos.camara.leg.br/api/v2/deputados/470</t>
  </si>
  <si>
    <t>OLIVEIRA LISBOA</t>
  </si>
  <si>
    <t>Henriques Marques de Oliveira Lisboa</t>
  </si>
  <si>
    <t>1799-12-02</t>
  </si>
  <si>
    <t>1869-12-31</t>
  </si>
  <si>
    <t>https://dadosabertos.camara.leg.br/api/v2/deputados/332</t>
  </si>
  <si>
    <t>Manoel Paranhos da Silva Velloso</t>
  </si>
  <si>
    <t>1803-10-13</t>
  </si>
  <si>
    <t>1859-04-11</t>
  </si>
  <si>
    <t>https://dadosabertos.camara.leg.br/api/v2/deputados/489</t>
  </si>
  <si>
    <t>PAULO BARBOSA</t>
  </si>
  <si>
    <t>Paulo Barbosa da Silva</t>
  </si>
  <si>
    <t>1794-01-25</t>
  </si>
  <si>
    <t>1868-01-28</t>
  </si>
  <si>
    <t>https://dadosabertos.camara.leg.br/api/v2/deputados/515</t>
  </si>
  <si>
    <t>PIMENTA BUENO</t>
  </si>
  <si>
    <t>José Antonio Pimenta Bueno</t>
  </si>
  <si>
    <t>1803-12-04</t>
  </si>
  <si>
    <t>1878-02-09</t>
  </si>
  <si>
    <t>https://dadosabertos.camara.leg.br/api/v2/deputados/295</t>
  </si>
  <si>
    <t>RAMIRO</t>
  </si>
  <si>
    <t>Francisco Ramiro de Assis Coelho</t>
  </si>
  <si>
    <t>https://dadosabertos.camara.leg.br/api/v2/deputados/213</t>
  </si>
  <si>
    <t>REBOUÇAS</t>
  </si>
  <si>
    <t>Antônio Pereira Rebouças</t>
  </si>
  <si>
    <t>1798-08-10</t>
  </si>
  <si>
    <t>https://dadosabertos.camara.leg.br/api/v2/deputados/417</t>
  </si>
  <si>
    <t>RIOS</t>
  </si>
  <si>
    <t>José Alves da Cruz Rios</t>
  </si>
  <si>
    <t>https://dadosabertos.camara.leg.br/api/v2/deputados/519</t>
  </si>
  <si>
    <t>SÁ BITTENCOURT</t>
  </si>
  <si>
    <t>José de Sá Bittencourt e Câmara</t>
  </si>
  <si>
    <t>1797-01-23</t>
  </si>
  <si>
    <t>1861-10-28</t>
  </si>
  <si>
    <t>https://dadosabertos.camara.leg.br/api/v2/deputados/367</t>
  </si>
  <si>
    <t>SANTOS AZEVEDO</t>
  </si>
  <si>
    <t>Antonio Ferreira dos Santos Azevedo</t>
  </si>
  <si>
    <t>https://dadosabertos.camara.leg.br/api/v2/deputados/510</t>
  </si>
  <si>
    <t>SANTOS BARRETO</t>
  </si>
  <si>
    <t>João Paulo dos Santos Barreto</t>
  </si>
  <si>
    <t>1788-04-28</t>
  </si>
  <si>
    <t>1864-11-01</t>
  </si>
  <si>
    <t>https://dadosabertos.camara.leg.br/api/v2/deputados/337</t>
  </si>
  <si>
    <t>SATURNINO</t>
  </si>
  <si>
    <t>Saturnino de Souza e Oliveira</t>
  </si>
  <si>
    <t>1803-11-29</t>
  </si>
  <si>
    <t>1848-04-18</t>
  </si>
  <si>
    <t>https://dadosabertos.camara.leg.br/api/v2/deputados/520</t>
  </si>
  <si>
    <t>SILVA</t>
  </si>
  <si>
    <t>Francisco José da Silva</t>
  </si>
  <si>
    <t>https://dadosabertos.camara.leg.br/api/v2/deputados/329</t>
  </si>
  <si>
    <t>SOUSA MARTINS</t>
  </si>
  <si>
    <t>Francisco de Souza Martins</t>
  </si>
  <si>
    <t>1805-01-06</t>
  </si>
  <si>
    <t>1857-02-01</t>
  </si>
  <si>
    <t>https://dadosabertos.camara.leg.br/api/v2/deputados/517</t>
  </si>
  <si>
    <t>SOUSA QUEIROZ</t>
  </si>
  <si>
    <t>Francisco Antonio de Souza Queiroz</t>
  </si>
  <si>
    <t>1806-12-08</t>
  </si>
  <si>
    <t>1891-07-04</t>
  </si>
  <si>
    <t>https://dadosabertos.camara.leg.br/api/v2/deputados/518</t>
  </si>
  <si>
    <t>STOCKLER</t>
  </si>
  <si>
    <t>José Cristiano Garção Stockler</t>
  </si>
  <si>
    <t>https://dadosabertos.camara.leg.br/api/v2/deputados/225</t>
  </si>
  <si>
    <t>VEIGA</t>
  </si>
  <si>
    <t>Antônio José da Veiga</t>
  </si>
  <si>
    <t>1876-06-30</t>
  </si>
  <si>
    <t>https://dadosabertos.camara.leg.br/api/v2/deputados/507</t>
  </si>
  <si>
    <t>Joaquim Vieira da Cunha</t>
  </si>
  <si>
    <t>1805-03-03</t>
  </si>
  <si>
    <t>1886-07-25</t>
  </si>
  <si>
    <t>Piratini</t>
  </si>
  <si>
    <t>https://dadosabertos.camara.leg.br/api/v2/deputados/35</t>
  </si>
  <si>
    <t>VISCONDE DE GOIANA</t>
  </si>
  <si>
    <t>Bernardo José da Gama</t>
  </si>
  <si>
    <t>1782-08-20</t>
  </si>
  <si>
    <t>1854-08-03</t>
  </si>
  <si>
    <t>https://dadosabertos.camara.leg.br/api/v2/deputados/136</t>
  </si>
  <si>
    <t>José Carlos Pereira de Almeida Torres</t>
  </si>
  <si>
    <t>1850-04-25</t>
  </si>
  <si>
    <t>https://dadosabertos.camara.leg.br/api/v2/deputados/459</t>
  </si>
  <si>
    <t>ALVARES DE AZEVEDO</t>
  </si>
  <si>
    <t>Ignácio Manoel de Alvares de Azevedo</t>
  </si>
  <si>
    <t>https://dadosabertos.camara.leg.br/api/v2/deputados/384</t>
  </si>
  <si>
    <t>ANDRÉA</t>
  </si>
  <si>
    <t>Francisco José de Souza Soares de Andréa</t>
  </si>
  <si>
    <t>1781-01-29</t>
  </si>
  <si>
    <t>1858-10-02</t>
  </si>
  <si>
    <t>https://dadosabertos.camara.leg.br/api/v2/deputados/374</t>
  </si>
  <si>
    <t>ANTUNES CORREIA</t>
  </si>
  <si>
    <t>João Antunes Correia</t>
  </si>
  <si>
    <t>1854-03-27</t>
  </si>
  <si>
    <t>https://dadosabertos.camara.leg.br/api/v2/deputados/250</t>
  </si>
  <si>
    <t>BARÃO DA BOA VISTA</t>
  </si>
  <si>
    <t>Francisco do Rego Barros</t>
  </si>
  <si>
    <t>1802-02-03</t>
  </si>
  <si>
    <t>1870-10-04</t>
  </si>
  <si>
    <t>https://dadosabertos.camara.leg.br/api/v2/deputados/321</t>
  </si>
  <si>
    <t>BARBOSA CORDEIRO</t>
  </si>
  <si>
    <t>João Barbosa Cordeiro</t>
  </si>
  <si>
    <t>1792-06-06</t>
  </si>
  <si>
    <t>1862-12-23</t>
  </si>
  <si>
    <t>https://dadosabertos.camara.leg.br/api/v2/deputados/408</t>
  </si>
  <si>
    <t>BOTO</t>
  </si>
  <si>
    <t>Sebastião Gaspar de Almeida Boto</t>
  </si>
  <si>
    <t>1802-09-17</t>
  </si>
  <si>
    <t>1884-05-31</t>
  </si>
  <si>
    <t>https://dadosabertos.camara.leg.br/api/v2/deputados/409</t>
  </si>
  <si>
    <t>CAJUEIRO</t>
  </si>
  <si>
    <t>Ignácio de Barros Vieira Cajueiro</t>
  </si>
  <si>
    <t>https://dadosabertos.camara.leg.br/api/v2/deputados/33</t>
  </si>
  <si>
    <t>CAVALCANTI DE LACERDA</t>
  </si>
  <si>
    <t>Manoel Ignácio Cavalcanti de Lacerda</t>
  </si>
  <si>
    <t>1799-09-06</t>
  </si>
  <si>
    <t>1882-03-11</t>
  </si>
  <si>
    <t>https://dadosabertos.camara.leg.br/api/v2/deputados/432</t>
  </si>
  <si>
    <t>CIRINO</t>
  </si>
  <si>
    <t>Cyrino Antonio de Lemos</t>
  </si>
  <si>
    <t>https://dadosabertos.camara.leg.br/api/v2/deputados/269</t>
  </si>
  <si>
    <t>CLEMENTE PEREIRA</t>
  </si>
  <si>
    <t>José Clemente Pereira</t>
  </si>
  <si>
    <t>1787-02-17</t>
  </si>
  <si>
    <t>1854-03-10</t>
  </si>
  <si>
    <t>Guarda</t>
  </si>
  <si>
    <t>https://dadosabertos.camara.leg.br/api/v2/deputados/421</t>
  </si>
  <si>
    <t>COSTA BARROS</t>
  </si>
  <si>
    <t>José da Costa Barros</t>
  </si>
  <si>
    <t>https://dadosabertos.camara.leg.br/api/v2/deputados/214</t>
  </si>
  <si>
    <t>COSTA MIRANDA</t>
  </si>
  <si>
    <t>Joaquim Ignácio da Costa Miranda</t>
  </si>
  <si>
    <t>https://dadosabertos.camara.leg.br/api/v2/deputados/349</t>
  </si>
  <si>
    <t>Antonio Luiz Dantas de Barros Leite</t>
  </si>
  <si>
    <t>1802-02-13</t>
  </si>
  <si>
    <t>1870-06-09</t>
  </si>
  <si>
    <t>https://dadosabertos.camara.leg.br/api/v2/deputados/433</t>
  </si>
  <si>
    <t>FERREIRA CARNEIRO</t>
  </si>
  <si>
    <t>José Ferreira Carneiro</t>
  </si>
  <si>
    <t>https://dadosabertos.camara.leg.br/api/v2/deputados/464</t>
  </si>
  <si>
    <t>FONSECA</t>
  </si>
  <si>
    <t>José Manoel da Fonseca</t>
  </si>
  <si>
    <t>1803-04-05</t>
  </si>
  <si>
    <t>1871-03-10</t>
  </si>
  <si>
    <t>https://dadosabertos.camara.leg.br/api/v2/deputados/424</t>
  </si>
  <si>
    <t>FREITAS MAGALHÃES</t>
  </si>
  <si>
    <t>Manoel de Freitas Magalhães</t>
  </si>
  <si>
    <t>1843-10-15</t>
  </si>
  <si>
    <t>https://dadosabertos.camara.leg.br/api/v2/deputados/414</t>
  </si>
  <si>
    <t>FROIS</t>
  </si>
  <si>
    <t>Theodoro Praxedes Froes</t>
  </si>
  <si>
    <t>https://dadosabertos.camara.leg.br/api/v2/deputados/116</t>
  </si>
  <si>
    <t>Manoel Antônio Galvão</t>
  </si>
  <si>
    <t>1791-01-03</t>
  </si>
  <si>
    <t>1850-03-21</t>
  </si>
  <si>
    <t>https://dadosabertos.camara.leg.br/api/v2/deputados/157</t>
  </si>
  <si>
    <t>Thomaz Xavier Garcia de Almeida</t>
  </si>
  <si>
    <t>1792-06-14</t>
  </si>
  <si>
    <t>1870-01-11</t>
  </si>
  <si>
    <t>https://dadosabertos.camara.leg.br/api/v2/deputados/434</t>
  </si>
  <si>
    <t>GOMES DE CARVALHO</t>
  </si>
  <si>
    <t>Joaquim Gomes de Carvalho</t>
  </si>
  <si>
    <t>https://dadosabertos.camara.leg.br/api/v2/deputados/435</t>
  </si>
  <si>
    <t>JACINTHO DA VEIGA</t>
  </si>
  <si>
    <t>Bernardo Jacintho da Veiga</t>
  </si>
  <si>
    <t>1802-06-20</t>
  </si>
  <si>
    <t>1845-06-21</t>
  </si>
  <si>
    <t>https://dadosabertos.camara.leg.br/api/v2/deputados/426</t>
  </si>
  <si>
    <t>JANSEN</t>
  </si>
  <si>
    <t>Manoel Jansen Pereira</t>
  </si>
  <si>
    <t>https://dadosabertos.camara.leg.br/api/v2/deputados/436</t>
  </si>
  <si>
    <t>JOSÉ RIBEIRO</t>
  </si>
  <si>
    <t>Lourenço José Ribeiro</t>
  </si>
  <si>
    <t>https://dadosabertos.camara.leg.br/api/v2/deputados/328</t>
  </si>
  <si>
    <t>José Joaquim de Lima e Silva Filho</t>
  </si>
  <si>
    <t>1787-07-26</t>
  </si>
  <si>
    <t>https://dadosabertos.camara.leg.br/api/v2/deputados/453</t>
  </si>
  <si>
    <t>M.J.CARNEIRO DA CUNHA</t>
  </si>
  <si>
    <t>Manuel Joaquim Carneiro da Cunha</t>
  </si>
  <si>
    <t>https://dadosabertos.camara.leg.br/api/v2/deputados/440</t>
  </si>
  <si>
    <t>MACHADO NUNES</t>
  </si>
  <si>
    <t>Manoel Machado Nunes</t>
  </si>
  <si>
    <t>https://dadosabertos.camara.leg.br/api/v2/deputados/411</t>
  </si>
  <si>
    <t>MANUEL FELIZARDO</t>
  </si>
  <si>
    <t>Manoel Felizardo de Souza e Mello</t>
  </si>
  <si>
    <t>1805-12-05</t>
  </si>
  <si>
    <t>1866-08-16</t>
  </si>
  <si>
    <t>https://dadosabertos.camara.leg.br/api/v2/deputados/145</t>
  </si>
  <si>
    <t>José Cesario de Miranda Ribeiro</t>
  </si>
  <si>
    <t>1792-07-01</t>
  </si>
  <si>
    <t>1856-05-07</t>
  </si>
  <si>
    <t>https://dadosabertos.camara.leg.br/api/v2/deputados/454</t>
  </si>
  <si>
    <t>NEVES</t>
  </si>
  <si>
    <t>Agostinho da Silva Neves</t>
  </si>
  <si>
    <t>https://dadosabertos.camara.leg.br/api/v2/deputados/455</t>
  </si>
  <si>
    <t>Luiz Carvalho Paes de Andrade</t>
  </si>
  <si>
    <t>https://dadosabertos.camara.leg.br/api/v2/deputados/442</t>
  </si>
  <si>
    <t>PENIDO</t>
  </si>
  <si>
    <t>1883-05-19</t>
  </si>
  <si>
    <t>https://dadosabertos.camara.leg.br/api/v2/deputados/344</t>
  </si>
  <si>
    <t>RODRIGO MONTEIRO</t>
  </si>
  <si>
    <t>Rodrigo Antônio Monteiro de Barros</t>
  </si>
  <si>
    <t>1844-02-29</t>
  </si>
  <si>
    <t>https://dadosabertos.camara.leg.br/api/v2/deputados/336</t>
  </si>
  <si>
    <t>RODRIGUES TORRES</t>
  </si>
  <si>
    <t>Joaquim José Rodrigues Torres</t>
  </si>
  <si>
    <t>1802-12-13</t>
  </si>
  <si>
    <t>1872-01-08</t>
  </si>
  <si>
    <t>https://dadosabertos.camara.leg.br/api/v2/deputados/412</t>
  </si>
  <si>
    <t>SERAPIÃO</t>
  </si>
  <si>
    <t>Joaquim Serapião de Carvalho</t>
  </si>
  <si>
    <t>https://dadosabertos.camara.leg.br/api/v2/deputados/447</t>
  </si>
  <si>
    <t>SÉRGIO DE OLIVEIRA</t>
  </si>
  <si>
    <t>Francisco Sérgio de Oliveira</t>
  </si>
  <si>
    <t>1866-05-27</t>
  </si>
  <si>
    <t>https://dadosabertos.camara.leg.br/api/v2/deputados/351</t>
  </si>
  <si>
    <t>SILVA PONTES</t>
  </si>
  <si>
    <t>Rodrigo de Souza da Silva Pontes</t>
  </si>
  <si>
    <t>1799-10-27</t>
  </si>
  <si>
    <t>https://dadosabertos.camara.leg.br/api/v2/deputados/444</t>
  </si>
  <si>
    <t>SILVA VIANA</t>
  </si>
  <si>
    <t>José Lopes da Silva Vianna</t>
  </si>
  <si>
    <t>https://dadosabertos.camara.leg.br/api/v2/deputados/418</t>
  </si>
  <si>
    <t>SIMÕES DA SILVA</t>
  </si>
  <si>
    <t>Antonio Simões da Silva</t>
  </si>
  <si>
    <t>https://dadosabertos.camara.leg.br/api/v2/deputados/404</t>
  </si>
  <si>
    <t>SIQUEIRA E SILVA</t>
  </si>
  <si>
    <t>José Antonio de Siqueira e Silva</t>
  </si>
  <si>
    <t>https://dadosabertos.camara.leg.br/api/v2/deputados/445</t>
  </si>
  <si>
    <t>VALE DA GAMA</t>
  </si>
  <si>
    <t>Nicolau Antonio Nogueira Valle da Gama</t>
  </si>
  <si>
    <t>1802-09-13</t>
  </si>
  <si>
    <t>https://dadosabertos.camara.leg.br/api/v2/deputados/405</t>
  </si>
  <si>
    <t>VAZ VIEIRA</t>
  </si>
  <si>
    <t>José Ignácio Vaz Vieira</t>
  </si>
  <si>
    <t>https://dadosabertos.camara.leg.br/api/v2/deputados/320</t>
  </si>
  <si>
    <t>VEIGA PESSOA</t>
  </si>
  <si>
    <t>José Maria Ildefonso Jacome da Veiga Pessoa</t>
  </si>
  <si>
    <t>https://dadosabertos.camara.leg.br/api/v2/deputados/352</t>
  </si>
  <si>
    <t>VISGUEIRO</t>
  </si>
  <si>
    <t>José Cândido de Pontes Visgueiro</t>
  </si>
  <si>
    <t>1811-10-13</t>
  </si>
  <si>
    <t>1875-03-24</t>
  </si>
  <si>
    <t>https://dadosabertos.camara.leg.br/api/v2/deputados/11</t>
  </si>
  <si>
    <t>ALBUQUERQUE CAVALCANTI</t>
  </si>
  <si>
    <t>José Mariano de Albuquerque Cavalcanti</t>
  </si>
  <si>
    <t>1772-05-20</t>
  </si>
  <si>
    <t>1844-08-20</t>
  </si>
  <si>
    <t>https://dadosabertos.camara.leg.br/api/v2/deputados/307</t>
  </si>
  <si>
    <t>ALCEBÍADES</t>
  </si>
  <si>
    <t>José Alcebíades Carneiro</t>
  </si>
  <si>
    <t>https://dadosabertos.camara.leg.br/api/v2/deputados/353</t>
  </si>
  <si>
    <t>ALVARES DO AMARAL</t>
  </si>
  <si>
    <t>Antônio Joaquim Alvares do Amaral</t>
  </si>
  <si>
    <t>1795-07-25</t>
  </si>
  <si>
    <t>1853-05-18</t>
  </si>
  <si>
    <t>https://dadosabertos.camara.leg.br/api/v2/deputados/226</t>
  </si>
  <si>
    <t>ARAÚJO VIANA</t>
  </si>
  <si>
    <t>Cândido José de Araújo Vianna</t>
  </si>
  <si>
    <t>1793-09-15</t>
  </si>
  <si>
    <t>1875-01-23</t>
  </si>
  <si>
    <t>https://dadosabertos.camara.leg.br/api/v2/deputados/150</t>
  </si>
  <si>
    <t>ARCEBISPO</t>
  </si>
  <si>
    <t>Romualdo Antonio de Seixas</t>
  </si>
  <si>
    <t>1787-11-01</t>
  </si>
  <si>
    <t>1860-12-29</t>
  </si>
  <si>
    <t>https://dadosabertos.camara.leg.br/api/v2/deputados/401</t>
  </si>
  <si>
    <t>AURELIANO</t>
  </si>
  <si>
    <t>Aureliano de Souza e Oliveira Coutinho</t>
  </si>
  <si>
    <t>1800-07-21</t>
  </si>
  <si>
    <t>1855-09-25</t>
  </si>
  <si>
    <t>https://dadosabertos.camara.leg.br/api/v2/deputados/227</t>
  </si>
  <si>
    <t>BATISTA CAETANO</t>
  </si>
  <si>
    <t>Baptista Caetano de Almeida</t>
  </si>
  <si>
    <t>1797-05-03</t>
  </si>
  <si>
    <t>1839-06-24</t>
  </si>
  <si>
    <t>Camanducaia</t>
  </si>
  <si>
    <t>https://dadosabertos.camara.leg.br/api/v2/deputados/368</t>
  </si>
  <si>
    <t>BELEZA</t>
  </si>
  <si>
    <t>Leocádio Ferreira de Gouvêa Pimentel Belleza</t>
  </si>
  <si>
    <t>https://dadosabertos.camara.leg.br/api/v2/deputados/406</t>
  </si>
  <si>
    <t>BISPO DE CUIABÁ</t>
  </si>
  <si>
    <t>D. José Antônio dos Reis</t>
  </si>
  <si>
    <t>1798-06-10</t>
  </si>
  <si>
    <t>https://dadosabertos.camara.leg.br/api/v2/deputados/375</t>
  </si>
  <si>
    <t>BUSTAMANTE</t>
  </si>
  <si>
    <t>Antonio Joaquim Fortes de Bustamante</t>
  </si>
  <si>
    <t>1838-05-03</t>
  </si>
  <si>
    <t>1841-11-21</t>
  </si>
  <si>
    <t>https://dadosabertos.camara.leg.br/api/v2/deputados/369</t>
  </si>
  <si>
    <t>Luiz Carlos Cardoso Cajueiro</t>
  </si>
  <si>
    <t>https://dadosabertos.camara.leg.br/api/v2/deputados/8</t>
  </si>
  <si>
    <t>CALMON</t>
  </si>
  <si>
    <t>1796-12-22</t>
  </si>
  <si>
    <t>1865-09-13</t>
  </si>
  <si>
    <t>https://dadosabertos.camara.leg.br/api/v2/deputados/346</t>
  </si>
  <si>
    <t>CAMARGO FLEURY</t>
  </si>
  <si>
    <t>Luiz Gonzaga de Camargo Fleury</t>
  </si>
  <si>
    <t>1793-06-21</t>
  </si>
  <si>
    <t>1846-12-29</t>
  </si>
  <si>
    <t>https://dadosabertos.camara.leg.br/api/v2/deputados/354</t>
  </si>
  <si>
    <t>CÂNDIDO DE BRITO</t>
  </si>
  <si>
    <t>João Cândido de Brito</t>
  </si>
  <si>
    <t>1841-08-09</t>
  </si>
  <si>
    <t>https://dadosabertos.camara.leg.br/api/v2/deputados/229</t>
  </si>
  <si>
    <t>Honório Hermeto Carneiro Leão</t>
  </si>
  <si>
    <t>1801-01-11</t>
  </si>
  <si>
    <t>1856-09-03</t>
  </si>
  <si>
    <t>https://dadosabertos.camara.leg.br/api/v2/deputados/66</t>
  </si>
  <si>
    <t>Manoel do Nascimento Castro e Silva</t>
  </si>
  <si>
    <t>1788-12-25</t>
  </si>
  <si>
    <t>1846-10-23</t>
  </si>
  <si>
    <t>https://dadosabertos.camara.leg.br/api/v2/deputados/387</t>
  </si>
  <si>
    <t>CHACON</t>
  </si>
  <si>
    <t>Trajano Alipio de Hollanda Chacon</t>
  </si>
  <si>
    <t>1849-09-05</t>
  </si>
  <si>
    <t>https://dadosabertos.camara.leg.br/api/v2/deputados/392</t>
  </si>
  <si>
    <t>CINTRA</t>
  </si>
  <si>
    <t>Elias Coelho Cintra</t>
  </si>
  <si>
    <t>https://dadosabertos.camara.leg.br/api/v2/deputados/179</t>
  </si>
  <si>
    <t>José Ricardo da Costa Aguiar de Andrada</t>
  </si>
  <si>
    <t>1787-10-15</t>
  </si>
  <si>
    <t>1846-06-23</t>
  </si>
  <si>
    <t>https://dadosabertos.camara.leg.br/api/v2/deputados/206</t>
  </si>
  <si>
    <t>COSTA CARVALHO</t>
  </si>
  <si>
    <t>José da Costa Carvalho</t>
  </si>
  <si>
    <t>1796-02-07</t>
  </si>
  <si>
    <t>https://dadosabertos.camara.leg.br/api/v2/deputados/242</t>
  </si>
  <si>
    <t>DEUS E SILVA</t>
  </si>
  <si>
    <t>João Cândido de Deus e Silva</t>
  </si>
  <si>
    <t>1787-03-11</t>
  </si>
  <si>
    <t>1860-08-08</t>
  </si>
  <si>
    <t>https://dadosabertos.camara.leg.br/api/v2/deputados/342</t>
  </si>
  <si>
    <t>DIAS DE TOLEDO</t>
  </si>
  <si>
    <t>Manoel Dias de Toledo</t>
  </si>
  <si>
    <t>1802-04-23</t>
  </si>
  <si>
    <t>1874-03-06</t>
  </si>
  <si>
    <t>https://dadosabertos.camara.leg.br/api/v2/deputados/370</t>
  </si>
  <si>
    <t>ENCARNAÇÃO E SILVA</t>
  </si>
  <si>
    <t>Antônio Bernardo da Encarnação e Silva</t>
  </si>
  <si>
    <t>1799-06-13</t>
  </si>
  <si>
    <t>1848-08-25</t>
  </si>
  <si>
    <t>https://dadosabertos.camara.leg.br/api/v2/deputados/355</t>
  </si>
  <si>
    <t>EUSTÁQUIO</t>
  </si>
  <si>
    <t>Eustáquio Adolpho de Mello Mattos</t>
  </si>
  <si>
    <t>https://dadosabertos.camara.leg.br/api/v2/deputados/389</t>
  </si>
  <si>
    <t>FERREIRA DA COSTA</t>
  </si>
  <si>
    <t>João José Ferreira da Costa</t>
  </si>
  <si>
    <t>https://dadosabertos.camara.leg.br/api/v2/deputados/402</t>
  </si>
  <si>
    <t>José Luiz de Freitas</t>
  </si>
  <si>
    <t>https://dadosabertos.camara.leg.br/api/v2/deputados/158</t>
  </si>
  <si>
    <t>GOMES DA FONSECA</t>
  </si>
  <si>
    <t>Manoel Gomes da Fonseca</t>
  </si>
  <si>
    <t>https://dadosabertos.camara.leg.br/api/v2/deputados/403</t>
  </si>
  <si>
    <t>GOMES DE CAMPOS</t>
  </si>
  <si>
    <t>Francisco Gomes de Campos</t>
  </si>
  <si>
    <t>1788-02-19</t>
  </si>
  <si>
    <t>https://dadosabertos.camara.leg.br/api/v2/deputados/356</t>
  </si>
  <si>
    <t>JOSÉ GONÇALVES MARTINS</t>
  </si>
  <si>
    <t>José Gonçalves Martins</t>
  </si>
  <si>
    <t>https://dadosabertos.camara.leg.br/api/v2/deputados/236</t>
  </si>
  <si>
    <t>João Antônio de Lemos</t>
  </si>
  <si>
    <t>1788-10-04</t>
  </si>
  <si>
    <t>1864-12-30</t>
  </si>
  <si>
    <t>São Gonçalo do Sapucaí</t>
  </si>
  <si>
    <t>https://dadosabertos.camara.leg.br/api/v2/deputados/323</t>
  </si>
  <si>
    <t>LUIZ CARLOS</t>
  </si>
  <si>
    <t>Luiz Carlos Coelho da Silva</t>
  </si>
  <si>
    <t>https://dadosabertos.camara.leg.br/api/v2/deputados/1271</t>
  </si>
  <si>
    <t>1775-06-27</t>
  </si>
  <si>
    <t>1844-02-23</t>
  </si>
  <si>
    <t>https://dadosabertos.camara.leg.br/api/v2/deputados/225373</t>
  </si>
  <si>
    <t>NAVARRO</t>
  </si>
  <si>
    <t>ANTONIO NAVARRO DE ABREU FILHO</t>
  </si>
  <si>
    <t>1874-02-15</t>
  </si>
  <si>
    <t>https://dadosabertos.camara.leg.br/api/v2/deputados/162</t>
  </si>
  <si>
    <t>PAULA DE ALBUQUERQUE</t>
  </si>
  <si>
    <t>Francisco de Paula de Almeida e Albuquerque</t>
  </si>
  <si>
    <t>1795-10-31</t>
  </si>
  <si>
    <t>1868-07-07</t>
  </si>
  <si>
    <t>https://dadosabertos.camara.leg.br/api/v2/deputados/357</t>
  </si>
  <si>
    <t>João Pedreira do Couto</t>
  </si>
  <si>
    <t>https://dadosabertos.camara.leg.br/api/v2/deputados/383</t>
  </si>
  <si>
    <t>PENA</t>
  </si>
  <si>
    <t>José Fernandes de Oliveira Penna</t>
  </si>
  <si>
    <t>https://dadosabertos.camara.leg.br/api/v2/deputados/312</t>
  </si>
  <si>
    <t>QUADROS ARANHA</t>
  </si>
  <si>
    <t>João Dias de Quadros Aranha</t>
  </si>
  <si>
    <t>1868-10-02</t>
  </si>
  <si>
    <t>https://dadosabertos.camara.leg.br/api/v2/deputados/366</t>
  </si>
  <si>
    <t>RIBEIRO DUARTE</t>
  </si>
  <si>
    <t>Marcellino Pinto Ribeiro Duarte</t>
  </si>
  <si>
    <t>1860-06-07</t>
  </si>
  <si>
    <t>https://dadosabertos.camara.leg.br/api/v2/deputados/358</t>
  </si>
  <si>
    <t>ROCHA GALVÃO</t>
  </si>
  <si>
    <t>Innocêncio da Rocha Galvão</t>
  </si>
  <si>
    <t>1863-09-08</t>
  </si>
  <si>
    <t>https://dadosabertos.camara.leg.br/api/v2/deputados/304</t>
  </si>
  <si>
    <t>SILVA E SOUZA</t>
  </si>
  <si>
    <t>Joaquim Vieira da Silva e Souza</t>
  </si>
  <si>
    <t>1800-01-12</t>
  </si>
  <si>
    <t>1864-06-23</t>
  </si>
  <si>
    <t>https://dadosabertos.camara.leg.br/api/v2/deputados/365</t>
  </si>
  <si>
    <t>SUCUPIRA</t>
  </si>
  <si>
    <t>José Ferreira Lima Sucupira</t>
  </si>
  <si>
    <t>1781-09-08</t>
  </si>
  <si>
    <t>1867-01-25</t>
  </si>
  <si>
    <t>https://dadosabertos.camara.leg.br/api/v2/deputados/277</t>
  </si>
  <si>
    <t>TOLEDO</t>
  </si>
  <si>
    <t>Joaquim Floriano de Toledo</t>
  </si>
  <si>
    <t>1794-06-09</t>
  </si>
  <si>
    <t>1875-04-18</t>
  </si>
  <si>
    <t>https://dadosabertos.camara.leg.br/api/v2/deputados/400</t>
  </si>
  <si>
    <t>TORREÃO</t>
  </si>
  <si>
    <t>Brazilio Quaresma Torreão</t>
  </si>
  <si>
    <t>https://dadosabertos.camara.leg.br/api/v2/deputados/149</t>
  </si>
  <si>
    <t>Bernardo Pereira de Vasconcellos</t>
  </si>
  <si>
    <t>1795-08-27</t>
  </si>
  <si>
    <t>1850-05-01</t>
  </si>
  <si>
    <t>https://dadosabertos.camara.leg.br/api/v2/deputados/398</t>
  </si>
  <si>
    <t>Joaquim Manoel Vieira de Melo</t>
  </si>
  <si>
    <t>https://dadosabertos.camara.leg.br/api/v2/deputados/399</t>
  </si>
  <si>
    <t>João Maurício Cavalcanti da Rocha Wanderley</t>
  </si>
  <si>
    <t>https://dadosabertos.camara.leg.br/api/v2/deputados/302</t>
  </si>
  <si>
    <t>ABRANCHES</t>
  </si>
  <si>
    <t>Frederico Magno Abranches</t>
  </si>
  <si>
    <t>1804-05-31</t>
  </si>
  <si>
    <t>1879-06-17</t>
  </si>
  <si>
    <t>https://dadosabertos.camara.leg.br/api/v2/deputados/315</t>
  </si>
  <si>
    <t>João de Albuquerque Maranhão</t>
  </si>
  <si>
    <t>https://dadosabertos.camara.leg.br/api/v2/deputados/339</t>
  </si>
  <si>
    <t>ALVARENGA FERREIRA</t>
  </si>
  <si>
    <t>Valério de Alvarenga Ferreira</t>
  </si>
  <si>
    <t>https://dadosabertos.camara.leg.br/api/v2/deputados/316</t>
  </si>
  <si>
    <t>ALVARES VIEIRA</t>
  </si>
  <si>
    <t>Domingos Alvares Vieira</t>
  </si>
  <si>
    <t>https://dadosabertos.camara.leg.br/api/v2/deputados/341</t>
  </si>
  <si>
    <t>AMARAL GURGEL</t>
  </si>
  <si>
    <t>Manoel Joaquim Amaral Gurgel</t>
  </si>
  <si>
    <t>https://dadosabertos.camara.leg.br/api/v2/deputados/154</t>
  </si>
  <si>
    <t>Pedro de Araujo Lima</t>
  </si>
  <si>
    <t>1793-12-22</t>
  </si>
  <si>
    <t>1870-06-07</t>
  </si>
  <si>
    <t>https://dadosabertos.camara.leg.br/api/v2/deputados/330</t>
  </si>
  <si>
    <t>ARAÚJO RIBEIRO</t>
  </si>
  <si>
    <t>José de Araújo Ribeiro</t>
  </si>
  <si>
    <t>1800-07-20</t>
  </si>
  <si>
    <t>1879-07-21</t>
  </si>
  <si>
    <t>https://dadosabertos.camara.leg.br/api/v2/deputados/112</t>
  </si>
  <si>
    <t>AUGUSTO DA SILVA</t>
  </si>
  <si>
    <t>Antonio Augusto da Silva</t>
  </si>
  <si>
    <t>1846-01-11</t>
  </si>
  <si>
    <t>https://dadosabertos.camara.leg.br/api/v2/deputados/289</t>
  </si>
  <si>
    <t>AZEVEDO BRITTO</t>
  </si>
  <si>
    <t>Paulo José de Mello de Azevedo e Brito</t>
  </si>
  <si>
    <t>https://dadosabertos.camara.leg.br/api/v2/deputados/263</t>
  </si>
  <si>
    <t>BATISTA DE OLIVEIRA</t>
  </si>
  <si>
    <t>Cândido Baptista de Oliveira</t>
  </si>
  <si>
    <t>1801-02-15</t>
  </si>
  <si>
    <t>1865-05-26</t>
  </si>
  <si>
    <t>https://dadosabertos.camara.leg.br/api/v2/deputados/308</t>
  </si>
  <si>
    <t>BHERING</t>
  </si>
  <si>
    <t>Antônio José Ribeiro Bhering</t>
  </si>
  <si>
    <t>1856-01-19</t>
  </si>
  <si>
    <t>https://dadosabertos.camara.leg.br/api/v2/deputados/261</t>
  </si>
  <si>
    <t>BRITO GUERRA</t>
  </si>
  <si>
    <t>Francisco de Brito Guerra</t>
  </si>
  <si>
    <t>1777-04-18</t>
  </si>
  <si>
    <t>1845-02-26</t>
  </si>
  <si>
    <t>https://dadosabertos.camara.leg.br/api/v2/deputados/126</t>
  </si>
  <si>
    <t>CASTRO VIANA</t>
  </si>
  <si>
    <t>Antonio de Castro Viana</t>
  </si>
  <si>
    <t>https://dadosabertos.camara.leg.br/api/v2/deputados/290</t>
  </si>
  <si>
    <t>CESIMBRA</t>
  </si>
  <si>
    <t>João Gonçalves Cesimbra</t>
  </si>
  <si>
    <t>https://dadosabertos.camara.leg.br/api/v2/deputados/299</t>
  </si>
  <si>
    <t>CLÍMACO</t>
  </si>
  <si>
    <t>João Clímaco de Alvarenga Rangel</t>
  </si>
  <si>
    <t>1798-03-30</t>
  </si>
  <si>
    <t>1866-07-23</t>
  </si>
  <si>
    <t>https://dadosabertos.camara.leg.br/api/v2/deputados/291</t>
  </si>
  <si>
    <t>CORNÉLIO FERREIRA</t>
  </si>
  <si>
    <t>Cornélio Ferreira França</t>
  </si>
  <si>
    <t>1802-03-19</t>
  </si>
  <si>
    <t>1878-06-06</t>
  </si>
  <si>
    <t>https://dadosabertos.camara.leg.br/api/v2/deputados/301</t>
  </si>
  <si>
    <t>CORUMBÁ</t>
  </si>
  <si>
    <t>João Gomes Machado Corumbá</t>
  </si>
  <si>
    <t>https://dadosabertos.camara.leg.br/api/v2/deputados/201</t>
  </si>
  <si>
    <t>COSTA</t>
  </si>
  <si>
    <t>Ignácio Joaquim da Costa</t>
  </si>
  <si>
    <t>https://dadosabertos.camara.leg.br/api/v2/deputados/224</t>
  </si>
  <si>
    <t>Antônio Pedro da Costa Ferreira</t>
  </si>
  <si>
    <t>1778-12-26</t>
  </si>
  <si>
    <t>1860-07-18</t>
  </si>
  <si>
    <t>https://dadosabertos.camara.leg.br/api/v2/deputados/317</t>
  </si>
  <si>
    <t>José da Costa Machado</t>
  </si>
  <si>
    <t>1877-06-16</t>
  </si>
  <si>
    <t>https://dadosabertos.camara.leg.br/api/v2/deputados/318</t>
  </si>
  <si>
    <t>Antonio da Cunha Vasconcellos</t>
  </si>
  <si>
    <t>1868-05-25</t>
  </si>
  <si>
    <t>https://dadosabertos.camara.leg.br/api/v2/deputados/232</t>
  </si>
  <si>
    <t>CUSTÓDIO DIAS</t>
  </si>
  <si>
    <t>José Custódio Dias</t>
  </si>
  <si>
    <t>1838-01-07</t>
  </si>
  <si>
    <t>https://dadosabertos.camara.leg.br/api/v2/deputados/49</t>
  </si>
  <si>
    <t>DUARTE SILVA</t>
  </si>
  <si>
    <t>Diogo Duarte Silva</t>
  </si>
  <si>
    <t>1774-07-10</t>
  </si>
  <si>
    <t>1857-05-24</t>
  </si>
  <si>
    <t>SETÚBAL</t>
  </si>
  <si>
    <t>https://dadosabertos.camara.leg.br/api/v2/deputados/284</t>
  </si>
  <si>
    <t>Manoel Joaquim Fernandes de Barros</t>
  </si>
  <si>
    <t>1802-03-17</t>
  </si>
  <si>
    <t>1840-10-02</t>
  </si>
  <si>
    <t>https://dadosabertos.camara.leg.br/api/v2/deputados/234</t>
  </si>
  <si>
    <t>1799-10-08</t>
  </si>
  <si>
    <t>1837-05-12</t>
  </si>
  <si>
    <t>https://dadosabertos.camara.leg.br/api/v2/deputados/233</t>
  </si>
  <si>
    <t>FERREIRA DE MELO</t>
  </si>
  <si>
    <t>José Bento Leite Ferreira de Mello</t>
  </si>
  <si>
    <t>1785-01-06</t>
  </si>
  <si>
    <t>1844-02-08</t>
  </si>
  <si>
    <t>https://dadosabertos.camara.leg.br/api/v2/deputados/207</t>
  </si>
  <si>
    <t>Antonio Ferreira França</t>
  </si>
  <si>
    <t>1771-01-14</t>
  </si>
  <si>
    <t>1848-03-09</t>
  </si>
  <si>
    <t>https://dadosabertos.camara.leg.br/api/v2/deputados/292</t>
  </si>
  <si>
    <t>José Florindo Figueiredo Rocha</t>
  </si>
  <si>
    <t>https://dadosabertos.camara.leg.br/api/v2/deputados/345</t>
  </si>
  <si>
    <t>Joaquim Martins Fontes</t>
  </si>
  <si>
    <t>1798-07-27</t>
  </si>
  <si>
    <t>1860-08-20</t>
  </si>
  <si>
    <t>https://dadosabertos.camara.leg.br/api/v2/deputados/249</t>
  </si>
  <si>
    <t>FORTUNA</t>
  </si>
  <si>
    <t>Ignácio de Almeida Fortuna</t>
  </si>
  <si>
    <t>https://dadosabertos.camara.leg.br/api/v2/deputados/293</t>
  </si>
  <si>
    <t>Innocêncio José Galvão</t>
  </si>
  <si>
    <t>https://dadosabertos.camara.leg.br/api/v2/deputados/159</t>
  </si>
  <si>
    <t>HOLLANDA CAVALCANTI</t>
  </si>
  <si>
    <t>Antonio Francisco de Paula e Hollanda Cavalcanti de Albuquerque</t>
  </si>
  <si>
    <t>1797-08-21</t>
  </si>
  <si>
    <t>1863-04-14</t>
  </si>
  <si>
    <t>https://dadosabertos.camara.leg.br/api/v2/deputados/297</t>
  </si>
  <si>
    <t>IBIAPINA</t>
  </si>
  <si>
    <t>José Antônio Pereira Ibiapina</t>
  </si>
  <si>
    <t>https://dadosabertos.camara.leg.br/api/v2/deputados/223</t>
  </si>
  <si>
    <t>JARDIM</t>
  </si>
  <si>
    <t>Manoel Rodrigues Jardim</t>
  </si>
  <si>
    <t>1835-04-01</t>
  </si>
  <si>
    <t>https://dadosabertos.camara.leg.br/api/v2/deputados/235</t>
  </si>
  <si>
    <t>Gabriel Francisco Junqueira</t>
  </si>
  <si>
    <t>1868-01-13</t>
  </si>
  <si>
    <t>https://dadosabertos.camara.leg.br/api/v2/deputados/270</t>
  </si>
  <si>
    <t>Antonio João de Lessa</t>
  </si>
  <si>
    <t>1774-06-01</t>
  </si>
  <si>
    <t>1858-04-12</t>
  </si>
  <si>
    <t>https://dadosabertos.camara.leg.br/api/v2/deputados/160</t>
  </si>
  <si>
    <t>LUIS CAVALCANTI</t>
  </si>
  <si>
    <t>Luiz Francisco de Paula Cavalcanti de Albuquerque</t>
  </si>
  <si>
    <t>1799-04-19</t>
  </si>
  <si>
    <t>1838-03-13</t>
  </si>
  <si>
    <t>https://dadosabertos.camara.leg.br/api/v2/deputados/285</t>
  </si>
  <si>
    <t>José Vicente de Macedo</t>
  </si>
  <si>
    <t>https://dadosabertos.camara.leg.br/api/v2/deputados/306</t>
  </si>
  <si>
    <t>MANSO</t>
  </si>
  <si>
    <t>Antonio Luiz Patrício da Silva Manso</t>
  </si>
  <si>
    <t>https://dadosabertos.camara.leg.br/api/v2/deputados/343</t>
  </si>
  <si>
    <t>MARCONDES</t>
  </si>
  <si>
    <t>Lourenço Marcondes de Sá</t>
  </si>
  <si>
    <t>https://dadosabertos.camara.leg.br/api/v2/deputados/237</t>
  </si>
  <si>
    <t>MARIA DE MOURA</t>
  </si>
  <si>
    <t>Antônio Maria de Moura</t>
  </si>
  <si>
    <t>1794-10-05</t>
  </si>
  <si>
    <t>1842-03-12</t>
  </si>
  <si>
    <t>https://dadosabertos.camara.leg.br/api/v2/deputados/143</t>
  </si>
  <si>
    <t>MELO E SOUZA</t>
  </si>
  <si>
    <t>Manoel Ignácio de Mello e Souza</t>
  </si>
  <si>
    <t>1859-05-20</t>
  </si>
  <si>
    <t>https://dadosabertos.camara.leg.br/api/v2/deputados/286</t>
  </si>
  <si>
    <t>MESSIAS DE LEÃO</t>
  </si>
  <si>
    <t>Manoel Messias de Leão</t>
  </si>
  <si>
    <t>1799-12-25</t>
  </si>
  <si>
    <t>1878-06-11</t>
  </si>
  <si>
    <t>https://dadosabertos.camara.leg.br/api/v2/deputados/151</t>
  </si>
  <si>
    <t>José Thomaz Nabuco de Araujo</t>
  </si>
  <si>
    <t>1785-07-02</t>
  </si>
  <si>
    <t>1850-03-18</t>
  </si>
  <si>
    <t>https://dadosabertos.camara.leg.br/api/v2/deputados/334</t>
  </si>
  <si>
    <t>Bento de Oliveira Braga</t>
  </si>
  <si>
    <t>https://dadosabertos.camara.leg.br/api/v2/deputados/53</t>
  </si>
  <si>
    <t>José Corrêa Pacheco e Silva</t>
  </si>
  <si>
    <t>1836-05-18</t>
  </si>
  <si>
    <t>https://dadosabertos.camara.leg.br/api/v2/deputados/211</t>
  </si>
  <si>
    <t>PAIM</t>
  </si>
  <si>
    <t>Honorato José de Barros Paim</t>
  </si>
  <si>
    <t>1850-02-08</t>
  </si>
  <si>
    <t>https://dadosabertos.camara.leg.br/api/v2/deputados/212</t>
  </si>
  <si>
    <t>PAULA ARAUJO</t>
  </si>
  <si>
    <t>Francisco de Paula Araújo e Almeida</t>
  </si>
  <si>
    <t>1799-08-02</t>
  </si>
  <si>
    <t>1844-03-01</t>
  </si>
  <si>
    <t>https://dadosabertos.camara.leg.br/api/v2/deputados/327</t>
  </si>
  <si>
    <t>PEIXOTO DE ALBUQUERQUE</t>
  </si>
  <si>
    <t>Joaquim Teixeira Peixoto de Albuquerque</t>
  </si>
  <si>
    <t>https://dadosabertos.camara.leg.br/api/v2/deputados/272</t>
  </si>
  <si>
    <t>PINTO PEIXOTO</t>
  </si>
  <si>
    <t>José Maria Pinto Peixoto</t>
  </si>
  <si>
    <t>1861-05-05</t>
  </si>
  <si>
    <t>https://dadosabertos.camara.leg.br/api/v2/deputados/217</t>
  </si>
  <si>
    <t>PONTES</t>
  </si>
  <si>
    <t>Francisco Alves Pontes</t>
  </si>
  <si>
    <t>https://dadosabertos.camara.leg.br/api/v2/deputados/303</t>
  </si>
  <si>
    <t>RAFAEL DE CARVALHO</t>
  </si>
  <si>
    <t>Estevão Raphael de Carvalho</t>
  </si>
  <si>
    <t>1808-01-20</t>
  </si>
  <si>
    <t>1846-03-26</t>
  </si>
  <si>
    <t>https://dadosabertos.camara.leg.br/api/v2/deputados/287</t>
  </si>
  <si>
    <t>RAFAEL DE MACEDO</t>
  </si>
  <si>
    <t>José Raphael de Macedo</t>
  </si>
  <si>
    <t>https://dadosabertos.camara.leg.br/api/v2/deputados/288</t>
  </si>
  <si>
    <t>REMIGIO</t>
  </si>
  <si>
    <t>Francisco Remigio de Albuquerque Mello</t>
  </si>
  <si>
    <t>https://dadosabertos.camara.leg.br/api/v2/deputados/335</t>
  </si>
  <si>
    <t>RODRIGUES BARBOSA</t>
  </si>
  <si>
    <t>José Rodrigues Barbosa</t>
  </si>
  <si>
    <t>https://dadosabertos.camara.leg.br/api/v2/deputados/102</t>
  </si>
  <si>
    <t>SANTA BÁRBARA</t>
  </si>
  <si>
    <t>João de Santa Barbara</t>
  </si>
  <si>
    <t>1868-07-05</t>
  </si>
  <si>
    <t>https://dadosabertos.camara.leg.br/api/v2/deputados/313</t>
  </si>
  <si>
    <t>SOARES DO COUTO</t>
  </si>
  <si>
    <t>Manoel Soares do Couto</t>
  </si>
  <si>
    <t>https://dadosabertos.camara.leg.br/api/v2/deputados/319</t>
  </si>
  <si>
    <t>VASCONCELOS PESSOA</t>
  </si>
  <si>
    <t>João Ribeiro de Vasconcellos Pessoa</t>
  </si>
  <si>
    <t>https://dadosabertos.camara.leg.br/api/v2/deputados/273</t>
  </si>
  <si>
    <t>VIEIRA SOUTO</t>
  </si>
  <si>
    <t>José Joaquim Vieira Souto</t>
  </si>
  <si>
    <t>https://dadosabertos.camara.leg.br/api/v2/deputados/305</t>
  </si>
  <si>
    <t>VITAL</t>
  </si>
  <si>
    <t>Vital Raymundo da Costa Pinheiro</t>
  </si>
  <si>
    <t>https://dadosabertos.camara.leg.br/api/v2/deputados/65</t>
  </si>
  <si>
    <t>ALENCAR</t>
  </si>
  <si>
    <t>JOSÉ MARTINIANO PEREIRA DE ALENCAR</t>
  </si>
  <si>
    <t>1794-10-16</t>
  </si>
  <si>
    <t>https://dadosabertos.camara.leg.br/api/v2/deputados/205</t>
  </si>
  <si>
    <t>ALVES BRANCO</t>
  </si>
  <si>
    <t>Manoel Alves Branco</t>
  </si>
  <si>
    <t>1797-06-07</t>
  </si>
  <si>
    <t>1855-07-13</t>
  </si>
  <si>
    <t>https://dadosabertos.camara.leg.br/api/v2/deputados/50</t>
  </si>
  <si>
    <t>ANDRADA E SILVA</t>
  </si>
  <si>
    <t>1763-06-13</t>
  </si>
  <si>
    <t>1838-04-06</t>
  </si>
  <si>
    <t>https://dadosabertos.camara.leg.br/api/v2/deputados/31</t>
  </si>
  <si>
    <t>ANDRADE LIMA</t>
  </si>
  <si>
    <t>Luiz Ignácio de Andrade Lima</t>
  </si>
  <si>
    <t>1787-07-29</t>
  </si>
  <si>
    <t>1846-12-03</t>
  </si>
  <si>
    <t>https://dadosabertos.camara.leg.br/api/v2/deputados/268</t>
  </si>
  <si>
    <t>Antonio José do Amaral</t>
  </si>
  <si>
    <t>1782-08-13</t>
  </si>
  <si>
    <t>1840-04-21</t>
  </si>
  <si>
    <t>https://dadosabertos.camara.leg.br/api/v2/deputados/241</t>
  </si>
  <si>
    <t>ARAÚJO FRANCO</t>
  </si>
  <si>
    <t>Manoel José de Araújo Franco</t>
  </si>
  <si>
    <t>https://dadosabertos.camara.leg.br/api/v2/deputados/221</t>
  </si>
  <si>
    <t>José Bernardino Baptista Pereira de Almeida</t>
  </si>
  <si>
    <t>1783-05-20</t>
  </si>
  <si>
    <t>1861-01-29</t>
  </si>
  <si>
    <t>https://dadosabertos.camara.leg.br/api/v2/deputados/132</t>
  </si>
  <si>
    <t>BRÁULIO MUNIZ</t>
  </si>
  <si>
    <t>João Braulio Muniz</t>
  </si>
  <si>
    <t>1796-03-01</t>
  </si>
  <si>
    <t>1835-09-21</t>
  </si>
  <si>
    <t>https://dadosabertos.camara.leg.br/api/v2/deputados/266</t>
  </si>
  <si>
    <t>CASTRO ÁLVARES</t>
  </si>
  <si>
    <t>Antônio de Castro Álvares</t>
  </si>
  <si>
    <t>https://dadosabertos.camara.leg.br/api/v2/deputados/199</t>
  </si>
  <si>
    <t>COELHO NETTO</t>
  </si>
  <si>
    <t>Francisco José Coelho Netto</t>
  </si>
  <si>
    <t>https://dadosabertos.camara.leg.br/api/v2/deputados/200</t>
  </si>
  <si>
    <t>CORRÊA DE ALBUQUERQUE</t>
  </si>
  <si>
    <t>Francisco José Corrêa de Albuquerque</t>
  </si>
  <si>
    <t>https://dadosabertos.camara.leg.br/api/v2/deputados/222</t>
  </si>
  <si>
    <t>CUNHA MATOS</t>
  </si>
  <si>
    <t>Raymundo José da Cunha Mattos</t>
  </si>
  <si>
    <t>1776-11-02</t>
  </si>
  <si>
    <t>1839-02-23</t>
  </si>
  <si>
    <t>https://dadosabertos.camara.leg.br/api/v2/deputados/231</t>
  </si>
  <si>
    <t>CUSTÓDIO JOSÉ DIAS</t>
  </si>
  <si>
    <t>Custódio José Dias</t>
  </si>
  <si>
    <t>https://dadosabertos.camara.leg.br/api/v2/deputados/91</t>
  </si>
  <si>
    <t>FEIJÓ</t>
  </si>
  <si>
    <t>Diogo Antônio Feijó</t>
  </si>
  <si>
    <t>1784-08-17</t>
  </si>
  <si>
    <t>https://dadosabertos.camara.leg.br/api/v2/deputados/243</t>
  </si>
  <si>
    <t>FERNANDES DE VASCONCELOS</t>
  </si>
  <si>
    <t>João Fernandes de Vasconcellos</t>
  </si>
  <si>
    <t>https://dadosabertos.camara.leg.br/api/v2/deputados/248</t>
  </si>
  <si>
    <t>FERREIRA JACOBINA</t>
  </si>
  <si>
    <t>1870-10-05</t>
  </si>
  <si>
    <t>https://dadosabertos.camara.leg.br/api/v2/deputados/56</t>
  </si>
  <si>
    <t>LEDO</t>
  </si>
  <si>
    <t>Joaquim Gonçalves Ledo</t>
  </si>
  <si>
    <t>1781-12-11</t>
  </si>
  <si>
    <t>1847-05-19</t>
  </si>
  <si>
    <t>Cachoeiras de Macacu</t>
  </si>
  <si>
    <t>https://dadosabertos.camara.leg.br/api/v2/deputados/117</t>
  </si>
  <si>
    <t>LINO COUTINHO</t>
  </si>
  <si>
    <t>José Lino Coutinho</t>
  </si>
  <si>
    <t>1784-03-31</t>
  </si>
  <si>
    <t>1836-07-21</t>
  </si>
  <si>
    <t>https://dadosabertos.camara.leg.br/api/v2/deputados/244</t>
  </si>
  <si>
    <t>LOBO DE SOUZA</t>
  </si>
  <si>
    <t>Bernardo Lobo de Souza</t>
  </si>
  <si>
    <t>1835-01-07</t>
  </si>
  <si>
    <t>https://dadosabertos.camara.leg.br/api/v2/deputados/2</t>
  </si>
  <si>
    <t>Caetano Maria Lopes Gama</t>
  </si>
  <si>
    <t>1795-08-05</t>
  </si>
  <si>
    <t>1864-06-21</t>
  </si>
  <si>
    <t>https://dadosabertos.camara.leg.br/api/v2/deputados/264</t>
  </si>
  <si>
    <t>MACIEL</t>
  </si>
  <si>
    <t>Salvador José Maciel</t>
  </si>
  <si>
    <t>1781-11-27</t>
  </si>
  <si>
    <t>1853-07-06</t>
  </si>
  <si>
    <t>https://dadosabertos.camara.leg.br/api/v2/deputados/23</t>
  </si>
  <si>
    <t>MAIA</t>
  </si>
  <si>
    <t>José Antônio da Silva Maia</t>
  </si>
  <si>
    <t>1789-10-06</t>
  </si>
  <si>
    <t>1853-10-03</t>
  </si>
  <si>
    <t>https://dadosabertos.camara.leg.br/api/v2/deputados/252</t>
  </si>
  <si>
    <t>MANOEL CAVALCANTI</t>
  </si>
  <si>
    <t>Manoel Francisco de Paula Cavalcanti</t>
  </si>
  <si>
    <t>1804-10-12</t>
  </si>
  <si>
    <t>1894-01-28</t>
  </si>
  <si>
    <t>https://dadosabertos.camara.leg.br/api/v2/deputados/253</t>
  </si>
  <si>
    <t>MANOEL IGNÁCIO</t>
  </si>
  <si>
    <t>Manoel Ignácio de Carvalho</t>
  </si>
  <si>
    <t>https://dadosabertos.camara.leg.br/api/v2/deputados/142</t>
  </si>
  <si>
    <t>MAY</t>
  </si>
  <si>
    <t>Luiz Augusto May</t>
  </si>
  <si>
    <t>https://dadosabertos.camara.leg.br/api/v2/deputados/209</t>
  </si>
  <si>
    <t>Cassiano Espiridião de Mello e Mattos</t>
  </si>
  <si>
    <t>1797-09-11</t>
  </si>
  <si>
    <t>1857-06-05</t>
  </si>
  <si>
    <t>https://dadosabertos.camara.leg.br/api/v2/deputados/144</t>
  </si>
  <si>
    <t>João José Lopes Mendes Ribeiro</t>
  </si>
  <si>
    <t>1774-12-04</t>
  </si>
  <si>
    <t>1852-03-05</t>
  </si>
  <si>
    <t>https://dadosabertos.camara.leg.br/api/v2/deputados/271</t>
  </si>
  <si>
    <t>MENDES VIANNA</t>
  </si>
  <si>
    <t>João Mendes Vianna</t>
  </si>
  <si>
    <t>1830-10-14</t>
  </si>
  <si>
    <t>https://dadosabertos.camara.leg.br/api/v2/deputados/127</t>
  </si>
  <si>
    <t>MOURA</t>
  </si>
  <si>
    <t>Antônio Joaquim de Moura</t>
  </si>
  <si>
    <t>https://dadosabertos.camara.leg.br/api/v2/deputados/265</t>
  </si>
  <si>
    <t>OLIVEIRA ÁLVARES</t>
  </si>
  <si>
    <t>Joaquim de Oliveira Álvares</t>
  </si>
  <si>
    <t>1776-11-19</t>
  </si>
  <si>
    <t>1835-06-27</t>
  </si>
  <si>
    <t>Funchal</t>
  </si>
  <si>
    <t>https://dadosabertos.camara.leg.br/api/v2/deputados/202</t>
  </si>
  <si>
    <t>OLIVEIRA BELLO</t>
  </si>
  <si>
    <t>Joaquim Mariano de Oliveria Bello</t>
  </si>
  <si>
    <t>https://dadosabertos.camara.leg.br/api/v2/deputados/52</t>
  </si>
  <si>
    <t>ORNELLAS</t>
  </si>
  <si>
    <t>Manoel Joaquim de Ornellas</t>
  </si>
  <si>
    <t>1830-07-10</t>
  </si>
  <si>
    <t>https://dadosabertos.camara.leg.br/api/v2/deputados/95</t>
  </si>
  <si>
    <t>PACHECO PIMENTEL</t>
  </si>
  <si>
    <t>Manuel Pacheco Pimentel</t>
  </si>
  <si>
    <t>1840-10-07</t>
  </si>
  <si>
    <t>https://dadosabertos.camara.leg.br/api/v2/deputados/254</t>
  </si>
  <si>
    <t>Francisco de Carvalho Paes de Andrade</t>
  </si>
  <si>
    <t>https://dadosabertos.camara.leg.br/api/v2/deputados/103</t>
  </si>
  <si>
    <t>PAES DE BARROS</t>
  </si>
  <si>
    <t>Antônio Paes de Barros</t>
  </si>
  <si>
    <t>https://dadosabertos.camara.leg.br/api/v2/deputados/245</t>
  </si>
  <si>
    <t>PARAÍSO</t>
  </si>
  <si>
    <t>Francisco de Souza Paraíso</t>
  </si>
  <si>
    <t>1843-05-12</t>
  </si>
  <si>
    <t>https://dadosabertos.camara.leg.br/api/v2/deputados/216</t>
  </si>
  <si>
    <t>PAULA BARROS</t>
  </si>
  <si>
    <t>Francisco de Paula Barros</t>
  </si>
  <si>
    <t>https://dadosabertos.camara.leg.br/api/v2/deputados/274</t>
  </si>
  <si>
    <t>PAULA SIMÕES</t>
  </si>
  <si>
    <t>Francisco de Paula Simões</t>
  </si>
  <si>
    <t>https://dadosabertos.camara.leg.br/api/v2/deputados/182</t>
  </si>
  <si>
    <t>Francisco de Paula Souza e Mello</t>
  </si>
  <si>
    <t>1791-06-05</t>
  </si>
  <si>
    <t>1851-08-16</t>
  </si>
  <si>
    <t>https://dadosabertos.camara.leg.br/api/v2/deputados/262</t>
  </si>
  <si>
    <t>PAULINO DE ALBUQUERQUE</t>
  </si>
  <si>
    <t>José Paulino de Almeida e Albuquerque</t>
  </si>
  <si>
    <t>1831-01-22</t>
  </si>
  <si>
    <t>https://dadosabertos.camara.leg.br/api/v2/deputados/203</t>
  </si>
  <si>
    <t>PERDIGÃO</t>
  </si>
  <si>
    <t>Floriano Vieira da Costa Delgado Perdigão</t>
  </si>
  <si>
    <t>https://dadosabertos.camara.leg.br/api/v2/deputados/257</t>
  </si>
  <si>
    <t>Francisco Xavier Pereira de Brito</t>
  </si>
  <si>
    <t>1786-11-17</t>
  </si>
  <si>
    <t>1844-07-31</t>
  </si>
  <si>
    <t>https://dadosabertos.camara.leg.br/api/v2/deputados/267</t>
  </si>
  <si>
    <t>PEREIRA RIBEIRO</t>
  </si>
  <si>
    <t>Antônio Pereira Ribeiro</t>
  </si>
  <si>
    <t>https://dadosabertos.camara.leg.br/api/v2/deputados/256</t>
  </si>
  <si>
    <t>Gervásio Pires Ferreira</t>
  </si>
  <si>
    <t>1765-06-26</t>
  </si>
  <si>
    <t>1838-03-09</t>
  </si>
  <si>
    <t>https://dadosabertos.camara.leg.br/api/v2/deputados/218</t>
  </si>
  <si>
    <t>REBELO DE SOUSA</t>
  </si>
  <si>
    <t>José Rebello de Souza Pereira</t>
  </si>
  <si>
    <t>https://dadosabertos.camara.leg.br/api/v2/deputados/260</t>
  </si>
  <si>
    <t>SÁ PALÁCIO</t>
  </si>
  <si>
    <t>José Monteiro de Sá Palácio</t>
  </si>
  <si>
    <t>https://dadosabertos.camara.leg.br/api/v2/deputados/275</t>
  </si>
  <si>
    <t>SÁ RIBAS</t>
  </si>
  <si>
    <t>Lourenço Pinto de Sá Ribas</t>
  </si>
  <si>
    <t>https://dadosabertos.camara.leg.br/api/v2/deputados/204</t>
  </si>
  <si>
    <t>Tibúrcio Valeriano da Silva Tavares</t>
  </si>
  <si>
    <t>1870-07-17</t>
  </si>
  <si>
    <t>https://dadosabertos.camara.leg.br/api/v2/deputados/122</t>
  </si>
  <si>
    <t>SOARES DA ROCHA</t>
  </si>
  <si>
    <t>José Ribeiro Soares da Rocha</t>
  </si>
  <si>
    <t>https://dadosabertos.camara.leg.br/api/v2/deputados/219</t>
  </si>
  <si>
    <t>SOUZA CAMPELLO</t>
  </si>
  <si>
    <t>Francisco Joaquim de Souza Campello</t>
  </si>
  <si>
    <t>https://dadosabertos.camara.leg.br/api/v2/deputados/220</t>
  </si>
  <si>
    <t>TORRES VASCONCELLOS</t>
  </si>
  <si>
    <t>Gregório Francisco Torres de Vasconcellos</t>
  </si>
  <si>
    <t>https://dadosabertos.camara.leg.br/api/v2/deputados/1268</t>
  </si>
  <si>
    <t>VALASQUES</t>
  </si>
  <si>
    <t>Manoel dos Santos Martins Vallasques</t>
  </si>
  <si>
    <t>1862-11-21</t>
  </si>
  <si>
    <t>https://dadosabertos.camara.leg.br/api/v2/deputados/246</t>
  </si>
  <si>
    <t>XAVIER DE CARVALHO</t>
  </si>
  <si>
    <t>Augusto Xavier de Carvalho</t>
  </si>
  <si>
    <t>1831-11-12</t>
  </si>
  <si>
    <t>https://dadosabertos.camara.leg.br/api/v2/deputados/259</t>
  </si>
  <si>
    <t>ZEFERINO DOS SANTOS</t>
  </si>
  <si>
    <t>Manoel Zeferino dos Santos</t>
  </si>
  <si>
    <t>https://dadosabertos.camara.leg.br/api/v2/deputados/107</t>
  </si>
  <si>
    <t>AGUILAR</t>
  </si>
  <si>
    <t>Gustavo Adolpho de Aguilar Pantoja</t>
  </si>
  <si>
    <t>1867-03-09</t>
  </si>
  <si>
    <t>https://dadosabertos.camara.leg.br/api/v2/deputados/30</t>
  </si>
  <si>
    <t>Manoel Caetano de Almeida e Albuquerque</t>
  </si>
  <si>
    <t>1844-10-14</t>
  </si>
  <si>
    <t>https://dadosabertos.camara.leg.br/api/v2/deputados/76</t>
  </si>
  <si>
    <t>ALMEIDA E CASTRO</t>
  </si>
  <si>
    <t>Ignacio Pinto de Almeida e Castro</t>
  </si>
  <si>
    <t>1766-08-30</t>
  </si>
  <si>
    <t>https://dadosabertos.camara.leg.br/api/v2/deputados/111</t>
  </si>
  <si>
    <t>ARAÚJO BASTO</t>
  </si>
  <si>
    <t>Luiz Paulo de Araújo Basto</t>
  </si>
  <si>
    <t>1797-01-30</t>
  </si>
  <si>
    <t>https://dadosabertos.camara.leg.br/api/v2/deputados/119</t>
  </si>
  <si>
    <t>ASSIS BARBOSA</t>
  </si>
  <si>
    <t>Francisco de Assis Barbosa</t>
  </si>
  <si>
    <t>https://dadosabertos.camara.leg.br/api/v2/deputados/113</t>
  </si>
  <si>
    <t>AVELINO BARBOSA</t>
  </si>
  <si>
    <t>José Avelino Barbosa</t>
  </si>
  <si>
    <t>1784-11-10</t>
  </si>
  <si>
    <t>1833-01-18</t>
  </si>
  <si>
    <t>https://dadosabertos.camara.leg.br/api/v2/deputados/124</t>
  </si>
  <si>
    <t>Joaquim José Barbosa</t>
  </si>
  <si>
    <t>1785-10-08</t>
  </si>
  <si>
    <t>1847-10-30</t>
  </si>
  <si>
    <t>https://dadosabertos.camara.leg.br/api/v2/deputados/184</t>
  </si>
  <si>
    <t>BARBOSA MADUREIRA</t>
  </si>
  <si>
    <t>José Nunes Barbosa de Madureira Cabral</t>
  </si>
  <si>
    <t>https://dadosabertos.camara.leg.br/api/v2/deputados/108</t>
  </si>
  <si>
    <t>BARROS LEITE</t>
  </si>
  <si>
    <t>Luiz José de Barros Leite</t>
  </si>
  <si>
    <t>https://dadosabertos.camara.leg.br/api/v2/deputados/114</t>
  </si>
  <si>
    <t>BISPO DO MARANHÃO</t>
  </si>
  <si>
    <t>Marcos Antonio de Souza</t>
  </si>
  <si>
    <t>1771-02-10</t>
  </si>
  <si>
    <t>1842-11-29</t>
  </si>
  <si>
    <t>https://dadosabertos.camara.leg.br/api/v2/deputados/131</t>
  </si>
  <si>
    <t>BORJA PEREIRA</t>
  </si>
  <si>
    <t>João Francisco de Borja Pereira</t>
  </si>
  <si>
    <t>https://dadosabertos.camara.leg.br/api/v2/deputados/155</t>
  </si>
  <si>
    <t>CAVALCANTI DE ALBUQUERQUE</t>
  </si>
  <si>
    <t>Francisco de Paula Cavalcanti de Albuquerque</t>
  </si>
  <si>
    <t>1793-06-10</t>
  </si>
  <si>
    <t>1880-01-28</t>
  </si>
  <si>
    <t>https://dadosabertos.camara.leg.br/api/v2/deputados/46</t>
  </si>
  <si>
    <t>CHAGAS SANTOS</t>
  </si>
  <si>
    <t>Francisco das Chagas Santos</t>
  </si>
  <si>
    <t>1763-09-17</t>
  </si>
  <si>
    <t>1840-10-12</t>
  </si>
  <si>
    <t>https://dadosabertos.camara.leg.br/api/v2/deputados/152</t>
  </si>
  <si>
    <t>Francisco José Corrêa</t>
  </si>
  <si>
    <t>https://dadosabertos.camara.leg.br/api/v2/deputados/115</t>
  </si>
  <si>
    <t>COSTA DORMUND</t>
  </si>
  <si>
    <t>João Ricardo da Costa Dormund</t>
  </si>
  <si>
    <t>1784-02-07</t>
  </si>
  <si>
    <t>https://dadosabertos.camara.leg.br/api/v2/deputados/109</t>
  </si>
  <si>
    <t>COSTA E SILVA</t>
  </si>
  <si>
    <t>João da Costa e Silva</t>
  </si>
  <si>
    <t>https://dadosabertos.camara.leg.br/api/v2/deputados/153</t>
  </si>
  <si>
    <t>COSTA VILAR</t>
  </si>
  <si>
    <t>Galdino da Costa Villar</t>
  </si>
  <si>
    <t>https://dadosabertos.camara.leg.br/api/v2/deputados/172</t>
  </si>
  <si>
    <t>CRUZ FERREIRA</t>
  </si>
  <si>
    <t>José da Cruz Ferreira</t>
  </si>
  <si>
    <t>1841-06-26</t>
  </si>
  <si>
    <t>https://dadosabertos.camara.leg.br/api/v2/deputados/156</t>
  </si>
  <si>
    <t>FARIA BARBOSA</t>
  </si>
  <si>
    <t>Francisco José de Faria Barbosa</t>
  </si>
  <si>
    <t>https://dadosabertos.camara.leg.br/api/v2/deputados/174</t>
  </si>
  <si>
    <t>João Gomes de Campos</t>
  </si>
  <si>
    <t>1855-03-11</t>
  </si>
  <si>
    <t>https://dadosabertos.camara.leg.br/api/v2/deputados/1276</t>
  </si>
  <si>
    <t>https://dadosabertos.camara.leg.br/api/v2/deputados/129</t>
  </si>
  <si>
    <t>HERRERA</t>
  </si>
  <si>
    <t>Nicoláo Herrera</t>
  </si>
  <si>
    <t>https://dadosabertos.camara.leg.br/api/v2/deputados/166</t>
  </si>
  <si>
    <t>LEITÃO</t>
  </si>
  <si>
    <t>Agostinho Leitão de Almeida</t>
  </si>
  <si>
    <t>https://dadosabertos.camara.leg.br/api/v2/deputados/130</t>
  </si>
  <si>
    <t>LLAMBI</t>
  </si>
  <si>
    <t>Francisco Toribio Llambí</t>
  </si>
  <si>
    <t>1788-04-16</t>
  </si>
  <si>
    <t>1837-07-10</t>
  </si>
  <si>
    <t>https://dadosabertos.camara.leg.br/api/v2/deputados/139</t>
  </si>
  <si>
    <t>LOPES MENDES</t>
  </si>
  <si>
    <t>Joaquim José Lopes Mendes Ribeiro</t>
  </si>
  <si>
    <t>https://dadosabertos.camara.leg.br/api/v2/deputados/161</t>
  </si>
  <si>
    <t>Thomaz Antonio Maciel Monteiro</t>
  </si>
  <si>
    <t>1847-11-24</t>
  </si>
  <si>
    <t>https://dadosabertos.camara.leg.br/api/v2/deputados/140</t>
  </si>
  <si>
    <t>MARQUES DE SAMPAIO</t>
  </si>
  <si>
    <t>Antonio Marques de Sampaio</t>
  </si>
  <si>
    <t>1778-05-22</t>
  </si>
  <si>
    <t>1846-02-18</t>
  </si>
  <si>
    <t>https://dadosabertos.camara.leg.br/api/v2/deputados/141</t>
  </si>
  <si>
    <t>MARTINS PEREIRA</t>
  </si>
  <si>
    <t>Placido Martins Pereira</t>
  </si>
  <si>
    <t>https://dadosabertos.camara.leg.br/api/v2/deputados/180</t>
  </si>
  <si>
    <t>MEDEIROS GOMES</t>
  </si>
  <si>
    <t>João de Medeiros Gomes</t>
  </si>
  <si>
    <t>1844-10-31</t>
  </si>
  <si>
    <t>https://dadosabertos.camara.leg.br/api/v2/deputados/175</t>
  </si>
  <si>
    <t>MONSENHOR VIDIGAL</t>
  </si>
  <si>
    <t>Francisco Corrêa Vidigal</t>
  </si>
  <si>
    <t>1838-04-11</t>
  </si>
  <si>
    <t>https://dadosabertos.camara.leg.br/api/v2/deputados/24</t>
  </si>
  <si>
    <t>Antonio Augusto Monteiro de Barros</t>
  </si>
  <si>
    <t>1841-11-16</t>
  </si>
  <si>
    <t>https://dadosabertos.camara.leg.br/api/v2/deputados/74</t>
  </si>
  <si>
    <t>MONTEIRO DE FRANÇA</t>
  </si>
  <si>
    <t>Francisco Xavier Monteiro de França</t>
  </si>
  <si>
    <t>1773-06-15</t>
  </si>
  <si>
    <t>1851-06-16</t>
  </si>
  <si>
    <t>https://dadosabertos.camara.leg.br/api/v2/deputados/168</t>
  </si>
  <si>
    <t>NUNES PIRES</t>
  </si>
  <si>
    <t>Feliciano Nunes Pires</t>
  </si>
  <si>
    <t>1785-12-29</t>
  </si>
  <si>
    <t>1890-09-12</t>
  </si>
  <si>
    <t>https://dadosabertos.camara.leg.br/api/v2/deputados/181</t>
  </si>
  <si>
    <t>OLIVEIRA SALGADO</t>
  </si>
  <si>
    <t>João Chrysostomo de Oliveira Salgado</t>
  </si>
  <si>
    <t>https://dadosabertos.camara.leg.br/api/v2/deputados/216072</t>
  </si>
  <si>
    <t>1791-06-23</t>
  </si>
  <si>
    <t>1831-06-29</t>
  </si>
  <si>
    <t>https://dadosabertos.camara.leg.br/api/v2/deputados/176</t>
  </si>
  <si>
    <t>PEREIRA DA NÓBREGA</t>
  </si>
  <si>
    <t>Luiz Pereira da Nobrega de Souza Coutinho</t>
  </si>
  <si>
    <t>1778-04-02</t>
  </si>
  <si>
    <t>1826-12-21</t>
  </si>
  <si>
    <t>https://dadosabertos.camara.leg.br/api/v2/deputados/169</t>
  </si>
  <si>
    <t>1793-08-08</t>
  </si>
  <si>
    <t>1828-05-27</t>
  </si>
  <si>
    <t>https://dadosabertos.camara.leg.br/api/v2/deputados/120</t>
  </si>
  <si>
    <t>PEREIRA DE MELO</t>
  </si>
  <si>
    <t>José Cardoso Pereira de Mello</t>
  </si>
  <si>
    <t>https://dadosabertos.camara.leg.br/api/v2/deputados/177</t>
  </si>
  <si>
    <t>PINTO DE ALMEIDA</t>
  </si>
  <si>
    <t>Bernardo Carneiro Pinto de Almeida</t>
  </si>
  <si>
    <t>https://dadosabertos.camara.leg.br/api/v2/deputados/165</t>
  </si>
  <si>
    <t>PINTO DO LAGO</t>
  </si>
  <si>
    <t>Pedro Antonio Pereira Pinto do Lago</t>
  </si>
  <si>
    <t>https://dadosabertos.camara.leg.br/api/v2/deputados/77</t>
  </si>
  <si>
    <t>Domingos Malaquias de Aguiar Pires Ferreira</t>
  </si>
  <si>
    <t>1788-11-03</t>
  </si>
  <si>
    <t>1859-12-10</t>
  </si>
  <si>
    <t>https://dadosabertos.camara.leg.br/api/v2/deputados/178</t>
  </si>
  <si>
    <t>PIZARRO</t>
  </si>
  <si>
    <t>José de Souza Azevedo Pizarro e Araújo</t>
  </si>
  <si>
    <t>1753-10-12</t>
  </si>
  <si>
    <t>1830-05-14</t>
  </si>
  <si>
    <t>https://dadosabertos.camara.leg.br/api/v2/deputados/128</t>
  </si>
  <si>
    <t>QUEIROZ CARREIRA</t>
  </si>
  <si>
    <t>José Gervásio de Queiroz Carreira</t>
  </si>
  <si>
    <t>https://dadosabertos.camara.leg.br/api/v2/deputados/163</t>
  </si>
  <si>
    <t>REINAUT</t>
  </si>
  <si>
    <t>Miguel José Reinaut</t>
  </si>
  <si>
    <t>https://dadosabertos.camara.leg.br/api/v2/deputados/146</t>
  </si>
  <si>
    <t>REZENDE COSTA</t>
  </si>
  <si>
    <t>José de Rezende Costa</t>
  </si>
  <si>
    <t>1841-06-17</t>
  </si>
  <si>
    <t>https://dadosabertos.camara.leg.br/api/v2/deputados/147</t>
  </si>
  <si>
    <t>Antonio da Rocha Franco</t>
  </si>
  <si>
    <t>1777-03-03</t>
  </si>
  <si>
    <t>1843-10-18</t>
  </si>
  <si>
    <t>https://dadosabertos.camara.leg.br/api/v2/deputados/164</t>
  </si>
  <si>
    <t>SERPA BRANDÃO</t>
  </si>
  <si>
    <t>Bernardo José de Serpa Brandão</t>
  </si>
  <si>
    <t>https://dadosabertos.camara.leg.br/api/v2/deputados/148</t>
  </si>
  <si>
    <t>João Joaquim da Silva Guimarães</t>
  </si>
  <si>
    <t>1858-06-24</t>
  </si>
  <si>
    <t>https://dadosabertos.camara.leg.br/api/v2/deputados/135</t>
  </si>
  <si>
    <t>SILVA LOBO</t>
  </si>
  <si>
    <t>Manoel Telles da Silva Lobo</t>
  </si>
  <si>
    <t>1855-02-01</t>
  </si>
  <si>
    <t>https://dadosabertos.camara.leg.br/api/v2/deputados/121</t>
  </si>
  <si>
    <t>SILVA TELES</t>
  </si>
  <si>
    <t>Antonio da Silva Telles</t>
  </si>
  <si>
    <t>1840-11-24</t>
  </si>
  <si>
    <t>https://dadosabertos.camara.leg.br/api/v2/deputados/171</t>
  </si>
  <si>
    <t>SOLEDADE</t>
  </si>
  <si>
    <t>Antonio Vieira da Soledade</t>
  </si>
  <si>
    <t>1836-12-16</t>
  </si>
  <si>
    <t>Portalegre</t>
  </si>
  <si>
    <t>https://dadosabertos.camara.leg.br/api/v2/deputados/110</t>
  </si>
  <si>
    <t>SOUSA MELO</t>
  </si>
  <si>
    <t>José de Souza Mello</t>
  </si>
  <si>
    <t>https://dadosabertos.camara.leg.br/api/v2/deputados/100</t>
  </si>
  <si>
    <t>TEIXEIRA DE GOUVEIA</t>
  </si>
  <si>
    <t>Lucio Soares Teixeira de Gouvêa</t>
  </si>
  <si>
    <t>1782-05-09</t>
  </si>
  <si>
    <t>https://dadosabertos.camara.leg.br/api/v2/deputados/94</t>
  </si>
  <si>
    <t>VERGUEIRO</t>
  </si>
  <si>
    <t>Nicolau Pereira de Campos Vergueiro</t>
  </si>
  <si>
    <t>1778-12-20</t>
  </si>
  <si>
    <t>1859-09-18</t>
  </si>
  <si>
    <t>https://dadosabertos.camara.leg.br/api/v2/deputados/183</t>
  </si>
  <si>
    <t>VICENTE DA FONSECA</t>
  </si>
  <si>
    <t>Ignacio José Vicente da Fonseca</t>
  </si>
  <si>
    <t>https://dadosabertos.camara.leg.br/api/v2/deputados/170</t>
  </si>
  <si>
    <t>XAVIER FERREIRA</t>
  </si>
  <si>
    <t>Francisco Xavier Ferreira</t>
  </si>
  <si>
    <t>1771-12-04</t>
  </si>
  <si>
    <t>1838-04-23</t>
  </si>
  <si>
    <t>Colonia</t>
  </si>
  <si>
    <t>Nome</t>
  </si>
  <si>
    <t>Estado</t>
  </si>
  <si>
    <t>Gênero</t>
  </si>
  <si>
    <t>Sigla Gênero</t>
  </si>
  <si>
    <t>DT Nascimento</t>
  </si>
  <si>
    <t>Idade</t>
  </si>
  <si>
    <t>1° legislatura</t>
  </si>
  <si>
    <t>Feminino</t>
  </si>
  <si>
    <t>Masculino</t>
  </si>
  <si>
    <t>Reeleição</t>
  </si>
  <si>
    <t>Painel de Análise de Gênero na Câmara dos Deputados 2023 - 2027</t>
  </si>
  <si>
    <t>COUNTA of Gênero</t>
  </si>
  <si>
    <t>FALSO</t>
  </si>
  <si>
    <t>VERDADEIRO</t>
  </si>
  <si>
    <t>Total Geral</t>
  </si>
  <si>
    <t>AVERAGE of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</si>
</sst>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2"/>
      <color theme="1"/>
      <name val="Arial"/>
      <scheme val="minor"/>
    </font>
    <font>
      <b/>
      <sz val="14"/>
      <color rgb="FF674EA7"/>
      <name val="'Albert Sans'"/>
    </font>
    <font>
      <b/>
      <sz val="13"/>
      <color rgb="FF674EA7"/>
      <name val="'Albert Sans'"/>
    </font>
    <font>
      <sz val="10"/>
      <color rgb="FFFFFFFF"/>
      <name val="Arial"/>
      <scheme val="minor"/>
    </font>
    <font>
      <b/>
      <sz val="17"/>
      <color theme="1"/>
      <name val="Arial"/>
      <scheme val="minor"/>
    </font>
    <font>
      <sz val="12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  <fill>
      <patternFill patternType="solid">
        <fgColor rgb="FF6AA84F"/>
        <bgColor rgb="FF6AA84F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3" borderId="0" xfId="0" applyFont="1" applyFill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/>
    <xf numFmtId="10" fontId="2" fillId="0" borderId="0" xfId="0" applyNumberFormat="1" applyFont="1"/>
    <xf numFmtId="10" fontId="2" fillId="4" borderId="0" xfId="0" applyNumberFormat="1" applyFont="1" applyFill="1"/>
    <xf numFmtId="0" fontId="9" fillId="0" borderId="0" xfId="0" applyFont="1"/>
    <xf numFmtId="0" fontId="8" fillId="5" borderId="0" xfId="0" applyFont="1" applyFill="1" applyAlignment="1">
      <alignment horizontal="center" vertical="center" wrapText="1"/>
    </xf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3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>
    <tableStyle name="Tratament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Proporção de Reeleição vs. Primeira Legislatura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Tratamento!$V$2</c:f>
              <c:strCache>
                <c:ptCount val="1"/>
                <c:pt idx="0">
                  <c:v>Reeleição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Tratamento!$R$3:$R$4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Tratamento!$V$3:$V$4</c:f>
              <c:numCache>
                <c:formatCode>0.00%</c:formatCode>
                <c:ptCount val="2"/>
                <c:pt idx="0">
                  <c:v>0.36521739130434783</c:v>
                </c:pt>
                <c:pt idx="1">
                  <c:v>0.61188118811881187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BC-4FA9-8062-0A632C33CE26}"/>
            </c:ext>
          </c:extLst>
        </c:ser>
        <c:ser>
          <c:idx val="1"/>
          <c:order val="1"/>
          <c:tx>
            <c:strRef>
              <c:f>Tratamento!$W$2</c:f>
              <c:strCache>
                <c:ptCount val="1"/>
                <c:pt idx="0">
                  <c:v>1° legislatura</c:v>
                </c:pt>
              </c:strCache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Tratamento!$R$3:$R$4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Tratamento!$W$3:$W$4</c:f>
              <c:numCache>
                <c:formatCode>0.00%</c:formatCode>
                <c:ptCount val="2"/>
                <c:pt idx="0">
                  <c:v>0.63478260869565217</c:v>
                </c:pt>
                <c:pt idx="1">
                  <c:v>0.38811881188118813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6BC-4FA9-8062-0A632C33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488596"/>
        <c:axId val="1749017125"/>
      </c:barChart>
      <c:catAx>
        <c:axId val="17904885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49017125"/>
        <c:crosses val="autoZero"/>
        <c:auto val="1"/>
        <c:lblAlgn val="ctr"/>
        <c:lblOffset val="100"/>
        <c:noMultiLvlLbl val="1"/>
      </c:catAx>
      <c:valAx>
        <c:axId val="17490171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9048859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200025</xdr:rowOff>
    </xdr:from>
    <xdr:ext cx="7686675" cy="4752975"/>
    <xdr:pic>
      <xdr:nvPicPr>
        <xdr:cNvPr id="1349112256" name="Chart1" descr="Gráfico de colunas com os estados brasileiros de distribuição de representação, por gênero femino cor verde claro e masculino azul claro e estado.&#10;" title="Distribuição de Representação por Gênero e Estado">
          <a:extLst>
            <a:ext uri="{FF2B5EF4-FFF2-40B4-BE49-F238E27FC236}">
              <a16:creationId xmlns:a16="http://schemas.microsoft.com/office/drawing/2014/main" id="{00000000-0008-0000-0200-0000C0D16950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1</xdr:row>
      <xdr:rowOff>104775</xdr:rowOff>
    </xdr:from>
    <xdr:ext cx="7467600" cy="4714875"/>
    <xdr:pic>
      <xdr:nvPicPr>
        <xdr:cNvPr id="319443020" name="Chart2" title="Gráfico">
          <a:extLst>
            <a:ext uri="{FF2B5EF4-FFF2-40B4-BE49-F238E27FC236}">
              <a16:creationId xmlns:a16="http://schemas.microsoft.com/office/drawing/2014/main" id="{00000000-0008-0000-0200-00004C500A1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28</xdr:row>
      <xdr:rowOff>142875</xdr:rowOff>
    </xdr:from>
    <xdr:ext cx="7667625" cy="44481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amily Alves" refreshedDate="45911.855599768518" refreshedVersion="8" recordCount="621" xr:uid="{00000000-000A-0000-FFFF-FFFF02000000}">
  <cacheSource type="worksheet">
    <worksheetSource ref="D1:H1000" sheet="Tratamento"/>
  </cacheSource>
  <cacheFields count="5">
    <cacheField name="Gênero" numFmtId="0">
      <sharedItems containsBlank="1" count="3">
        <s v="Masculino"/>
        <s v="Feminino"/>
        <m/>
      </sharedItems>
    </cacheField>
    <cacheField name="Sigla Gênero" numFmtId="0">
      <sharedItems containsBlank="1"/>
    </cacheField>
    <cacheField name="DT Nascimento" numFmtId="0">
      <sharedItems containsNonDate="0" containsDate="1" containsString="0" containsBlank="1" minDate="1934-11-30T00:00:00" maxDate="2001-04-11T00:00:00"/>
    </cacheField>
    <cacheField name="Idade" numFmtId="0">
      <sharedItems containsString="0" containsBlank="1" containsNumber="1" containsInteger="1" minValue="24" maxValue="90"/>
    </cacheField>
    <cacheField name="1° legislatura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amily Alves" refreshedDate="45911.855600000003" refreshedVersion="8" recordCount="621" xr:uid="{00000000-000A-0000-FFFF-FFFF01000000}">
  <cacheSource type="worksheet">
    <worksheetSource ref="D1:G1000" sheet="Tratamento"/>
  </cacheSource>
  <cacheFields count="4">
    <cacheField name="Gênero" numFmtId="0">
      <sharedItems containsBlank="1" count="3">
        <s v="Masculino"/>
        <s v="Feminino"/>
        <m/>
      </sharedItems>
    </cacheField>
    <cacheField name="Sigla Gênero" numFmtId="0">
      <sharedItems containsBlank="1"/>
    </cacheField>
    <cacheField name="DT Nascimento" numFmtId="0">
      <sharedItems containsNonDate="0" containsDate="1" containsString="0" containsBlank="1" minDate="1934-11-30T00:00:00" maxDate="2001-04-11T00:00:00"/>
    </cacheField>
    <cacheField name="Idade" numFmtId="0">
      <sharedItems containsString="0" containsBlank="1" containsNumber="1" containsInteger="1" minValue="24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amily Alves" refreshedDate="45911.855600000003" refreshedVersion="8" recordCount="621" xr:uid="{00000000-000A-0000-FFFF-FFFF00000000}">
  <cacheSource type="worksheet">
    <worksheetSource ref="C1:D1000" sheet="Tratamento"/>
  </cacheSource>
  <cacheFields count="2">
    <cacheField name="Estado" numFmtId="0">
      <sharedItems containsBlank="1" count="28">
        <s v="MT"/>
        <s v="AP"/>
        <s v="AM"/>
        <s v="MG"/>
        <s v="BA"/>
        <s v="SP"/>
        <s v="GO"/>
        <s v="RS"/>
        <s v="PB"/>
        <s v="CE"/>
        <s v="SE"/>
        <s v="TO"/>
        <s v="PI"/>
        <s v="AL"/>
        <s v="PR"/>
        <s v="PA"/>
        <s v="RJ"/>
        <s v="MA"/>
        <s v="ES"/>
        <s v="PE"/>
        <s v="AC"/>
        <s v="RN"/>
        <s v="MS"/>
        <s v="SC"/>
        <s v="RO"/>
        <s v="RR"/>
        <s v="DF"/>
        <m/>
      </sharedItems>
    </cacheField>
    <cacheField name="Gênero" numFmtId="0">
      <sharedItems containsBlank="1" count="3">
        <s v="Masculino"/>
        <s v="Femini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x v="0"/>
    <s v="M"/>
    <d v="1984-01-31T00:00:00"/>
    <n v="41"/>
    <x v="0"/>
  </r>
  <r>
    <x v="0"/>
    <s v="M"/>
    <d v="1983-09-28T00:00:00"/>
    <n v="41"/>
    <x v="1"/>
  </r>
  <r>
    <x v="0"/>
    <s v="M"/>
    <d v="1992-02-16T00:00:00"/>
    <n v="33"/>
    <x v="0"/>
  </r>
  <r>
    <x v="0"/>
    <s v="M"/>
    <d v="1964-06-14T00:00:00"/>
    <n v="61"/>
    <x v="0"/>
  </r>
  <r>
    <x v="0"/>
    <s v="M"/>
    <d v="1981-02-02T00:00:00"/>
    <n v="44"/>
    <x v="1"/>
  </r>
  <r>
    <x v="1"/>
    <s v="F"/>
    <d v="1969-03-06T00:00:00"/>
    <n v="56"/>
    <x v="1"/>
  </r>
  <r>
    <x v="0"/>
    <s v="M"/>
    <d v="1969-09-06T00:00:00"/>
    <n v="56"/>
    <x v="1"/>
  </r>
  <r>
    <x v="0"/>
    <s v="M"/>
    <d v="1960-03-10T00:00:00"/>
    <n v="65"/>
    <x v="1"/>
  </r>
  <r>
    <x v="0"/>
    <s v="M"/>
    <d v="1960-10-15T00:00:00"/>
    <n v="64"/>
    <x v="1"/>
  </r>
  <r>
    <x v="0"/>
    <s v="M"/>
    <d v="1962-04-25T00:00:00"/>
    <n v="63"/>
    <x v="1"/>
  </r>
  <r>
    <x v="0"/>
    <s v="M"/>
    <d v="1950-01-08T00:00:00"/>
    <n v="75"/>
    <x v="1"/>
  </r>
  <r>
    <x v="0"/>
    <s v="M"/>
    <d v="1969-02-13T00:00:00"/>
    <n v="56"/>
    <x v="1"/>
  </r>
  <r>
    <x v="0"/>
    <s v="M"/>
    <d v="1959-03-16T00:00:00"/>
    <n v="66"/>
    <x v="1"/>
  </r>
  <r>
    <x v="0"/>
    <s v="M"/>
    <d v="1983-09-26T00:00:00"/>
    <n v="41"/>
    <x v="1"/>
  </r>
  <r>
    <x v="0"/>
    <s v="M"/>
    <d v="1956-06-02T00:00:00"/>
    <n v="69"/>
    <x v="1"/>
  </r>
  <r>
    <x v="0"/>
    <s v="M"/>
    <d v="1954-04-26T00:00:00"/>
    <n v="71"/>
    <x v="1"/>
  </r>
  <r>
    <x v="0"/>
    <s v="M"/>
    <d v="1974-01-25T00:00:00"/>
    <n v="51"/>
    <x v="0"/>
  </r>
  <r>
    <x v="0"/>
    <s v="M"/>
    <d v="1954-06-04T00:00:00"/>
    <n v="71"/>
    <x v="1"/>
  </r>
  <r>
    <x v="0"/>
    <s v="M"/>
    <d v="1976-03-14T00:00:00"/>
    <n v="49"/>
    <x v="1"/>
  </r>
  <r>
    <x v="0"/>
    <s v="M"/>
    <d v="1979-08-22T00:00:00"/>
    <n v="46"/>
    <x v="1"/>
  </r>
  <r>
    <x v="0"/>
    <s v="M"/>
    <d v="1972-06-22T00:00:00"/>
    <n v="53"/>
    <x v="1"/>
  </r>
  <r>
    <x v="0"/>
    <s v="M"/>
    <d v="1986-02-19T00:00:00"/>
    <n v="39"/>
    <x v="0"/>
  </r>
  <r>
    <x v="0"/>
    <s v="M"/>
    <d v="1989-04-18T00:00:00"/>
    <n v="36"/>
    <x v="1"/>
  </r>
  <r>
    <x v="0"/>
    <s v="M"/>
    <d v="1963-12-23T00:00:00"/>
    <n v="61"/>
    <x v="0"/>
  </r>
  <r>
    <x v="0"/>
    <s v="M"/>
    <d v="1971-09-14T00:00:00"/>
    <n v="53"/>
    <x v="1"/>
  </r>
  <r>
    <x v="0"/>
    <s v="M"/>
    <d v="1959-06-24T00:00:00"/>
    <n v="66"/>
    <x v="1"/>
  </r>
  <r>
    <x v="0"/>
    <s v="M"/>
    <d v="1970-08-13T00:00:00"/>
    <n v="55"/>
    <x v="0"/>
  </r>
  <r>
    <x v="1"/>
    <s v="F"/>
    <d v="1959-05-16T00:00:00"/>
    <n v="66"/>
    <x v="1"/>
  </r>
  <r>
    <x v="0"/>
    <s v="M"/>
    <d v="1989-02-26T00:00:00"/>
    <n v="36"/>
    <x v="1"/>
  </r>
  <r>
    <x v="1"/>
    <s v="F"/>
    <d v="1980-11-25T00:00:00"/>
    <n v="44"/>
    <x v="1"/>
  </r>
  <r>
    <x v="0"/>
    <s v="M"/>
    <d v="1969-08-30T00:00:00"/>
    <n v="56"/>
    <x v="0"/>
  </r>
  <r>
    <x v="0"/>
    <s v="M"/>
    <d v="1968-09-13T00:00:00"/>
    <n v="56"/>
    <x v="1"/>
  </r>
  <r>
    <x v="0"/>
    <s v="M"/>
    <d v="1961-11-11T00:00:00"/>
    <n v="63"/>
    <x v="1"/>
  </r>
  <r>
    <x v="1"/>
    <s v="F"/>
    <d v="1985-03-22T00:00:00"/>
    <n v="40"/>
    <x v="0"/>
  </r>
  <r>
    <x v="1"/>
    <s v="F"/>
    <d v="1998-12-25T00:00:00"/>
    <n v="26"/>
    <x v="0"/>
  </r>
  <r>
    <x v="0"/>
    <s v="M"/>
    <d v="1976-12-04T00:00:00"/>
    <n v="48"/>
    <x v="1"/>
  </r>
  <r>
    <x v="0"/>
    <s v="M"/>
    <d v="2001-01-02T00:00:00"/>
    <n v="24"/>
    <x v="0"/>
  </r>
  <r>
    <x v="1"/>
    <s v="F"/>
    <d v="1965-08-22T00:00:00"/>
    <n v="60"/>
    <x v="0"/>
  </r>
  <r>
    <x v="1"/>
    <s v="F"/>
    <d v="1964-04-19T00:00:00"/>
    <n v="61"/>
    <x v="0"/>
  </r>
  <r>
    <x v="1"/>
    <s v="F"/>
    <d v="1982-05-15T00:00:00"/>
    <n v="43"/>
    <x v="0"/>
  </r>
  <r>
    <x v="0"/>
    <s v="M"/>
    <d v="1970-11-10T00:00:00"/>
    <n v="54"/>
    <x v="1"/>
  </r>
  <r>
    <x v="0"/>
    <s v="M"/>
    <d v="1997-12-10T00:00:00"/>
    <n v="27"/>
    <x v="0"/>
  </r>
  <r>
    <x v="0"/>
    <s v="M"/>
    <d v="1972-12-10T00:00:00"/>
    <n v="52"/>
    <x v="1"/>
  </r>
  <r>
    <x v="0"/>
    <s v="M"/>
    <d v="1966-11-10T00:00:00"/>
    <n v="58"/>
    <x v="1"/>
  </r>
  <r>
    <x v="0"/>
    <s v="M"/>
    <d v="1989-08-27T00:00:00"/>
    <n v="36"/>
    <x v="1"/>
  </r>
  <r>
    <x v="0"/>
    <s v="M"/>
    <d v="1984-05-05T00:00:00"/>
    <n v="41"/>
    <x v="1"/>
  </r>
  <r>
    <x v="1"/>
    <s v="F"/>
    <d v="1992-08-19T00:00:00"/>
    <n v="33"/>
    <x v="0"/>
  </r>
  <r>
    <x v="1"/>
    <s v="F"/>
    <d v="1970-07-17T00:00:00"/>
    <n v="55"/>
    <x v="1"/>
  </r>
  <r>
    <x v="0"/>
    <s v="M"/>
    <d v="1958-10-22T00:00:00"/>
    <n v="66"/>
    <x v="0"/>
  </r>
  <r>
    <x v="0"/>
    <s v="M"/>
    <d v="1969-01-17T00:00:00"/>
    <n v="56"/>
    <x v="1"/>
  </r>
  <r>
    <x v="0"/>
    <s v="M"/>
    <d v="1950-05-17T00:00:00"/>
    <n v="75"/>
    <x v="0"/>
  </r>
  <r>
    <x v="0"/>
    <s v="M"/>
    <d v="1976-08-26T00:00:00"/>
    <n v="49"/>
    <x v="0"/>
  </r>
  <r>
    <x v="1"/>
    <s v="F"/>
    <d v="1983-10-19T00:00:00"/>
    <n v="41"/>
    <x v="0"/>
  </r>
  <r>
    <x v="0"/>
    <s v="M"/>
    <d v="1949-12-24T00:00:00"/>
    <n v="75"/>
    <x v="1"/>
  </r>
  <r>
    <x v="0"/>
    <s v="M"/>
    <d v="1955-05-08T00:00:00"/>
    <n v="70"/>
    <x v="1"/>
  </r>
  <r>
    <x v="0"/>
    <s v="M"/>
    <d v="1969-06-25T00:00:00"/>
    <n v="56"/>
    <x v="1"/>
  </r>
  <r>
    <x v="0"/>
    <s v="M"/>
    <d v="1964-08-17T00:00:00"/>
    <n v="61"/>
    <x v="1"/>
  </r>
  <r>
    <x v="0"/>
    <s v="M"/>
    <d v="1950-11-22T00:00:00"/>
    <n v="74"/>
    <x v="1"/>
  </r>
  <r>
    <x v="0"/>
    <s v="M"/>
    <d v="1980-04-01T00:00:00"/>
    <n v="45"/>
    <x v="0"/>
  </r>
  <r>
    <x v="0"/>
    <s v="M"/>
    <d v="1962-10-22T00:00:00"/>
    <n v="62"/>
    <x v="1"/>
  </r>
  <r>
    <x v="0"/>
    <s v="M"/>
    <d v="1982-05-09T00:00:00"/>
    <n v="43"/>
    <x v="0"/>
  </r>
  <r>
    <x v="0"/>
    <s v="M"/>
    <d v="1979-02-17T00:00:00"/>
    <n v="46"/>
    <x v="1"/>
  </r>
  <r>
    <x v="0"/>
    <s v="M"/>
    <d v="1957-07-09T00:00:00"/>
    <n v="68"/>
    <x v="1"/>
  </r>
  <r>
    <x v="0"/>
    <s v="M"/>
    <d v="1972-06-09T00:00:00"/>
    <n v="53"/>
    <x v="1"/>
  </r>
  <r>
    <x v="0"/>
    <s v="M"/>
    <d v="1953-03-22T00:00:00"/>
    <n v="72"/>
    <x v="0"/>
  </r>
  <r>
    <x v="0"/>
    <s v="M"/>
    <d v="1963-07-31T00:00:00"/>
    <n v="62"/>
    <x v="0"/>
  </r>
  <r>
    <x v="1"/>
    <s v="F"/>
    <d v="1942-04-26T00:00:00"/>
    <n v="83"/>
    <x v="1"/>
  </r>
  <r>
    <x v="0"/>
    <s v="M"/>
    <d v="1966-04-22T00:00:00"/>
    <n v="59"/>
    <x v="1"/>
  </r>
  <r>
    <x v="0"/>
    <s v="M"/>
    <d v="1977-11-14T00:00:00"/>
    <n v="47"/>
    <x v="1"/>
  </r>
  <r>
    <x v="0"/>
    <s v="M"/>
    <d v="1968-02-17T00:00:00"/>
    <n v="57"/>
    <x v="0"/>
  </r>
  <r>
    <x v="0"/>
    <s v="M"/>
    <d v="1965-07-29T00:00:00"/>
    <n v="60"/>
    <x v="0"/>
  </r>
  <r>
    <x v="1"/>
    <s v="F"/>
    <d v="1961-09-19T00:00:00"/>
    <n v="63"/>
    <x v="1"/>
  </r>
  <r>
    <x v="0"/>
    <s v="M"/>
    <d v="1957-01-09T00:00:00"/>
    <n v="68"/>
    <x v="1"/>
  </r>
  <r>
    <x v="0"/>
    <s v="M"/>
    <d v="1962-02-05T00:00:00"/>
    <n v="63"/>
    <x v="1"/>
  </r>
  <r>
    <x v="0"/>
    <s v="M"/>
    <d v="1950-09-28T00:00:00"/>
    <n v="74"/>
    <x v="1"/>
  </r>
  <r>
    <x v="0"/>
    <s v="M"/>
    <d v="1982-10-07T00:00:00"/>
    <n v="42"/>
    <x v="0"/>
  </r>
  <r>
    <x v="0"/>
    <s v="M"/>
    <d v="1986-09-15T00:00:00"/>
    <n v="38"/>
    <x v="0"/>
  </r>
  <r>
    <x v="0"/>
    <s v="M"/>
    <d v="1981-04-01T00:00:00"/>
    <n v="44"/>
    <x v="0"/>
  </r>
  <r>
    <x v="0"/>
    <s v="M"/>
    <d v="1988-12-08T00:00:00"/>
    <n v="36"/>
    <x v="0"/>
  </r>
  <r>
    <x v="1"/>
    <s v="F"/>
    <d v="1995-02-10T00:00:00"/>
    <n v="30"/>
    <x v="0"/>
  </r>
  <r>
    <x v="0"/>
    <s v="M"/>
    <d v="1982-05-05T00:00:00"/>
    <n v="43"/>
    <x v="1"/>
  </r>
  <r>
    <x v="0"/>
    <s v="M"/>
    <d v="1980-04-19T00:00:00"/>
    <n v="45"/>
    <x v="0"/>
  </r>
  <r>
    <x v="0"/>
    <s v="M"/>
    <d v="1966-10-04T00:00:00"/>
    <n v="58"/>
    <x v="1"/>
  </r>
  <r>
    <x v="0"/>
    <s v="M"/>
    <d v="1970-02-03T00:00:00"/>
    <n v="55"/>
    <x v="0"/>
  </r>
  <r>
    <x v="1"/>
    <s v="F"/>
    <d v="1988-03-15T00:00:00"/>
    <n v="37"/>
    <x v="0"/>
  </r>
  <r>
    <x v="1"/>
    <s v="F"/>
    <d v="1976-07-02T00:00:00"/>
    <n v="49"/>
    <x v="1"/>
  </r>
  <r>
    <x v="1"/>
    <s v="F"/>
    <d v="1980-07-03T00:00:00"/>
    <n v="45"/>
    <x v="1"/>
  </r>
  <r>
    <x v="0"/>
    <s v="M"/>
    <d v="1982-03-08T00:00:00"/>
    <n v="43"/>
    <x v="1"/>
  </r>
  <r>
    <x v="0"/>
    <s v="M"/>
    <d v="1972-06-13T00:00:00"/>
    <n v="53"/>
    <x v="1"/>
  </r>
  <r>
    <x v="0"/>
    <s v="M"/>
    <d v="1961-04-21T00:00:00"/>
    <n v="64"/>
    <x v="1"/>
  </r>
  <r>
    <x v="0"/>
    <s v="M"/>
    <d v="1982-02-08T00:00:00"/>
    <n v="43"/>
    <x v="1"/>
  </r>
  <r>
    <x v="0"/>
    <s v="M"/>
    <d v="1963-03-31T00:00:00"/>
    <n v="62"/>
    <x v="1"/>
  </r>
  <r>
    <x v="0"/>
    <s v="M"/>
    <d v="1981-08-10T00:00:00"/>
    <n v="44"/>
    <x v="1"/>
  </r>
  <r>
    <x v="0"/>
    <s v="M"/>
    <d v="1959-06-08T00:00:00"/>
    <n v="66"/>
    <x v="1"/>
  </r>
  <r>
    <x v="1"/>
    <s v="F"/>
    <d v="1962-10-06T00:00:00"/>
    <n v="62"/>
    <x v="1"/>
  </r>
  <r>
    <x v="1"/>
    <s v="F"/>
    <d v="1983-05-01T00:00:00"/>
    <n v="42"/>
    <x v="0"/>
  </r>
  <r>
    <x v="1"/>
    <s v="F"/>
    <d v="1986-09-01T00:00:00"/>
    <n v="39"/>
    <x v="1"/>
  </r>
  <r>
    <x v="0"/>
    <s v="M"/>
    <d v="1974-04-23T00:00:00"/>
    <n v="51"/>
    <x v="0"/>
  </r>
  <r>
    <x v="1"/>
    <s v="F"/>
    <d v="1989-05-10T00:00:00"/>
    <n v="36"/>
    <x v="0"/>
  </r>
  <r>
    <x v="0"/>
    <s v="M"/>
    <d v="1959-09-19T00:00:00"/>
    <n v="65"/>
    <x v="1"/>
  </r>
  <r>
    <x v="0"/>
    <s v="M"/>
    <d v="1987-06-19T00:00:00"/>
    <n v="38"/>
    <x v="1"/>
  </r>
  <r>
    <x v="0"/>
    <s v="M"/>
    <d v="1956-08-20T00:00:00"/>
    <n v="69"/>
    <x v="1"/>
  </r>
  <r>
    <x v="0"/>
    <s v="M"/>
    <d v="1978-08-29T00:00:00"/>
    <n v="47"/>
    <x v="1"/>
  </r>
  <r>
    <x v="0"/>
    <s v="M"/>
    <d v="1973-12-12T00:00:00"/>
    <n v="51"/>
    <x v="1"/>
  </r>
  <r>
    <x v="0"/>
    <s v="M"/>
    <d v="1965-03-15T00:00:00"/>
    <n v="60"/>
    <x v="1"/>
  </r>
  <r>
    <x v="0"/>
    <s v="M"/>
    <d v="1949-10-19T00:00:00"/>
    <n v="75"/>
    <x v="1"/>
  </r>
  <r>
    <x v="0"/>
    <s v="M"/>
    <d v="1962-02-22T00:00:00"/>
    <n v="63"/>
    <x v="1"/>
  </r>
  <r>
    <x v="1"/>
    <s v="F"/>
    <d v="1991-05-14T00:00:00"/>
    <n v="34"/>
    <x v="1"/>
  </r>
  <r>
    <x v="1"/>
    <s v="F"/>
    <d v="1984-12-26T00:00:00"/>
    <n v="40"/>
    <x v="0"/>
  </r>
  <r>
    <x v="0"/>
    <s v="M"/>
    <d v="1963-12-01T00:00:00"/>
    <n v="61"/>
    <x v="1"/>
  </r>
  <r>
    <x v="0"/>
    <s v="M"/>
    <d v="1972-05-10T00:00:00"/>
    <n v="53"/>
    <x v="1"/>
  </r>
  <r>
    <x v="0"/>
    <s v="M"/>
    <d v="1975-11-13T00:00:00"/>
    <n v="49"/>
    <x v="0"/>
  </r>
  <r>
    <x v="0"/>
    <s v="M"/>
    <d v="1963-09-07T00:00:00"/>
    <n v="62"/>
    <x v="0"/>
  </r>
  <r>
    <x v="0"/>
    <s v="M"/>
    <d v="1957-06-23T00:00:00"/>
    <n v="68"/>
    <x v="1"/>
  </r>
  <r>
    <x v="0"/>
    <s v="M"/>
    <d v="1976-04-16T00:00:00"/>
    <n v="49"/>
    <x v="0"/>
  </r>
  <r>
    <x v="0"/>
    <s v="M"/>
    <d v="1959-06-23T00:00:00"/>
    <n v="66"/>
    <x v="1"/>
  </r>
  <r>
    <x v="1"/>
    <s v="F"/>
    <d v="1974-11-13T00:00:00"/>
    <n v="50"/>
    <x v="0"/>
  </r>
  <r>
    <x v="0"/>
    <s v="M"/>
    <d v="1958-01-07T00:00:00"/>
    <n v="67"/>
    <x v="0"/>
  </r>
  <r>
    <x v="0"/>
    <s v="M"/>
    <d v="1965-09-30T00:00:00"/>
    <n v="59"/>
    <x v="1"/>
  </r>
  <r>
    <x v="0"/>
    <s v="M"/>
    <d v="1961-10-10T00:00:00"/>
    <n v="63"/>
    <x v="0"/>
  </r>
  <r>
    <x v="0"/>
    <s v="M"/>
    <d v="1972-10-19T00:00:00"/>
    <n v="52"/>
    <x v="0"/>
  </r>
  <r>
    <x v="0"/>
    <s v="M"/>
    <d v="1987-07-25T00:00:00"/>
    <n v="38"/>
    <x v="1"/>
  </r>
  <r>
    <x v="1"/>
    <s v="F"/>
    <d v="1983-11-17T00:00:00"/>
    <n v="41"/>
    <x v="0"/>
  </r>
  <r>
    <x v="0"/>
    <s v="M"/>
    <d v="1971-06-02T00:00:00"/>
    <n v="54"/>
    <x v="1"/>
  </r>
  <r>
    <x v="0"/>
    <s v="M"/>
    <d v="1955-07-21T00:00:00"/>
    <n v="70"/>
    <x v="1"/>
  </r>
  <r>
    <x v="1"/>
    <s v="F"/>
    <d v="1982-01-29T00:00:00"/>
    <n v="43"/>
    <x v="0"/>
  </r>
  <r>
    <x v="0"/>
    <s v="M"/>
    <d v="1979-03-16T00:00:00"/>
    <n v="46"/>
    <x v="0"/>
  </r>
  <r>
    <x v="0"/>
    <s v="M"/>
    <d v="1952-04-28T00:00:00"/>
    <n v="73"/>
    <x v="1"/>
  </r>
  <r>
    <x v="1"/>
    <s v="F"/>
    <d v="1994-01-23T00:00:00"/>
    <n v="31"/>
    <x v="0"/>
  </r>
  <r>
    <x v="1"/>
    <s v="F"/>
    <d v="1987-05-19T00:00:00"/>
    <n v="38"/>
    <x v="0"/>
  </r>
  <r>
    <x v="0"/>
    <s v="M"/>
    <d v="1968-07-02T00:00:00"/>
    <n v="57"/>
    <x v="0"/>
  </r>
  <r>
    <x v="0"/>
    <s v="M"/>
    <d v="1955-01-21T00:00:00"/>
    <n v="70"/>
    <x v="1"/>
  </r>
  <r>
    <x v="0"/>
    <s v="M"/>
    <d v="1984-10-27T00:00:00"/>
    <n v="40"/>
    <x v="0"/>
  </r>
  <r>
    <x v="0"/>
    <s v="M"/>
    <d v="1982-04-03T00:00:00"/>
    <n v="43"/>
    <x v="1"/>
  </r>
  <r>
    <x v="0"/>
    <s v="M"/>
    <d v="1988-02-14T00:00:00"/>
    <n v="37"/>
    <x v="0"/>
  </r>
  <r>
    <x v="0"/>
    <s v="M"/>
    <d v="1986-11-04T00:00:00"/>
    <n v="38"/>
    <x v="1"/>
  </r>
  <r>
    <x v="1"/>
    <s v="F"/>
    <d v="1976-02-10T00:00:00"/>
    <n v="49"/>
    <x v="1"/>
  </r>
  <r>
    <x v="1"/>
    <s v="F"/>
    <d v="1977-04-04T00:00:00"/>
    <n v="48"/>
    <x v="0"/>
  </r>
  <r>
    <x v="0"/>
    <s v="M"/>
    <d v="1958-09-01T00:00:00"/>
    <n v="67"/>
    <x v="1"/>
  </r>
  <r>
    <x v="0"/>
    <s v="M"/>
    <d v="1973-04-18T00:00:00"/>
    <n v="52"/>
    <x v="1"/>
  </r>
  <r>
    <x v="0"/>
    <s v="M"/>
    <d v="1961-11-08T00:00:00"/>
    <n v="63"/>
    <x v="1"/>
  </r>
  <r>
    <x v="0"/>
    <s v="M"/>
    <d v="1973-12-21T00:00:00"/>
    <n v="51"/>
    <x v="1"/>
  </r>
  <r>
    <x v="1"/>
    <s v="F"/>
    <d v="1981-09-13T00:00:00"/>
    <n v="43"/>
    <x v="0"/>
  </r>
  <r>
    <x v="0"/>
    <s v="M"/>
    <d v="1972-11-16T00:00:00"/>
    <n v="52"/>
    <x v="0"/>
  </r>
  <r>
    <x v="1"/>
    <s v="F"/>
    <d v="1973-03-17T00:00:00"/>
    <n v="52"/>
    <x v="0"/>
  </r>
  <r>
    <x v="1"/>
    <s v="F"/>
    <d v="1974-03-20T00:00:00"/>
    <n v="51"/>
    <x v="0"/>
  </r>
  <r>
    <x v="1"/>
    <s v="F"/>
    <d v="1973-10-05T00:00:00"/>
    <n v="51"/>
    <x v="0"/>
  </r>
  <r>
    <x v="0"/>
    <s v="M"/>
    <d v="1986-08-25T00:00:00"/>
    <n v="39"/>
    <x v="0"/>
  </r>
  <r>
    <x v="0"/>
    <s v="M"/>
    <d v="1979-04-27T00:00:00"/>
    <n v="46"/>
    <x v="0"/>
  </r>
  <r>
    <x v="0"/>
    <s v="M"/>
    <d v="1977-10-14T00:00:00"/>
    <n v="47"/>
    <x v="0"/>
  </r>
  <r>
    <x v="0"/>
    <s v="M"/>
    <d v="1960-12-14T00:00:00"/>
    <n v="64"/>
    <x v="1"/>
  </r>
  <r>
    <x v="0"/>
    <s v="M"/>
    <d v="1980-10-15T00:00:00"/>
    <n v="44"/>
    <x v="0"/>
  </r>
  <r>
    <x v="0"/>
    <s v="M"/>
    <d v="1976-03-04T00:00:00"/>
    <n v="49"/>
    <x v="1"/>
  </r>
  <r>
    <x v="0"/>
    <s v="M"/>
    <d v="1982-12-24T00:00:00"/>
    <n v="42"/>
    <x v="0"/>
  </r>
  <r>
    <x v="0"/>
    <s v="M"/>
    <d v="1974-08-16T00:00:00"/>
    <n v="51"/>
    <x v="0"/>
  </r>
  <r>
    <x v="0"/>
    <s v="M"/>
    <d v="1987-03-10T00:00:00"/>
    <n v="38"/>
    <x v="0"/>
  </r>
  <r>
    <x v="0"/>
    <s v="M"/>
    <d v="1972-05-08T00:00:00"/>
    <n v="53"/>
    <x v="0"/>
  </r>
  <r>
    <x v="0"/>
    <s v="M"/>
    <d v="1977-09-27T00:00:00"/>
    <n v="47"/>
    <x v="0"/>
  </r>
  <r>
    <x v="0"/>
    <s v="M"/>
    <d v="1980-01-15T00:00:00"/>
    <n v="45"/>
    <x v="0"/>
  </r>
  <r>
    <x v="1"/>
    <s v="F"/>
    <d v="1983-06-17T00:00:00"/>
    <n v="42"/>
    <x v="0"/>
  </r>
  <r>
    <x v="1"/>
    <s v="F"/>
    <d v="1979-01-25T00:00:00"/>
    <n v="46"/>
    <x v="0"/>
  </r>
  <r>
    <x v="0"/>
    <s v="M"/>
    <d v="1977-08-08T00:00:00"/>
    <n v="48"/>
    <x v="1"/>
  </r>
  <r>
    <x v="0"/>
    <s v="M"/>
    <d v="1983-01-22T00:00:00"/>
    <n v="42"/>
    <x v="0"/>
  </r>
  <r>
    <x v="0"/>
    <s v="M"/>
    <d v="1984-10-10T00:00:00"/>
    <n v="40"/>
    <x v="1"/>
  </r>
  <r>
    <x v="0"/>
    <s v="M"/>
    <d v="1948-01-26T00:00:00"/>
    <n v="77"/>
    <x v="1"/>
  </r>
  <r>
    <x v="1"/>
    <s v="F"/>
    <d v="1969-05-08T00:00:00"/>
    <n v="56"/>
    <x v="0"/>
  </r>
  <r>
    <x v="0"/>
    <s v="M"/>
    <d v="1973-05-23T00:00:00"/>
    <n v="52"/>
    <x v="1"/>
  </r>
  <r>
    <x v="0"/>
    <s v="M"/>
    <d v="1975-05-03T00:00:00"/>
    <n v="50"/>
    <x v="0"/>
  </r>
  <r>
    <x v="0"/>
    <s v="M"/>
    <d v="1988-04-29T00:00:00"/>
    <n v="37"/>
    <x v="1"/>
  </r>
  <r>
    <x v="0"/>
    <s v="M"/>
    <d v="1957-03-25T00:00:00"/>
    <n v="68"/>
    <x v="1"/>
  </r>
  <r>
    <x v="0"/>
    <s v="M"/>
    <d v="1976-02-23T00:00:00"/>
    <n v="49"/>
    <x v="0"/>
  </r>
  <r>
    <x v="0"/>
    <s v="M"/>
    <d v="1979-06-19T00:00:00"/>
    <n v="46"/>
    <x v="0"/>
  </r>
  <r>
    <x v="0"/>
    <s v="M"/>
    <d v="1973-12-15T00:00:00"/>
    <n v="51"/>
    <x v="1"/>
  </r>
  <r>
    <x v="0"/>
    <s v="M"/>
    <d v="1977-07-17T00:00:00"/>
    <n v="48"/>
    <x v="0"/>
  </r>
  <r>
    <x v="0"/>
    <s v="M"/>
    <d v="1971-02-25T00:00:00"/>
    <n v="54"/>
    <x v="0"/>
  </r>
  <r>
    <x v="0"/>
    <s v="M"/>
    <d v="1973-02-07T00:00:00"/>
    <n v="52"/>
    <x v="0"/>
  </r>
  <r>
    <x v="0"/>
    <s v="M"/>
    <d v="1979-02-16T00:00:00"/>
    <n v="46"/>
    <x v="0"/>
  </r>
  <r>
    <x v="0"/>
    <s v="M"/>
    <d v="1979-10-04T00:00:00"/>
    <n v="45"/>
    <x v="0"/>
  </r>
  <r>
    <x v="0"/>
    <s v="M"/>
    <d v="1979-10-14T00:00:00"/>
    <n v="45"/>
    <x v="0"/>
  </r>
  <r>
    <x v="0"/>
    <s v="M"/>
    <d v="1977-03-24T00:00:00"/>
    <n v="48"/>
    <x v="1"/>
  </r>
  <r>
    <x v="0"/>
    <s v="M"/>
    <d v="1953-07-08T00:00:00"/>
    <n v="72"/>
    <x v="1"/>
  </r>
  <r>
    <x v="0"/>
    <s v="M"/>
    <d v="1983-07-26T00:00:00"/>
    <n v="42"/>
    <x v="0"/>
  </r>
  <r>
    <x v="0"/>
    <s v="M"/>
    <d v="1961-05-03T00:00:00"/>
    <n v="64"/>
    <x v="1"/>
  </r>
  <r>
    <x v="0"/>
    <s v="M"/>
    <d v="1949-09-25T00:00:00"/>
    <n v="75"/>
    <x v="1"/>
  </r>
  <r>
    <x v="0"/>
    <s v="M"/>
    <d v="1990-10-04T00:00:00"/>
    <n v="34"/>
    <x v="0"/>
  </r>
  <r>
    <x v="0"/>
    <s v="M"/>
    <d v="1986-01-02T00:00:00"/>
    <n v="39"/>
    <x v="0"/>
  </r>
  <r>
    <x v="0"/>
    <s v="M"/>
    <d v="1953-11-05T00:00:00"/>
    <n v="71"/>
    <x v="1"/>
  </r>
  <r>
    <x v="1"/>
    <s v="F"/>
    <d v="1988-09-15T00:00:00"/>
    <n v="36"/>
    <x v="0"/>
  </r>
  <r>
    <x v="1"/>
    <s v="F"/>
    <d v="1966-11-21T00:00:00"/>
    <n v="58"/>
    <x v="0"/>
  </r>
  <r>
    <x v="0"/>
    <s v="M"/>
    <d v="1980-09-11T00:00:00"/>
    <n v="45"/>
    <x v="0"/>
  </r>
  <r>
    <x v="0"/>
    <s v="M"/>
    <d v="1986-09-15T00:00:00"/>
    <n v="38"/>
    <x v="0"/>
  </r>
  <r>
    <x v="0"/>
    <s v="M"/>
    <d v="1974-05-19T00:00:00"/>
    <n v="51"/>
    <x v="0"/>
  </r>
  <r>
    <x v="1"/>
    <s v="F"/>
    <d v="1981-05-02T00:00:00"/>
    <n v="44"/>
    <x v="0"/>
  </r>
  <r>
    <x v="0"/>
    <s v="M"/>
    <d v="1981-11-14T00:00:00"/>
    <n v="43"/>
    <x v="1"/>
  </r>
  <r>
    <x v="0"/>
    <s v="M"/>
    <d v="1984-07-10T00:00:00"/>
    <n v="41"/>
    <x v="1"/>
  </r>
  <r>
    <x v="0"/>
    <s v="M"/>
    <d v="1972-10-17T00:00:00"/>
    <n v="52"/>
    <x v="1"/>
  </r>
  <r>
    <x v="0"/>
    <s v="M"/>
    <d v="1976-07-08T00:00:00"/>
    <n v="49"/>
    <x v="0"/>
  </r>
  <r>
    <x v="1"/>
    <s v="F"/>
    <d v="1944-10-05T00:00:00"/>
    <n v="80"/>
    <x v="1"/>
  </r>
  <r>
    <x v="0"/>
    <s v="M"/>
    <d v="1960-09-01T00:00:00"/>
    <n v="65"/>
    <x v="1"/>
  </r>
  <r>
    <x v="1"/>
    <s v="F"/>
    <d v="1976-09-08T00:00:00"/>
    <n v="49"/>
    <x v="0"/>
  </r>
  <r>
    <x v="1"/>
    <s v="F"/>
    <d v="1973-08-29T00:00:00"/>
    <n v="52"/>
    <x v="0"/>
  </r>
  <r>
    <x v="1"/>
    <s v="F"/>
    <d v="1972-04-02T00:00:00"/>
    <n v="53"/>
    <x v="1"/>
  </r>
  <r>
    <x v="0"/>
    <s v="M"/>
    <d v="1970-07-06T00:00:00"/>
    <n v="55"/>
    <x v="1"/>
  </r>
  <r>
    <x v="1"/>
    <s v="F"/>
    <d v="1977-01-13T00:00:00"/>
    <n v="48"/>
    <x v="1"/>
  </r>
  <r>
    <x v="0"/>
    <s v="M"/>
    <d v="1995-01-05T00:00:00"/>
    <n v="30"/>
    <x v="1"/>
  </r>
  <r>
    <x v="0"/>
    <s v="M"/>
    <d v="1967-03-10T00:00:00"/>
    <n v="58"/>
    <x v="1"/>
  </r>
  <r>
    <x v="1"/>
    <s v="F"/>
    <d v="1983-11-17T00:00:00"/>
    <n v="41"/>
    <x v="0"/>
  </r>
  <r>
    <x v="1"/>
    <s v="F"/>
    <d v="1963-08-24T00:00:00"/>
    <n v="62"/>
    <x v="0"/>
  </r>
  <r>
    <x v="0"/>
    <s v="M"/>
    <d v="1961-03-27T00:00:00"/>
    <n v="64"/>
    <x v="1"/>
  </r>
  <r>
    <x v="0"/>
    <s v="M"/>
    <d v="1965-09-26T00:00:00"/>
    <n v="59"/>
    <x v="0"/>
  </r>
  <r>
    <x v="1"/>
    <s v="F"/>
    <d v="1992-12-09T00:00:00"/>
    <n v="32"/>
    <x v="0"/>
  </r>
  <r>
    <x v="1"/>
    <s v="F"/>
    <d v="1957-08-15T00:00:00"/>
    <n v="68"/>
    <x v="1"/>
  </r>
  <r>
    <x v="0"/>
    <s v="M"/>
    <d v="1971-05-20T00:00:00"/>
    <n v="54"/>
    <x v="1"/>
  </r>
  <r>
    <x v="0"/>
    <s v="M"/>
    <d v="1984-08-15T00:00:00"/>
    <n v="41"/>
    <x v="1"/>
  </r>
  <r>
    <x v="0"/>
    <s v="M"/>
    <d v="1952-09-30T00:00:00"/>
    <n v="72"/>
    <x v="1"/>
  </r>
  <r>
    <x v="0"/>
    <s v="M"/>
    <d v="1972-04-02T00:00:00"/>
    <n v="53"/>
    <x v="1"/>
  </r>
  <r>
    <x v="0"/>
    <s v="M"/>
    <d v="1977-06-29T00:00:00"/>
    <n v="48"/>
    <x v="1"/>
  </r>
  <r>
    <x v="0"/>
    <s v="M"/>
    <d v="1972-06-19T00:00:00"/>
    <n v="53"/>
    <x v="1"/>
  </r>
  <r>
    <x v="0"/>
    <s v="M"/>
    <d v="1981-09-18T00:00:00"/>
    <n v="43"/>
    <x v="0"/>
  </r>
  <r>
    <x v="0"/>
    <s v="M"/>
    <d v="1977-04-15T00:00:00"/>
    <n v="48"/>
    <x v="1"/>
  </r>
  <r>
    <x v="0"/>
    <s v="M"/>
    <d v="1988-05-31T00:00:00"/>
    <n v="37"/>
    <x v="1"/>
  </r>
  <r>
    <x v="0"/>
    <s v="M"/>
    <d v="1971-10-22T00:00:00"/>
    <n v="53"/>
    <x v="0"/>
  </r>
  <r>
    <x v="0"/>
    <s v="M"/>
    <d v="1977-06-01T00:00:00"/>
    <n v="48"/>
    <x v="1"/>
  </r>
  <r>
    <x v="0"/>
    <s v="M"/>
    <d v="1992-12-20T00:00:00"/>
    <n v="32"/>
    <x v="0"/>
  </r>
  <r>
    <x v="0"/>
    <s v="M"/>
    <d v="1987-03-06T00:00:00"/>
    <n v="38"/>
    <x v="0"/>
  </r>
  <r>
    <x v="0"/>
    <s v="M"/>
    <d v="1975-04-16T00:00:00"/>
    <n v="50"/>
    <x v="1"/>
  </r>
  <r>
    <x v="0"/>
    <s v="M"/>
    <d v="1991-10-02T00:00:00"/>
    <n v="33"/>
    <x v="1"/>
  </r>
  <r>
    <x v="0"/>
    <s v="M"/>
    <d v="1980-06-12T00:00:00"/>
    <n v="45"/>
    <x v="0"/>
  </r>
  <r>
    <x v="0"/>
    <s v="M"/>
    <d v="1963-11-29T00:00:00"/>
    <n v="61"/>
    <x v="1"/>
  </r>
  <r>
    <x v="1"/>
    <s v="F"/>
    <d v="1984-02-02T00:00:00"/>
    <n v="41"/>
    <x v="1"/>
  </r>
  <r>
    <x v="1"/>
    <s v="F"/>
    <d v="1966-06-08T00:00:00"/>
    <n v="59"/>
    <x v="0"/>
  </r>
  <r>
    <x v="0"/>
    <s v="M"/>
    <d v="1984-02-28T00:00:00"/>
    <n v="41"/>
    <x v="1"/>
  </r>
  <r>
    <x v="0"/>
    <s v="M"/>
    <d v="1956-12-06T00:00:00"/>
    <n v="68"/>
    <x v="0"/>
  </r>
  <r>
    <x v="0"/>
    <s v="M"/>
    <d v="1976-09-17T00:00:00"/>
    <n v="48"/>
    <x v="1"/>
  </r>
  <r>
    <x v="0"/>
    <s v="M"/>
    <d v="1983-11-17T00:00:00"/>
    <n v="41"/>
    <x v="1"/>
  </r>
  <r>
    <x v="0"/>
    <s v="M"/>
    <d v="1991-05-29T00:00:00"/>
    <n v="34"/>
    <x v="1"/>
  </r>
  <r>
    <x v="0"/>
    <s v="M"/>
    <d v="1984-04-01T00:00:00"/>
    <n v="41"/>
    <x v="0"/>
  </r>
  <r>
    <x v="1"/>
    <s v="F"/>
    <d v="1969-04-26T00:00:00"/>
    <n v="56"/>
    <x v="1"/>
  </r>
  <r>
    <x v="1"/>
    <s v="F"/>
    <d v="1990-11-08T00:00:00"/>
    <n v="34"/>
    <x v="0"/>
  </r>
  <r>
    <x v="0"/>
    <s v="M"/>
    <d v="1953-02-27T00:00:00"/>
    <n v="72"/>
    <x v="1"/>
  </r>
  <r>
    <x v="0"/>
    <s v="M"/>
    <d v="1969-10-05T00:00:00"/>
    <n v="55"/>
    <x v="0"/>
  </r>
  <r>
    <x v="1"/>
    <s v="F"/>
    <d v="1987-10-09T00:00:00"/>
    <n v="37"/>
    <x v="0"/>
  </r>
  <r>
    <x v="0"/>
    <s v="M"/>
    <d v="1977-07-12T00:00:00"/>
    <n v="48"/>
    <x v="1"/>
  </r>
  <r>
    <x v="0"/>
    <s v="M"/>
    <d v="1980-01-26T00:00:00"/>
    <n v="45"/>
    <x v="0"/>
  </r>
  <r>
    <x v="0"/>
    <s v="M"/>
    <d v="1982-12-24T00:00:00"/>
    <n v="42"/>
    <x v="0"/>
  </r>
  <r>
    <x v="0"/>
    <s v="M"/>
    <d v="1983-07-23T00:00:00"/>
    <n v="42"/>
    <x v="0"/>
  </r>
  <r>
    <x v="0"/>
    <s v="M"/>
    <d v="1955-05-08T00:00:00"/>
    <n v="70"/>
    <x v="1"/>
  </r>
  <r>
    <x v="0"/>
    <s v="M"/>
    <d v="1963-07-19T00:00:00"/>
    <n v="62"/>
    <x v="0"/>
  </r>
  <r>
    <x v="1"/>
    <s v="F"/>
    <d v="1972-03-30T00:00:00"/>
    <n v="53"/>
    <x v="1"/>
  </r>
  <r>
    <x v="0"/>
    <s v="M"/>
    <d v="1985-12-05T00:00:00"/>
    <n v="39"/>
    <x v="0"/>
  </r>
  <r>
    <x v="0"/>
    <s v="M"/>
    <d v="1955-04-20T00:00:00"/>
    <n v="70"/>
    <x v="1"/>
  </r>
  <r>
    <x v="0"/>
    <s v="M"/>
    <d v="1974-04-08T00:00:00"/>
    <n v="51"/>
    <x v="0"/>
  </r>
  <r>
    <x v="0"/>
    <s v="M"/>
    <d v="1975-04-14T00:00:00"/>
    <n v="50"/>
    <x v="1"/>
  </r>
  <r>
    <x v="0"/>
    <s v="M"/>
    <d v="1970-12-17T00:00:00"/>
    <n v="54"/>
    <x v="1"/>
  </r>
  <r>
    <x v="0"/>
    <s v="M"/>
    <d v="1966-08-06T00:00:00"/>
    <n v="59"/>
    <x v="1"/>
  </r>
  <r>
    <x v="0"/>
    <s v="M"/>
    <d v="1956-07-09T00:00:00"/>
    <n v="69"/>
    <x v="1"/>
  </r>
  <r>
    <x v="0"/>
    <s v="M"/>
    <d v="1978-07-17T00:00:00"/>
    <n v="47"/>
    <x v="0"/>
  </r>
  <r>
    <x v="0"/>
    <s v="M"/>
    <d v="1981-04-12T00:00:00"/>
    <n v="44"/>
    <x v="1"/>
  </r>
  <r>
    <x v="0"/>
    <s v="M"/>
    <d v="1976-09-24T00:00:00"/>
    <n v="48"/>
    <x v="0"/>
  </r>
  <r>
    <x v="0"/>
    <s v="M"/>
    <d v="1969-05-10T00:00:00"/>
    <n v="56"/>
    <x v="0"/>
  </r>
  <r>
    <x v="0"/>
    <s v="M"/>
    <d v="1960-06-23T00:00:00"/>
    <n v="65"/>
    <x v="1"/>
  </r>
  <r>
    <x v="1"/>
    <s v="F"/>
    <d v="1977-04-28T00:00:00"/>
    <n v="48"/>
    <x v="0"/>
  </r>
  <r>
    <x v="0"/>
    <s v="M"/>
    <d v="1982-06-26T00:00:00"/>
    <n v="43"/>
    <x v="1"/>
  </r>
  <r>
    <x v="1"/>
    <s v="F"/>
    <d v="1960-02-20T00:00:00"/>
    <n v="65"/>
    <x v="0"/>
  </r>
  <r>
    <x v="0"/>
    <s v="M"/>
    <d v="1973-12-22T00:00:00"/>
    <n v="51"/>
    <x v="1"/>
  </r>
  <r>
    <x v="1"/>
    <s v="F"/>
    <d v="1965-09-06T00:00:00"/>
    <n v="60"/>
    <x v="1"/>
  </r>
  <r>
    <x v="1"/>
    <s v="F"/>
    <d v="1981-12-15T00:00:00"/>
    <n v="43"/>
    <x v="1"/>
  </r>
  <r>
    <x v="0"/>
    <s v="M"/>
    <d v="1982-06-19T00:00:00"/>
    <n v="43"/>
    <x v="0"/>
  </r>
  <r>
    <x v="0"/>
    <s v="M"/>
    <d v="1984-10-10T00:00:00"/>
    <n v="40"/>
    <x v="1"/>
  </r>
  <r>
    <x v="0"/>
    <s v="M"/>
    <d v="1971-04-27T00:00:00"/>
    <n v="54"/>
    <x v="0"/>
  </r>
  <r>
    <x v="0"/>
    <s v="M"/>
    <d v="1981-04-13T00:00:00"/>
    <n v="44"/>
    <x v="0"/>
  </r>
  <r>
    <x v="0"/>
    <s v="M"/>
    <d v="1982-02-16T00:00:00"/>
    <n v="43"/>
    <x v="1"/>
  </r>
  <r>
    <x v="0"/>
    <s v="M"/>
    <d v="1979-09-09T00:00:00"/>
    <n v="46"/>
    <x v="1"/>
  </r>
  <r>
    <x v="0"/>
    <s v="M"/>
    <d v="1962-03-25T00:00:00"/>
    <n v="63"/>
    <x v="1"/>
  </r>
  <r>
    <x v="0"/>
    <s v="M"/>
    <d v="1964-03-08T00:00:00"/>
    <n v="61"/>
    <x v="1"/>
  </r>
  <r>
    <x v="1"/>
    <s v="F"/>
    <d v="1976-03-30T00:00:00"/>
    <n v="49"/>
    <x v="0"/>
  </r>
  <r>
    <x v="0"/>
    <s v="M"/>
    <d v="1957-12-09T00:00:00"/>
    <n v="67"/>
    <x v="1"/>
  </r>
  <r>
    <x v="0"/>
    <s v="M"/>
    <d v="1969-03-28T00:00:00"/>
    <n v="56"/>
    <x v="1"/>
  </r>
  <r>
    <x v="0"/>
    <s v="M"/>
    <d v="1976-04-25T00:00:00"/>
    <n v="49"/>
    <x v="0"/>
  </r>
  <r>
    <x v="0"/>
    <s v="M"/>
    <d v="1985-09-18T00:00:00"/>
    <n v="39"/>
    <x v="0"/>
  </r>
  <r>
    <x v="0"/>
    <s v="M"/>
    <d v="1963-09-14T00:00:00"/>
    <n v="61"/>
    <x v="1"/>
  </r>
  <r>
    <x v="0"/>
    <s v="M"/>
    <d v="1970-12-06T00:00:00"/>
    <n v="54"/>
    <x v="0"/>
  </r>
  <r>
    <x v="0"/>
    <s v="M"/>
    <d v="1960-04-22T00:00:00"/>
    <n v="65"/>
    <x v="1"/>
  </r>
  <r>
    <x v="0"/>
    <s v="M"/>
    <d v="1962-08-06T00:00:00"/>
    <n v="63"/>
    <x v="1"/>
  </r>
  <r>
    <x v="0"/>
    <s v="M"/>
    <d v="1989-09-11T00:00:00"/>
    <n v="36"/>
    <x v="1"/>
  </r>
  <r>
    <x v="0"/>
    <s v="M"/>
    <d v="2001-04-10T00:00:00"/>
    <n v="24"/>
    <x v="0"/>
  </r>
  <r>
    <x v="0"/>
    <s v="M"/>
    <d v="1968-09-23T00:00:00"/>
    <n v="56"/>
    <x v="1"/>
  </r>
  <r>
    <x v="0"/>
    <s v="M"/>
    <d v="1982-04-10T00:00:00"/>
    <n v="43"/>
    <x v="1"/>
  </r>
  <r>
    <x v="0"/>
    <s v="M"/>
    <d v="1965-07-16T00:00:00"/>
    <n v="60"/>
    <x v="0"/>
  </r>
  <r>
    <x v="0"/>
    <s v="M"/>
    <d v="1976-10-30T00:00:00"/>
    <n v="48"/>
    <x v="1"/>
  </r>
  <r>
    <x v="0"/>
    <s v="M"/>
    <d v="1982-07-05T00:00:00"/>
    <n v="43"/>
    <x v="0"/>
  </r>
  <r>
    <x v="0"/>
    <s v="M"/>
    <d v="1946-07-05T00:00:00"/>
    <n v="79"/>
    <x v="1"/>
  </r>
  <r>
    <x v="1"/>
    <s v="F"/>
    <d v="1972-09-10T00:00:00"/>
    <n v="53"/>
    <x v="0"/>
  </r>
  <r>
    <x v="1"/>
    <s v="F"/>
    <d v="1987-09-06T00:00:00"/>
    <n v="38"/>
    <x v="0"/>
  </r>
  <r>
    <x v="1"/>
    <s v="F"/>
    <d v="1983-08-26T00:00:00"/>
    <n v="42"/>
    <x v="0"/>
  </r>
  <r>
    <x v="0"/>
    <s v="M"/>
    <d v="1987-07-23T00:00:00"/>
    <n v="38"/>
    <x v="0"/>
  </r>
  <r>
    <x v="1"/>
    <s v="F"/>
    <d v="1957-05-17T00:00:00"/>
    <n v="68"/>
    <x v="1"/>
  </r>
  <r>
    <x v="0"/>
    <s v="M"/>
    <d v="1975-05-01T00:00:00"/>
    <n v="50"/>
    <x v="0"/>
  </r>
  <r>
    <x v="0"/>
    <s v="M"/>
    <d v="1964-10-26T00:00:00"/>
    <n v="60"/>
    <x v="1"/>
  </r>
  <r>
    <x v="0"/>
    <s v="M"/>
    <d v="1983-09-03T00:00:00"/>
    <n v="42"/>
    <x v="1"/>
  </r>
  <r>
    <x v="0"/>
    <s v="M"/>
    <d v="1965-06-25T00:00:00"/>
    <n v="60"/>
    <x v="1"/>
  </r>
  <r>
    <x v="0"/>
    <s v="M"/>
    <d v="1972-10-08T00:00:00"/>
    <n v="52"/>
    <x v="1"/>
  </r>
  <r>
    <x v="0"/>
    <s v="M"/>
    <d v="1973-10-22T00:00:00"/>
    <n v="51"/>
    <x v="0"/>
  </r>
  <r>
    <x v="0"/>
    <s v="M"/>
    <d v="1967-08-22T00:00:00"/>
    <n v="58"/>
    <x v="1"/>
  </r>
  <r>
    <x v="0"/>
    <s v="M"/>
    <d v="1946-02-27T00:00:00"/>
    <n v="79"/>
    <x v="1"/>
  </r>
  <r>
    <x v="0"/>
    <s v="M"/>
    <d v="1953-09-20T00:00:00"/>
    <n v="71"/>
    <x v="1"/>
  </r>
  <r>
    <x v="0"/>
    <s v="M"/>
    <d v="1961-12-02T00:00:00"/>
    <n v="63"/>
    <x v="1"/>
  </r>
  <r>
    <x v="0"/>
    <s v="M"/>
    <d v="1965-06-25T00:00:00"/>
    <n v="60"/>
    <x v="1"/>
  </r>
  <r>
    <x v="0"/>
    <s v="M"/>
    <d v="1974-06-16T00:00:00"/>
    <n v="51"/>
    <x v="1"/>
  </r>
  <r>
    <x v="0"/>
    <s v="M"/>
    <d v="1953-07-13T00:00:00"/>
    <n v="72"/>
    <x v="1"/>
  </r>
  <r>
    <x v="0"/>
    <s v="M"/>
    <d v="1962-04-10T00:00:00"/>
    <n v="63"/>
    <x v="1"/>
  </r>
  <r>
    <x v="0"/>
    <s v="M"/>
    <d v="1961-04-11T00:00:00"/>
    <n v="64"/>
    <x v="1"/>
  </r>
  <r>
    <x v="0"/>
    <s v="M"/>
    <d v="1957-02-21T00:00:00"/>
    <n v="68"/>
    <x v="1"/>
  </r>
  <r>
    <x v="0"/>
    <s v="M"/>
    <d v="1957-02-13T00:00:00"/>
    <n v="68"/>
    <x v="1"/>
  </r>
  <r>
    <x v="0"/>
    <s v="M"/>
    <d v="1970-03-19T00:00:00"/>
    <n v="55"/>
    <x v="1"/>
  </r>
  <r>
    <x v="0"/>
    <s v="M"/>
    <d v="1960-09-19T00:00:00"/>
    <n v="64"/>
    <x v="1"/>
  </r>
  <r>
    <x v="0"/>
    <s v="M"/>
    <d v="1963-12-02T00:00:00"/>
    <n v="61"/>
    <x v="1"/>
  </r>
  <r>
    <x v="0"/>
    <s v="M"/>
    <d v="1948-08-18T00:00:00"/>
    <n v="77"/>
    <x v="1"/>
  </r>
  <r>
    <x v="0"/>
    <s v="M"/>
    <d v="1957-08-23T00:00:00"/>
    <n v="68"/>
    <x v="1"/>
  </r>
  <r>
    <x v="0"/>
    <s v="M"/>
    <d v="1973-03-29T00:00:00"/>
    <n v="52"/>
    <x v="0"/>
  </r>
  <r>
    <x v="0"/>
    <s v="M"/>
    <d v="1956-10-14T00:00:00"/>
    <n v="68"/>
    <x v="1"/>
  </r>
  <r>
    <x v="0"/>
    <s v="M"/>
    <d v="1976-11-13T00:00:00"/>
    <n v="48"/>
    <x v="1"/>
  </r>
  <r>
    <x v="0"/>
    <s v="M"/>
    <d v="1983-11-29T00:00:00"/>
    <n v="41"/>
    <x v="1"/>
  </r>
  <r>
    <x v="0"/>
    <s v="M"/>
    <d v="1960-01-20T00:00:00"/>
    <n v="65"/>
    <x v="1"/>
  </r>
  <r>
    <x v="1"/>
    <s v="F"/>
    <d v="1985-03-20T00:00:00"/>
    <n v="40"/>
    <x v="0"/>
  </r>
  <r>
    <x v="1"/>
    <s v="F"/>
    <d v="1979-10-22T00:00:00"/>
    <n v="45"/>
    <x v="0"/>
  </r>
  <r>
    <x v="1"/>
    <s v="F"/>
    <d v="1979-08-11T00:00:00"/>
    <n v="46"/>
    <x v="0"/>
  </r>
  <r>
    <x v="0"/>
    <s v="M"/>
    <d v="1966-02-14T00:00:00"/>
    <n v="59"/>
    <x v="0"/>
  </r>
  <r>
    <x v="0"/>
    <s v="M"/>
    <d v="1948-08-25T00:00:00"/>
    <n v="77"/>
    <x v="1"/>
  </r>
  <r>
    <x v="0"/>
    <s v="M"/>
    <d v="1975-02-24T00:00:00"/>
    <n v="50"/>
    <x v="1"/>
  </r>
  <r>
    <x v="0"/>
    <s v="M"/>
    <d v="1959-04-06T00:00:00"/>
    <n v="66"/>
    <x v="1"/>
  </r>
  <r>
    <x v="0"/>
    <s v="M"/>
    <d v="1974-03-03T00:00:00"/>
    <n v="51"/>
    <x v="0"/>
  </r>
  <r>
    <x v="0"/>
    <s v="M"/>
    <d v="1976-10-23T00:00:00"/>
    <n v="48"/>
    <x v="1"/>
  </r>
  <r>
    <x v="0"/>
    <s v="M"/>
    <d v="1987-06-30T00:00:00"/>
    <n v="38"/>
    <x v="1"/>
  </r>
  <r>
    <x v="0"/>
    <s v="M"/>
    <d v="1967-07-13T00:00:00"/>
    <n v="58"/>
    <x v="1"/>
  </r>
  <r>
    <x v="0"/>
    <s v="M"/>
    <d v="1978-10-18T00:00:00"/>
    <n v="46"/>
    <x v="1"/>
  </r>
  <r>
    <x v="0"/>
    <s v="M"/>
    <d v="1985-04-16T00:00:00"/>
    <n v="40"/>
    <x v="1"/>
  </r>
  <r>
    <x v="0"/>
    <s v="M"/>
    <d v="1984-11-06T00:00:00"/>
    <n v="40"/>
    <x v="1"/>
  </r>
  <r>
    <x v="1"/>
    <s v="F"/>
    <d v="1978-02-27T00:00:00"/>
    <n v="47"/>
    <x v="0"/>
  </r>
  <r>
    <x v="0"/>
    <s v="M"/>
    <d v="1967-06-02T00:00:00"/>
    <n v="58"/>
    <x v="0"/>
  </r>
  <r>
    <x v="0"/>
    <s v="M"/>
    <d v="1984-05-05T00:00:00"/>
    <n v="41"/>
    <x v="0"/>
  </r>
  <r>
    <x v="0"/>
    <s v="M"/>
    <d v="1996-01-28T00:00:00"/>
    <n v="29"/>
    <x v="1"/>
  </r>
  <r>
    <x v="0"/>
    <s v="M"/>
    <d v="1966-10-17T00:00:00"/>
    <n v="58"/>
    <x v="1"/>
  </r>
  <r>
    <x v="1"/>
    <s v="F"/>
    <d v="1963-05-01T00:00:00"/>
    <n v="62"/>
    <x v="1"/>
  </r>
  <r>
    <x v="0"/>
    <s v="M"/>
    <d v="1947-02-11T00:00:00"/>
    <n v="78"/>
    <x v="1"/>
  </r>
  <r>
    <x v="1"/>
    <s v="F"/>
    <d v="1975-12-20T00:00:00"/>
    <n v="49"/>
    <x v="1"/>
  </r>
  <r>
    <x v="0"/>
    <s v="M"/>
    <d v="1955-03-10T00:00:00"/>
    <n v="70"/>
    <x v="0"/>
  </r>
  <r>
    <x v="1"/>
    <s v="F"/>
    <d v="1961-11-02T00:00:00"/>
    <n v="63"/>
    <x v="0"/>
  </r>
  <r>
    <x v="1"/>
    <s v="F"/>
    <d v="1969-09-18T00:00:00"/>
    <n v="55"/>
    <x v="0"/>
  </r>
  <r>
    <x v="0"/>
    <s v="M"/>
    <d v="1978-04-05T00:00:00"/>
    <n v="47"/>
    <x v="0"/>
  </r>
  <r>
    <x v="0"/>
    <s v="M"/>
    <d v="1975-05-12T00:00:00"/>
    <n v="50"/>
    <x v="1"/>
  </r>
  <r>
    <x v="0"/>
    <s v="M"/>
    <d v="1951-10-09T00:00:00"/>
    <n v="73"/>
    <x v="1"/>
  </r>
  <r>
    <x v="0"/>
    <s v="M"/>
    <d v="1957-06-03T00:00:00"/>
    <n v="68"/>
    <x v="1"/>
  </r>
  <r>
    <x v="0"/>
    <s v="M"/>
    <d v="1976-10-28T00:00:00"/>
    <n v="48"/>
    <x v="1"/>
  </r>
  <r>
    <x v="1"/>
    <s v="F"/>
    <d v="1956-03-12T00:00:00"/>
    <n v="69"/>
    <x v="1"/>
  </r>
  <r>
    <x v="0"/>
    <s v="M"/>
    <d v="1953-11-03T00:00:00"/>
    <n v="71"/>
    <x v="1"/>
  </r>
  <r>
    <x v="0"/>
    <s v="M"/>
    <d v="1969-12-08T00:00:00"/>
    <n v="55"/>
    <x v="1"/>
  </r>
  <r>
    <x v="1"/>
    <s v="F"/>
    <d v="1991-07-11T00:00:00"/>
    <n v="34"/>
    <x v="0"/>
  </r>
  <r>
    <x v="0"/>
    <s v="M"/>
    <d v="1986-02-14T00:00:00"/>
    <n v="39"/>
    <x v="0"/>
  </r>
  <r>
    <x v="0"/>
    <s v="M"/>
    <d v="1981-05-26T00:00:00"/>
    <n v="44"/>
    <x v="1"/>
  </r>
  <r>
    <x v="0"/>
    <s v="M"/>
    <d v="1973-01-08T00:00:00"/>
    <n v="52"/>
    <x v="0"/>
  </r>
  <r>
    <x v="0"/>
    <s v="M"/>
    <d v="1986-06-27T00:00:00"/>
    <n v="39"/>
    <x v="0"/>
  </r>
  <r>
    <x v="0"/>
    <s v="M"/>
    <d v="1969-05-24T00:00:00"/>
    <n v="56"/>
    <x v="0"/>
  </r>
  <r>
    <x v="0"/>
    <s v="M"/>
    <d v="1944-11-29T00:00:00"/>
    <n v="80"/>
    <x v="1"/>
  </r>
  <r>
    <x v="0"/>
    <s v="M"/>
    <d v="1955-03-23T00:00:00"/>
    <n v="70"/>
    <x v="1"/>
  </r>
  <r>
    <x v="0"/>
    <s v="M"/>
    <d v="1984-07-16T00:00:00"/>
    <n v="41"/>
    <x v="0"/>
  </r>
  <r>
    <x v="0"/>
    <s v="M"/>
    <d v="1988-04-26T00:00:00"/>
    <n v="37"/>
    <x v="0"/>
  </r>
  <r>
    <x v="0"/>
    <s v="M"/>
    <d v="1969-07-23T00:00:00"/>
    <n v="56"/>
    <x v="1"/>
  </r>
  <r>
    <x v="1"/>
    <s v="F"/>
    <d v="1979-10-08T00:00:00"/>
    <n v="45"/>
    <x v="0"/>
  </r>
  <r>
    <x v="0"/>
    <s v="M"/>
    <d v="1966-05-05T00:00:00"/>
    <n v="59"/>
    <x v="0"/>
  </r>
  <r>
    <x v="0"/>
    <s v="M"/>
    <d v="1971-07-23T00:00:00"/>
    <n v="54"/>
    <x v="1"/>
  </r>
  <r>
    <x v="1"/>
    <s v="F"/>
    <d v="1996-04-11T00:00:00"/>
    <n v="29"/>
    <x v="1"/>
  </r>
  <r>
    <x v="0"/>
    <s v="M"/>
    <d v="1940-12-27T00:00:00"/>
    <n v="84"/>
    <x v="1"/>
  </r>
  <r>
    <x v="0"/>
    <s v="M"/>
    <d v="1948-11-06T00:00:00"/>
    <n v="76"/>
    <x v="1"/>
  </r>
  <r>
    <x v="0"/>
    <s v="M"/>
    <d v="1950-10-08T00:00:00"/>
    <n v="74"/>
    <x v="1"/>
  </r>
  <r>
    <x v="0"/>
    <s v="M"/>
    <d v="1959-04-24T00:00:00"/>
    <n v="66"/>
    <x v="1"/>
  </r>
  <r>
    <x v="0"/>
    <s v="M"/>
    <d v="1945-02-13T00:00:00"/>
    <n v="80"/>
    <x v="1"/>
  </r>
  <r>
    <x v="0"/>
    <s v="M"/>
    <d v="1957-09-12T00:00:00"/>
    <n v="67"/>
    <x v="1"/>
  </r>
  <r>
    <x v="0"/>
    <s v="M"/>
    <d v="1973-11-07T00:00:00"/>
    <n v="51"/>
    <x v="0"/>
  </r>
  <r>
    <x v="0"/>
    <s v="M"/>
    <d v="1962-08-19T00:00:00"/>
    <n v="63"/>
    <x v="0"/>
  </r>
  <r>
    <x v="0"/>
    <s v="M"/>
    <d v="1977-12-10T00:00:00"/>
    <n v="47"/>
    <x v="1"/>
  </r>
  <r>
    <x v="0"/>
    <s v="M"/>
    <d v="1959-05-20T00:00:00"/>
    <n v="66"/>
    <x v="0"/>
  </r>
  <r>
    <x v="0"/>
    <s v="M"/>
    <d v="1949-04-09T00:00:00"/>
    <n v="76"/>
    <x v="1"/>
  </r>
  <r>
    <x v="0"/>
    <s v="M"/>
    <d v="1969-04-03T00:00:00"/>
    <n v="56"/>
    <x v="1"/>
  </r>
  <r>
    <x v="1"/>
    <s v="F"/>
    <d v="1934-11-30T00:00:00"/>
    <n v="90"/>
    <x v="1"/>
  </r>
  <r>
    <x v="1"/>
    <s v="F"/>
    <d v="1968-11-18T00:00:00"/>
    <n v="56"/>
    <x v="1"/>
  </r>
  <r>
    <x v="0"/>
    <s v="M"/>
    <d v="2000-12-08T00:00:00"/>
    <n v="24"/>
    <x v="0"/>
  </r>
  <r>
    <x v="1"/>
    <s v="F"/>
    <d v="1948-10-26T00:00:00"/>
    <n v="76"/>
    <x v="1"/>
  </r>
  <r>
    <x v="0"/>
    <s v="M"/>
    <d v="1980-01-22T00:00:00"/>
    <n v="45"/>
    <x v="0"/>
  </r>
  <r>
    <x v="0"/>
    <s v="M"/>
    <d v="1985-11-08T00:00:00"/>
    <n v="39"/>
    <x v="1"/>
  </r>
  <r>
    <x v="0"/>
    <s v="M"/>
    <d v="1974-02-16T00:00:00"/>
    <n v="51"/>
    <x v="1"/>
  </r>
  <r>
    <x v="0"/>
    <s v="M"/>
    <d v="1982-07-07T00:00:00"/>
    <n v="43"/>
    <x v="1"/>
  </r>
  <r>
    <x v="0"/>
    <s v="M"/>
    <d v="1957-10-09T00:00:00"/>
    <n v="67"/>
    <x v="0"/>
  </r>
  <r>
    <x v="0"/>
    <s v="M"/>
    <d v="1983-03-21T00:00:00"/>
    <n v="42"/>
    <x v="0"/>
  </r>
  <r>
    <x v="0"/>
    <s v="M"/>
    <d v="1979-08-07T00:00:00"/>
    <n v="46"/>
    <x v="1"/>
  </r>
  <r>
    <x v="0"/>
    <s v="M"/>
    <d v="1984-11-03T00:00:00"/>
    <n v="40"/>
    <x v="0"/>
  </r>
  <r>
    <x v="0"/>
    <s v="M"/>
    <d v="1969-06-14T00:00:00"/>
    <n v="56"/>
    <x v="1"/>
  </r>
  <r>
    <x v="0"/>
    <s v="M"/>
    <d v="1979-05-23T00:00:00"/>
    <n v="46"/>
    <x v="1"/>
  </r>
  <r>
    <x v="0"/>
    <s v="M"/>
    <d v="1980-05-31T00:00:00"/>
    <n v="45"/>
    <x v="0"/>
  </r>
  <r>
    <x v="0"/>
    <s v="M"/>
    <d v="1967-04-04T00:00:00"/>
    <n v="58"/>
    <x v="0"/>
  </r>
  <r>
    <x v="0"/>
    <s v="M"/>
    <d v="1966-11-14T00:00:00"/>
    <n v="58"/>
    <x v="1"/>
  </r>
  <r>
    <x v="0"/>
    <s v="M"/>
    <d v="1970-12-12T00:00:00"/>
    <n v="54"/>
    <x v="1"/>
  </r>
  <r>
    <x v="0"/>
    <s v="M"/>
    <d v="1968-04-30T00:00:00"/>
    <n v="57"/>
    <x v="1"/>
  </r>
  <r>
    <x v="0"/>
    <s v="M"/>
    <d v="1966-01-28T00:00:00"/>
    <n v="59"/>
    <x v="1"/>
  </r>
  <r>
    <x v="0"/>
    <s v="M"/>
    <d v="1964-09-21T00:00:00"/>
    <n v="60"/>
    <x v="1"/>
  </r>
  <r>
    <x v="0"/>
    <s v="M"/>
    <d v="1991-09-19T00:00:00"/>
    <n v="33"/>
    <x v="1"/>
  </r>
  <r>
    <x v="0"/>
    <s v="M"/>
    <d v="1972-04-04T00:00:00"/>
    <n v="53"/>
    <x v="1"/>
  </r>
  <r>
    <x v="0"/>
    <s v="M"/>
    <d v="1981-01-19T00:00:00"/>
    <n v="44"/>
    <x v="0"/>
  </r>
  <r>
    <x v="0"/>
    <s v="M"/>
    <d v="1978-05-16T00:00:00"/>
    <n v="47"/>
    <x v="1"/>
  </r>
  <r>
    <x v="0"/>
    <s v="M"/>
    <d v="1978-01-28T00:00:00"/>
    <n v="47"/>
    <x v="0"/>
  </r>
  <r>
    <x v="1"/>
    <s v="F"/>
    <d v="1994-02-24T00:00:00"/>
    <n v="31"/>
    <x v="0"/>
  </r>
  <r>
    <x v="1"/>
    <s v="F"/>
    <d v="1966-11-22T00:00:00"/>
    <n v="58"/>
    <x v="1"/>
  </r>
  <r>
    <x v="1"/>
    <s v="F"/>
    <d v="1965-10-01T00:00:00"/>
    <n v="59"/>
    <x v="1"/>
  </r>
  <r>
    <x v="1"/>
    <s v="F"/>
    <d v="1994-07-02T00:00:00"/>
    <n v="31"/>
    <x v="0"/>
  </r>
  <r>
    <x v="1"/>
    <s v="F"/>
    <d v="1958-02-08T00:00:00"/>
    <n v="67"/>
    <x v="0"/>
  </r>
  <r>
    <x v="0"/>
    <s v="M"/>
    <d v="1971-10-09T00:00:00"/>
    <n v="53"/>
    <x v="0"/>
  </r>
  <r>
    <x v="0"/>
    <s v="M"/>
    <d v="1954-09-30T00:00:00"/>
    <n v="70"/>
    <x v="1"/>
  </r>
  <r>
    <x v="0"/>
    <s v="M"/>
    <d v="1980-08-31T00:00:00"/>
    <n v="45"/>
    <x v="1"/>
  </r>
  <r>
    <x v="0"/>
    <s v="M"/>
    <d v="1992-04-25T00:00:00"/>
    <n v="33"/>
    <x v="1"/>
  </r>
  <r>
    <x v="1"/>
    <s v="F"/>
    <d v="1990-06-25T00:00:00"/>
    <n v="35"/>
    <x v="0"/>
  </r>
  <r>
    <x v="0"/>
    <s v="M"/>
    <d v="1979-11-28T00:00:00"/>
    <n v="45"/>
    <x v="1"/>
  </r>
  <r>
    <x v="0"/>
    <s v="M"/>
    <d v="1998-09-10T00:00:00"/>
    <n v="27"/>
    <x v="0"/>
  </r>
  <r>
    <x v="0"/>
    <s v="M"/>
    <d v="1988-06-25T00:00:00"/>
    <n v="37"/>
    <x v="0"/>
  </r>
  <r>
    <x v="0"/>
    <s v="M"/>
    <d v="1988-09-29T00:00:00"/>
    <n v="36"/>
    <x v="0"/>
  </r>
  <r>
    <x v="0"/>
    <s v="M"/>
    <d v="1987-01-24T00:00:00"/>
    <n v="38"/>
    <x v="0"/>
  </r>
  <r>
    <x v="0"/>
    <s v="M"/>
    <d v="1979-11-05T00:00:00"/>
    <n v="45"/>
    <x v="0"/>
  </r>
  <r>
    <x v="0"/>
    <s v="M"/>
    <d v="1959-03-09T00:00:00"/>
    <n v="66"/>
    <x v="1"/>
  </r>
  <r>
    <x v="0"/>
    <s v="M"/>
    <d v="1966-01-17T00:00:00"/>
    <n v="59"/>
    <x v="0"/>
  </r>
  <r>
    <x v="1"/>
    <s v="F"/>
    <d v="1975-02-10T00:00:00"/>
    <n v="50"/>
    <x v="0"/>
  </r>
  <r>
    <x v="0"/>
    <s v="M"/>
    <d v="1966-07-12T00:00:00"/>
    <n v="59"/>
    <x v="1"/>
  </r>
  <r>
    <x v="0"/>
    <s v="M"/>
    <d v="1958-09-17T00:00:00"/>
    <n v="66"/>
    <x v="1"/>
  </r>
  <r>
    <x v="0"/>
    <s v="M"/>
    <d v="1981-02-08T00:00:00"/>
    <n v="44"/>
    <x v="0"/>
  </r>
  <r>
    <x v="0"/>
    <s v="M"/>
    <d v="1976-08-06T00:00:00"/>
    <n v="49"/>
    <x v="0"/>
  </r>
  <r>
    <x v="0"/>
    <s v="M"/>
    <d v="1991-10-11T00:00:00"/>
    <n v="33"/>
    <x v="0"/>
  </r>
  <r>
    <x v="0"/>
    <s v="M"/>
    <d v="1964-01-29T00:00:00"/>
    <n v="61"/>
    <x v="1"/>
  </r>
  <r>
    <x v="0"/>
    <s v="M"/>
    <d v="1962-09-16T00:00:00"/>
    <n v="62"/>
    <x v="1"/>
  </r>
  <r>
    <x v="0"/>
    <s v="M"/>
    <d v="1959-11-27T00:00:00"/>
    <n v="65"/>
    <x v="1"/>
  </r>
  <r>
    <x v="1"/>
    <s v="F"/>
    <d v="1977-10-17T00:00:00"/>
    <n v="47"/>
    <x v="0"/>
  </r>
  <r>
    <x v="0"/>
    <s v="M"/>
    <d v="1956-12-11T00:00:00"/>
    <n v="68"/>
    <x v="1"/>
  </r>
  <r>
    <x v="0"/>
    <s v="M"/>
    <d v="1978-06-06T00:00:00"/>
    <n v="47"/>
    <x v="1"/>
  </r>
  <r>
    <x v="0"/>
    <s v="M"/>
    <d v="1986-09-22T00:00:00"/>
    <n v="38"/>
    <x v="0"/>
  </r>
  <r>
    <x v="0"/>
    <s v="M"/>
    <d v="1980-07-02T00:00:00"/>
    <n v="45"/>
    <x v="0"/>
  </r>
  <r>
    <x v="1"/>
    <s v="F"/>
    <d v="1988-06-15T00:00:00"/>
    <n v="37"/>
    <x v="1"/>
  </r>
  <r>
    <x v="0"/>
    <s v="M"/>
    <d v="1967-01-30T00:00:00"/>
    <n v="58"/>
    <x v="0"/>
  </r>
  <r>
    <x v="0"/>
    <s v="M"/>
    <d v="1983-03-07T00:00:00"/>
    <n v="42"/>
    <x v="0"/>
  </r>
  <r>
    <x v="0"/>
    <s v="M"/>
    <d v="1960-02-14T00:00:00"/>
    <n v="65"/>
    <x v="1"/>
  </r>
  <r>
    <x v="1"/>
    <s v="F"/>
    <d v="1972-11-17T00:00:00"/>
    <n v="52"/>
    <x v="0"/>
  </r>
  <r>
    <x v="0"/>
    <s v="M"/>
    <d v="1996-05-28T00:00:00"/>
    <n v="29"/>
    <x v="0"/>
  </r>
  <r>
    <x v="0"/>
    <s v="M"/>
    <d v="1960-08-29T00:00:00"/>
    <n v="65"/>
    <x v="0"/>
  </r>
  <r>
    <x v="0"/>
    <s v="M"/>
    <d v="1979-11-11T00:00:00"/>
    <n v="45"/>
    <x v="1"/>
  </r>
  <r>
    <x v="0"/>
    <s v="M"/>
    <d v="1981-07-21T00:00:00"/>
    <n v="44"/>
    <x v="1"/>
  </r>
  <r>
    <x v="0"/>
    <s v="M"/>
    <d v="1996-05-30T00:00:00"/>
    <n v="29"/>
    <x v="0"/>
  </r>
  <r>
    <x v="0"/>
    <s v="M"/>
    <d v="1963-07-31T00:00:00"/>
    <n v="62"/>
    <x v="1"/>
  </r>
  <r>
    <x v="0"/>
    <s v="M"/>
    <d v="1966-05-31T00:00:00"/>
    <n v="59"/>
    <x v="0"/>
  </r>
  <r>
    <x v="0"/>
    <s v="M"/>
    <d v="1976-06-18T00:00:00"/>
    <n v="49"/>
    <x v="1"/>
  </r>
  <r>
    <x v="0"/>
    <s v="M"/>
    <d v="1982-01-09T00:00:00"/>
    <n v="43"/>
    <x v="1"/>
  </r>
  <r>
    <x v="0"/>
    <s v="M"/>
    <d v="1971-05-27T00:00:00"/>
    <n v="54"/>
    <x v="1"/>
  </r>
  <r>
    <x v="0"/>
    <s v="M"/>
    <d v="1950-02-18T00:00:00"/>
    <n v="75"/>
    <x v="1"/>
  </r>
  <r>
    <x v="0"/>
    <s v="M"/>
    <d v="1954-12-09T00:00:00"/>
    <n v="70"/>
    <x v="1"/>
  </r>
  <r>
    <x v="0"/>
    <s v="M"/>
    <d v="1976-11-22T00:00:00"/>
    <n v="48"/>
    <x v="1"/>
  </r>
  <r>
    <x v="0"/>
    <s v="M"/>
    <d v="1977-07-07T00:00:00"/>
    <n v="48"/>
    <x v="1"/>
  </r>
  <r>
    <x v="0"/>
    <s v="M"/>
    <d v="1977-10-29T00:00:00"/>
    <n v="47"/>
    <x v="0"/>
  </r>
  <r>
    <x v="0"/>
    <s v="M"/>
    <d v="1967-02-28T00:00:00"/>
    <n v="58"/>
    <x v="1"/>
  </r>
  <r>
    <x v="0"/>
    <s v="M"/>
    <d v="1976-12-16T00:00:00"/>
    <n v="48"/>
    <x v="0"/>
  </r>
  <r>
    <x v="0"/>
    <s v="M"/>
    <d v="1980-03-21T00:00:00"/>
    <n v="45"/>
    <x v="0"/>
  </r>
  <r>
    <x v="0"/>
    <s v="M"/>
    <d v="1962-09-12T00:00:00"/>
    <n v="62"/>
    <x v="1"/>
  </r>
  <r>
    <x v="0"/>
    <s v="M"/>
    <d v="1971-11-08T00:00:00"/>
    <n v="53"/>
    <x v="1"/>
  </r>
  <r>
    <x v="0"/>
    <s v="M"/>
    <d v="1987-04-15T00:00:00"/>
    <n v="38"/>
    <x v="0"/>
  </r>
  <r>
    <x v="0"/>
    <s v="M"/>
    <d v="1962-07-28T00:00:00"/>
    <n v="63"/>
    <x v="1"/>
  </r>
  <r>
    <x v="0"/>
    <s v="M"/>
    <d v="1952-01-26T00:00:00"/>
    <n v="73"/>
    <x v="1"/>
  </r>
  <r>
    <x v="0"/>
    <s v="M"/>
    <d v="1954-09-24T00:00:00"/>
    <n v="70"/>
    <x v="1"/>
  </r>
  <r>
    <x v="0"/>
    <s v="M"/>
    <d v="1957-09-15T00:00:00"/>
    <n v="67"/>
    <x v="1"/>
  </r>
  <r>
    <x v="0"/>
    <s v="M"/>
    <d v="1956-02-24T00:00:00"/>
    <n v="69"/>
    <x v="1"/>
  </r>
  <r>
    <x v="0"/>
    <s v="M"/>
    <d v="1964-10-22T00:00:00"/>
    <n v="60"/>
    <x v="0"/>
  </r>
  <r>
    <x v="0"/>
    <s v="M"/>
    <d v="1963-06-21T00:00:00"/>
    <n v="62"/>
    <x v="1"/>
  </r>
  <r>
    <x v="0"/>
    <s v="M"/>
    <d v="1979-01-09T00:00:00"/>
    <n v="46"/>
    <x v="0"/>
  </r>
  <r>
    <x v="0"/>
    <s v="M"/>
    <d v="1963-01-14T00:00:00"/>
    <n v="62"/>
    <x v="1"/>
  </r>
  <r>
    <x v="0"/>
    <s v="M"/>
    <d v="1956-04-30T00:00:00"/>
    <n v="69"/>
    <x v="1"/>
  </r>
  <r>
    <x v="0"/>
    <s v="M"/>
    <d v="1955-02-14T00:00:00"/>
    <n v="70"/>
    <x v="1"/>
  </r>
  <r>
    <x v="0"/>
    <s v="M"/>
    <d v="1970-10-01T00:00:00"/>
    <n v="54"/>
    <x v="1"/>
  </r>
  <r>
    <x v="0"/>
    <s v="M"/>
    <d v="1972-01-08T00:00:00"/>
    <n v="53"/>
    <x v="0"/>
  </r>
  <r>
    <x v="0"/>
    <s v="M"/>
    <d v="1991-10-30T00:00:00"/>
    <n v="33"/>
    <x v="0"/>
  </r>
  <r>
    <x v="0"/>
    <s v="M"/>
    <d v="1952-11-28T00:00:00"/>
    <n v="72"/>
    <x v="1"/>
  </r>
  <r>
    <x v="0"/>
    <s v="M"/>
    <d v="1985-02-09T00:00:00"/>
    <n v="40"/>
    <x v="1"/>
  </r>
  <r>
    <x v="0"/>
    <s v="M"/>
    <d v="1965-03-19T00:00:00"/>
    <n v="60"/>
    <x v="1"/>
  </r>
  <r>
    <x v="0"/>
    <s v="M"/>
    <d v="1961-05-09T00:00:00"/>
    <n v="64"/>
    <x v="1"/>
  </r>
  <r>
    <x v="0"/>
    <s v="M"/>
    <d v="1993-02-16T00:00:00"/>
    <n v="32"/>
    <x v="0"/>
  </r>
  <r>
    <x v="0"/>
    <s v="M"/>
    <d v="1995-10-28T00:00:00"/>
    <n v="29"/>
    <x v="0"/>
  </r>
  <r>
    <x v="0"/>
    <s v="M"/>
    <d v="1970-03-29T00:00:00"/>
    <n v="55"/>
    <x v="0"/>
  </r>
  <r>
    <x v="0"/>
    <s v="M"/>
    <d v="1979-11-01T00:00:00"/>
    <n v="45"/>
    <x v="1"/>
  </r>
  <r>
    <x v="0"/>
    <s v="M"/>
    <d v="1983-06-04T00:00:00"/>
    <n v="42"/>
    <x v="1"/>
  </r>
  <r>
    <x v="0"/>
    <s v="M"/>
    <d v="1972-06-29T00:00:00"/>
    <n v="53"/>
    <x v="1"/>
  </r>
  <r>
    <x v="0"/>
    <s v="M"/>
    <d v="1981-12-19T00:00:00"/>
    <n v="43"/>
    <x v="0"/>
  </r>
  <r>
    <x v="0"/>
    <s v="M"/>
    <d v="1963-03-10T00:00:00"/>
    <n v="62"/>
    <x v="1"/>
  </r>
  <r>
    <x v="0"/>
    <s v="M"/>
    <d v="1950-12-19T00:00:00"/>
    <n v="74"/>
    <x v="1"/>
  </r>
  <r>
    <x v="0"/>
    <s v="M"/>
    <d v="1987-06-06T00:00:00"/>
    <n v="38"/>
    <x v="0"/>
  </r>
  <r>
    <x v="0"/>
    <s v="M"/>
    <d v="1991-05-30T00:00:00"/>
    <n v="34"/>
    <x v="1"/>
  </r>
  <r>
    <x v="0"/>
    <s v="M"/>
    <d v="1958-07-12T00:00:00"/>
    <n v="67"/>
    <x v="1"/>
  </r>
  <r>
    <x v="0"/>
    <s v="M"/>
    <d v="1972-10-12T00:00:00"/>
    <n v="52"/>
    <x v="1"/>
  </r>
  <r>
    <x v="1"/>
    <s v="F"/>
    <d v="1984-09-12T00:00:00"/>
    <n v="40"/>
    <x v="0"/>
  </r>
  <r>
    <x v="0"/>
    <s v="M"/>
    <d v="1967-06-11T00:00:00"/>
    <n v="58"/>
    <x v="0"/>
  </r>
  <r>
    <x v="0"/>
    <s v="M"/>
    <d v="1973-01-02T00:00:00"/>
    <n v="52"/>
    <x v="0"/>
  </r>
  <r>
    <x v="0"/>
    <s v="M"/>
    <d v="1953-10-25T00:00:00"/>
    <n v="71"/>
    <x v="1"/>
  </r>
  <r>
    <x v="1"/>
    <s v="F"/>
    <d v="1963-09-09T00:00:00"/>
    <n v="62"/>
    <x v="0"/>
  </r>
  <r>
    <x v="1"/>
    <s v="F"/>
    <d v="1979-12-21T00:00:00"/>
    <n v="45"/>
    <x v="0"/>
  </r>
  <r>
    <x v="1"/>
    <s v="F"/>
    <d v="1973-06-21T00:00:00"/>
    <n v="52"/>
    <x v="1"/>
  </r>
  <r>
    <x v="0"/>
    <s v="M"/>
    <d v="1981-08-25T00:00:00"/>
    <n v="44"/>
    <x v="0"/>
  </r>
  <r>
    <x v="0"/>
    <s v="M"/>
    <d v="1990-02-06T00:00:00"/>
    <n v="35"/>
    <x v="0"/>
  </r>
  <r>
    <x v="0"/>
    <s v="M"/>
    <d v="1983-11-05T00:00:00"/>
    <n v="41"/>
    <x v="0"/>
  </r>
  <r>
    <x v="0"/>
    <s v="M"/>
    <d v="1964-11-29T00:00:00"/>
    <n v="60"/>
    <x v="0"/>
  </r>
  <r>
    <x v="0"/>
    <s v="M"/>
    <d v="1961-03-09T00:00:00"/>
    <n v="64"/>
    <x v="1"/>
  </r>
  <r>
    <x v="0"/>
    <s v="M"/>
    <d v="1955-10-10T00:00:00"/>
    <n v="69"/>
    <x v="1"/>
  </r>
  <r>
    <x v="0"/>
    <s v="M"/>
    <d v="1978-10-18T00:00:00"/>
    <n v="46"/>
    <x v="0"/>
  </r>
  <r>
    <x v="0"/>
    <s v="M"/>
    <d v="1973-04-02T00:00:00"/>
    <n v="52"/>
    <x v="1"/>
  </r>
  <r>
    <x v="1"/>
    <s v="F"/>
    <d v="1963-01-23T00:00:00"/>
    <n v="62"/>
    <x v="0"/>
  </r>
  <r>
    <x v="0"/>
    <s v="M"/>
    <d v="1961-09-02T00:00:00"/>
    <n v="64"/>
    <x v="0"/>
  </r>
  <r>
    <x v="0"/>
    <s v="M"/>
    <d v="1965-07-26T00:00:00"/>
    <n v="60"/>
    <x v="1"/>
  </r>
  <r>
    <x v="0"/>
    <s v="M"/>
    <d v="1993-10-23T00:00:00"/>
    <n v="31"/>
    <x v="0"/>
  </r>
  <r>
    <x v="1"/>
    <s v="F"/>
    <d v="1982-04-15T00:00:00"/>
    <n v="43"/>
    <x v="1"/>
  </r>
  <r>
    <x v="1"/>
    <s v="F"/>
    <d v="1976-12-08T00:00:00"/>
    <n v="48"/>
    <x v="0"/>
  </r>
  <r>
    <x v="0"/>
    <s v="M"/>
    <d v="1959-04-20T00:00:00"/>
    <n v="66"/>
    <x v="1"/>
  </r>
  <r>
    <x v="0"/>
    <s v="M"/>
    <d v="1975-05-27T00:00:00"/>
    <n v="50"/>
    <x v="0"/>
  </r>
  <r>
    <x v="0"/>
    <s v="M"/>
    <d v="1972-09-13T00:00:00"/>
    <n v="52"/>
    <x v="0"/>
  </r>
  <r>
    <x v="0"/>
    <s v="M"/>
    <d v="1979-01-17T00:00:00"/>
    <n v="46"/>
    <x v="0"/>
  </r>
  <r>
    <x v="0"/>
    <s v="M"/>
    <d v="1959-11-15T00:00:00"/>
    <n v="65"/>
    <x v="1"/>
  </r>
  <r>
    <x v="0"/>
    <s v="M"/>
    <d v="1977-09-28T00:00:00"/>
    <n v="47"/>
    <x v="1"/>
  </r>
  <r>
    <x v="0"/>
    <s v="M"/>
    <d v="1975-08-26T00:00:00"/>
    <n v="50"/>
    <x v="0"/>
  </r>
  <r>
    <x v="0"/>
    <s v="M"/>
    <d v="1975-06-08T00:00:00"/>
    <n v="50"/>
    <x v="0"/>
  </r>
  <r>
    <x v="0"/>
    <s v="M"/>
    <d v="1985-09-01T00:00:00"/>
    <n v="40"/>
    <x v="1"/>
  </r>
  <r>
    <x v="0"/>
    <s v="M"/>
    <d v="1970-02-15T00:00:00"/>
    <n v="55"/>
    <x v="1"/>
  </r>
  <r>
    <x v="1"/>
    <s v="F"/>
    <d v="1980-05-11T00:00:00"/>
    <n v="45"/>
    <x v="0"/>
  </r>
  <r>
    <x v="0"/>
    <s v="M"/>
    <d v="1975-04-25T00:00:00"/>
    <n v="50"/>
    <x v="0"/>
  </r>
  <r>
    <x v="0"/>
    <s v="M"/>
    <d v="1956-12-08T00:00:00"/>
    <n v="68"/>
    <x v="0"/>
  </r>
  <r>
    <x v="0"/>
    <s v="M"/>
    <d v="1959-04-12T00:00:00"/>
    <n v="66"/>
    <x v="0"/>
  </r>
  <r>
    <x v="0"/>
    <s v="M"/>
    <d v="1973-11-24T00:00:00"/>
    <n v="51"/>
    <x v="0"/>
  </r>
  <r>
    <x v="0"/>
    <s v="M"/>
    <d v="1975-11-26T00:00:00"/>
    <n v="49"/>
    <x v="0"/>
  </r>
  <r>
    <x v="0"/>
    <s v="M"/>
    <d v="1971-07-15T00:00:00"/>
    <n v="54"/>
    <x v="1"/>
  </r>
  <r>
    <x v="0"/>
    <s v="M"/>
    <d v="1989-01-16T00:00:00"/>
    <n v="36"/>
    <x v="0"/>
  </r>
  <r>
    <x v="0"/>
    <s v="M"/>
    <d v="1984-03-17T00:00:00"/>
    <n v="41"/>
    <x v="0"/>
  </r>
  <r>
    <x v="0"/>
    <s v="M"/>
    <d v="1959-07-13T00:00:00"/>
    <n v="66"/>
    <x v="1"/>
  </r>
  <r>
    <x v="0"/>
    <s v="M"/>
    <d v="1989-08-06T00:00:00"/>
    <n v="36"/>
    <x v="0"/>
  </r>
  <r>
    <x v="1"/>
    <s v="F"/>
    <d v="1966-08-19T00:00:00"/>
    <n v="59"/>
    <x v="0"/>
  </r>
  <r>
    <x v="0"/>
    <s v="M"/>
    <d v="1958-01-11T00:00:00"/>
    <n v="67"/>
    <x v="1"/>
  </r>
  <r>
    <x v="0"/>
    <s v="M"/>
    <d v="1966-01-09T00:00:00"/>
    <n v="59"/>
    <x v="1"/>
  </r>
  <r>
    <x v="0"/>
    <s v="M"/>
    <d v="1966-04-25T00:00:00"/>
    <n v="59"/>
    <x v="1"/>
  </r>
  <r>
    <x v="1"/>
    <s v="F"/>
    <d v="1969-05-08T00:00:00"/>
    <n v="56"/>
    <x v="1"/>
  </r>
  <r>
    <x v="1"/>
    <s v="F"/>
    <d v="1966-12-27T00:00:00"/>
    <n v="58"/>
    <x v="1"/>
  </r>
  <r>
    <x v="1"/>
    <s v="F"/>
    <d v="1974-05-28T00:00:00"/>
    <n v="51"/>
    <x v="0"/>
  </r>
  <r>
    <x v="1"/>
    <s v="F"/>
    <d v="1963-04-18T00:00:00"/>
    <n v="62"/>
    <x v="0"/>
  </r>
  <r>
    <x v="1"/>
    <s v="F"/>
    <d v="1953-06-01T00:00:00"/>
    <n v="72"/>
    <x v="1"/>
  </r>
  <r>
    <x v="0"/>
    <s v="M"/>
    <d v="1956-02-06T00:00:00"/>
    <n v="69"/>
    <x v="1"/>
  </r>
  <r>
    <x v="0"/>
    <s v="M"/>
    <d v="1984-03-16T00:00:00"/>
    <n v="41"/>
    <x v="1"/>
  </r>
  <r>
    <x v="0"/>
    <s v="M"/>
    <d v="1943-11-26T00:00:00"/>
    <n v="81"/>
    <x v="1"/>
  </r>
  <r>
    <x v="0"/>
    <s v="M"/>
    <d v="1970-08-17T00:00:00"/>
    <n v="55"/>
    <x v="1"/>
  </r>
  <r>
    <x v="1"/>
    <s v="F"/>
    <d v="1989-08-22T00:00:00"/>
    <n v="36"/>
    <x v="1"/>
  </r>
  <r>
    <x v="0"/>
    <s v="M"/>
    <d v="1971-10-03T00:00:00"/>
    <n v="53"/>
    <x v="0"/>
  </r>
  <r>
    <x v="0"/>
    <s v="M"/>
    <d v="1992-03-05T00:00:00"/>
    <n v="33"/>
    <x v="0"/>
  </r>
  <r>
    <x v="0"/>
    <s v="M"/>
    <d v="1969-12-01T00:00:00"/>
    <n v="55"/>
    <x v="1"/>
  </r>
  <r>
    <x v="0"/>
    <s v="M"/>
    <d v="1972-11-25T00:00:00"/>
    <n v="52"/>
    <x v="1"/>
  </r>
  <r>
    <x v="0"/>
    <s v="M"/>
    <d v="1963-11-06T00:00:00"/>
    <n v="61"/>
    <x v="1"/>
  </r>
  <r>
    <x v="0"/>
    <s v="M"/>
    <d v="1984-02-27T00:00:00"/>
    <n v="41"/>
    <x v="0"/>
  </r>
  <r>
    <x v="0"/>
    <s v="M"/>
    <d v="1976-08-26T00:00:00"/>
    <n v="49"/>
    <x v="0"/>
  </r>
  <r>
    <x v="0"/>
    <s v="M"/>
    <d v="1984-06-22T00:00:00"/>
    <n v="41"/>
    <x v="0"/>
  </r>
  <r>
    <x v="0"/>
    <s v="M"/>
    <d v="1983-01-21T00:00:00"/>
    <n v="42"/>
    <x v="0"/>
  </r>
  <r>
    <x v="0"/>
    <s v="M"/>
    <d v="1961-06-08T00:00:00"/>
    <n v="64"/>
    <x v="1"/>
  </r>
  <r>
    <x v="0"/>
    <s v="M"/>
    <d v="1971-03-13T00:00:00"/>
    <n v="54"/>
    <x v="1"/>
  </r>
  <r>
    <x v="0"/>
    <s v="M"/>
    <d v="1967-04-08T00:00:00"/>
    <n v="58"/>
    <x v="1"/>
  </r>
  <r>
    <x v="0"/>
    <s v="M"/>
    <d v="1962-12-15T00:00:00"/>
    <n v="62"/>
    <x v="1"/>
  </r>
  <r>
    <x v="1"/>
    <s v="F"/>
    <d v="1974-01-15T00:00:00"/>
    <n v="51"/>
    <x v="1"/>
  </r>
  <r>
    <x v="1"/>
    <s v="F"/>
    <d v="1975-08-29T00:00:00"/>
    <n v="50"/>
    <x v="0"/>
  </r>
  <r>
    <x v="0"/>
    <s v="M"/>
    <d v="1969-08-06T00:00:00"/>
    <n v="56"/>
    <x v="0"/>
  </r>
  <r>
    <x v="0"/>
    <s v="M"/>
    <d v="1982-03-05T00:00:00"/>
    <n v="43"/>
    <x v="1"/>
  </r>
  <r>
    <x v="1"/>
    <s v="F"/>
    <d v="1980-11-08T00:00:00"/>
    <n v="44"/>
    <x v="0"/>
  </r>
  <r>
    <x v="1"/>
    <s v="F"/>
    <d v="1975-09-20T00:00:00"/>
    <n v="49"/>
    <x v="0"/>
  </r>
  <r>
    <x v="1"/>
    <s v="F"/>
    <d v="1966-05-19T00:00:00"/>
    <n v="59"/>
    <x v="0"/>
  </r>
  <r>
    <x v="1"/>
    <s v="F"/>
    <d v="1974-03-06T00:00:00"/>
    <n v="51"/>
    <x v="0"/>
  </r>
  <r>
    <x v="1"/>
    <s v="F"/>
    <d v="1971-05-12T00:00:00"/>
    <n v="54"/>
    <x v="0"/>
  </r>
  <r>
    <x v="1"/>
    <s v="F"/>
    <d v="1958-12-04T00:00:00"/>
    <n v="66"/>
    <x v="1"/>
  </r>
  <r>
    <x v="0"/>
    <s v="M"/>
    <d v="1975-01-16T00:00:00"/>
    <n v="50"/>
    <x v="1"/>
  </r>
  <r>
    <x v="0"/>
    <s v="M"/>
    <d v="1976-03-03T00:00:00"/>
    <n v="49"/>
    <x v="1"/>
  </r>
  <r>
    <x v="1"/>
    <s v="F"/>
    <d v="1993-11-14T00:00:00"/>
    <n v="31"/>
    <x v="1"/>
  </r>
  <r>
    <x v="0"/>
    <s v="M"/>
    <d v="1966-10-25T00:00:00"/>
    <n v="58"/>
    <x v="0"/>
  </r>
  <r>
    <x v="0"/>
    <s v="M"/>
    <d v="1953-02-10T00:00:00"/>
    <n v="72"/>
    <x v="0"/>
  </r>
  <r>
    <x v="1"/>
    <s v="F"/>
    <d v="1985-04-09T00:00:00"/>
    <n v="40"/>
    <x v="1"/>
  </r>
  <r>
    <x v="0"/>
    <s v="M"/>
    <d v="1975-01-28T00:00:00"/>
    <n v="50"/>
    <x v="0"/>
  </r>
  <r>
    <x v="0"/>
    <s v="M"/>
    <d v="1982-06-20T00:00:00"/>
    <n v="43"/>
    <x v="0"/>
  </r>
  <r>
    <x v="0"/>
    <s v="M"/>
    <d v="1980-07-03T00:00:00"/>
    <n v="45"/>
    <x v="0"/>
  </r>
  <r>
    <x v="0"/>
    <s v="M"/>
    <d v="1988-08-04T00:00:00"/>
    <n v="37"/>
    <x v="1"/>
  </r>
  <r>
    <x v="0"/>
    <s v="M"/>
    <d v="1983-01-08T00:00:00"/>
    <n v="42"/>
    <x v="0"/>
  </r>
  <r>
    <x v="0"/>
    <s v="M"/>
    <d v="1965-05-01T00:00:00"/>
    <n v="60"/>
    <x v="1"/>
  </r>
  <r>
    <x v="0"/>
    <s v="M"/>
    <d v="1950-08-31T00:00:00"/>
    <n v="75"/>
    <x v="1"/>
  </r>
  <r>
    <x v="0"/>
    <s v="M"/>
    <d v="1987-11-12T00:00:00"/>
    <n v="37"/>
    <x v="1"/>
  </r>
  <r>
    <x v="0"/>
    <s v="M"/>
    <d v="1989-02-22T00:00:00"/>
    <n v="36"/>
    <x v="0"/>
  </r>
  <r>
    <x v="0"/>
    <s v="M"/>
    <d v="1964-12-17T00:00:00"/>
    <n v="60"/>
    <x v="1"/>
  </r>
  <r>
    <x v="0"/>
    <s v="M"/>
    <d v="1964-01-22T00:00:00"/>
    <n v="61"/>
    <x v="1"/>
  </r>
  <r>
    <x v="0"/>
    <s v="M"/>
    <d v="1959-03-01T00:00:00"/>
    <n v="66"/>
    <x v="1"/>
  </r>
  <r>
    <x v="0"/>
    <s v="M"/>
    <d v="1956-04-08T00:00:00"/>
    <n v="69"/>
    <x v="1"/>
  </r>
  <r>
    <x v="0"/>
    <s v="M"/>
    <d v="1985-04-11T00:00:00"/>
    <n v="40"/>
    <x v="1"/>
  </r>
  <r>
    <x v="0"/>
    <s v="M"/>
    <d v="1966-01-07T00:00:00"/>
    <n v="59"/>
    <x v="1"/>
  </r>
  <r>
    <x v="0"/>
    <s v="M"/>
    <d v="1978-07-31T00:00:00"/>
    <n v="47"/>
    <x v="1"/>
  </r>
  <r>
    <x v="0"/>
    <s v="M"/>
    <d v="1959-05-18T00:00:00"/>
    <n v="66"/>
    <x v="1"/>
  </r>
  <r>
    <x v="0"/>
    <s v="M"/>
    <d v="1972-11-29T00:00:00"/>
    <n v="52"/>
    <x v="0"/>
  </r>
  <r>
    <x v="0"/>
    <s v="M"/>
    <d v="1954-03-08T00:00:00"/>
    <n v="71"/>
    <x v="1"/>
  </r>
  <r>
    <x v="0"/>
    <s v="M"/>
    <d v="1971-05-31T00:00:00"/>
    <n v="54"/>
    <x v="0"/>
  </r>
  <r>
    <x v="0"/>
    <s v="M"/>
    <d v="1975-08-24T00:00:00"/>
    <n v="50"/>
    <x v="1"/>
  </r>
  <r>
    <x v="0"/>
    <s v="M"/>
    <d v="1959-05-19T00:00:00"/>
    <n v="66"/>
    <x v="1"/>
  </r>
  <r>
    <x v="0"/>
    <s v="M"/>
    <d v="1968-11-23T00:00:00"/>
    <n v="56"/>
    <x v="0"/>
  </r>
  <r>
    <x v="0"/>
    <s v="M"/>
    <d v="1957-06-10T00:00:00"/>
    <n v="68"/>
    <x v="1"/>
  </r>
  <r>
    <x v="0"/>
    <s v="M"/>
    <d v="1977-08-11T00:00:00"/>
    <n v="48"/>
    <x v="1"/>
  </r>
  <r>
    <x v="1"/>
    <s v="F"/>
    <d v="1994-04-25T00:00:00"/>
    <n v="31"/>
    <x v="0"/>
  </r>
  <r>
    <x v="0"/>
    <s v="M"/>
    <d v="1988-05-31T00:00:00"/>
    <n v="37"/>
    <x v="0"/>
  </r>
  <r>
    <x v="0"/>
    <s v="M"/>
    <d v="1966-03-18T00:00:00"/>
    <n v="59"/>
    <x v="0"/>
  </r>
  <r>
    <x v="0"/>
    <s v="M"/>
    <d v="1982-03-22T00:00:00"/>
    <n v="43"/>
    <x v="0"/>
  </r>
  <r>
    <x v="0"/>
    <s v="M"/>
    <d v="1964-03-30T00:00:00"/>
    <n v="61"/>
    <x v="1"/>
  </r>
  <r>
    <x v="0"/>
    <s v="M"/>
    <d v="1963-05-11T00:00:00"/>
    <n v="62"/>
    <x v="1"/>
  </r>
  <r>
    <x v="0"/>
    <s v="M"/>
    <d v="1988-07-22T00:00:00"/>
    <n v="37"/>
    <x v="0"/>
  </r>
  <r>
    <x v="0"/>
    <s v="M"/>
    <d v="1984-11-01T00:00:00"/>
    <n v="40"/>
    <x v="1"/>
  </r>
  <r>
    <x v="0"/>
    <s v="M"/>
    <d v="1978-06-21T00:00:00"/>
    <n v="47"/>
    <x v="1"/>
  </r>
  <r>
    <x v="0"/>
    <s v="M"/>
    <d v="1966-05-28T00:00:00"/>
    <n v="59"/>
    <x v="0"/>
  </r>
  <r>
    <x v="0"/>
    <s v="M"/>
    <d v="1974-03-09T00:00:00"/>
    <n v="51"/>
    <x v="0"/>
  </r>
  <r>
    <x v="2"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x v="0"/>
    <s v="M"/>
    <d v="1984-01-31T00:00:00"/>
    <n v="41"/>
  </r>
  <r>
    <x v="0"/>
    <s v="M"/>
    <d v="1983-09-28T00:00:00"/>
    <n v="41"/>
  </r>
  <r>
    <x v="0"/>
    <s v="M"/>
    <d v="1992-02-16T00:00:00"/>
    <n v="33"/>
  </r>
  <r>
    <x v="0"/>
    <s v="M"/>
    <d v="1964-06-14T00:00:00"/>
    <n v="61"/>
  </r>
  <r>
    <x v="0"/>
    <s v="M"/>
    <d v="1981-02-02T00:00:00"/>
    <n v="44"/>
  </r>
  <r>
    <x v="1"/>
    <s v="F"/>
    <d v="1969-03-06T00:00:00"/>
    <n v="56"/>
  </r>
  <r>
    <x v="0"/>
    <s v="M"/>
    <d v="1969-09-06T00:00:00"/>
    <n v="56"/>
  </r>
  <r>
    <x v="0"/>
    <s v="M"/>
    <d v="1960-03-10T00:00:00"/>
    <n v="65"/>
  </r>
  <r>
    <x v="0"/>
    <s v="M"/>
    <d v="1960-10-15T00:00:00"/>
    <n v="64"/>
  </r>
  <r>
    <x v="0"/>
    <s v="M"/>
    <d v="1962-04-25T00:00:00"/>
    <n v="63"/>
  </r>
  <r>
    <x v="0"/>
    <s v="M"/>
    <d v="1950-01-08T00:00:00"/>
    <n v="75"/>
  </r>
  <r>
    <x v="0"/>
    <s v="M"/>
    <d v="1969-02-13T00:00:00"/>
    <n v="56"/>
  </r>
  <r>
    <x v="0"/>
    <s v="M"/>
    <d v="1959-03-16T00:00:00"/>
    <n v="66"/>
  </r>
  <r>
    <x v="0"/>
    <s v="M"/>
    <d v="1983-09-26T00:00:00"/>
    <n v="41"/>
  </r>
  <r>
    <x v="0"/>
    <s v="M"/>
    <d v="1956-06-02T00:00:00"/>
    <n v="69"/>
  </r>
  <r>
    <x v="0"/>
    <s v="M"/>
    <d v="1954-04-26T00:00:00"/>
    <n v="71"/>
  </r>
  <r>
    <x v="0"/>
    <s v="M"/>
    <d v="1974-01-25T00:00:00"/>
    <n v="51"/>
  </r>
  <r>
    <x v="0"/>
    <s v="M"/>
    <d v="1954-06-04T00:00:00"/>
    <n v="71"/>
  </r>
  <r>
    <x v="0"/>
    <s v="M"/>
    <d v="1976-03-14T00:00:00"/>
    <n v="49"/>
  </r>
  <r>
    <x v="0"/>
    <s v="M"/>
    <d v="1979-08-22T00:00:00"/>
    <n v="46"/>
  </r>
  <r>
    <x v="0"/>
    <s v="M"/>
    <d v="1972-06-22T00:00:00"/>
    <n v="53"/>
  </r>
  <r>
    <x v="0"/>
    <s v="M"/>
    <d v="1986-02-19T00:00:00"/>
    <n v="39"/>
  </r>
  <r>
    <x v="0"/>
    <s v="M"/>
    <d v="1989-04-18T00:00:00"/>
    <n v="36"/>
  </r>
  <r>
    <x v="0"/>
    <s v="M"/>
    <d v="1963-12-23T00:00:00"/>
    <n v="61"/>
  </r>
  <r>
    <x v="0"/>
    <s v="M"/>
    <d v="1971-09-14T00:00:00"/>
    <n v="53"/>
  </r>
  <r>
    <x v="0"/>
    <s v="M"/>
    <d v="1959-06-24T00:00:00"/>
    <n v="66"/>
  </r>
  <r>
    <x v="0"/>
    <s v="M"/>
    <d v="1970-08-13T00:00:00"/>
    <n v="55"/>
  </r>
  <r>
    <x v="1"/>
    <s v="F"/>
    <d v="1959-05-16T00:00:00"/>
    <n v="66"/>
  </r>
  <r>
    <x v="0"/>
    <s v="M"/>
    <d v="1989-02-26T00:00:00"/>
    <n v="36"/>
  </r>
  <r>
    <x v="1"/>
    <s v="F"/>
    <d v="1980-11-25T00:00:00"/>
    <n v="44"/>
  </r>
  <r>
    <x v="0"/>
    <s v="M"/>
    <d v="1969-08-30T00:00:00"/>
    <n v="56"/>
  </r>
  <r>
    <x v="0"/>
    <s v="M"/>
    <d v="1968-09-13T00:00:00"/>
    <n v="56"/>
  </r>
  <r>
    <x v="0"/>
    <s v="M"/>
    <d v="1961-11-11T00:00:00"/>
    <n v="63"/>
  </r>
  <r>
    <x v="1"/>
    <s v="F"/>
    <d v="1985-03-22T00:00:00"/>
    <n v="40"/>
  </r>
  <r>
    <x v="1"/>
    <s v="F"/>
    <d v="1998-12-25T00:00:00"/>
    <n v="26"/>
  </r>
  <r>
    <x v="0"/>
    <s v="M"/>
    <d v="1976-12-04T00:00:00"/>
    <n v="48"/>
  </r>
  <r>
    <x v="0"/>
    <s v="M"/>
    <d v="2001-01-02T00:00:00"/>
    <n v="24"/>
  </r>
  <r>
    <x v="1"/>
    <s v="F"/>
    <d v="1965-08-22T00:00:00"/>
    <n v="60"/>
  </r>
  <r>
    <x v="1"/>
    <s v="F"/>
    <d v="1964-04-19T00:00:00"/>
    <n v="61"/>
  </r>
  <r>
    <x v="1"/>
    <s v="F"/>
    <d v="1982-05-15T00:00:00"/>
    <n v="43"/>
  </r>
  <r>
    <x v="0"/>
    <s v="M"/>
    <d v="1970-11-10T00:00:00"/>
    <n v="54"/>
  </r>
  <r>
    <x v="0"/>
    <s v="M"/>
    <d v="1997-12-10T00:00:00"/>
    <n v="27"/>
  </r>
  <r>
    <x v="0"/>
    <s v="M"/>
    <d v="1972-12-10T00:00:00"/>
    <n v="52"/>
  </r>
  <r>
    <x v="0"/>
    <s v="M"/>
    <d v="1966-11-10T00:00:00"/>
    <n v="58"/>
  </r>
  <r>
    <x v="0"/>
    <s v="M"/>
    <d v="1989-08-27T00:00:00"/>
    <n v="36"/>
  </r>
  <r>
    <x v="0"/>
    <s v="M"/>
    <d v="1984-05-05T00:00:00"/>
    <n v="41"/>
  </r>
  <r>
    <x v="1"/>
    <s v="F"/>
    <d v="1992-08-19T00:00:00"/>
    <n v="33"/>
  </r>
  <r>
    <x v="1"/>
    <s v="F"/>
    <d v="1970-07-17T00:00:00"/>
    <n v="55"/>
  </r>
  <r>
    <x v="0"/>
    <s v="M"/>
    <d v="1958-10-22T00:00:00"/>
    <n v="66"/>
  </r>
  <r>
    <x v="0"/>
    <s v="M"/>
    <d v="1969-01-17T00:00:00"/>
    <n v="56"/>
  </r>
  <r>
    <x v="0"/>
    <s v="M"/>
    <d v="1950-05-17T00:00:00"/>
    <n v="75"/>
  </r>
  <r>
    <x v="0"/>
    <s v="M"/>
    <d v="1976-08-26T00:00:00"/>
    <n v="49"/>
  </r>
  <r>
    <x v="1"/>
    <s v="F"/>
    <d v="1983-10-19T00:00:00"/>
    <n v="41"/>
  </r>
  <r>
    <x v="0"/>
    <s v="M"/>
    <d v="1949-12-24T00:00:00"/>
    <n v="75"/>
  </r>
  <r>
    <x v="0"/>
    <s v="M"/>
    <d v="1955-05-08T00:00:00"/>
    <n v="70"/>
  </r>
  <r>
    <x v="0"/>
    <s v="M"/>
    <d v="1969-06-25T00:00:00"/>
    <n v="56"/>
  </r>
  <r>
    <x v="0"/>
    <s v="M"/>
    <d v="1964-08-17T00:00:00"/>
    <n v="61"/>
  </r>
  <r>
    <x v="0"/>
    <s v="M"/>
    <d v="1950-11-22T00:00:00"/>
    <n v="74"/>
  </r>
  <r>
    <x v="0"/>
    <s v="M"/>
    <d v="1980-04-01T00:00:00"/>
    <n v="45"/>
  </r>
  <r>
    <x v="0"/>
    <s v="M"/>
    <d v="1962-10-22T00:00:00"/>
    <n v="62"/>
  </r>
  <r>
    <x v="0"/>
    <s v="M"/>
    <d v="1982-05-09T00:00:00"/>
    <n v="43"/>
  </r>
  <r>
    <x v="0"/>
    <s v="M"/>
    <d v="1979-02-17T00:00:00"/>
    <n v="46"/>
  </r>
  <r>
    <x v="0"/>
    <s v="M"/>
    <d v="1957-07-09T00:00:00"/>
    <n v="68"/>
  </r>
  <r>
    <x v="0"/>
    <s v="M"/>
    <d v="1972-06-09T00:00:00"/>
    <n v="53"/>
  </r>
  <r>
    <x v="0"/>
    <s v="M"/>
    <d v="1953-03-22T00:00:00"/>
    <n v="72"/>
  </r>
  <r>
    <x v="0"/>
    <s v="M"/>
    <d v="1963-07-31T00:00:00"/>
    <n v="62"/>
  </r>
  <r>
    <x v="1"/>
    <s v="F"/>
    <d v="1942-04-26T00:00:00"/>
    <n v="83"/>
  </r>
  <r>
    <x v="0"/>
    <s v="M"/>
    <d v="1966-04-22T00:00:00"/>
    <n v="59"/>
  </r>
  <r>
    <x v="0"/>
    <s v="M"/>
    <d v="1977-11-14T00:00:00"/>
    <n v="47"/>
  </r>
  <r>
    <x v="0"/>
    <s v="M"/>
    <d v="1968-02-17T00:00:00"/>
    <n v="57"/>
  </r>
  <r>
    <x v="0"/>
    <s v="M"/>
    <d v="1965-07-29T00:00:00"/>
    <n v="60"/>
  </r>
  <r>
    <x v="1"/>
    <s v="F"/>
    <d v="1961-09-19T00:00:00"/>
    <n v="63"/>
  </r>
  <r>
    <x v="0"/>
    <s v="M"/>
    <d v="1957-01-09T00:00:00"/>
    <n v="68"/>
  </r>
  <r>
    <x v="0"/>
    <s v="M"/>
    <d v="1962-02-05T00:00:00"/>
    <n v="63"/>
  </r>
  <r>
    <x v="0"/>
    <s v="M"/>
    <d v="1950-09-28T00:00:00"/>
    <n v="74"/>
  </r>
  <r>
    <x v="0"/>
    <s v="M"/>
    <d v="1982-10-07T00:00:00"/>
    <n v="42"/>
  </r>
  <r>
    <x v="0"/>
    <s v="M"/>
    <d v="1986-09-15T00:00:00"/>
    <n v="38"/>
  </r>
  <r>
    <x v="0"/>
    <s v="M"/>
    <d v="1981-04-01T00:00:00"/>
    <n v="44"/>
  </r>
  <r>
    <x v="0"/>
    <s v="M"/>
    <d v="1988-12-08T00:00:00"/>
    <n v="36"/>
  </r>
  <r>
    <x v="1"/>
    <s v="F"/>
    <d v="1995-02-10T00:00:00"/>
    <n v="30"/>
  </r>
  <r>
    <x v="0"/>
    <s v="M"/>
    <d v="1982-05-05T00:00:00"/>
    <n v="43"/>
  </r>
  <r>
    <x v="0"/>
    <s v="M"/>
    <d v="1980-04-19T00:00:00"/>
    <n v="45"/>
  </r>
  <r>
    <x v="0"/>
    <s v="M"/>
    <d v="1966-10-04T00:00:00"/>
    <n v="58"/>
  </r>
  <r>
    <x v="0"/>
    <s v="M"/>
    <d v="1970-02-03T00:00:00"/>
    <n v="55"/>
  </r>
  <r>
    <x v="1"/>
    <s v="F"/>
    <d v="1988-03-15T00:00:00"/>
    <n v="37"/>
  </r>
  <r>
    <x v="1"/>
    <s v="F"/>
    <d v="1976-07-02T00:00:00"/>
    <n v="49"/>
  </r>
  <r>
    <x v="1"/>
    <s v="F"/>
    <d v="1980-07-03T00:00:00"/>
    <n v="45"/>
  </r>
  <r>
    <x v="0"/>
    <s v="M"/>
    <d v="1982-03-08T00:00:00"/>
    <n v="43"/>
  </r>
  <r>
    <x v="0"/>
    <s v="M"/>
    <d v="1972-06-13T00:00:00"/>
    <n v="53"/>
  </r>
  <r>
    <x v="0"/>
    <s v="M"/>
    <d v="1961-04-21T00:00:00"/>
    <n v="64"/>
  </r>
  <r>
    <x v="0"/>
    <s v="M"/>
    <d v="1982-02-08T00:00:00"/>
    <n v="43"/>
  </r>
  <r>
    <x v="0"/>
    <s v="M"/>
    <d v="1963-03-31T00:00:00"/>
    <n v="62"/>
  </r>
  <r>
    <x v="0"/>
    <s v="M"/>
    <d v="1981-08-10T00:00:00"/>
    <n v="44"/>
  </r>
  <r>
    <x v="0"/>
    <s v="M"/>
    <d v="1959-06-08T00:00:00"/>
    <n v="66"/>
  </r>
  <r>
    <x v="1"/>
    <s v="F"/>
    <d v="1962-10-06T00:00:00"/>
    <n v="62"/>
  </r>
  <r>
    <x v="1"/>
    <s v="F"/>
    <d v="1983-05-01T00:00:00"/>
    <n v="42"/>
  </r>
  <r>
    <x v="1"/>
    <s v="F"/>
    <d v="1986-09-01T00:00:00"/>
    <n v="39"/>
  </r>
  <r>
    <x v="0"/>
    <s v="M"/>
    <d v="1974-04-23T00:00:00"/>
    <n v="51"/>
  </r>
  <r>
    <x v="1"/>
    <s v="F"/>
    <d v="1989-05-10T00:00:00"/>
    <n v="36"/>
  </r>
  <r>
    <x v="0"/>
    <s v="M"/>
    <d v="1959-09-19T00:00:00"/>
    <n v="65"/>
  </r>
  <r>
    <x v="0"/>
    <s v="M"/>
    <d v="1987-06-19T00:00:00"/>
    <n v="38"/>
  </r>
  <r>
    <x v="0"/>
    <s v="M"/>
    <d v="1956-08-20T00:00:00"/>
    <n v="69"/>
  </r>
  <r>
    <x v="0"/>
    <s v="M"/>
    <d v="1978-08-29T00:00:00"/>
    <n v="47"/>
  </r>
  <r>
    <x v="0"/>
    <s v="M"/>
    <d v="1973-12-12T00:00:00"/>
    <n v="51"/>
  </r>
  <r>
    <x v="0"/>
    <s v="M"/>
    <d v="1965-03-15T00:00:00"/>
    <n v="60"/>
  </r>
  <r>
    <x v="0"/>
    <s v="M"/>
    <d v="1949-10-19T00:00:00"/>
    <n v="75"/>
  </r>
  <r>
    <x v="0"/>
    <s v="M"/>
    <d v="1962-02-22T00:00:00"/>
    <n v="63"/>
  </r>
  <r>
    <x v="1"/>
    <s v="F"/>
    <d v="1991-05-14T00:00:00"/>
    <n v="34"/>
  </r>
  <r>
    <x v="1"/>
    <s v="F"/>
    <d v="1984-12-26T00:00:00"/>
    <n v="40"/>
  </r>
  <r>
    <x v="0"/>
    <s v="M"/>
    <d v="1963-12-01T00:00:00"/>
    <n v="61"/>
  </r>
  <r>
    <x v="0"/>
    <s v="M"/>
    <d v="1972-05-10T00:00:00"/>
    <n v="53"/>
  </r>
  <r>
    <x v="0"/>
    <s v="M"/>
    <d v="1975-11-13T00:00:00"/>
    <n v="49"/>
  </r>
  <r>
    <x v="0"/>
    <s v="M"/>
    <d v="1963-09-07T00:00:00"/>
    <n v="62"/>
  </r>
  <r>
    <x v="0"/>
    <s v="M"/>
    <d v="1957-06-23T00:00:00"/>
    <n v="68"/>
  </r>
  <r>
    <x v="0"/>
    <s v="M"/>
    <d v="1976-04-16T00:00:00"/>
    <n v="49"/>
  </r>
  <r>
    <x v="0"/>
    <s v="M"/>
    <d v="1959-06-23T00:00:00"/>
    <n v="66"/>
  </r>
  <r>
    <x v="1"/>
    <s v="F"/>
    <d v="1974-11-13T00:00:00"/>
    <n v="50"/>
  </r>
  <r>
    <x v="0"/>
    <s v="M"/>
    <d v="1958-01-07T00:00:00"/>
    <n v="67"/>
  </r>
  <r>
    <x v="0"/>
    <s v="M"/>
    <d v="1965-09-30T00:00:00"/>
    <n v="59"/>
  </r>
  <r>
    <x v="0"/>
    <s v="M"/>
    <d v="1961-10-10T00:00:00"/>
    <n v="63"/>
  </r>
  <r>
    <x v="0"/>
    <s v="M"/>
    <d v="1972-10-19T00:00:00"/>
    <n v="52"/>
  </r>
  <r>
    <x v="0"/>
    <s v="M"/>
    <d v="1987-07-25T00:00:00"/>
    <n v="38"/>
  </r>
  <r>
    <x v="1"/>
    <s v="F"/>
    <d v="1983-11-17T00:00:00"/>
    <n v="41"/>
  </r>
  <r>
    <x v="0"/>
    <s v="M"/>
    <d v="1971-06-02T00:00:00"/>
    <n v="54"/>
  </r>
  <r>
    <x v="0"/>
    <s v="M"/>
    <d v="1955-07-21T00:00:00"/>
    <n v="70"/>
  </r>
  <r>
    <x v="1"/>
    <s v="F"/>
    <d v="1982-01-29T00:00:00"/>
    <n v="43"/>
  </r>
  <r>
    <x v="0"/>
    <s v="M"/>
    <d v="1979-03-16T00:00:00"/>
    <n v="46"/>
  </r>
  <r>
    <x v="0"/>
    <s v="M"/>
    <d v="1952-04-28T00:00:00"/>
    <n v="73"/>
  </r>
  <r>
    <x v="1"/>
    <s v="F"/>
    <d v="1994-01-23T00:00:00"/>
    <n v="31"/>
  </r>
  <r>
    <x v="1"/>
    <s v="F"/>
    <d v="1987-05-19T00:00:00"/>
    <n v="38"/>
  </r>
  <r>
    <x v="0"/>
    <s v="M"/>
    <d v="1968-07-02T00:00:00"/>
    <n v="57"/>
  </r>
  <r>
    <x v="0"/>
    <s v="M"/>
    <d v="1955-01-21T00:00:00"/>
    <n v="70"/>
  </r>
  <r>
    <x v="0"/>
    <s v="M"/>
    <d v="1984-10-27T00:00:00"/>
    <n v="40"/>
  </r>
  <r>
    <x v="0"/>
    <s v="M"/>
    <d v="1982-04-03T00:00:00"/>
    <n v="43"/>
  </r>
  <r>
    <x v="0"/>
    <s v="M"/>
    <d v="1988-02-14T00:00:00"/>
    <n v="37"/>
  </r>
  <r>
    <x v="0"/>
    <s v="M"/>
    <d v="1986-11-04T00:00:00"/>
    <n v="38"/>
  </r>
  <r>
    <x v="1"/>
    <s v="F"/>
    <d v="1976-02-10T00:00:00"/>
    <n v="49"/>
  </r>
  <r>
    <x v="1"/>
    <s v="F"/>
    <d v="1977-04-04T00:00:00"/>
    <n v="48"/>
  </r>
  <r>
    <x v="0"/>
    <s v="M"/>
    <d v="1958-09-01T00:00:00"/>
    <n v="67"/>
  </r>
  <r>
    <x v="0"/>
    <s v="M"/>
    <d v="1973-04-18T00:00:00"/>
    <n v="52"/>
  </r>
  <r>
    <x v="0"/>
    <s v="M"/>
    <d v="1961-11-08T00:00:00"/>
    <n v="63"/>
  </r>
  <r>
    <x v="0"/>
    <s v="M"/>
    <d v="1973-12-21T00:00:00"/>
    <n v="51"/>
  </r>
  <r>
    <x v="1"/>
    <s v="F"/>
    <d v="1981-09-13T00:00:00"/>
    <n v="43"/>
  </r>
  <r>
    <x v="0"/>
    <s v="M"/>
    <d v="1972-11-16T00:00:00"/>
    <n v="52"/>
  </r>
  <r>
    <x v="1"/>
    <s v="F"/>
    <d v="1973-03-17T00:00:00"/>
    <n v="52"/>
  </r>
  <r>
    <x v="1"/>
    <s v="F"/>
    <d v="1974-03-20T00:00:00"/>
    <n v="51"/>
  </r>
  <r>
    <x v="1"/>
    <s v="F"/>
    <d v="1973-10-05T00:00:00"/>
    <n v="51"/>
  </r>
  <r>
    <x v="0"/>
    <s v="M"/>
    <d v="1986-08-25T00:00:00"/>
    <n v="39"/>
  </r>
  <r>
    <x v="0"/>
    <s v="M"/>
    <d v="1979-04-27T00:00:00"/>
    <n v="46"/>
  </r>
  <r>
    <x v="0"/>
    <s v="M"/>
    <d v="1977-10-14T00:00:00"/>
    <n v="47"/>
  </r>
  <r>
    <x v="0"/>
    <s v="M"/>
    <d v="1960-12-14T00:00:00"/>
    <n v="64"/>
  </r>
  <r>
    <x v="0"/>
    <s v="M"/>
    <d v="1980-10-15T00:00:00"/>
    <n v="44"/>
  </r>
  <r>
    <x v="0"/>
    <s v="M"/>
    <d v="1976-03-04T00:00:00"/>
    <n v="49"/>
  </r>
  <r>
    <x v="0"/>
    <s v="M"/>
    <d v="1982-12-24T00:00:00"/>
    <n v="42"/>
  </r>
  <r>
    <x v="0"/>
    <s v="M"/>
    <d v="1974-08-16T00:00:00"/>
    <n v="51"/>
  </r>
  <r>
    <x v="0"/>
    <s v="M"/>
    <d v="1987-03-10T00:00:00"/>
    <n v="38"/>
  </r>
  <r>
    <x v="0"/>
    <s v="M"/>
    <d v="1972-05-08T00:00:00"/>
    <n v="53"/>
  </r>
  <r>
    <x v="0"/>
    <s v="M"/>
    <d v="1977-09-27T00:00:00"/>
    <n v="47"/>
  </r>
  <r>
    <x v="0"/>
    <s v="M"/>
    <d v="1980-01-15T00:00:00"/>
    <n v="45"/>
  </r>
  <r>
    <x v="1"/>
    <s v="F"/>
    <d v="1983-06-17T00:00:00"/>
    <n v="42"/>
  </r>
  <r>
    <x v="1"/>
    <s v="F"/>
    <d v="1979-01-25T00:00:00"/>
    <n v="46"/>
  </r>
  <r>
    <x v="0"/>
    <s v="M"/>
    <d v="1977-08-08T00:00:00"/>
    <n v="48"/>
  </r>
  <r>
    <x v="0"/>
    <s v="M"/>
    <d v="1983-01-22T00:00:00"/>
    <n v="42"/>
  </r>
  <r>
    <x v="0"/>
    <s v="M"/>
    <d v="1984-10-10T00:00:00"/>
    <n v="40"/>
  </r>
  <r>
    <x v="0"/>
    <s v="M"/>
    <d v="1948-01-26T00:00:00"/>
    <n v="77"/>
  </r>
  <r>
    <x v="1"/>
    <s v="F"/>
    <d v="1969-05-08T00:00:00"/>
    <n v="56"/>
  </r>
  <r>
    <x v="0"/>
    <s v="M"/>
    <d v="1973-05-23T00:00:00"/>
    <n v="52"/>
  </r>
  <r>
    <x v="0"/>
    <s v="M"/>
    <d v="1975-05-03T00:00:00"/>
    <n v="50"/>
  </r>
  <r>
    <x v="0"/>
    <s v="M"/>
    <d v="1988-04-29T00:00:00"/>
    <n v="37"/>
  </r>
  <r>
    <x v="0"/>
    <s v="M"/>
    <d v="1957-03-25T00:00:00"/>
    <n v="68"/>
  </r>
  <r>
    <x v="0"/>
    <s v="M"/>
    <d v="1976-02-23T00:00:00"/>
    <n v="49"/>
  </r>
  <r>
    <x v="0"/>
    <s v="M"/>
    <d v="1979-06-19T00:00:00"/>
    <n v="46"/>
  </r>
  <r>
    <x v="0"/>
    <s v="M"/>
    <d v="1973-12-15T00:00:00"/>
    <n v="51"/>
  </r>
  <r>
    <x v="0"/>
    <s v="M"/>
    <d v="1977-07-17T00:00:00"/>
    <n v="48"/>
  </r>
  <r>
    <x v="0"/>
    <s v="M"/>
    <d v="1971-02-25T00:00:00"/>
    <n v="54"/>
  </r>
  <r>
    <x v="0"/>
    <s v="M"/>
    <d v="1973-02-07T00:00:00"/>
    <n v="52"/>
  </r>
  <r>
    <x v="0"/>
    <s v="M"/>
    <d v="1979-02-16T00:00:00"/>
    <n v="46"/>
  </r>
  <r>
    <x v="0"/>
    <s v="M"/>
    <d v="1979-10-04T00:00:00"/>
    <n v="45"/>
  </r>
  <r>
    <x v="0"/>
    <s v="M"/>
    <d v="1979-10-14T00:00:00"/>
    <n v="45"/>
  </r>
  <r>
    <x v="0"/>
    <s v="M"/>
    <d v="1977-03-24T00:00:00"/>
    <n v="48"/>
  </r>
  <r>
    <x v="0"/>
    <s v="M"/>
    <d v="1953-07-08T00:00:00"/>
    <n v="72"/>
  </r>
  <r>
    <x v="0"/>
    <s v="M"/>
    <d v="1983-07-26T00:00:00"/>
    <n v="42"/>
  </r>
  <r>
    <x v="0"/>
    <s v="M"/>
    <d v="1961-05-03T00:00:00"/>
    <n v="64"/>
  </r>
  <r>
    <x v="0"/>
    <s v="M"/>
    <d v="1949-09-25T00:00:00"/>
    <n v="75"/>
  </r>
  <r>
    <x v="0"/>
    <s v="M"/>
    <d v="1990-10-04T00:00:00"/>
    <n v="34"/>
  </r>
  <r>
    <x v="0"/>
    <s v="M"/>
    <d v="1986-01-02T00:00:00"/>
    <n v="39"/>
  </r>
  <r>
    <x v="0"/>
    <s v="M"/>
    <d v="1953-11-05T00:00:00"/>
    <n v="71"/>
  </r>
  <r>
    <x v="1"/>
    <s v="F"/>
    <d v="1988-09-15T00:00:00"/>
    <n v="36"/>
  </r>
  <r>
    <x v="1"/>
    <s v="F"/>
    <d v="1966-11-21T00:00:00"/>
    <n v="58"/>
  </r>
  <r>
    <x v="0"/>
    <s v="M"/>
    <d v="1980-09-11T00:00:00"/>
    <n v="45"/>
  </r>
  <r>
    <x v="0"/>
    <s v="M"/>
    <d v="1986-09-15T00:00:00"/>
    <n v="38"/>
  </r>
  <r>
    <x v="0"/>
    <s v="M"/>
    <d v="1974-05-19T00:00:00"/>
    <n v="51"/>
  </r>
  <r>
    <x v="1"/>
    <s v="F"/>
    <d v="1981-05-02T00:00:00"/>
    <n v="44"/>
  </r>
  <r>
    <x v="0"/>
    <s v="M"/>
    <d v="1981-11-14T00:00:00"/>
    <n v="43"/>
  </r>
  <r>
    <x v="0"/>
    <s v="M"/>
    <d v="1984-07-10T00:00:00"/>
    <n v="41"/>
  </r>
  <r>
    <x v="0"/>
    <s v="M"/>
    <d v="1972-10-17T00:00:00"/>
    <n v="52"/>
  </r>
  <r>
    <x v="0"/>
    <s v="M"/>
    <d v="1976-07-08T00:00:00"/>
    <n v="49"/>
  </r>
  <r>
    <x v="1"/>
    <s v="F"/>
    <d v="1944-10-05T00:00:00"/>
    <n v="80"/>
  </r>
  <r>
    <x v="0"/>
    <s v="M"/>
    <d v="1960-09-01T00:00:00"/>
    <n v="65"/>
  </r>
  <r>
    <x v="1"/>
    <s v="F"/>
    <d v="1976-09-08T00:00:00"/>
    <n v="49"/>
  </r>
  <r>
    <x v="1"/>
    <s v="F"/>
    <d v="1973-08-29T00:00:00"/>
    <n v="52"/>
  </r>
  <r>
    <x v="1"/>
    <s v="F"/>
    <d v="1972-04-02T00:00:00"/>
    <n v="53"/>
  </r>
  <r>
    <x v="0"/>
    <s v="M"/>
    <d v="1970-07-06T00:00:00"/>
    <n v="55"/>
  </r>
  <r>
    <x v="1"/>
    <s v="F"/>
    <d v="1977-01-13T00:00:00"/>
    <n v="48"/>
  </r>
  <r>
    <x v="0"/>
    <s v="M"/>
    <d v="1995-01-05T00:00:00"/>
    <n v="30"/>
  </r>
  <r>
    <x v="0"/>
    <s v="M"/>
    <d v="1967-03-10T00:00:00"/>
    <n v="58"/>
  </r>
  <r>
    <x v="1"/>
    <s v="F"/>
    <d v="1983-11-17T00:00:00"/>
    <n v="41"/>
  </r>
  <r>
    <x v="1"/>
    <s v="F"/>
    <d v="1963-08-24T00:00:00"/>
    <n v="62"/>
  </r>
  <r>
    <x v="0"/>
    <s v="M"/>
    <d v="1961-03-27T00:00:00"/>
    <n v="64"/>
  </r>
  <r>
    <x v="0"/>
    <s v="M"/>
    <d v="1965-09-26T00:00:00"/>
    <n v="59"/>
  </r>
  <r>
    <x v="1"/>
    <s v="F"/>
    <d v="1992-12-09T00:00:00"/>
    <n v="32"/>
  </r>
  <r>
    <x v="1"/>
    <s v="F"/>
    <d v="1957-08-15T00:00:00"/>
    <n v="68"/>
  </r>
  <r>
    <x v="0"/>
    <s v="M"/>
    <d v="1971-05-20T00:00:00"/>
    <n v="54"/>
  </r>
  <r>
    <x v="0"/>
    <s v="M"/>
    <d v="1984-08-15T00:00:00"/>
    <n v="41"/>
  </r>
  <r>
    <x v="0"/>
    <s v="M"/>
    <d v="1952-09-30T00:00:00"/>
    <n v="72"/>
  </r>
  <r>
    <x v="0"/>
    <s v="M"/>
    <d v="1972-04-02T00:00:00"/>
    <n v="53"/>
  </r>
  <r>
    <x v="0"/>
    <s v="M"/>
    <d v="1977-06-29T00:00:00"/>
    <n v="48"/>
  </r>
  <r>
    <x v="0"/>
    <s v="M"/>
    <d v="1972-06-19T00:00:00"/>
    <n v="53"/>
  </r>
  <r>
    <x v="0"/>
    <s v="M"/>
    <d v="1981-09-18T00:00:00"/>
    <n v="43"/>
  </r>
  <r>
    <x v="0"/>
    <s v="M"/>
    <d v="1977-04-15T00:00:00"/>
    <n v="48"/>
  </r>
  <r>
    <x v="0"/>
    <s v="M"/>
    <d v="1988-05-31T00:00:00"/>
    <n v="37"/>
  </r>
  <r>
    <x v="0"/>
    <s v="M"/>
    <d v="1971-10-22T00:00:00"/>
    <n v="53"/>
  </r>
  <r>
    <x v="0"/>
    <s v="M"/>
    <d v="1977-06-01T00:00:00"/>
    <n v="48"/>
  </r>
  <r>
    <x v="0"/>
    <s v="M"/>
    <d v="1992-12-20T00:00:00"/>
    <n v="32"/>
  </r>
  <r>
    <x v="0"/>
    <s v="M"/>
    <d v="1987-03-06T00:00:00"/>
    <n v="38"/>
  </r>
  <r>
    <x v="0"/>
    <s v="M"/>
    <d v="1975-04-16T00:00:00"/>
    <n v="50"/>
  </r>
  <r>
    <x v="0"/>
    <s v="M"/>
    <d v="1991-10-02T00:00:00"/>
    <n v="33"/>
  </r>
  <r>
    <x v="0"/>
    <s v="M"/>
    <d v="1980-06-12T00:00:00"/>
    <n v="45"/>
  </r>
  <r>
    <x v="0"/>
    <s v="M"/>
    <d v="1963-11-29T00:00:00"/>
    <n v="61"/>
  </r>
  <r>
    <x v="1"/>
    <s v="F"/>
    <d v="1984-02-02T00:00:00"/>
    <n v="41"/>
  </r>
  <r>
    <x v="1"/>
    <s v="F"/>
    <d v="1966-06-08T00:00:00"/>
    <n v="59"/>
  </r>
  <r>
    <x v="0"/>
    <s v="M"/>
    <d v="1984-02-28T00:00:00"/>
    <n v="41"/>
  </r>
  <r>
    <x v="0"/>
    <s v="M"/>
    <d v="1956-12-06T00:00:00"/>
    <n v="68"/>
  </r>
  <r>
    <x v="0"/>
    <s v="M"/>
    <d v="1976-09-17T00:00:00"/>
    <n v="48"/>
  </r>
  <r>
    <x v="0"/>
    <s v="M"/>
    <d v="1983-11-17T00:00:00"/>
    <n v="41"/>
  </r>
  <r>
    <x v="0"/>
    <s v="M"/>
    <d v="1991-05-29T00:00:00"/>
    <n v="34"/>
  </r>
  <r>
    <x v="0"/>
    <s v="M"/>
    <d v="1984-04-01T00:00:00"/>
    <n v="41"/>
  </r>
  <r>
    <x v="1"/>
    <s v="F"/>
    <d v="1969-04-26T00:00:00"/>
    <n v="56"/>
  </r>
  <r>
    <x v="1"/>
    <s v="F"/>
    <d v="1990-11-08T00:00:00"/>
    <n v="34"/>
  </r>
  <r>
    <x v="0"/>
    <s v="M"/>
    <d v="1953-02-27T00:00:00"/>
    <n v="72"/>
  </r>
  <r>
    <x v="0"/>
    <s v="M"/>
    <d v="1969-10-05T00:00:00"/>
    <n v="55"/>
  </r>
  <r>
    <x v="1"/>
    <s v="F"/>
    <d v="1987-10-09T00:00:00"/>
    <n v="37"/>
  </r>
  <r>
    <x v="0"/>
    <s v="M"/>
    <d v="1977-07-12T00:00:00"/>
    <n v="48"/>
  </r>
  <r>
    <x v="0"/>
    <s v="M"/>
    <d v="1980-01-26T00:00:00"/>
    <n v="45"/>
  </r>
  <r>
    <x v="0"/>
    <s v="M"/>
    <d v="1982-12-24T00:00:00"/>
    <n v="42"/>
  </r>
  <r>
    <x v="0"/>
    <s v="M"/>
    <d v="1983-07-23T00:00:00"/>
    <n v="42"/>
  </r>
  <r>
    <x v="0"/>
    <s v="M"/>
    <d v="1955-05-08T00:00:00"/>
    <n v="70"/>
  </r>
  <r>
    <x v="0"/>
    <s v="M"/>
    <d v="1963-07-19T00:00:00"/>
    <n v="62"/>
  </r>
  <r>
    <x v="1"/>
    <s v="F"/>
    <d v="1972-03-30T00:00:00"/>
    <n v="53"/>
  </r>
  <r>
    <x v="0"/>
    <s v="M"/>
    <d v="1985-12-05T00:00:00"/>
    <n v="39"/>
  </r>
  <r>
    <x v="0"/>
    <s v="M"/>
    <d v="1955-04-20T00:00:00"/>
    <n v="70"/>
  </r>
  <r>
    <x v="0"/>
    <s v="M"/>
    <d v="1974-04-08T00:00:00"/>
    <n v="51"/>
  </r>
  <r>
    <x v="0"/>
    <s v="M"/>
    <d v="1975-04-14T00:00:00"/>
    <n v="50"/>
  </r>
  <r>
    <x v="0"/>
    <s v="M"/>
    <d v="1970-12-17T00:00:00"/>
    <n v="54"/>
  </r>
  <r>
    <x v="0"/>
    <s v="M"/>
    <d v="1966-08-06T00:00:00"/>
    <n v="59"/>
  </r>
  <r>
    <x v="0"/>
    <s v="M"/>
    <d v="1956-07-09T00:00:00"/>
    <n v="69"/>
  </r>
  <r>
    <x v="0"/>
    <s v="M"/>
    <d v="1978-07-17T00:00:00"/>
    <n v="47"/>
  </r>
  <r>
    <x v="0"/>
    <s v="M"/>
    <d v="1981-04-12T00:00:00"/>
    <n v="44"/>
  </r>
  <r>
    <x v="0"/>
    <s v="M"/>
    <d v="1976-09-24T00:00:00"/>
    <n v="48"/>
  </r>
  <r>
    <x v="0"/>
    <s v="M"/>
    <d v="1969-05-10T00:00:00"/>
    <n v="56"/>
  </r>
  <r>
    <x v="0"/>
    <s v="M"/>
    <d v="1960-06-23T00:00:00"/>
    <n v="65"/>
  </r>
  <r>
    <x v="1"/>
    <s v="F"/>
    <d v="1977-04-28T00:00:00"/>
    <n v="48"/>
  </r>
  <r>
    <x v="0"/>
    <s v="M"/>
    <d v="1982-06-26T00:00:00"/>
    <n v="43"/>
  </r>
  <r>
    <x v="1"/>
    <s v="F"/>
    <d v="1960-02-20T00:00:00"/>
    <n v="65"/>
  </r>
  <r>
    <x v="0"/>
    <s v="M"/>
    <d v="1973-12-22T00:00:00"/>
    <n v="51"/>
  </r>
  <r>
    <x v="1"/>
    <s v="F"/>
    <d v="1965-09-06T00:00:00"/>
    <n v="60"/>
  </r>
  <r>
    <x v="1"/>
    <s v="F"/>
    <d v="1981-12-15T00:00:00"/>
    <n v="43"/>
  </r>
  <r>
    <x v="0"/>
    <s v="M"/>
    <d v="1982-06-19T00:00:00"/>
    <n v="43"/>
  </r>
  <r>
    <x v="0"/>
    <s v="M"/>
    <d v="1984-10-10T00:00:00"/>
    <n v="40"/>
  </r>
  <r>
    <x v="0"/>
    <s v="M"/>
    <d v="1971-04-27T00:00:00"/>
    <n v="54"/>
  </r>
  <r>
    <x v="0"/>
    <s v="M"/>
    <d v="1981-04-13T00:00:00"/>
    <n v="44"/>
  </r>
  <r>
    <x v="0"/>
    <s v="M"/>
    <d v="1982-02-16T00:00:00"/>
    <n v="43"/>
  </r>
  <r>
    <x v="0"/>
    <s v="M"/>
    <d v="1979-09-09T00:00:00"/>
    <n v="46"/>
  </r>
  <r>
    <x v="0"/>
    <s v="M"/>
    <d v="1962-03-25T00:00:00"/>
    <n v="63"/>
  </r>
  <r>
    <x v="0"/>
    <s v="M"/>
    <d v="1964-03-08T00:00:00"/>
    <n v="61"/>
  </r>
  <r>
    <x v="1"/>
    <s v="F"/>
    <d v="1976-03-30T00:00:00"/>
    <n v="49"/>
  </r>
  <r>
    <x v="0"/>
    <s v="M"/>
    <d v="1957-12-09T00:00:00"/>
    <n v="67"/>
  </r>
  <r>
    <x v="0"/>
    <s v="M"/>
    <d v="1969-03-28T00:00:00"/>
    <n v="56"/>
  </r>
  <r>
    <x v="0"/>
    <s v="M"/>
    <d v="1976-04-25T00:00:00"/>
    <n v="49"/>
  </r>
  <r>
    <x v="0"/>
    <s v="M"/>
    <d v="1985-09-18T00:00:00"/>
    <n v="39"/>
  </r>
  <r>
    <x v="0"/>
    <s v="M"/>
    <d v="1963-09-14T00:00:00"/>
    <n v="61"/>
  </r>
  <r>
    <x v="0"/>
    <s v="M"/>
    <d v="1970-12-06T00:00:00"/>
    <n v="54"/>
  </r>
  <r>
    <x v="0"/>
    <s v="M"/>
    <d v="1960-04-22T00:00:00"/>
    <n v="65"/>
  </r>
  <r>
    <x v="0"/>
    <s v="M"/>
    <d v="1962-08-06T00:00:00"/>
    <n v="63"/>
  </r>
  <r>
    <x v="0"/>
    <s v="M"/>
    <d v="1989-09-11T00:00:00"/>
    <n v="36"/>
  </r>
  <r>
    <x v="0"/>
    <s v="M"/>
    <d v="2001-04-10T00:00:00"/>
    <n v="24"/>
  </r>
  <r>
    <x v="0"/>
    <s v="M"/>
    <d v="1968-09-23T00:00:00"/>
    <n v="56"/>
  </r>
  <r>
    <x v="0"/>
    <s v="M"/>
    <d v="1982-04-10T00:00:00"/>
    <n v="43"/>
  </r>
  <r>
    <x v="0"/>
    <s v="M"/>
    <d v="1965-07-16T00:00:00"/>
    <n v="60"/>
  </r>
  <r>
    <x v="0"/>
    <s v="M"/>
    <d v="1976-10-30T00:00:00"/>
    <n v="48"/>
  </r>
  <r>
    <x v="0"/>
    <s v="M"/>
    <d v="1982-07-05T00:00:00"/>
    <n v="43"/>
  </r>
  <r>
    <x v="0"/>
    <s v="M"/>
    <d v="1946-07-05T00:00:00"/>
    <n v="79"/>
  </r>
  <r>
    <x v="1"/>
    <s v="F"/>
    <d v="1972-09-10T00:00:00"/>
    <n v="53"/>
  </r>
  <r>
    <x v="1"/>
    <s v="F"/>
    <d v="1987-09-06T00:00:00"/>
    <n v="38"/>
  </r>
  <r>
    <x v="1"/>
    <s v="F"/>
    <d v="1983-08-26T00:00:00"/>
    <n v="42"/>
  </r>
  <r>
    <x v="0"/>
    <s v="M"/>
    <d v="1987-07-23T00:00:00"/>
    <n v="38"/>
  </r>
  <r>
    <x v="1"/>
    <s v="F"/>
    <d v="1957-05-17T00:00:00"/>
    <n v="68"/>
  </r>
  <r>
    <x v="0"/>
    <s v="M"/>
    <d v="1975-05-01T00:00:00"/>
    <n v="50"/>
  </r>
  <r>
    <x v="0"/>
    <s v="M"/>
    <d v="1964-10-26T00:00:00"/>
    <n v="60"/>
  </r>
  <r>
    <x v="0"/>
    <s v="M"/>
    <d v="1983-09-03T00:00:00"/>
    <n v="42"/>
  </r>
  <r>
    <x v="0"/>
    <s v="M"/>
    <d v="1965-06-25T00:00:00"/>
    <n v="60"/>
  </r>
  <r>
    <x v="0"/>
    <s v="M"/>
    <d v="1972-10-08T00:00:00"/>
    <n v="52"/>
  </r>
  <r>
    <x v="0"/>
    <s v="M"/>
    <d v="1973-10-22T00:00:00"/>
    <n v="51"/>
  </r>
  <r>
    <x v="0"/>
    <s v="M"/>
    <d v="1967-08-22T00:00:00"/>
    <n v="58"/>
  </r>
  <r>
    <x v="0"/>
    <s v="M"/>
    <d v="1946-02-27T00:00:00"/>
    <n v="79"/>
  </r>
  <r>
    <x v="0"/>
    <s v="M"/>
    <d v="1953-09-20T00:00:00"/>
    <n v="71"/>
  </r>
  <r>
    <x v="0"/>
    <s v="M"/>
    <d v="1961-12-02T00:00:00"/>
    <n v="63"/>
  </r>
  <r>
    <x v="0"/>
    <s v="M"/>
    <d v="1965-06-25T00:00:00"/>
    <n v="60"/>
  </r>
  <r>
    <x v="0"/>
    <s v="M"/>
    <d v="1974-06-16T00:00:00"/>
    <n v="51"/>
  </r>
  <r>
    <x v="0"/>
    <s v="M"/>
    <d v="1953-07-13T00:00:00"/>
    <n v="72"/>
  </r>
  <r>
    <x v="0"/>
    <s v="M"/>
    <d v="1962-04-10T00:00:00"/>
    <n v="63"/>
  </r>
  <r>
    <x v="0"/>
    <s v="M"/>
    <d v="1961-04-11T00:00:00"/>
    <n v="64"/>
  </r>
  <r>
    <x v="0"/>
    <s v="M"/>
    <d v="1957-02-21T00:00:00"/>
    <n v="68"/>
  </r>
  <r>
    <x v="0"/>
    <s v="M"/>
    <d v="1957-02-13T00:00:00"/>
    <n v="68"/>
  </r>
  <r>
    <x v="0"/>
    <s v="M"/>
    <d v="1970-03-19T00:00:00"/>
    <n v="55"/>
  </r>
  <r>
    <x v="0"/>
    <s v="M"/>
    <d v="1960-09-19T00:00:00"/>
    <n v="64"/>
  </r>
  <r>
    <x v="0"/>
    <s v="M"/>
    <d v="1963-12-02T00:00:00"/>
    <n v="61"/>
  </r>
  <r>
    <x v="0"/>
    <s v="M"/>
    <d v="1948-08-18T00:00:00"/>
    <n v="77"/>
  </r>
  <r>
    <x v="0"/>
    <s v="M"/>
    <d v="1957-08-23T00:00:00"/>
    <n v="68"/>
  </r>
  <r>
    <x v="0"/>
    <s v="M"/>
    <d v="1973-03-29T00:00:00"/>
    <n v="52"/>
  </r>
  <r>
    <x v="0"/>
    <s v="M"/>
    <d v="1956-10-14T00:00:00"/>
    <n v="68"/>
  </r>
  <r>
    <x v="0"/>
    <s v="M"/>
    <d v="1976-11-13T00:00:00"/>
    <n v="48"/>
  </r>
  <r>
    <x v="0"/>
    <s v="M"/>
    <d v="1983-11-29T00:00:00"/>
    <n v="41"/>
  </r>
  <r>
    <x v="0"/>
    <s v="M"/>
    <d v="1960-01-20T00:00:00"/>
    <n v="65"/>
  </r>
  <r>
    <x v="1"/>
    <s v="F"/>
    <d v="1985-03-20T00:00:00"/>
    <n v="40"/>
  </r>
  <r>
    <x v="1"/>
    <s v="F"/>
    <d v="1979-10-22T00:00:00"/>
    <n v="45"/>
  </r>
  <r>
    <x v="1"/>
    <s v="F"/>
    <d v="1979-08-11T00:00:00"/>
    <n v="46"/>
  </r>
  <r>
    <x v="0"/>
    <s v="M"/>
    <d v="1966-02-14T00:00:00"/>
    <n v="59"/>
  </r>
  <r>
    <x v="0"/>
    <s v="M"/>
    <d v="1948-08-25T00:00:00"/>
    <n v="77"/>
  </r>
  <r>
    <x v="0"/>
    <s v="M"/>
    <d v="1975-02-24T00:00:00"/>
    <n v="50"/>
  </r>
  <r>
    <x v="0"/>
    <s v="M"/>
    <d v="1959-04-06T00:00:00"/>
    <n v="66"/>
  </r>
  <r>
    <x v="0"/>
    <s v="M"/>
    <d v="1974-03-03T00:00:00"/>
    <n v="51"/>
  </r>
  <r>
    <x v="0"/>
    <s v="M"/>
    <d v="1976-10-23T00:00:00"/>
    <n v="48"/>
  </r>
  <r>
    <x v="0"/>
    <s v="M"/>
    <d v="1987-06-30T00:00:00"/>
    <n v="38"/>
  </r>
  <r>
    <x v="0"/>
    <s v="M"/>
    <d v="1967-07-13T00:00:00"/>
    <n v="58"/>
  </r>
  <r>
    <x v="0"/>
    <s v="M"/>
    <d v="1978-10-18T00:00:00"/>
    <n v="46"/>
  </r>
  <r>
    <x v="0"/>
    <s v="M"/>
    <d v="1985-04-16T00:00:00"/>
    <n v="40"/>
  </r>
  <r>
    <x v="0"/>
    <s v="M"/>
    <d v="1984-11-06T00:00:00"/>
    <n v="40"/>
  </r>
  <r>
    <x v="1"/>
    <s v="F"/>
    <d v="1978-02-27T00:00:00"/>
    <n v="47"/>
  </r>
  <r>
    <x v="0"/>
    <s v="M"/>
    <d v="1967-06-02T00:00:00"/>
    <n v="58"/>
  </r>
  <r>
    <x v="0"/>
    <s v="M"/>
    <d v="1984-05-05T00:00:00"/>
    <n v="41"/>
  </r>
  <r>
    <x v="0"/>
    <s v="M"/>
    <d v="1996-01-28T00:00:00"/>
    <n v="29"/>
  </r>
  <r>
    <x v="0"/>
    <s v="M"/>
    <d v="1966-10-17T00:00:00"/>
    <n v="58"/>
  </r>
  <r>
    <x v="1"/>
    <s v="F"/>
    <d v="1963-05-01T00:00:00"/>
    <n v="62"/>
  </r>
  <r>
    <x v="0"/>
    <s v="M"/>
    <d v="1947-02-11T00:00:00"/>
    <n v="78"/>
  </r>
  <r>
    <x v="1"/>
    <s v="F"/>
    <d v="1975-12-20T00:00:00"/>
    <n v="49"/>
  </r>
  <r>
    <x v="0"/>
    <s v="M"/>
    <d v="1955-03-10T00:00:00"/>
    <n v="70"/>
  </r>
  <r>
    <x v="1"/>
    <s v="F"/>
    <d v="1961-11-02T00:00:00"/>
    <n v="63"/>
  </r>
  <r>
    <x v="1"/>
    <s v="F"/>
    <d v="1969-09-18T00:00:00"/>
    <n v="55"/>
  </r>
  <r>
    <x v="0"/>
    <s v="M"/>
    <d v="1978-04-05T00:00:00"/>
    <n v="47"/>
  </r>
  <r>
    <x v="0"/>
    <s v="M"/>
    <d v="1975-05-12T00:00:00"/>
    <n v="50"/>
  </r>
  <r>
    <x v="0"/>
    <s v="M"/>
    <d v="1951-10-09T00:00:00"/>
    <n v="73"/>
  </r>
  <r>
    <x v="0"/>
    <s v="M"/>
    <d v="1957-06-03T00:00:00"/>
    <n v="68"/>
  </r>
  <r>
    <x v="0"/>
    <s v="M"/>
    <d v="1976-10-28T00:00:00"/>
    <n v="48"/>
  </r>
  <r>
    <x v="1"/>
    <s v="F"/>
    <d v="1956-03-12T00:00:00"/>
    <n v="69"/>
  </r>
  <r>
    <x v="0"/>
    <s v="M"/>
    <d v="1953-11-03T00:00:00"/>
    <n v="71"/>
  </r>
  <r>
    <x v="0"/>
    <s v="M"/>
    <d v="1969-12-08T00:00:00"/>
    <n v="55"/>
  </r>
  <r>
    <x v="1"/>
    <s v="F"/>
    <d v="1991-07-11T00:00:00"/>
    <n v="34"/>
  </r>
  <r>
    <x v="0"/>
    <s v="M"/>
    <d v="1986-02-14T00:00:00"/>
    <n v="39"/>
  </r>
  <r>
    <x v="0"/>
    <s v="M"/>
    <d v="1981-05-26T00:00:00"/>
    <n v="44"/>
  </r>
  <r>
    <x v="0"/>
    <s v="M"/>
    <d v="1973-01-08T00:00:00"/>
    <n v="52"/>
  </r>
  <r>
    <x v="0"/>
    <s v="M"/>
    <d v="1986-06-27T00:00:00"/>
    <n v="39"/>
  </r>
  <r>
    <x v="0"/>
    <s v="M"/>
    <d v="1969-05-24T00:00:00"/>
    <n v="56"/>
  </r>
  <r>
    <x v="0"/>
    <s v="M"/>
    <d v="1944-11-29T00:00:00"/>
    <n v="80"/>
  </r>
  <r>
    <x v="0"/>
    <s v="M"/>
    <d v="1955-03-23T00:00:00"/>
    <n v="70"/>
  </r>
  <r>
    <x v="0"/>
    <s v="M"/>
    <d v="1984-07-16T00:00:00"/>
    <n v="41"/>
  </r>
  <r>
    <x v="0"/>
    <s v="M"/>
    <d v="1988-04-26T00:00:00"/>
    <n v="37"/>
  </r>
  <r>
    <x v="0"/>
    <s v="M"/>
    <d v="1969-07-23T00:00:00"/>
    <n v="56"/>
  </r>
  <r>
    <x v="1"/>
    <s v="F"/>
    <d v="1979-10-08T00:00:00"/>
    <n v="45"/>
  </r>
  <r>
    <x v="0"/>
    <s v="M"/>
    <d v="1966-05-05T00:00:00"/>
    <n v="59"/>
  </r>
  <r>
    <x v="0"/>
    <s v="M"/>
    <d v="1971-07-23T00:00:00"/>
    <n v="54"/>
  </r>
  <r>
    <x v="1"/>
    <s v="F"/>
    <d v="1996-04-11T00:00:00"/>
    <n v="29"/>
  </r>
  <r>
    <x v="0"/>
    <s v="M"/>
    <d v="1940-12-27T00:00:00"/>
    <n v="84"/>
  </r>
  <r>
    <x v="0"/>
    <s v="M"/>
    <d v="1948-11-06T00:00:00"/>
    <n v="76"/>
  </r>
  <r>
    <x v="0"/>
    <s v="M"/>
    <d v="1950-10-08T00:00:00"/>
    <n v="74"/>
  </r>
  <r>
    <x v="0"/>
    <s v="M"/>
    <d v="1959-04-24T00:00:00"/>
    <n v="66"/>
  </r>
  <r>
    <x v="0"/>
    <s v="M"/>
    <d v="1945-02-13T00:00:00"/>
    <n v="80"/>
  </r>
  <r>
    <x v="0"/>
    <s v="M"/>
    <d v="1957-09-12T00:00:00"/>
    <n v="67"/>
  </r>
  <r>
    <x v="0"/>
    <s v="M"/>
    <d v="1973-11-07T00:00:00"/>
    <n v="51"/>
  </r>
  <r>
    <x v="0"/>
    <s v="M"/>
    <d v="1962-08-19T00:00:00"/>
    <n v="63"/>
  </r>
  <r>
    <x v="0"/>
    <s v="M"/>
    <d v="1977-12-10T00:00:00"/>
    <n v="47"/>
  </r>
  <r>
    <x v="0"/>
    <s v="M"/>
    <d v="1959-05-20T00:00:00"/>
    <n v="66"/>
  </r>
  <r>
    <x v="0"/>
    <s v="M"/>
    <d v="1949-04-09T00:00:00"/>
    <n v="76"/>
  </r>
  <r>
    <x v="0"/>
    <s v="M"/>
    <d v="1969-04-03T00:00:00"/>
    <n v="56"/>
  </r>
  <r>
    <x v="1"/>
    <s v="F"/>
    <d v="1934-11-30T00:00:00"/>
    <n v="90"/>
  </r>
  <r>
    <x v="1"/>
    <s v="F"/>
    <d v="1968-11-18T00:00:00"/>
    <n v="56"/>
  </r>
  <r>
    <x v="0"/>
    <s v="M"/>
    <d v="2000-12-08T00:00:00"/>
    <n v="24"/>
  </r>
  <r>
    <x v="1"/>
    <s v="F"/>
    <d v="1948-10-26T00:00:00"/>
    <n v="76"/>
  </r>
  <r>
    <x v="0"/>
    <s v="M"/>
    <d v="1980-01-22T00:00:00"/>
    <n v="45"/>
  </r>
  <r>
    <x v="0"/>
    <s v="M"/>
    <d v="1985-11-08T00:00:00"/>
    <n v="39"/>
  </r>
  <r>
    <x v="0"/>
    <s v="M"/>
    <d v="1974-02-16T00:00:00"/>
    <n v="51"/>
  </r>
  <r>
    <x v="0"/>
    <s v="M"/>
    <d v="1982-07-07T00:00:00"/>
    <n v="43"/>
  </r>
  <r>
    <x v="0"/>
    <s v="M"/>
    <d v="1957-10-09T00:00:00"/>
    <n v="67"/>
  </r>
  <r>
    <x v="0"/>
    <s v="M"/>
    <d v="1983-03-21T00:00:00"/>
    <n v="42"/>
  </r>
  <r>
    <x v="0"/>
    <s v="M"/>
    <d v="1979-08-07T00:00:00"/>
    <n v="46"/>
  </r>
  <r>
    <x v="0"/>
    <s v="M"/>
    <d v="1984-11-03T00:00:00"/>
    <n v="40"/>
  </r>
  <r>
    <x v="0"/>
    <s v="M"/>
    <d v="1969-06-14T00:00:00"/>
    <n v="56"/>
  </r>
  <r>
    <x v="0"/>
    <s v="M"/>
    <d v="1979-05-23T00:00:00"/>
    <n v="46"/>
  </r>
  <r>
    <x v="0"/>
    <s v="M"/>
    <d v="1980-05-31T00:00:00"/>
    <n v="45"/>
  </r>
  <r>
    <x v="0"/>
    <s v="M"/>
    <d v="1967-04-04T00:00:00"/>
    <n v="58"/>
  </r>
  <r>
    <x v="0"/>
    <s v="M"/>
    <d v="1966-11-14T00:00:00"/>
    <n v="58"/>
  </r>
  <r>
    <x v="0"/>
    <s v="M"/>
    <d v="1970-12-12T00:00:00"/>
    <n v="54"/>
  </r>
  <r>
    <x v="0"/>
    <s v="M"/>
    <d v="1968-04-30T00:00:00"/>
    <n v="57"/>
  </r>
  <r>
    <x v="0"/>
    <s v="M"/>
    <d v="1966-01-28T00:00:00"/>
    <n v="59"/>
  </r>
  <r>
    <x v="0"/>
    <s v="M"/>
    <d v="1964-09-21T00:00:00"/>
    <n v="60"/>
  </r>
  <r>
    <x v="0"/>
    <s v="M"/>
    <d v="1991-09-19T00:00:00"/>
    <n v="33"/>
  </r>
  <r>
    <x v="0"/>
    <s v="M"/>
    <d v="1972-04-04T00:00:00"/>
    <n v="53"/>
  </r>
  <r>
    <x v="0"/>
    <s v="M"/>
    <d v="1981-01-19T00:00:00"/>
    <n v="44"/>
  </r>
  <r>
    <x v="0"/>
    <s v="M"/>
    <d v="1978-05-16T00:00:00"/>
    <n v="47"/>
  </r>
  <r>
    <x v="0"/>
    <s v="M"/>
    <d v="1978-01-28T00:00:00"/>
    <n v="47"/>
  </r>
  <r>
    <x v="1"/>
    <s v="F"/>
    <d v="1994-02-24T00:00:00"/>
    <n v="31"/>
  </r>
  <r>
    <x v="1"/>
    <s v="F"/>
    <d v="1966-11-22T00:00:00"/>
    <n v="58"/>
  </r>
  <r>
    <x v="1"/>
    <s v="F"/>
    <d v="1965-10-01T00:00:00"/>
    <n v="59"/>
  </r>
  <r>
    <x v="1"/>
    <s v="F"/>
    <d v="1994-07-02T00:00:00"/>
    <n v="31"/>
  </r>
  <r>
    <x v="1"/>
    <s v="F"/>
    <d v="1958-02-08T00:00:00"/>
    <n v="67"/>
  </r>
  <r>
    <x v="0"/>
    <s v="M"/>
    <d v="1971-10-09T00:00:00"/>
    <n v="53"/>
  </r>
  <r>
    <x v="0"/>
    <s v="M"/>
    <d v="1954-09-30T00:00:00"/>
    <n v="70"/>
  </r>
  <r>
    <x v="0"/>
    <s v="M"/>
    <d v="1980-08-31T00:00:00"/>
    <n v="45"/>
  </r>
  <r>
    <x v="0"/>
    <s v="M"/>
    <d v="1992-04-25T00:00:00"/>
    <n v="33"/>
  </r>
  <r>
    <x v="1"/>
    <s v="F"/>
    <d v="1990-06-25T00:00:00"/>
    <n v="35"/>
  </r>
  <r>
    <x v="0"/>
    <s v="M"/>
    <d v="1979-11-28T00:00:00"/>
    <n v="45"/>
  </r>
  <r>
    <x v="0"/>
    <s v="M"/>
    <d v="1998-09-10T00:00:00"/>
    <n v="27"/>
  </r>
  <r>
    <x v="0"/>
    <s v="M"/>
    <d v="1988-06-25T00:00:00"/>
    <n v="37"/>
  </r>
  <r>
    <x v="0"/>
    <s v="M"/>
    <d v="1988-09-29T00:00:00"/>
    <n v="36"/>
  </r>
  <r>
    <x v="0"/>
    <s v="M"/>
    <d v="1987-01-24T00:00:00"/>
    <n v="38"/>
  </r>
  <r>
    <x v="0"/>
    <s v="M"/>
    <d v="1979-11-05T00:00:00"/>
    <n v="45"/>
  </r>
  <r>
    <x v="0"/>
    <s v="M"/>
    <d v="1959-03-09T00:00:00"/>
    <n v="66"/>
  </r>
  <r>
    <x v="0"/>
    <s v="M"/>
    <d v="1966-01-17T00:00:00"/>
    <n v="59"/>
  </r>
  <r>
    <x v="1"/>
    <s v="F"/>
    <d v="1975-02-10T00:00:00"/>
    <n v="50"/>
  </r>
  <r>
    <x v="0"/>
    <s v="M"/>
    <d v="1966-07-12T00:00:00"/>
    <n v="59"/>
  </r>
  <r>
    <x v="0"/>
    <s v="M"/>
    <d v="1958-09-17T00:00:00"/>
    <n v="66"/>
  </r>
  <r>
    <x v="0"/>
    <s v="M"/>
    <d v="1981-02-08T00:00:00"/>
    <n v="44"/>
  </r>
  <r>
    <x v="0"/>
    <s v="M"/>
    <d v="1976-08-06T00:00:00"/>
    <n v="49"/>
  </r>
  <r>
    <x v="0"/>
    <s v="M"/>
    <d v="1991-10-11T00:00:00"/>
    <n v="33"/>
  </r>
  <r>
    <x v="0"/>
    <s v="M"/>
    <d v="1964-01-29T00:00:00"/>
    <n v="61"/>
  </r>
  <r>
    <x v="0"/>
    <s v="M"/>
    <d v="1962-09-16T00:00:00"/>
    <n v="62"/>
  </r>
  <r>
    <x v="0"/>
    <s v="M"/>
    <d v="1959-11-27T00:00:00"/>
    <n v="65"/>
  </r>
  <r>
    <x v="1"/>
    <s v="F"/>
    <d v="1977-10-17T00:00:00"/>
    <n v="47"/>
  </r>
  <r>
    <x v="0"/>
    <s v="M"/>
    <d v="1956-12-11T00:00:00"/>
    <n v="68"/>
  </r>
  <r>
    <x v="0"/>
    <s v="M"/>
    <d v="1978-06-06T00:00:00"/>
    <n v="47"/>
  </r>
  <r>
    <x v="0"/>
    <s v="M"/>
    <d v="1986-09-22T00:00:00"/>
    <n v="38"/>
  </r>
  <r>
    <x v="0"/>
    <s v="M"/>
    <d v="1980-07-02T00:00:00"/>
    <n v="45"/>
  </r>
  <r>
    <x v="1"/>
    <s v="F"/>
    <d v="1988-06-15T00:00:00"/>
    <n v="37"/>
  </r>
  <r>
    <x v="0"/>
    <s v="M"/>
    <d v="1967-01-30T00:00:00"/>
    <n v="58"/>
  </r>
  <r>
    <x v="0"/>
    <s v="M"/>
    <d v="1983-03-07T00:00:00"/>
    <n v="42"/>
  </r>
  <r>
    <x v="0"/>
    <s v="M"/>
    <d v="1960-02-14T00:00:00"/>
    <n v="65"/>
  </r>
  <r>
    <x v="1"/>
    <s v="F"/>
    <d v="1972-11-17T00:00:00"/>
    <n v="52"/>
  </r>
  <r>
    <x v="0"/>
    <s v="M"/>
    <d v="1996-05-28T00:00:00"/>
    <n v="29"/>
  </r>
  <r>
    <x v="0"/>
    <s v="M"/>
    <d v="1960-08-29T00:00:00"/>
    <n v="65"/>
  </r>
  <r>
    <x v="0"/>
    <s v="M"/>
    <d v="1979-11-11T00:00:00"/>
    <n v="45"/>
  </r>
  <r>
    <x v="0"/>
    <s v="M"/>
    <d v="1981-07-21T00:00:00"/>
    <n v="44"/>
  </r>
  <r>
    <x v="0"/>
    <s v="M"/>
    <d v="1996-05-30T00:00:00"/>
    <n v="29"/>
  </r>
  <r>
    <x v="0"/>
    <s v="M"/>
    <d v="1963-07-31T00:00:00"/>
    <n v="62"/>
  </r>
  <r>
    <x v="0"/>
    <s v="M"/>
    <d v="1966-05-31T00:00:00"/>
    <n v="59"/>
  </r>
  <r>
    <x v="0"/>
    <s v="M"/>
    <d v="1976-06-18T00:00:00"/>
    <n v="49"/>
  </r>
  <r>
    <x v="0"/>
    <s v="M"/>
    <d v="1982-01-09T00:00:00"/>
    <n v="43"/>
  </r>
  <r>
    <x v="0"/>
    <s v="M"/>
    <d v="1971-05-27T00:00:00"/>
    <n v="54"/>
  </r>
  <r>
    <x v="0"/>
    <s v="M"/>
    <d v="1950-02-18T00:00:00"/>
    <n v="75"/>
  </r>
  <r>
    <x v="0"/>
    <s v="M"/>
    <d v="1954-12-09T00:00:00"/>
    <n v="70"/>
  </r>
  <r>
    <x v="0"/>
    <s v="M"/>
    <d v="1976-11-22T00:00:00"/>
    <n v="48"/>
  </r>
  <r>
    <x v="0"/>
    <s v="M"/>
    <d v="1977-07-07T00:00:00"/>
    <n v="48"/>
  </r>
  <r>
    <x v="0"/>
    <s v="M"/>
    <d v="1977-10-29T00:00:00"/>
    <n v="47"/>
  </r>
  <r>
    <x v="0"/>
    <s v="M"/>
    <d v="1967-02-28T00:00:00"/>
    <n v="58"/>
  </r>
  <r>
    <x v="0"/>
    <s v="M"/>
    <d v="1976-12-16T00:00:00"/>
    <n v="48"/>
  </r>
  <r>
    <x v="0"/>
    <s v="M"/>
    <d v="1980-03-21T00:00:00"/>
    <n v="45"/>
  </r>
  <r>
    <x v="0"/>
    <s v="M"/>
    <d v="1962-09-12T00:00:00"/>
    <n v="62"/>
  </r>
  <r>
    <x v="0"/>
    <s v="M"/>
    <d v="1971-11-08T00:00:00"/>
    <n v="53"/>
  </r>
  <r>
    <x v="0"/>
    <s v="M"/>
    <d v="1987-04-15T00:00:00"/>
    <n v="38"/>
  </r>
  <r>
    <x v="0"/>
    <s v="M"/>
    <d v="1962-07-28T00:00:00"/>
    <n v="63"/>
  </r>
  <r>
    <x v="0"/>
    <s v="M"/>
    <d v="1952-01-26T00:00:00"/>
    <n v="73"/>
  </r>
  <r>
    <x v="0"/>
    <s v="M"/>
    <d v="1954-09-24T00:00:00"/>
    <n v="70"/>
  </r>
  <r>
    <x v="0"/>
    <s v="M"/>
    <d v="1957-09-15T00:00:00"/>
    <n v="67"/>
  </r>
  <r>
    <x v="0"/>
    <s v="M"/>
    <d v="1956-02-24T00:00:00"/>
    <n v="69"/>
  </r>
  <r>
    <x v="0"/>
    <s v="M"/>
    <d v="1964-10-22T00:00:00"/>
    <n v="60"/>
  </r>
  <r>
    <x v="0"/>
    <s v="M"/>
    <d v="1963-06-21T00:00:00"/>
    <n v="62"/>
  </r>
  <r>
    <x v="0"/>
    <s v="M"/>
    <d v="1979-01-09T00:00:00"/>
    <n v="46"/>
  </r>
  <r>
    <x v="0"/>
    <s v="M"/>
    <d v="1963-01-14T00:00:00"/>
    <n v="62"/>
  </r>
  <r>
    <x v="0"/>
    <s v="M"/>
    <d v="1956-04-30T00:00:00"/>
    <n v="69"/>
  </r>
  <r>
    <x v="0"/>
    <s v="M"/>
    <d v="1955-02-14T00:00:00"/>
    <n v="70"/>
  </r>
  <r>
    <x v="0"/>
    <s v="M"/>
    <d v="1970-10-01T00:00:00"/>
    <n v="54"/>
  </r>
  <r>
    <x v="0"/>
    <s v="M"/>
    <d v="1972-01-08T00:00:00"/>
    <n v="53"/>
  </r>
  <r>
    <x v="0"/>
    <s v="M"/>
    <d v="1991-10-30T00:00:00"/>
    <n v="33"/>
  </r>
  <r>
    <x v="0"/>
    <s v="M"/>
    <d v="1952-11-28T00:00:00"/>
    <n v="72"/>
  </r>
  <r>
    <x v="0"/>
    <s v="M"/>
    <d v="1985-02-09T00:00:00"/>
    <n v="40"/>
  </r>
  <r>
    <x v="0"/>
    <s v="M"/>
    <d v="1965-03-19T00:00:00"/>
    <n v="60"/>
  </r>
  <r>
    <x v="0"/>
    <s v="M"/>
    <d v="1961-05-09T00:00:00"/>
    <n v="64"/>
  </r>
  <r>
    <x v="0"/>
    <s v="M"/>
    <d v="1993-02-16T00:00:00"/>
    <n v="32"/>
  </r>
  <r>
    <x v="0"/>
    <s v="M"/>
    <d v="1995-10-28T00:00:00"/>
    <n v="29"/>
  </r>
  <r>
    <x v="0"/>
    <s v="M"/>
    <d v="1970-03-29T00:00:00"/>
    <n v="55"/>
  </r>
  <r>
    <x v="0"/>
    <s v="M"/>
    <d v="1979-11-01T00:00:00"/>
    <n v="45"/>
  </r>
  <r>
    <x v="0"/>
    <s v="M"/>
    <d v="1983-06-04T00:00:00"/>
    <n v="42"/>
  </r>
  <r>
    <x v="0"/>
    <s v="M"/>
    <d v="1972-06-29T00:00:00"/>
    <n v="53"/>
  </r>
  <r>
    <x v="0"/>
    <s v="M"/>
    <d v="1981-12-19T00:00:00"/>
    <n v="43"/>
  </r>
  <r>
    <x v="0"/>
    <s v="M"/>
    <d v="1963-03-10T00:00:00"/>
    <n v="62"/>
  </r>
  <r>
    <x v="0"/>
    <s v="M"/>
    <d v="1950-12-19T00:00:00"/>
    <n v="74"/>
  </r>
  <r>
    <x v="0"/>
    <s v="M"/>
    <d v="1987-06-06T00:00:00"/>
    <n v="38"/>
  </r>
  <r>
    <x v="0"/>
    <s v="M"/>
    <d v="1991-05-30T00:00:00"/>
    <n v="34"/>
  </r>
  <r>
    <x v="0"/>
    <s v="M"/>
    <d v="1958-07-12T00:00:00"/>
    <n v="67"/>
  </r>
  <r>
    <x v="0"/>
    <s v="M"/>
    <d v="1972-10-12T00:00:00"/>
    <n v="52"/>
  </r>
  <r>
    <x v="1"/>
    <s v="F"/>
    <d v="1984-09-12T00:00:00"/>
    <n v="40"/>
  </r>
  <r>
    <x v="0"/>
    <s v="M"/>
    <d v="1967-06-11T00:00:00"/>
    <n v="58"/>
  </r>
  <r>
    <x v="0"/>
    <s v="M"/>
    <d v="1973-01-02T00:00:00"/>
    <n v="52"/>
  </r>
  <r>
    <x v="0"/>
    <s v="M"/>
    <d v="1953-10-25T00:00:00"/>
    <n v="71"/>
  </r>
  <r>
    <x v="1"/>
    <s v="F"/>
    <d v="1963-09-09T00:00:00"/>
    <n v="62"/>
  </r>
  <r>
    <x v="1"/>
    <s v="F"/>
    <d v="1979-12-21T00:00:00"/>
    <n v="45"/>
  </r>
  <r>
    <x v="1"/>
    <s v="F"/>
    <d v="1973-06-21T00:00:00"/>
    <n v="52"/>
  </r>
  <r>
    <x v="0"/>
    <s v="M"/>
    <d v="1981-08-25T00:00:00"/>
    <n v="44"/>
  </r>
  <r>
    <x v="0"/>
    <s v="M"/>
    <d v="1990-02-06T00:00:00"/>
    <n v="35"/>
  </r>
  <r>
    <x v="0"/>
    <s v="M"/>
    <d v="1983-11-05T00:00:00"/>
    <n v="41"/>
  </r>
  <r>
    <x v="0"/>
    <s v="M"/>
    <d v="1964-11-29T00:00:00"/>
    <n v="60"/>
  </r>
  <r>
    <x v="0"/>
    <s v="M"/>
    <d v="1961-03-09T00:00:00"/>
    <n v="64"/>
  </r>
  <r>
    <x v="0"/>
    <s v="M"/>
    <d v="1955-10-10T00:00:00"/>
    <n v="69"/>
  </r>
  <r>
    <x v="0"/>
    <s v="M"/>
    <d v="1978-10-18T00:00:00"/>
    <n v="46"/>
  </r>
  <r>
    <x v="0"/>
    <s v="M"/>
    <d v="1973-04-02T00:00:00"/>
    <n v="52"/>
  </r>
  <r>
    <x v="1"/>
    <s v="F"/>
    <d v="1963-01-23T00:00:00"/>
    <n v="62"/>
  </r>
  <r>
    <x v="0"/>
    <s v="M"/>
    <d v="1961-09-02T00:00:00"/>
    <n v="64"/>
  </r>
  <r>
    <x v="0"/>
    <s v="M"/>
    <d v="1965-07-26T00:00:00"/>
    <n v="60"/>
  </r>
  <r>
    <x v="0"/>
    <s v="M"/>
    <d v="1993-10-23T00:00:00"/>
    <n v="31"/>
  </r>
  <r>
    <x v="1"/>
    <s v="F"/>
    <d v="1982-04-15T00:00:00"/>
    <n v="43"/>
  </r>
  <r>
    <x v="1"/>
    <s v="F"/>
    <d v="1976-12-08T00:00:00"/>
    <n v="48"/>
  </r>
  <r>
    <x v="0"/>
    <s v="M"/>
    <d v="1959-04-20T00:00:00"/>
    <n v="66"/>
  </r>
  <r>
    <x v="0"/>
    <s v="M"/>
    <d v="1975-05-27T00:00:00"/>
    <n v="50"/>
  </r>
  <r>
    <x v="0"/>
    <s v="M"/>
    <d v="1972-09-13T00:00:00"/>
    <n v="52"/>
  </r>
  <r>
    <x v="0"/>
    <s v="M"/>
    <d v="1979-01-17T00:00:00"/>
    <n v="46"/>
  </r>
  <r>
    <x v="0"/>
    <s v="M"/>
    <d v="1959-11-15T00:00:00"/>
    <n v="65"/>
  </r>
  <r>
    <x v="0"/>
    <s v="M"/>
    <d v="1977-09-28T00:00:00"/>
    <n v="47"/>
  </r>
  <r>
    <x v="0"/>
    <s v="M"/>
    <d v="1975-08-26T00:00:00"/>
    <n v="50"/>
  </r>
  <r>
    <x v="0"/>
    <s v="M"/>
    <d v="1975-06-08T00:00:00"/>
    <n v="50"/>
  </r>
  <r>
    <x v="0"/>
    <s v="M"/>
    <d v="1985-09-01T00:00:00"/>
    <n v="40"/>
  </r>
  <r>
    <x v="0"/>
    <s v="M"/>
    <d v="1970-02-15T00:00:00"/>
    <n v="55"/>
  </r>
  <r>
    <x v="1"/>
    <s v="F"/>
    <d v="1980-05-11T00:00:00"/>
    <n v="45"/>
  </r>
  <r>
    <x v="0"/>
    <s v="M"/>
    <d v="1975-04-25T00:00:00"/>
    <n v="50"/>
  </r>
  <r>
    <x v="0"/>
    <s v="M"/>
    <d v="1956-12-08T00:00:00"/>
    <n v="68"/>
  </r>
  <r>
    <x v="0"/>
    <s v="M"/>
    <d v="1959-04-12T00:00:00"/>
    <n v="66"/>
  </r>
  <r>
    <x v="0"/>
    <s v="M"/>
    <d v="1973-11-24T00:00:00"/>
    <n v="51"/>
  </r>
  <r>
    <x v="0"/>
    <s v="M"/>
    <d v="1975-11-26T00:00:00"/>
    <n v="49"/>
  </r>
  <r>
    <x v="0"/>
    <s v="M"/>
    <d v="1971-07-15T00:00:00"/>
    <n v="54"/>
  </r>
  <r>
    <x v="0"/>
    <s v="M"/>
    <d v="1989-01-16T00:00:00"/>
    <n v="36"/>
  </r>
  <r>
    <x v="0"/>
    <s v="M"/>
    <d v="1984-03-17T00:00:00"/>
    <n v="41"/>
  </r>
  <r>
    <x v="0"/>
    <s v="M"/>
    <d v="1959-07-13T00:00:00"/>
    <n v="66"/>
  </r>
  <r>
    <x v="0"/>
    <s v="M"/>
    <d v="1989-08-06T00:00:00"/>
    <n v="36"/>
  </r>
  <r>
    <x v="1"/>
    <s v="F"/>
    <d v="1966-08-19T00:00:00"/>
    <n v="59"/>
  </r>
  <r>
    <x v="0"/>
    <s v="M"/>
    <d v="1958-01-11T00:00:00"/>
    <n v="67"/>
  </r>
  <r>
    <x v="0"/>
    <s v="M"/>
    <d v="1966-01-09T00:00:00"/>
    <n v="59"/>
  </r>
  <r>
    <x v="0"/>
    <s v="M"/>
    <d v="1966-04-25T00:00:00"/>
    <n v="59"/>
  </r>
  <r>
    <x v="1"/>
    <s v="F"/>
    <d v="1969-05-08T00:00:00"/>
    <n v="56"/>
  </r>
  <r>
    <x v="1"/>
    <s v="F"/>
    <d v="1966-12-27T00:00:00"/>
    <n v="58"/>
  </r>
  <r>
    <x v="1"/>
    <s v="F"/>
    <d v="1974-05-28T00:00:00"/>
    <n v="51"/>
  </r>
  <r>
    <x v="1"/>
    <s v="F"/>
    <d v="1963-04-18T00:00:00"/>
    <n v="62"/>
  </r>
  <r>
    <x v="1"/>
    <s v="F"/>
    <d v="1953-06-01T00:00:00"/>
    <n v="72"/>
  </r>
  <r>
    <x v="0"/>
    <s v="M"/>
    <d v="1956-02-06T00:00:00"/>
    <n v="69"/>
  </r>
  <r>
    <x v="0"/>
    <s v="M"/>
    <d v="1984-03-16T00:00:00"/>
    <n v="41"/>
  </r>
  <r>
    <x v="0"/>
    <s v="M"/>
    <d v="1943-11-26T00:00:00"/>
    <n v="81"/>
  </r>
  <r>
    <x v="0"/>
    <s v="M"/>
    <d v="1970-08-17T00:00:00"/>
    <n v="55"/>
  </r>
  <r>
    <x v="1"/>
    <s v="F"/>
    <d v="1989-08-22T00:00:00"/>
    <n v="36"/>
  </r>
  <r>
    <x v="0"/>
    <s v="M"/>
    <d v="1971-10-03T00:00:00"/>
    <n v="53"/>
  </r>
  <r>
    <x v="0"/>
    <s v="M"/>
    <d v="1992-03-05T00:00:00"/>
    <n v="33"/>
  </r>
  <r>
    <x v="0"/>
    <s v="M"/>
    <d v="1969-12-01T00:00:00"/>
    <n v="55"/>
  </r>
  <r>
    <x v="0"/>
    <s v="M"/>
    <d v="1972-11-25T00:00:00"/>
    <n v="52"/>
  </r>
  <r>
    <x v="0"/>
    <s v="M"/>
    <d v="1963-11-06T00:00:00"/>
    <n v="61"/>
  </r>
  <r>
    <x v="0"/>
    <s v="M"/>
    <d v="1984-02-27T00:00:00"/>
    <n v="41"/>
  </r>
  <r>
    <x v="0"/>
    <s v="M"/>
    <d v="1976-08-26T00:00:00"/>
    <n v="49"/>
  </r>
  <r>
    <x v="0"/>
    <s v="M"/>
    <d v="1984-06-22T00:00:00"/>
    <n v="41"/>
  </r>
  <r>
    <x v="0"/>
    <s v="M"/>
    <d v="1983-01-21T00:00:00"/>
    <n v="42"/>
  </r>
  <r>
    <x v="0"/>
    <s v="M"/>
    <d v="1961-06-08T00:00:00"/>
    <n v="64"/>
  </r>
  <r>
    <x v="0"/>
    <s v="M"/>
    <d v="1971-03-13T00:00:00"/>
    <n v="54"/>
  </r>
  <r>
    <x v="0"/>
    <s v="M"/>
    <d v="1967-04-08T00:00:00"/>
    <n v="58"/>
  </r>
  <r>
    <x v="0"/>
    <s v="M"/>
    <d v="1962-12-15T00:00:00"/>
    <n v="62"/>
  </r>
  <r>
    <x v="1"/>
    <s v="F"/>
    <d v="1974-01-15T00:00:00"/>
    <n v="51"/>
  </r>
  <r>
    <x v="1"/>
    <s v="F"/>
    <d v="1975-08-29T00:00:00"/>
    <n v="50"/>
  </r>
  <r>
    <x v="0"/>
    <s v="M"/>
    <d v="1969-08-06T00:00:00"/>
    <n v="56"/>
  </r>
  <r>
    <x v="0"/>
    <s v="M"/>
    <d v="1982-03-05T00:00:00"/>
    <n v="43"/>
  </r>
  <r>
    <x v="1"/>
    <s v="F"/>
    <d v="1980-11-08T00:00:00"/>
    <n v="44"/>
  </r>
  <r>
    <x v="1"/>
    <s v="F"/>
    <d v="1975-09-20T00:00:00"/>
    <n v="49"/>
  </r>
  <r>
    <x v="1"/>
    <s v="F"/>
    <d v="1966-05-19T00:00:00"/>
    <n v="59"/>
  </r>
  <r>
    <x v="1"/>
    <s v="F"/>
    <d v="1974-03-06T00:00:00"/>
    <n v="51"/>
  </r>
  <r>
    <x v="1"/>
    <s v="F"/>
    <d v="1971-05-12T00:00:00"/>
    <n v="54"/>
  </r>
  <r>
    <x v="1"/>
    <s v="F"/>
    <d v="1958-12-04T00:00:00"/>
    <n v="66"/>
  </r>
  <r>
    <x v="0"/>
    <s v="M"/>
    <d v="1975-01-16T00:00:00"/>
    <n v="50"/>
  </r>
  <r>
    <x v="0"/>
    <s v="M"/>
    <d v="1976-03-03T00:00:00"/>
    <n v="49"/>
  </r>
  <r>
    <x v="1"/>
    <s v="F"/>
    <d v="1993-11-14T00:00:00"/>
    <n v="31"/>
  </r>
  <r>
    <x v="0"/>
    <s v="M"/>
    <d v="1966-10-25T00:00:00"/>
    <n v="58"/>
  </r>
  <r>
    <x v="0"/>
    <s v="M"/>
    <d v="1953-02-10T00:00:00"/>
    <n v="72"/>
  </r>
  <r>
    <x v="1"/>
    <s v="F"/>
    <d v="1985-04-09T00:00:00"/>
    <n v="40"/>
  </r>
  <r>
    <x v="0"/>
    <s v="M"/>
    <d v="1975-01-28T00:00:00"/>
    <n v="50"/>
  </r>
  <r>
    <x v="0"/>
    <s v="M"/>
    <d v="1982-06-20T00:00:00"/>
    <n v="43"/>
  </r>
  <r>
    <x v="0"/>
    <s v="M"/>
    <d v="1980-07-03T00:00:00"/>
    <n v="45"/>
  </r>
  <r>
    <x v="0"/>
    <s v="M"/>
    <d v="1988-08-04T00:00:00"/>
    <n v="37"/>
  </r>
  <r>
    <x v="0"/>
    <s v="M"/>
    <d v="1983-01-08T00:00:00"/>
    <n v="42"/>
  </r>
  <r>
    <x v="0"/>
    <s v="M"/>
    <d v="1965-05-01T00:00:00"/>
    <n v="60"/>
  </r>
  <r>
    <x v="0"/>
    <s v="M"/>
    <d v="1950-08-31T00:00:00"/>
    <n v="75"/>
  </r>
  <r>
    <x v="0"/>
    <s v="M"/>
    <d v="1987-11-12T00:00:00"/>
    <n v="37"/>
  </r>
  <r>
    <x v="0"/>
    <s v="M"/>
    <d v="1989-02-22T00:00:00"/>
    <n v="36"/>
  </r>
  <r>
    <x v="0"/>
    <s v="M"/>
    <d v="1964-12-17T00:00:00"/>
    <n v="60"/>
  </r>
  <r>
    <x v="0"/>
    <s v="M"/>
    <d v="1964-01-22T00:00:00"/>
    <n v="61"/>
  </r>
  <r>
    <x v="0"/>
    <s v="M"/>
    <d v="1959-03-01T00:00:00"/>
    <n v="66"/>
  </r>
  <r>
    <x v="0"/>
    <s v="M"/>
    <d v="1956-04-08T00:00:00"/>
    <n v="69"/>
  </r>
  <r>
    <x v="0"/>
    <s v="M"/>
    <d v="1985-04-11T00:00:00"/>
    <n v="40"/>
  </r>
  <r>
    <x v="0"/>
    <s v="M"/>
    <d v="1966-01-07T00:00:00"/>
    <n v="59"/>
  </r>
  <r>
    <x v="0"/>
    <s v="M"/>
    <d v="1978-07-31T00:00:00"/>
    <n v="47"/>
  </r>
  <r>
    <x v="0"/>
    <s v="M"/>
    <d v="1959-05-18T00:00:00"/>
    <n v="66"/>
  </r>
  <r>
    <x v="0"/>
    <s v="M"/>
    <d v="1972-11-29T00:00:00"/>
    <n v="52"/>
  </r>
  <r>
    <x v="0"/>
    <s v="M"/>
    <d v="1954-03-08T00:00:00"/>
    <n v="71"/>
  </r>
  <r>
    <x v="0"/>
    <s v="M"/>
    <d v="1971-05-31T00:00:00"/>
    <n v="54"/>
  </r>
  <r>
    <x v="0"/>
    <s v="M"/>
    <d v="1975-08-24T00:00:00"/>
    <n v="50"/>
  </r>
  <r>
    <x v="0"/>
    <s v="M"/>
    <d v="1959-05-19T00:00:00"/>
    <n v="66"/>
  </r>
  <r>
    <x v="0"/>
    <s v="M"/>
    <d v="1968-11-23T00:00:00"/>
    <n v="56"/>
  </r>
  <r>
    <x v="0"/>
    <s v="M"/>
    <d v="1957-06-10T00:00:00"/>
    <n v="68"/>
  </r>
  <r>
    <x v="0"/>
    <s v="M"/>
    <d v="1977-08-11T00:00:00"/>
    <n v="48"/>
  </r>
  <r>
    <x v="1"/>
    <s v="F"/>
    <d v="1994-04-25T00:00:00"/>
    <n v="31"/>
  </r>
  <r>
    <x v="0"/>
    <s v="M"/>
    <d v="1988-05-31T00:00:00"/>
    <n v="37"/>
  </r>
  <r>
    <x v="0"/>
    <s v="M"/>
    <d v="1966-03-18T00:00:00"/>
    <n v="59"/>
  </r>
  <r>
    <x v="0"/>
    <s v="M"/>
    <d v="1982-03-22T00:00:00"/>
    <n v="43"/>
  </r>
  <r>
    <x v="0"/>
    <s v="M"/>
    <d v="1964-03-30T00:00:00"/>
    <n v="61"/>
  </r>
  <r>
    <x v="0"/>
    <s v="M"/>
    <d v="1963-05-11T00:00:00"/>
    <n v="62"/>
  </r>
  <r>
    <x v="0"/>
    <s v="M"/>
    <d v="1988-07-22T00:00:00"/>
    <n v="37"/>
  </r>
  <r>
    <x v="0"/>
    <s v="M"/>
    <d v="1984-11-01T00:00:00"/>
    <n v="40"/>
  </r>
  <r>
    <x v="0"/>
    <s v="M"/>
    <d v="1978-06-21T00:00:00"/>
    <n v="47"/>
  </r>
  <r>
    <x v="0"/>
    <s v="M"/>
    <d v="1966-05-28T00:00:00"/>
    <n v="59"/>
  </r>
  <r>
    <x v="0"/>
    <s v="M"/>
    <d v="1974-03-09T00:00:00"/>
    <n v="51"/>
  </r>
  <r>
    <x v="2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x v="0"/>
    <x v="0"/>
  </r>
  <r>
    <x v="1"/>
    <x v="0"/>
  </r>
  <r>
    <x v="2"/>
    <x v="0"/>
  </r>
  <r>
    <x v="3"/>
    <x v="0"/>
  </r>
  <r>
    <x v="4"/>
    <x v="0"/>
  </r>
  <r>
    <x v="5"/>
    <x v="1"/>
  </r>
  <r>
    <x v="6"/>
    <x v="0"/>
  </r>
  <r>
    <x v="3"/>
    <x v="0"/>
  </r>
  <r>
    <x v="4"/>
    <x v="0"/>
  </r>
  <r>
    <x v="7"/>
    <x v="0"/>
  </r>
  <r>
    <x v="7"/>
    <x v="0"/>
  </r>
  <r>
    <x v="8"/>
    <x v="0"/>
  </r>
  <r>
    <x v="7"/>
    <x v="0"/>
  </r>
  <r>
    <x v="9"/>
    <x v="0"/>
  </r>
  <r>
    <x v="10"/>
    <x v="0"/>
  </r>
  <r>
    <x v="5"/>
    <x v="0"/>
  </r>
  <r>
    <x v="9"/>
    <x v="0"/>
  </r>
  <r>
    <x v="7"/>
    <x v="0"/>
  </r>
  <r>
    <x v="5"/>
    <x v="0"/>
  </r>
  <r>
    <x v="5"/>
    <x v="0"/>
  </r>
  <r>
    <x v="4"/>
    <x v="0"/>
  </r>
  <r>
    <x v="11"/>
    <x v="0"/>
  </r>
  <r>
    <x v="5"/>
    <x v="0"/>
  </r>
  <r>
    <x v="7"/>
    <x v="0"/>
  </r>
  <r>
    <x v="5"/>
    <x v="0"/>
  </r>
  <r>
    <x v="12"/>
    <x v="0"/>
  </r>
  <r>
    <x v="13"/>
    <x v="0"/>
  </r>
  <r>
    <x v="4"/>
    <x v="1"/>
  </r>
  <r>
    <x v="14"/>
    <x v="0"/>
  </r>
  <r>
    <x v="1"/>
    <x v="1"/>
  </r>
  <r>
    <x v="15"/>
    <x v="0"/>
  </r>
  <r>
    <x v="16"/>
    <x v="0"/>
  </r>
  <r>
    <x v="3"/>
    <x v="0"/>
  </r>
  <r>
    <x v="5"/>
    <x v="1"/>
  </r>
  <r>
    <x v="17"/>
    <x v="1"/>
  </r>
  <r>
    <x v="18"/>
    <x v="0"/>
  </r>
  <r>
    <x v="19"/>
    <x v="0"/>
  </r>
  <r>
    <x v="3"/>
    <x v="1"/>
  </r>
  <r>
    <x v="14"/>
    <x v="1"/>
  </r>
  <r>
    <x v="3"/>
    <x v="1"/>
  </r>
  <r>
    <x v="15"/>
    <x v="0"/>
  </r>
  <r>
    <x v="9"/>
    <x v="0"/>
  </r>
  <r>
    <x v="19"/>
    <x v="0"/>
  </r>
  <r>
    <x v="9"/>
    <x v="0"/>
  </r>
  <r>
    <x v="17"/>
    <x v="0"/>
  </r>
  <r>
    <x v="3"/>
    <x v="0"/>
  </r>
  <r>
    <x v="15"/>
    <x v="1"/>
  </r>
  <r>
    <x v="20"/>
    <x v="1"/>
  </r>
  <r>
    <x v="11"/>
    <x v="0"/>
  </r>
  <r>
    <x v="4"/>
    <x v="0"/>
  </r>
  <r>
    <x v="5"/>
    <x v="0"/>
  </r>
  <r>
    <x v="4"/>
    <x v="0"/>
  </r>
  <r>
    <x v="7"/>
    <x v="1"/>
  </r>
  <r>
    <x v="5"/>
    <x v="0"/>
  </r>
  <r>
    <x v="5"/>
    <x v="0"/>
  </r>
  <r>
    <x v="13"/>
    <x v="0"/>
  </r>
  <r>
    <x v="4"/>
    <x v="0"/>
  </r>
  <r>
    <x v="2"/>
    <x v="0"/>
  </r>
  <r>
    <x v="12"/>
    <x v="0"/>
  </r>
  <r>
    <x v="19"/>
    <x v="0"/>
  </r>
  <r>
    <x v="15"/>
    <x v="0"/>
  </r>
  <r>
    <x v="16"/>
    <x v="0"/>
  </r>
  <r>
    <x v="4"/>
    <x v="0"/>
  </r>
  <r>
    <x v="5"/>
    <x v="0"/>
  </r>
  <r>
    <x v="16"/>
    <x v="0"/>
  </r>
  <r>
    <x v="3"/>
    <x v="0"/>
  </r>
  <r>
    <x v="16"/>
    <x v="1"/>
  </r>
  <r>
    <x v="21"/>
    <x v="0"/>
  </r>
  <r>
    <x v="22"/>
    <x v="0"/>
  </r>
  <r>
    <x v="14"/>
    <x v="0"/>
  </r>
  <r>
    <x v="14"/>
    <x v="0"/>
  </r>
  <r>
    <x v="16"/>
    <x v="1"/>
  </r>
  <r>
    <x v="7"/>
    <x v="0"/>
  </r>
  <r>
    <x v="7"/>
    <x v="0"/>
  </r>
  <r>
    <x v="10"/>
    <x v="0"/>
  </r>
  <r>
    <x v="3"/>
    <x v="0"/>
  </r>
  <r>
    <x v="5"/>
    <x v="0"/>
  </r>
  <r>
    <x v="8"/>
    <x v="0"/>
  </r>
  <r>
    <x v="16"/>
    <x v="0"/>
  </r>
  <r>
    <x v="22"/>
    <x v="1"/>
  </r>
  <r>
    <x v="9"/>
    <x v="0"/>
  </r>
  <r>
    <x v="4"/>
    <x v="0"/>
  </r>
  <r>
    <x v="5"/>
    <x v="0"/>
  </r>
  <r>
    <x v="10"/>
    <x v="0"/>
  </r>
  <r>
    <x v="5"/>
    <x v="1"/>
  </r>
  <r>
    <x v="15"/>
    <x v="1"/>
  </r>
  <r>
    <x v="5"/>
    <x v="1"/>
  </r>
  <r>
    <x v="23"/>
    <x v="0"/>
  </r>
  <r>
    <x v="4"/>
    <x v="0"/>
  </r>
  <r>
    <x v="6"/>
    <x v="0"/>
  </r>
  <r>
    <x v="16"/>
    <x v="0"/>
  </r>
  <r>
    <x v="5"/>
    <x v="0"/>
  </r>
  <r>
    <x v="19"/>
    <x v="0"/>
  </r>
  <r>
    <x v="5"/>
    <x v="0"/>
  </r>
  <r>
    <x v="23"/>
    <x v="1"/>
  </r>
  <r>
    <x v="14"/>
    <x v="1"/>
  </r>
  <r>
    <x v="23"/>
    <x v="1"/>
  </r>
  <r>
    <x v="12"/>
    <x v="0"/>
  </r>
  <r>
    <x v="5"/>
    <x v="1"/>
  </r>
  <r>
    <x v="6"/>
    <x v="0"/>
  </r>
  <r>
    <x v="9"/>
    <x v="0"/>
  </r>
  <r>
    <x v="5"/>
    <x v="0"/>
  </r>
  <r>
    <x v="15"/>
    <x v="0"/>
  </r>
  <r>
    <x v="4"/>
    <x v="0"/>
  </r>
  <r>
    <x v="4"/>
    <x v="0"/>
  </r>
  <r>
    <x v="16"/>
    <x v="0"/>
  </r>
  <r>
    <x v="16"/>
    <x v="0"/>
  </r>
  <r>
    <x v="16"/>
    <x v="1"/>
  </r>
  <r>
    <x v="19"/>
    <x v="1"/>
  </r>
  <r>
    <x v="4"/>
    <x v="0"/>
  </r>
  <r>
    <x v="17"/>
    <x v="0"/>
  </r>
  <r>
    <x v="19"/>
    <x v="0"/>
  </r>
  <r>
    <x v="23"/>
    <x v="0"/>
  </r>
  <r>
    <x v="16"/>
    <x v="0"/>
  </r>
  <r>
    <x v="0"/>
    <x v="0"/>
  </r>
  <r>
    <x v="2"/>
    <x v="0"/>
  </r>
  <r>
    <x v="0"/>
    <x v="1"/>
  </r>
  <r>
    <x v="19"/>
    <x v="0"/>
  </r>
  <r>
    <x v="5"/>
    <x v="0"/>
  </r>
  <r>
    <x v="5"/>
    <x v="0"/>
  </r>
  <r>
    <x v="20"/>
    <x v="0"/>
  </r>
  <r>
    <x v="7"/>
    <x v="0"/>
  </r>
  <r>
    <x v="24"/>
    <x v="1"/>
  </r>
  <r>
    <x v="18"/>
    <x v="0"/>
  </r>
  <r>
    <x v="5"/>
    <x v="0"/>
  </r>
  <r>
    <x v="7"/>
    <x v="1"/>
  </r>
  <r>
    <x v="4"/>
    <x v="0"/>
  </r>
  <r>
    <x v="8"/>
    <x v="0"/>
  </r>
  <r>
    <x v="3"/>
    <x v="1"/>
  </r>
  <r>
    <x v="16"/>
    <x v="1"/>
  </r>
  <r>
    <x v="3"/>
    <x v="0"/>
  </r>
  <r>
    <x v="4"/>
    <x v="0"/>
  </r>
  <r>
    <x v="13"/>
    <x v="0"/>
  </r>
  <r>
    <x v="23"/>
    <x v="0"/>
  </r>
  <r>
    <x v="5"/>
    <x v="0"/>
  </r>
  <r>
    <x v="7"/>
    <x v="0"/>
  </r>
  <r>
    <x v="16"/>
    <x v="1"/>
  </r>
  <r>
    <x v="23"/>
    <x v="1"/>
  </r>
  <r>
    <x v="9"/>
    <x v="0"/>
  </r>
  <r>
    <x v="7"/>
    <x v="0"/>
  </r>
  <r>
    <x v="14"/>
    <x v="0"/>
  </r>
  <r>
    <x v="16"/>
    <x v="0"/>
  </r>
  <r>
    <x v="9"/>
    <x v="1"/>
  </r>
  <r>
    <x v="25"/>
    <x v="0"/>
  </r>
  <r>
    <x v="6"/>
    <x v="1"/>
  </r>
  <r>
    <x v="3"/>
    <x v="1"/>
  </r>
  <r>
    <x v="10"/>
    <x v="1"/>
  </r>
  <r>
    <x v="5"/>
    <x v="0"/>
  </r>
  <r>
    <x v="6"/>
    <x v="0"/>
  </r>
  <r>
    <x v="5"/>
    <x v="0"/>
  </r>
  <r>
    <x v="15"/>
    <x v="0"/>
  </r>
  <r>
    <x v="19"/>
    <x v="0"/>
  </r>
  <r>
    <x v="3"/>
    <x v="0"/>
  </r>
  <r>
    <x v="5"/>
    <x v="0"/>
  </r>
  <r>
    <x v="5"/>
    <x v="0"/>
  </r>
  <r>
    <x v="5"/>
    <x v="0"/>
  </r>
  <r>
    <x v="16"/>
    <x v="0"/>
  </r>
  <r>
    <x v="3"/>
    <x v="0"/>
  </r>
  <r>
    <x v="14"/>
    <x v="0"/>
  </r>
  <r>
    <x v="7"/>
    <x v="1"/>
  </r>
  <r>
    <x v="9"/>
    <x v="1"/>
  </r>
  <r>
    <x v="3"/>
    <x v="0"/>
  </r>
  <r>
    <x v="4"/>
    <x v="0"/>
  </r>
  <r>
    <x v="14"/>
    <x v="0"/>
  </r>
  <r>
    <x v="7"/>
    <x v="0"/>
  </r>
  <r>
    <x v="15"/>
    <x v="1"/>
  </r>
  <r>
    <x v="16"/>
    <x v="0"/>
  </r>
  <r>
    <x v="8"/>
    <x v="0"/>
  </r>
  <r>
    <x v="9"/>
    <x v="0"/>
  </r>
  <r>
    <x v="3"/>
    <x v="0"/>
  </r>
  <r>
    <x v="1"/>
    <x v="0"/>
  </r>
  <r>
    <x v="5"/>
    <x v="0"/>
  </r>
  <r>
    <x v="16"/>
    <x v="0"/>
  </r>
  <r>
    <x v="19"/>
    <x v="0"/>
  </r>
  <r>
    <x v="3"/>
    <x v="0"/>
  </r>
  <r>
    <x v="14"/>
    <x v="0"/>
  </r>
  <r>
    <x v="16"/>
    <x v="0"/>
  </r>
  <r>
    <x v="6"/>
    <x v="0"/>
  </r>
  <r>
    <x v="12"/>
    <x v="0"/>
  </r>
  <r>
    <x v="16"/>
    <x v="0"/>
  </r>
  <r>
    <x v="17"/>
    <x v="0"/>
  </r>
  <r>
    <x v="6"/>
    <x v="0"/>
  </r>
  <r>
    <x v="9"/>
    <x v="0"/>
  </r>
  <r>
    <x v="22"/>
    <x v="0"/>
  </r>
  <r>
    <x v="17"/>
    <x v="0"/>
  </r>
  <r>
    <x v="18"/>
    <x v="0"/>
  </r>
  <r>
    <x v="6"/>
    <x v="0"/>
  </r>
  <r>
    <x v="15"/>
    <x v="1"/>
  </r>
  <r>
    <x v="9"/>
    <x v="1"/>
  </r>
  <r>
    <x v="3"/>
    <x v="0"/>
  </r>
  <r>
    <x v="16"/>
    <x v="0"/>
  </r>
  <r>
    <x v="2"/>
    <x v="0"/>
  </r>
  <r>
    <x v="3"/>
    <x v="1"/>
  </r>
  <r>
    <x v="9"/>
    <x v="0"/>
  </r>
  <r>
    <x v="16"/>
    <x v="0"/>
  </r>
  <r>
    <x v="19"/>
    <x v="0"/>
  </r>
  <r>
    <x v="20"/>
    <x v="0"/>
  </r>
  <r>
    <x v="15"/>
    <x v="1"/>
  </r>
  <r>
    <x v="6"/>
    <x v="0"/>
  </r>
  <r>
    <x v="9"/>
    <x v="1"/>
  </r>
  <r>
    <x v="4"/>
    <x v="1"/>
  </r>
  <r>
    <x v="8"/>
    <x v="1"/>
  </r>
  <r>
    <x v="4"/>
    <x v="0"/>
  </r>
  <r>
    <x v="5"/>
    <x v="1"/>
  </r>
  <r>
    <x v="0"/>
    <x v="0"/>
  </r>
  <r>
    <x v="3"/>
    <x v="0"/>
  </r>
  <r>
    <x v="9"/>
    <x v="1"/>
  </r>
  <r>
    <x v="16"/>
    <x v="1"/>
  </r>
  <r>
    <x v="14"/>
    <x v="0"/>
  </r>
  <r>
    <x v="19"/>
    <x v="0"/>
  </r>
  <r>
    <x v="5"/>
    <x v="1"/>
  </r>
  <r>
    <x v="9"/>
    <x v="1"/>
  </r>
  <r>
    <x v="3"/>
    <x v="0"/>
  </r>
  <r>
    <x v="3"/>
    <x v="0"/>
  </r>
  <r>
    <x v="9"/>
    <x v="0"/>
  </r>
  <r>
    <x v="18"/>
    <x v="0"/>
  </r>
  <r>
    <x v="26"/>
    <x v="0"/>
  </r>
  <r>
    <x v="10"/>
    <x v="0"/>
  </r>
  <r>
    <x v="17"/>
    <x v="0"/>
  </r>
  <r>
    <x v="10"/>
    <x v="0"/>
  </r>
  <r>
    <x v="23"/>
    <x v="0"/>
  </r>
  <r>
    <x v="5"/>
    <x v="0"/>
  </r>
  <r>
    <x v="5"/>
    <x v="0"/>
  </r>
  <r>
    <x v="2"/>
    <x v="0"/>
  </r>
  <r>
    <x v="5"/>
    <x v="0"/>
  </r>
  <r>
    <x v="19"/>
    <x v="0"/>
  </r>
  <r>
    <x v="14"/>
    <x v="0"/>
  </r>
  <r>
    <x v="3"/>
    <x v="0"/>
  </r>
  <r>
    <x v="4"/>
    <x v="0"/>
  </r>
  <r>
    <x v="7"/>
    <x v="1"/>
  </r>
  <r>
    <x v="9"/>
    <x v="1"/>
  </r>
  <r>
    <x v="19"/>
    <x v="0"/>
  </r>
  <r>
    <x v="3"/>
    <x v="0"/>
  </r>
  <r>
    <x v="19"/>
    <x v="0"/>
  </r>
  <r>
    <x v="19"/>
    <x v="0"/>
  </r>
  <r>
    <x v="14"/>
    <x v="0"/>
  </r>
  <r>
    <x v="6"/>
    <x v="0"/>
  </r>
  <r>
    <x v="3"/>
    <x v="1"/>
  </r>
  <r>
    <x v="0"/>
    <x v="1"/>
  </r>
  <r>
    <x v="9"/>
    <x v="0"/>
  </r>
  <r>
    <x v="12"/>
    <x v="0"/>
  </r>
  <r>
    <x v="7"/>
    <x v="1"/>
  </r>
  <r>
    <x v="3"/>
    <x v="0"/>
  </r>
  <r>
    <x v="26"/>
    <x v="0"/>
  </r>
  <r>
    <x v="25"/>
    <x v="0"/>
  </r>
  <r>
    <x v="19"/>
    <x v="0"/>
  </r>
  <r>
    <x v="9"/>
    <x v="0"/>
  </r>
  <r>
    <x v="16"/>
    <x v="0"/>
  </r>
  <r>
    <x v="23"/>
    <x v="1"/>
  </r>
  <r>
    <x v="23"/>
    <x v="0"/>
  </r>
  <r>
    <x v="3"/>
    <x v="0"/>
  </r>
  <r>
    <x v="20"/>
    <x v="0"/>
  </r>
  <r>
    <x v="5"/>
    <x v="0"/>
  </r>
  <r>
    <x v="14"/>
    <x v="0"/>
  </r>
  <r>
    <x v="5"/>
    <x v="0"/>
  </r>
  <r>
    <x v="5"/>
    <x v="0"/>
  </r>
  <r>
    <x v="16"/>
    <x v="0"/>
  </r>
  <r>
    <x v="23"/>
    <x v="0"/>
  </r>
  <r>
    <x v="17"/>
    <x v="0"/>
  </r>
  <r>
    <x v="6"/>
    <x v="0"/>
  </r>
  <r>
    <x v="7"/>
    <x v="0"/>
  </r>
  <r>
    <x v="0"/>
    <x v="1"/>
  </r>
  <r>
    <x v="16"/>
    <x v="0"/>
  </r>
  <r>
    <x v="3"/>
    <x v="1"/>
  </r>
  <r>
    <x v="6"/>
    <x v="0"/>
  </r>
  <r>
    <x v="14"/>
    <x v="1"/>
  </r>
  <r>
    <x v="3"/>
    <x v="1"/>
  </r>
  <r>
    <x v="5"/>
    <x v="0"/>
  </r>
  <r>
    <x v="5"/>
    <x v="0"/>
  </r>
  <r>
    <x v="19"/>
    <x v="0"/>
  </r>
  <r>
    <x v="6"/>
    <x v="0"/>
  </r>
  <r>
    <x v="10"/>
    <x v="0"/>
  </r>
  <r>
    <x v="16"/>
    <x v="0"/>
  </r>
  <r>
    <x v="7"/>
    <x v="0"/>
  </r>
  <r>
    <x v="18"/>
    <x v="0"/>
  </r>
  <r>
    <x v="11"/>
    <x v="1"/>
  </r>
  <r>
    <x v="15"/>
    <x v="0"/>
  </r>
  <r>
    <x v="16"/>
    <x v="0"/>
  </r>
  <r>
    <x v="15"/>
    <x v="0"/>
  </r>
  <r>
    <x v="12"/>
    <x v="0"/>
  </r>
  <r>
    <x v="3"/>
    <x v="0"/>
  </r>
  <r>
    <x v="4"/>
    <x v="0"/>
  </r>
  <r>
    <x v="17"/>
    <x v="0"/>
  </r>
  <r>
    <x v="3"/>
    <x v="0"/>
  </r>
  <r>
    <x v="8"/>
    <x v="0"/>
  </r>
  <r>
    <x v="10"/>
    <x v="0"/>
  </r>
  <r>
    <x v="9"/>
    <x v="0"/>
  </r>
  <r>
    <x v="3"/>
    <x v="0"/>
  </r>
  <r>
    <x v="23"/>
    <x v="0"/>
  </r>
  <r>
    <x v="13"/>
    <x v="0"/>
  </r>
  <r>
    <x v="9"/>
    <x v="0"/>
  </r>
  <r>
    <x v="5"/>
    <x v="0"/>
  </r>
  <r>
    <x v="4"/>
    <x v="1"/>
  </r>
  <r>
    <x v="19"/>
    <x v="1"/>
  </r>
  <r>
    <x v="18"/>
    <x v="1"/>
  </r>
  <r>
    <x v="12"/>
    <x v="0"/>
  </r>
  <r>
    <x v="14"/>
    <x v="1"/>
  </r>
  <r>
    <x v="6"/>
    <x v="0"/>
  </r>
  <r>
    <x v="5"/>
    <x v="0"/>
  </r>
  <r>
    <x v="25"/>
    <x v="0"/>
  </r>
  <r>
    <x v="14"/>
    <x v="0"/>
  </r>
  <r>
    <x v="4"/>
    <x v="0"/>
  </r>
  <r>
    <x v="5"/>
    <x v="0"/>
  </r>
  <r>
    <x v="23"/>
    <x v="0"/>
  </r>
  <r>
    <x v="19"/>
    <x v="0"/>
  </r>
  <r>
    <x v="8"/>
    <x v="0"/>
  </r>
  <r>
    <x v="15"/>
    <x v="0"/>
  </r>
  <r>
    <x v="3"/>
    <x v="0"/>
  </r>
  <r>
    <x v="16"/>
    <x v="0"/>
  </r>
  <r>
    <x v="3"/>
    <x v="0"/>
  </r>
  <r>
    <x v="23"/>
    <x v="0"/>
  </r>
  <r>
    <x v="4"/>
    <x v="0"/>
  </r>
  <r>
    <x v="9"/>
    <x v="0"/>
  </r>
  <r>
    <x v="9"/>
    <x v="0"/>
  </r>
  <r>
    <x v="21"/>
    <x v="0"/>
  </r>
  <r>
    <x v="3"/>
    <x v="0"/>
  </r>
  <r>
    <x v="15"/>
    <x v="0"/>
  </r>
  <r>
    <x v="4"/>
    <x v="0"/>
  </r>
  <r>
    <x v="4"/>
    <x v="0"/>
  </r>
  <r>
    <x v="1"/>
    <x v="0"/>
  </r>
  <r>
    <x v="19"/>
    <x v="0"/>
  </r>
  <r>
    <x v="9"/>
    <x v="0"/>
  </r>
  <r>
    <x v="15"/>
    <x v="0"/>
  </r>
  <r>
    <x v="14"/>
    <x v="0"/>
  </r>
  <r>
    <x v="23"/>
    <x v="1"/>
  </r>
  <r>
    <x v="5"/>
    <x v="1"/>
  </r>
  <r>
    <x v="14"/>
    <x v="1"/>
  </r>
  <r>
    <x v="12"/>
    <x v="0"/>
  </r>
  <r>
    <x v="12"/>
    <x v="0"/>
  </r>
  <r>
    <x v="5"/>
    <x v="0"/>
  </r>
  <r>
    <x v="16"/>
    <x v="0"/>
  </r>
  <r>
    <x v="12"/>
    <x v="0"/>
  </r>
  <r>
    <x v="16"/>
    <x v="0"/>
  </r>
  <r>
    <x v="3"/>
    <x v="0"/>
  </r>
  <r>
    <x v="15"/>
    <x v="0"/>
  </r>
  <r>
    <x v="17"/>
    <x v="0"/>
  </r>
  <r>
    <x v="9"/>
    <x v="0"/>
  </r>
  <r>
    <x v="17"/>
    <x v="0"/>
  </r>
  <r>
    <x v="3"/>
    <x v="1"/>
  </r>
  <r>
    <x v="15"/>
    <x v="0"/>
  </r>
  <r>
    <x v="5"/>
    <x v="0"/>
  </r>
  <r>
    <x v="5"/>
    <x v="0"/>
  </r>
  <r>
    <x v="3"/>
    <x v="0"/>
  </r>
  <r>
    <x v="16"/>
    <x v="1"/>
  </r>
  <r>
    <x v="17"/>
    <x v="0"/>
  </r>
  <r>
    <x v="14"/>
    <x v="1"/>
  </r>
  <r>
    <x v="5"/>
    <x v="0"/>
  </r>
  <r>
    <x v="3"/>
    <x v="1"/>
  </r>
  <r>
    <x v="14"/>
    <x v="1"/>
  </r>
  <r>
    <x v="4"/>
    <x v="0"/>
  </r>
  <r>
    <x v="26"/>
    <x v="0"/>
  </r>
  <r>
    <x v="3"/>
    <x v="0"/>
  </r>
  <r>
    <x v="9"/>
    <x v="0"/>
  </r>
  <r>
    <x v="4"/>
    <x v="0"/>
  </r>
  <r>
    <x v="4"/>
    <x v="1"/>
  </r>
  <r>
    <x v="3"/>
    <x v="0"/>
  </r>
  <r>
    <x v="8"/>
    <x v="0"/>
  </r>
  <r>
    <x v="5"/>
    <x v="1"/>
  </r>
  <r>
    <x v="19"/>
    <x v="0"/>
  </r>
  <r>
    <x v="7"/>
    <x v="0"/>
  </r>
  <r>
    <x v="14"/>
    <x v="0"/>
  </r>
  <r>
    <x v="13"/>
    <x v="0"/>
  </r>
  <r>
    <x v="7"/>
    <x v="0"/>
  </r>
  <r>
    <x v="19"/>
    <x v="0"/>
  </r>
  <r>
    <x v="14"/>
    <x v="0"/>
  </r>
  <r>
    <x v="17"/>
    <x v="0"/>
  </r>
  <r>
    <x v="16"/>
    <x v="0"/>
  </r>
  <r>
    <x v="0"/>
    <x v="0"/>
  </r>
  <r>
    <x v="17"/>
    <x v="1"/>
  </r>
  <r>
    <x v="16"/>
    <x v="0"/>
  </r>
  <r>
    <x v="3"/>
    <x v="0"/>
  </r>
  <r>
    <x v="14"/>
    <x v="1"/>
  </r>
  <r>
    <x v="16"/>
    <x v="0"/>
  </r>
  <r>
    <x v="23"/>
    <x v="0"/>
  </r>
  <r>
    <x v="14"/>
    <x v="0"/>
  </r>
  <r>
    <x v="5"/>
    <x v="0"/>
  </r>
  <r>
    <x v="8"/>
    <x v="0"/>
  </r>
  <r>
    <x v="3"/>
    <x v="0"/>
  </r>
  <r>
    <x v="23"/>
    <x v="0"/>
  </r>
  <r>
    <x v="16"/>
    <x v="0"/>
  </r>
  <r>
    <x v="16"/>
    <x v="0"/>
  </r>
  <r>
    <x v="5"/>
    <x v="0"/>
  </r>
  <r>
    <x v="14"/>
    <x v="0"/>
  </r>
  <r>
    <x v="16"/>
    <x v="0"/>
  </r>
  <r>
    <x v="8"/>
    <x v="1"/>
  </r>
  <r>
    <x v="9"/>
    <x v="1"/>
  </r>
  <r>
    <x v="19"/>
    <x v="0"/>
  </r>
  <r>
    <x v="5"/>
    <x v="1"/>
  </r>
  <r>
    <x v="5"/>
    <x v="0"/>
  </r>
  <r>
    <x v="7"/>
    <x v="0"/>
  </r>
  <r>
    <x v="3"/>
    <x v="0"/>
  </r>
  <r>
    <x v="16"/>
    <x v="0"/>
  </r>
  <r>
    <x v="16"/>
    <x v="0"/>
  </r>
  <r>
    <x v="5"/>
    <x v="0"/>
  </r>
  <r>
    <x v="7"/>
    <x v="0"/>
  </r>
  <r>
    <x v="16"/>
    <x v="0"/>
  </r>
  <r>
    <x v="5"/>
    <x v="0"/>
  </r>
  <r>
    <x v="7"/>
    <x v="0"/>
  </r>
  <r>
    <x v="6"/>
    <x v="0"/>
  </r>
  <r>
    <x v="7"/>
    <x v="0"/>
  </r>
  <r>
    <x v="17"/>
    <x v="0"/>
  </r>
  <r>
    <x v="16"/>
    <x v="0"/>
  </r>
  <r>
    <x v="5"/>
    <x v="0"/>
  </r>
  <r>
    <x v="5"/>
    <x v="0"/>
  </r>
  <r>
    <x v="7"/>
    <x v="0"/>
  </r>
  <r>
    <x v="12"/>
    <x v="0"/>
  </r>
  <r>
    <x v="18"/>
    <x v="0"/>
  </r>
  <r>
    <x v="22"/>
    <x v="0"/>
  </r>
  <r>
    <x v="16"/>
    <x v="0"/>
  </r>
  <r>
    <x v="16"/>
    <x v="0"/>
  </r>
  <r>
    <x v="19"/>
    <x v="1"/>
  </r>
  <r>
    <x v="7"/>
    <x v="1"/>
  </r>
  <r>
    <x v="16"/>
    <x v="1"/>
  </r>
  <r>
    <x v="17"/>
    <x v="1"/>
  </r>
  <r>
    <x v="20"/>
    <x v="1"/>
  </r>
  <r>
    <x v="16"/>
    <x v="0"/>
  </r>
  <r>
    <x v="3"/>
    <x v="0"/>
  </r>
  <r>
    <x v="4"/>
    <x v="0"/>
  </r>
  <r>
    <x v="17"/>
    <x v="0"/>
  </r>
  <r>
    <x v="6"/>
    <x v="1"/>
  </r>
  <r>
    <x v="13"/>
    <x v="0"/>
  </r>
  <r>
    <x v="15"/>
    <x v="0"/>
  </r>
  <r>
    <x v="24"/>
    <x v="0"/>
  </r>
  <r>
    <x v="3"/>
    <x v="0"/>
  </r>
  <r>
    <x v="7"/>
    <x v="0"/>
  </r>
  <r>
    <x v="5"/>
    <x v="0"/>
  </r>
  <r>
    <x v="9"/>
    <x v="0"/>
  </r>
  <r>
    <x v="16"/>
    <x v="0"/>
  </r>
  <r>
    <x v="24"/>
    <x v="1"/>
  </r>
  <r>
    <x v="19"/>
    <x v="0"/>
  </r>
  <r>
    <x v="12"/>
    <x v="0"/>
  </r>
  <r>
    <x v="8"/>
    <x v="0"/>
  </r>
  <r>
    <x v="4"/>
    <x v="0"/>
  </r>
  <r>
    <x v="3"/>
    <x v="0"/>
  </r>
  <r>
    <x v="5"/>
    <x v="0"/>
  </r>
  <r>
    <x v="5"/>
    <x v="0"/>
  </r>
  <r>
    <x v="3"/>
    <x v="0"/>
  </r>
  <r>
    <x v="3"/>
    <x v="1"/>
  </r>
  <r>
    <x v="5"/>
    <x v="0"/>
  </r>
  <r>
    <x v="9"/>
    <x v="0"/>
  </r>
  <r>
    <x v="16"/>
    <x v="0"/>
  </r>
  <r>
    <x v="8"/>
    <x v="0"/>
  </r>
  <r>
    <x v="21"/>
    <x v="1"/>
  </r>
  <r>
    <x v="9"/>
    <x v="0"/>
  </r>
  <r>
    <x v="9"/>
    <x v="0"/>
  </r>
  <r>
    <x v="5"/>
    <x v="0"/>
  </r>
  <r>
    <x v="3"/>
    <x v="1"/>
  </r>
  <r>
    <x v="4"/>
    <x v="0"/>
  </r>
  <r>
    <x v="14"/>
    <x v="0"/>
  </r>
  <r>
    <x v="3"/>
    <x v="0"/>
  </r>
  <r>
    <x v="7"/>
    <x v="0"/>
  </r>
  <r>
    <x v="3"/>
    <x v="0"/>
  </r>
  <r>
    <x v="7"/>
    <x v="0"/>
  </r>
  <r>
    <x v="10"/>
    <x v="0"/>
  </r>
  <r>
    <x v="5"/>
    <x v="0"/>
  </r>
  <r>
    <x v="15"/>
    <x v="0"/>
  </r>
  <r>
    <x v="4"/>
    <x v="0"/>
  </r>
  <r>
    <x v="7"/>
    <x v="0"/>
  </r>
  <r>
    <x v="16"/>
    <x v="0"/>
  </r>
  <r>
    <x v="16"/>
    <x v="0"/>
  </r>
  <r>
    <x v="4"/>
    <x v="0"/>
  </r>
  <r>
    <x v="14"/>
    <x v="0"/>
  </r>
  <r>
    <x v="3"/>
    <x v="0"/>
  </r>
  <r>
    <x v="6"/>
    <x v="0"/>
  </r>
  <r>
    <x v="25"/>
    <x v="0"/>
  </r>
  <r>
    <x v="5"/>
    <x v="0"/>
  </r>
  <r>
    <x v="17"/>
    <x v="0"/>
  </r>
  <r>
    <x v="16"/>
    <x v="0"/>
  </r>
  <r>
    <x v="4"/>
    <x v="0"/>
  </r>
  <r>
    <x v="3"/>
    <x v="0"/>
  </r>
  <r>
    <x v="2"/>
    <x v="0"/>
  </r>
  <r>
    <x v="19"/>
    <x v="0"/>
  </r>
  <r>
    <x v="14"/>
    <x v="0"/>
  </r>
  <r>
    <x v="21"/>
    <x v="0"/>
  </r>
  <r>
    <x v="3"/>
    <x v="0"/>
  </r>
  <r>
    <x v="5"/>
    <x v="0"/>
  </r>
  <r>
    <x v="4"/>
    <x v="0"/>
  </r>
  <r>
    <x v="18"/>
    <x v="0"/>
  </r>
  <r>
    <x v="5"/>
    <x v="0"/>
  </r>
  <r>
    <x v="3"/>
    <x v="0"/>
  </r>
  <r>
    <x v="15"/>
    <x v="0"/>
  </r>
  <r>
    <x v="14"/>
    <x v="0"/>
  </r>
  <r>
    <x v="4"/>
    <x v="0"/>
  </r>
  <r>
    <x v="17"/>
    <x v="0"/>
  </r>
  <r>
    <x v="7"/>
    <x v="0"/>
  </r>
  <r>
    <x v="5"/>
    <x v="0"/>
  </r>
  <r>
    <x v="3"/>
    <x v="0"/>
  </r>
  <r>
    <x v="19"/>
    <x v="0"/>
  </r>
  <r>
    <x v="17"/>
    <x v="0"/>
  </r>
  <r>
    <x v="17"/>
    <x v="0"/>
  </r>
  <r>
    <x v="14"/>
    <x v="0"/>
  </r>
  <r>
    <x v="16"/>
    <x v="0"/>
  </r>
  <r>
    <x v="3"/>
    <x v="0"/>
  </r>
  <r>
    <x v="23"/>
    <x v="0"/>
  </r>
  <r>
    <x v="7"/>
    <x v="0"/>
  </r>
  <r>
    <x v="23"/>
    <x v="0"/>
  </r>
  <r>
    <x v="3"/>
    <x v="0"/>
  </r>
  <r>
    <x v="7"/>
    <x v="0"/>
  </r>
  <r>
    <x v="5"/>
    <x v="0"/>
  </r>
  <r>
    <x v="9"/>
    <x v="1"/>
  </r>
  <r>
    <x v="26"/>
    <x v="0"/>
  </r>
  <r>
    <x v="9"/>
    <x v="0"/>
  </r>
  <r>
    <x v="4"/>
    <x v="0"/>
  </r>
  <r>
    <x v="1"/>
    <x v="1"/>
  </r>
  <r>
    <x v="5"/>
    <x v="1"/>
  </r>
  <r>
    <x v="1"/>
    <x v="1"/>
  </r>
  <r>
    <x v="13"/>
    <x v="0"/>
  </r>
  <r>
    <x v="24"/>
    <x v="0"/>
  </r>
  <r>
    <x v="26"/>
    <x v="0"/>
  </r>
  <r>
    <x v="3"/>
    <x v="0"/>
  </r>
  <r>
    <x v="4"/>
    <x v="0"/>
  </r>
  <r>
    <x v="15"/>
    <x v="0"/>
  </r>
  <r>
    <x v="8"/>
    <x v="0"/>
  </r>
  <r>
    <x v="3"/>
    <x v="0"/>
  </r>
  <r>
    <x v="7"/>
    <x v="1"/>
  </r>
  <r>
    <x v="3"/>
    <x v="0"/>
  </r>
  <r>
    <x v="14"/>
    <x v="0"/>
  </r>
  <r>
    <x v="16"/>
    <x v="0"/>
  </r>
  <r>
    <x v="5"/>
    <x v="1"/>
  </r>
  <r>
    <x v="15"/>
    <x v="1"/>
  </r>
  <r>
    <x v="13"/>
    <x v="0"/>
  </r>
  <r>
    <x v="5"/>
    <x v="0"/>
  </r>
  <r>
    <x v="16"/>
    <x v="0"/>
  </r>
  <r>
    <x v="6"/>
    <x v="0"/>
  </r>
  <r>
    <x v="14"/>
    <x v="0"/>
  </r>
  <r>
    <x v="23"/>
    <x v="0"/>
  </r>
  <r>
    <x v="4"/>
    <x v="0"/>
  </r>
  <r>
    <x v="5"/>
    <x v="0"/>
  </r>
  <r>
    <x v="5"/>
    <x v="0"/>
  </r>
  <r>
    <x v="9"/>
    <x v="0"/>
  </r>
  <r>
    <x v="4"/>
    <x v="1"/>
  </r>
  <r>
    <x v="7"/>
    <x v="0"/>
  </r>
  <r>
    <x v="16"/>
    <x v="0"/>
  </r>
  <r>
    <x v="21"/>
    <x v="0"/>
  </r>
  <r>
    <x v="22"/>
    <x v="0"/>
  </r>
  <r>
    <x v="14"/>
    <x v="0"/>
  </r>
  <r>
    <x v="3"/>
    <x v="0"/>
  </r>
  <r>
    <x v="14"/>
    <x v="0"/>
  </r>
  <r>
    <x v="5"/>
    <x v="0"/>
  </r>
  <r>
    <x v="16"/>
    <x v="0"/>
  </r>
  <r>
    <x v="10"/>
    <x v="0"/>
  </r>
  <r>
    <x v="16"/>
    <x v="1"/>
  </r>
  <r>
    <x v="3"/>
    <x v="0"/>
  </r>
  <r>
    <x v="8"/>
    <x v="0"/>
  </r>
  <r>
    <x v="7"/>
    <x v="0"/>
  </r>
  <r>
    <x v="5"/>
    <x v="1"/>
  </r>
  <r>
    <x v="16"/>
    <x v="1"/>
  </r>
  <r>
    <x v="14"/>
    <x v="1"/>
  </r>
  <r>
    <x v="3"/>
    <x v="1"/>
  </r>
  <r>
    <x v="17"/>
    <x v="1"/>
  </r>
  <r>
    <x v="6"/>
    <x v="0"/>
  </r>
  <r>
    <x v="17"/>
    <x v="0"/>
  </r>
  <r>
    <x v="3"/>
    <x v="0"/>
  </r>
  <r>
    <x v="8"/>
    <x v="0"/>
  </r>
  <r>
    <x v="5"/>
    <x v="1"/>
  </r>
  <r>
    <x v="4"/>
    <x v="0"/>
  </r>
  <r>
    <x v="3"/>
    <x v="0"/>
  </r>
  <r>
    <x v="7"/>
    <x v="0"/>
  </r>
  <r>
    <x v="14"/>
    <x v="0"/>
  </r>
  <r>
    <x v="14"/>
    <x v="0"/>
  </r>
  <r>
    <x v="8"/>
    <x v="0"/>
  </r>
  <r>
    <x v="16"/>
    <x v="0"/>
  </r>
  <r>
    <x v="2"/>
    <x v="0"/>
  </r>
  <r>
    <x v="5"/>
    <x v="0"/>
  </r>
  <r>
    <x v="4"/>
    <x v="0"/>
  </r>
  <r>
    <x v="14"/>
    <x v="0"/>
  </r>
  <r>
    <x v="2"/>
    <x v="0"/>
  </r>
  <r>
    <x v="20"/>
    <x v="0"/>
  </r>
  <r>
    <x v="18"/>
    <x v="1"/>
  </r>
  <r>
    <x v="1"/>
    <x v="1"/>
  </r>
  <r>
    <x v="17"/>
    <x v="0"/>
  </r>
  <r>
    <x v="19"/>
    <x v="0"/>
  </r>
  <r>
    <x v="6"/>
    <x v="1"/>
  </r>
  <r>
    <x v="5"/>
    <x v="1"/>
  </r>
  <r>
    <x v="20"/>
    <x v="1"/>
  </r>
  <r>
    <x v="17"/>
    <x v="1"/>
  </r>
  <r>
    <x v="1"/>
    <x v="1"/>
  </r>
  <r>
    <x v="16"/>
    <x v="1"/>
  </r>
  <r>
    <x v="13"/>
    <x v="0"/>
  </r>
  <r>
    <x v="3"/>
    <x v="0"/>
  </r>
  <r>
    <x v="5"/>
    <x v="1"/>
  </r>
  <r>
    <x v="9"/>
    <x v="0"/>
  </r>
  <r>
    <x v="14"/>
    <x v="0"/>
  </r>
  <r>
    <x v="16"/>
    <x v="1"/>
  </r>
  <r>
    <x v="16"/>
    <x v="0"/>
  </r>
  <r>
    <x v="5"/>
    <x v="0"/>
  </r>
  <r>
    <x v="5"/>
    <x v="0"/>
  </r>
  <r>
    <x v="3"/>
    <x v="0"/>
  </r>
  <r>
    <x v="14"/>
    <x v="0"/>
  </r>
  <r>
    <x v="9"/>
    <x v="0"/>
  </r>
  <r>
    <x v="14"/>
    <x v="0"/>
  </r>
  <r>
    <x v="19"/>
    <x v="0"/>
  </r>
  <r>
    <x v="3"/>
    <x v="0"/>
  </r>
  <r>
    <x v="4"/>
    <x v="0"/>
  </r>
  <r>
    <x v="22"/>
    <x v="0"/>
  </r>
  <r>
    <x v="14"/>
    <x v="0"/>
  </r>
  <r>
    <x v="21"/>
    <x v="0"/>
  </r>
  <r>
    <x v="6"/>
    <x v="0"/>
  </r>
  <r>
    <x v="16"/>
    <x v="0"/>
  </r>
  <r>
    <x v="1"/>
    <x v="0"/>
  </r>
  <r>
    <x v="5"/>
    <x v="0"/>
  </r>
  <r>
    <x v="19"/>
    <x v="0"/>
  </r>
  <r>
    <x v="4"/>
    <x v="0"/>
  </r>
  <r>
    <x v="16"/>
    <x v="0"/>
  </r>
  <r>
    <x v="3"/>
    <x v="0"/>
  </r>
  <r>
    <x v="8"/>
    <x v="0"/>
  </r>
  <r>
    <x v="14"/>
    <x v="0"/>
  </r>
  <r>
    <x v="8"/>
    <x v="0"/>
  </r>
  <r>
    <x v="17"/>
    <x v="0"/>
  </r>
  <r>
    <x v="10"/>
    <x v="1"/>
  </r>
  <r>
    <x v="9"/>
    <x v="0"/>
  </r>
  <r>
    <x v="20"/>
    <x v="0"/>
  </r>
  <r>
    <x v="0"/>
    <x v="0"/>
  </r>
  <r>
    <x v="4"/>
    <x v="0"/>
  </r>
  <r>
    <x v="3"/>
    <x v="0"/>
  </r>
  <r>
    <x v="5"/>
    <x v="0"/>
  </r>
  <r>
    <x v="3"/>
    <x v="0"/>
  </r>
  <r>
    <x v="14"/>
    <x v="0"/>
  </r>
  <r>
    <x v="20"/>
    <x v="0"/>
  </r>
  <r>
    <x v="7"/>
    <x v="0"/>
  </r>
  <r>
    <x v="2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ratamento 3" cacheId="7" applyNumberFormats="0" applyBorderFormats="0" applyFontFormats="0" applyPatternFormats="0" applyAlignmentFormats="0" applyWidthHeightFormats="0" dataCaption="" updatedVersion="8" compact="0" compactData="0">
  <location ref="R1:U5" firstHeaderRow="1" firstDataRow="2" firstDataCol="1"/>
  <pivotFields count="5">
    <pivotField name="Gênero" axis="axisRow" dataField="1" compact="0" outline="0" multipleItemSelectionAllowed="1" showAll="0" sortType="ascending">
      <items count="4">
        <item x="1"/>
        <item x="0"/>
        <item h="1" x="2"/>
        <item t="default"/>
      </items>
    </pivotField>
    <pivotField name="Sigla Gênero" compact="0" outline="0" multipleItemSelectionAllowed="1" showAll="0"/>
    <pivotField name="DT Nascimento" compact="0" numFmtId="164" outline="0" multipleItemSelectionAllowed="1" showAll="0"/>
    <pivotField name="Idade" compact="0" outline="0" multipleItemSelectionAllowed="1" showAll="0"/>
    <pivotField name="1° legislatura" axis="axisCol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A of Gênero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ratamento" cacheId="16" applyNumberFormats="0" applyBorderFormats="0" applyFontFormats="0" applyPatternFormats="0" applyAlignmentFormats="0" applyWidthHeightFormats="0" dataCaption="" updatedVersion="8" compact="0" compactData="0">
  <location ref="J1:M30" firstHeaderRow="1" firstDataRow="2" firstDataCol="1"/>
  <pivotFields count="2">
    <pivotField name="Estado" axis="axisRow" compact="0" outline="0" multipleItemSelectionAllowed="1" showAll="0" sortType="ascending">
      <items count="29">
        <item x="20"/>
        <item x="13"/>
        <item x="2"/>
        <item x="1"/>
        <item x="4"/>
        <item x="9"/>
        <item x="26"/>
        <item x="18"/>
        <item x="6"/>
        <item x="17"/>
        <item x="3"/>
        <item x="22"/>
        <item x="0"/>
        <item x="15"/>
        <item x="8"/>
        <item x="19"/>
        <item x="12"/>
        <item x="14"/>
        <item x="16"/>
        <item x="21"/>
        <item x="24"/>
        <item x="25"/>
        <item x="7"/>
        <item x="23"/>
        <item x="10"/>
        <item x="5"/>
        <item x="11"/>
        <item h="1" x="27"/>
        <item t="default"/>
      </items>
    </pivotField>
    <pivotField name="Gênero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A of Gênero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ratamento 2" cacheId="11" applyNumberFormats="0" applyBorderFormats="0" applyFontFormats="0" applyPatternFormats="0" applyAlignmentFormats="0" applyWidthHeightFormats="0" dataCaption="" updatedVersion="8" compact="0" compactData="0">
  <location ref="O1:P4" firstHeaderRow="1" firstDataRow="1" firstDataCol="1"/>
  <pivotFields count="4">
    <pivotField name="Gênero" axis="axisRow" compact="0" outline="0" multipleItemSelectionAllowed="1" showAll="0" sortType="ascending">
      <items count="4">
        <item x="1"/>
        <item x="0"/>
        <item h="1" x="2"/>
        <item t="default"/>
      </items>
    </pivotField>
    <pivotField name="Sigla Gênero" compact="0" outline="0" multipleItemSelectionAllowed="1" showAll="0"/>
    <pivotField name="DT Nascimento" compact="0" numFmtId="164" outline="0" multipleItemSelectionAllowed="1" showAll="0"/>
    <pivotField name="Idade" dataField="1" compact="0" outline="0" multipleItemSelectionAllowe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Idade" fld="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621">
  <tableColumns count="8">
    <tableColumn id="1" xr3:uid="{00000000-0010-0000-0000-000001000000}" name="Código"/>
    <tableColumn id="2" xr3:uid="{00000000-0010-0000-0000-000002000000}" name="Nome"/>
    <tableColumn id="3" xr3:uid="{00000000-0010-0000-0000-000003000000}" name="Estado"/>
    <tableColumn id="4" xr3:uid="{00000000-0010-0000-0000-000004000000}" name="Gênero"/>
    <tableColumn id="5" xr3:uid="{00000000-0010-0000-0000-000005000000}" name="Sigla Gênero"/>
    <tableColumn id="6" xr3:uid="{00000000-0010-0000-0000-000006000000}" name="DT Nascimento"/>
    <tableColumn id="7" xr3:uid="{00000000-0010-0000-0000-000007000000}" name="Idade"/>
    <tableColumn id="8" xr3:uid="{00000000-0010-0000-0000-000008000000}" name="1° legislatura"/>
  </tableColumns>
  <tableStyleInfo name="Tratament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adosabertos.camara.leg.br/api/v2/deputados/74587" TargetMode="External"/><Relationship Id="rId3182" Type="http://schemas.openxmlformats.org/officeDocument/2006/relationships/hyperlink" Target="https://dadosabertos.camara.leg.br/api/v2/deputados/139322" TargetMode="External"/><Relationship Id="rId4233" Type="http://schemas.openxmlformats.org/officeDocument/2006/relationships/hyperlink" Target="https://dadosabertos.camara.leg.br/api/v2/deputados/131355" TargetMode="External"/><Relationship Id="rId7389" Type="http://schemas.openxmlformats.org/officeDocument/2006/relationships/hyperlink" Target="https://dadosabertos.camara.leg.br/api/v2/deputados/818" TargetMode="External"/><Relationship Id="rId3999" Type="http://schemas.openxmlformats.org/officeDocument/2006/relationships/hyperlink" Target="https://dadosabertos.camara.leg.br/api/v2/deputados/131446" TargetMode="External"/><Relationship Id="rId4300" Type="http://schemas.openxmlformats.org/officeDocument/2006/relationships/hyperlink" Target="https://dadosabertos.camara.leg.br/api/v2/deputados/3087" TargetMode="External"/><Relationship Id="rId7456" Type="http://schemas.openxmlformats.org/officeDocument/2006/relationships/hyperlink" Target="https://dadosabertos.camara.leg.br/api/v2/deputados/679" TargetMode="External"/><Relationship Id="rId170" Type="http://schemas.openxmlformats.org/officeDocument/2006/relationships/hyperlink" Target="https://dadosabertos.camara.leg.br/api/v2/deputados/228272" TargetMode="External"/><Relationship Id="rId6058" Type="http://schemas.openxmlformats.org/officeDocument/2006/relationships/hyperlink" Target="https://dadosabertos.camara.leg.br/api/v2/deputados/2501" TargetMode="External"/><Relationship Id="rId6472" Type="http://schemas.openxmlformats.org/officeDocument/2006/relationships/hyperlink" Target="https://dadosabertos.camara.leg.br/api/v2/deputados/3775" TargetMode="External"/><Relationship Id="rId7109" Type="http://schemas.openxmlformats.org/officeDocument/2006/relationships/hyperlink" Target="https://dadosabertos.camara.leg.br/api/v2/deputados/1036" TargetMode="External"/><Relationship Id="rId7523" Type="http://schemas.openxmlformats.org/officeDocument/2006/relationships/hyperlink" Target="https://dadosabertos.camara.leg.br/api/v2/deputados/333" TargetMode="External"/><Relationship Id="rId7870" Type="http://schemas.openxmlformats.org/officeDocument/2006/relationships/hyperlink" Target="https://dadosabertos.camara.leg.br/api/v2/deputados/303" TargetMode="External"/><Relationship Id="rId5074" Type="http://schemas.openxmlformats.org/officeDocument/2006/relationships/hyperlink" Target="https://dadosabertos.camara.leg.br/api/v2/deputados/130465" TargetMode="External"/><Relationship Id="rId6125" Type="http://schemas.openxmlformats.org/officeDocument/2006/relationships/hyperlink" Target="https://dadosabertos.camara.leg.br/api/v2/deputados/4230" TargetMode="External"/><Relationship Id="rId987" Type="http://schemas.openxmlformats.org/officeDocument/2006/relationships/hyperlink" Target="https://dadosabertos.camara.leg.br/api/v2/deputados/196359" TargetMode="External"/><Relationship Id="rId2668" Type="http://schemas.openxmlformats.org/officeDocument/2006/relationships/hyperlink" Target="https://dadosabertos.camara.leg.br/api/v2/deputados/133988" TargetMode="External"/><Relationship Id="rId3719" Type="http://schemas.openxmlformats.org/officeDocument/2006/relationships/hyperlink" Target="https://dadosabertos.camara.leg.br/api/v2/deputados/131777" TargetMode="External"/><Relationship Id="rId4090" Type="http://schemas.openxmlformats.org/officeDocument/2006/relationships/hyperlink" Target="https://dadosabertos.camara.leg.br/api/v2/deputados/131211" TargetMode="External"/><Relationship Id="rId1684" Type="http://schemas.openxmlformats.org/officeDocument/2006/relationships/hyperlink" Target="https://dadosabertos.camara.leg.br/api/v2/deputados/74701" TargetMode="External"/><Relationship Id="rId2735" Type="http://schemas.openxmlformats.org/officeDocument/2006/relationships/hyperlink" Target="https://dadosabertos.camara.leg.br/api/v2/deputados/133851" TargetMode="External"/><Relationship Id="rId5141" Type="http://schemas.openxmlformats.org/officeDocument/2006/relationships/hyperlink" Target="https://dadosabertos.camara.leg.br/api/v2/deputados/2994" TargetMode="External"/><Relationship Id="rId707" Type="http://schemas.openxmlformats.org/officeDocument/2006/relationships/hyperlink" Target="https://dadosabertos.camara.leg.br/api/v2/deputados/204487" TargetMode="External"/><Relationship Id="rId1337" Type="http://schemas.openxmlformats.org/officeDocument/2006/relationships/hyperlink" Target="https://dadosabertos.camara.leg.br/api/v2/deputados/74829" TargetMode="External"/><Relationship Id="rId1751" Type="http://schemas.openxmlformats.org/officeDocument/2006/relationships/hyperlink" Target="https://dadosabertos.camara.leg.br/api/v2/deputados/74063" TargetMode="External"/><Relationship Id="rId2802" Type="http://schemas.openxmlformats.org/officeDocument/2006/relationships/hyperlink" Target="https://dadosabertos.camara.leg.br/api/v2/deputados/133974" TargetMode="External"/><Relationship Id="rId5958" Type="http://schemas.openxmlformats.org/officeDocument/2006/relationships/hyperlink" Target="https://dadosabertos.camara.leg.br/api/v2/deputados/2535" TargetMode="External"/><Relationship Id="rId43" Type="http://schemas.openxmlformats.org/officeDocument/2006/relationships/hyperlink" Target="https://dadosabertos.camara.leg.br/api/v2/deputados/220556" TargetMode="External"/><Relationship Id="rId1404" Type="http://schemas.openxmlformats.org/officeDocument/2006/relationships/hyperlink" Target="https://dadosabertos.camara.leg.br/api/v2/deputados/160529" TargetMode="External"/><Relationship Id="rId7380" Type="http://schemas.openxmlformats.org/officeDocument/2006/relationships/hyperlink" Target="https://dadosabertos.camara.leg.br/api/v2/deputados/860" TargetMode="External"/><Relationship Id="rId3576" Type="http://schemas.openxmlformats.org/officeDocument/2006/relationships/hyperlink" Target="https://dadosabertos.camara.leg.br/api/v2/deputados/131631" TargetMode="External"/><Relationship Id="rId4627" Type="http://schemas.openxmlformats.org/officeDocument/2006/relationships/hyperlink" Target="https://dadosabertos.camara.leg.br/api/v2/deputados/130791" TargetMode="External"/><Relationship Id="rId4974" Type="http://schemas.openxmlformats.org/officeDocument/2006/relationships/hyperlink" Target="https://dadosabertos.camara.leg.br/api/v2/deputados/130440" TargetMode="External"/><Relationship Id="rId7033" Type="http://schemas.openxmlformats.org/officeDocument/2006/relationships/hyperlink" Target="https://dadosabertos.camara.leg.br/api/v2/deputados/1141" TargetMode="External"/><Relationship Id="rId497" Type="http://schemas.openxmlformats.org/officeDocument/2006/relationships/hyperlink" Target="https://dadosabertos.camara.leg.br/api/v2/deputados/204573" TargetMode="External"/><Relationship Id="rId2178" Type="http://schemas.openxmlformats.org/officeDocument/2006/relationships/hyperlink" Target="https://dadosabertos.camara.leg.br/api/v2/deputados/73645" TargetMode="External"/><Relationship Id="rId3229" Type="http://schemas.openxmlformats.org/officeDocument/2006/relationships/hyperlink" Target="https://dadosabertos.camara.leg.br/api/v2/deputados/139363" TargetMode="External"/><Relationship Id="rId3990" Type="http://schemas.openxmlformats.org/officeDocument/2006/relationships/hyperlink" Target="https://dadosabertos.camara.leg.br/api/v2/deputados/131445" TargetMode="External"/><Relationship Id="rId7100" Type="http://schemas.openxmlformats.org/officeDocument/2006/relationships/hyperlink" Target="https://dadosabertos.camara.leg.br/api/v2/deputados/1134" TargetMode="External"/><Relationship Id="rId1194" Type="http://schemas.openxmlformats.org/officeDocument/2006/relationships/hyperlink" Target="https://dadosabertos.camara.leg.br/api/v2/deputados/74470" TargetMode="External"/><Relationship Id="rId2592" Type="http://schemas.openxmlformats.org/officeDocument/2006/relationships/hyperlink" Target="https://dadosabertos.camara.leg.br/api/v2/deputados/74219" TargetMode="External"/><Relationship Id="rId3643" Type="http://schemas.openxmlformats.org/officeDocument/2006/relationships/hyperlink" Target="https://dadosabertos.camara.leg.br/api/v2/deputados/131694" TargetMode="External"/><Relationship Id="rId6799" Type="http://schemas.openxmlformats.org/officeDocument/2006/relationships/hyperlink" Target="https://dadosabertos.camara.leg.br/api/v2/deputados/1623" TargetMode="External"/><Relationship Id="rId217" Type="http://schemas.openxmlformats.org/officeDocument/2006/relationships/hyperlink" Target="https://dadosabertos.camara.leg.br/api/v2/deputados/220008" TargetMode="External"/><Relationship Id="rId564" Type="http://schemas.openxmlformats.org/officeDocument/2006/relationships/hyperlink" Target="https://dadosabertos.camara.leg.br/api/v2/deputados/73788" TargetMode="External"/><Relationship Id="rId2245" Type="http://schemas.openxmlformats.org/officeDocument/2006/relationships/hyperlink" Target="https://dadosabertos.camara.leg.br/api/v2/deputados/73451" TargetMode="External"/><Relationship Id="rId3710" Type="http://schemas.openxmlformats.org/officeDocument/2006/relationships/hyperlink" Target="https://dadosabertos.camara.leg.br/api/v2/deputados/131768" TargetMode="External"/><Relationship Id="rId6866" Type="http://schemas.openxmlformats.org/officeDocument/2006/relationships/hyperlink" Target="https://dadosabertos.camara.leg.br/api/v2/deputados/1038" TargetMode="External"/><Relationship Id="rId7917" Type="http://schemas.openxmlformats.org/officeDocument/2006/relationships/hyperlink" Target="https://dadosabertos.camara.leg.br/api/v2/deputados/182" TargetMode="External"/><Relationship Id="rId631" Type="http://schemas.openxmlformats.org/officeDocument/2006/relationships/hyperlink" Target="https://dadosabertos.camara.leg.br/api/v2/deputados/220560" TargetMode="External"/><Relationship Id="rId1261" Type="http://schemas.openxmlformats.org/officeDocument/2006/relationships/hyperlink" Target="https://dadosabertos.camara.leg.br/api/v2/deputados/178944" TargetMode="External"/><Relationship Id="rId2312" Type="http://schemas.openxmlformats.org/officeDocument/2006/relationships/hyperlink" Target="https://dadosabertos.camara.leg.br/api/v2/deputados/73983" TargetMode="External"/><Relationship Id="rId5468" Type="http://schemas.openxmlformats.org/officeDocument/2006/relationships/hyperlink" Target="https://dadosabertos.camara.leg.br/api/v2/deputados/4812" TargetMode="External"/><Relationship Id="rId5882" Type="http://schemas.openxmlformats.org/officeDocument/2006/relationships/hyperlink" Target="https://dadosabertos.camara.leg.br/api/v2/deputados/4421" TargetMode="External"/><Relationship Id="rId6519" Type="http://schemas.openxmlformats.org/officeDocument/2006/relationships/hyperlink" Target="https://dadosabertos.camara.leg.br/api/v2/deputados/1619" TargetMode="External"/><Relationship Id="rId6933" Type="http://schemas.openxmlformats.org/officeDocument/2006/relationships/hyperlink" Target="https://dadosabertos.camara.leg.br/api/v2/deputados/1112" TargetMode="External"/><Relationship Id="rId4484" Type="http://schemas.openxmlformats.org/officeDocument/2006/relationships/hyperlink" Target="https://dadosabertos.camara.leg.br/api/v2/deputados/131097" TargetMode="External"/><Relationship Id="rId5535" Type="http://schemas.openxmlformats.org/officeDocument/2006/relationships/hyperlink" Target="https://dadosabertos.camara.leg.br/api/v2/deputados/4661" TargetMode="External"/><Relationship Id="rId3086" Type="http://schemas.openxmlformats.org/officeDocument/2006/relationships/hyperlink" Target="https://dadosabertos.camara.leg.br/api/v2/deputados/139240" TargetMode="External"/><Relationship Id="rId4137" Type="http://schemas.openxmlformats.org/officeDocument/2006/relationships/hyperlink" Target="https://dadosabertos.camara.leg.br/api/v2/deputados/131265" TargetMode="External"/><Relationship Id="rId4551" Type="http://schemas.openxmlformats.org/officeDocument/2006/relationships/hyperlink" Target="https://dadosabertos.camara.leg.br/api/v2/deputados/130717" TargetMode="External"/><Relationship Id="rId3153" Type="http://schemas.openxmlformats.org/officeDocument/2006/relationships/hyperlink" Target="https://dadosabertos.camara.leg.br/api/v2/deputados/139296" TargetMode="External"/><Relationship Id="rId4204" Type="http://schemas.openxmlformats.org/officeDocument/2006/relationships/hyperlink" Target="https://dadosabertos.camara.leg.br/api/v2/deputados/131178" TargetMode="External"/><Relationship Id="rId5602" Type="http://schemas.openxmlformats.org/officeDocument/2006/relationships/hyperlink" Target="https://dadosabertos.camara.leg.br/api/v2/deputados/2794" TargetMode="External"/><Relationship Id="rId7774" Type="http://schemas.openxmlformats.org/officeDocument/2006/relationships/hyperlink" Target="https://dadosabertos.camara.leg.br/api/v2/deputados/307" TargetMode="External"/><Relationship Id="rId141" Type="http://schemas.openxmlformats.org/officeDocument/2006/relationships/hyperlink" Target="https://dadosabertos.camara.leg.br/api/v2/deputados/220603" TargetMode="External"/><Relationship Id="rId3220" Type="http://schemas.openxmlformats.org/officeDocument/2006/relationships/hyperlink" Target="https://dadosabertos.camara.leg.br/api/v2/deputados/139354" TargetMode="External"/><Relationship Id="rId6029" Type="http://schemas.openxmlformats.org/officeDocument/2006/relationships/hyperlink" Target="https://dadosabertos.camara.leg.br/api/v2/deputados/2158" TargetMode="External"/><Relationship Id="rId6376" Type="http://schemas.openxmlformats.org/officeDocument/2006/relationships/hyperlink" Target="https://dadosabertos.camara.leg.br/api/v2/deputados/2210" TargetMode="External"/><Relationship Id="rId6790" Type="http://schemas.openxmlformats.org/officeDocument/2006/relationships/hyperlink" Target="https://dadosabertos.camara.leg.br/api/v2/deputados/4079" TargetMode="External"/><Relationship Id="rId7427" Type="http://schemas.openxmlformats.org/officeDocument/2006/relationships/hyperlink" Target="https://dadosabertos.camara.leg.br/api/v2/deputados/803" TargetMode="External"/><Relationship Id="rId7841" Type="http://schemas.openxmlformats.org/officeDocument/2006/relationships/hyperlink" Target="https://dadosabertos.camara.leg.br/api/v2/deputados/49" TargetMode="External"/><Relationship Id="rId7" Type="http://schemas.openxmlformats.org/officeDocument/2006/relationships/hyperlink" Target="https://dadosabertos.camara.leg.br/api/v2/deputados/121948" TargetMode="External"/><Relationship Id="rId2986" Type="http://schemas.openxmlformats.org/officeDocument/2006/relationships/hyperlink" Target="https://dadosabertos.camara.leg.br/api/v2/deputados/1525" TargetMode="External"/><Relationship Id="rId5392" Type="http://schemas.openxmlformats.org/officeDocument/2006/relationships/hyperlink" Target="https://dadosabertos.camara.leg.br/api/v2/deputados/3985" TargetMode="External"/><Relationship Id="rId6443" Type="http://schemas.openxmlformats.org/officeDocument/2006/relationships/hyperlink" Target="https://dadosabertos.camara.leg.br/api/v2/deputados/2123" TargetMode="External"/><Relationship Id="rId958" Type="http://schemas.openxmlformats.org/officeDocument/2006/relationships/hyperlink" Target="https://www.instagram.com/TiaEron" TargetMode="External"/><Relationship Id="rId1588" Type="http://schemas.openxmlformats.org/officeDocument/2006/relationships/hyperlink" Target="https://dadosabertos.camara.leg.br/api/v2/deputados/74556" TargetMode="External"/><Relationship Id="rId2639" Type="http://schemas.openxmlformats.org/officeDocument/2006/relationships/hyperlink" Target="https://dadosabertos.camara.leg.br/api/v2/deputados/74766" TargetMode="External"/><Relationship Id="rId5045" Type="http://schemas.openxmlformats.org/officeDocument/2006/relationships/hyperlink" Target="https://dadosabertos.camara.leg.br/api/v2/deputados/3108" TargetMode="External"/><Relationship Id="rId6510" Type="http://schemas.openxmlformats.org/officeDocument/2006/relationships/hyperlink" Target="https://dadosabertos.camara.leg.br/api/v2/deputados/2084" TargetMode="External"/><Relationship Id="rId1655" Type="http://schemas.openxmlformats.org/officeDocument/2006/relationships/hyperlink" Target="https://dadosabertos.camara.leg.br/api/v2/deputados/160586" TargetMode="External"/><Relationship Id="rId2706" Type="http://schemas.openxmlformats.org/officeDocument/2006/relationships/hyperlink" Target="https://dadosabertos.camara.leg.br/api/v2/deputados/133906" TargetMode="External"/><Relationship Id="rId4061" Type="http://schemas.openxmlformats.org/officeDocument/2006/relationships/hyperlink" Target="https://dadosabertos.camara.leg.br/api/v2/deputados/131196" TargetMode="External"/><Relationship Id="rId5112" Type="http://schemas.openxmlformats.org/officeDocument/2006/relationships/hyperlink" Target="https://dadosabertos.camara.leg.br/api/v2/deputados/3013" TargetMode="External"/><Relationship Id="rId1308" Type="http://schemas.openxmlformats.org/officeDocument/2006/relationships/hyperlink" Target="https://dadosabertos.camara.leg.br/api/v2/deputados/160622" TargetMode="External"/><Relationship Id="rId7284" Type="http://schemas.openxmlformats.org/officeDocument/2006/relationships/hyperlink" Target="https://dadosabertos.camara.leg.br/api/v2/deputados/747" TargetMode="External"/><Relationship Id="rId1722" Type="http://schemas.openxmlformats.org/officeDocument/2006/relationships/hyperlink" Target="https://dadosabertos.camara.leg.br/api/v2/deputados/141410" TargetMode="External"/><Relationship Id="rId4878" Type="http://schemas.openxmlformats.org/officeDocument/2006/relationships/hyperlink" Target="https://dadosabertos.camara.leg.br/api/v2/deputados/130678" TargetMode="External"/><Relationship Id="rId5929" Type="http://schemas.openxmlformats.org/officeDocument/2006/relationships/hyperlink" Target="https://dadosabertos.camara.leg.br/api/v2/deputados/2555" TargetMode="External"/><Relationship Id="rId14" Type="http://schemas.openxmlformats.org/officeDocument/2006/relationships/hyperlink" Target="https://dadosabertos.camara.leg.br/api/v2/deputados/204549" TargetMode="External"/><Relationship Id="rId3894" Type="http://schemas.openxmlformats.org/officeDocument/2006/relationships/hyperlink" Target="https://dadosabertos.camara.leg.br/api/v2/deputados/131620" TargetMode="External"/><Relationship Id="rId4945" Type="http://schemas.openxmlformats.org/officeDocument/2006/relationships/hyperlink" Target="https://dadosabertos.camara.leg.br/api/v2/deputados/130432" TargetMode="External"/><Relationship Id="rId7004" Type="http://schemas.openxmlformats.org/officeDocument/2006/relationships/hyperlink" Target="https://dadosabertos.camara.leg.br/api/v2/deputados/1150" TargetMode="External"/><Relationship Id="rId7351" Type="http://schemas.openxmlformats.org/officeDocument/2006/relationships/hyperlink" Target="https://dadosabertos.camara.leg.br/api/v2/deputados/841" TargetMode="External"/><Relationship Id="rId2496" Type="http://schemas.openxmlformats.org/officeDocument/2006/relationships/hyperlink" Target="https://dadosabertos.camara.leg.br/api/v2/deputados/74064" TargetMode="External"/><Relationship Id="rId3547" Type="http://schemas.openxmlformats.org/officeDocument/2006/relationships/hyperlink" Target="https://dadosabertos.camara.leg.br/api/v2/deputados/132087" TargetMode="External"/><Relationship Id="rId3961" Type="http://schemas.openxmlformats.org/officeDocument/2006/relationships/hyperlink" Target="https://dadosabertos.camara.leg.br/api/v2/deputados/131451" TargetMode="External"/><Relationship Id="rId468" Type="http://schemas.openxmlformats.org/officeDocument/2006/relationships/hyperlink" Target="https://dadosabertos.camara.leg.br/api/v2/deputados/220530" TargetMode="External"/><Relationship Id="rId882" Type="http://schemas.openxmlformats.org/officeDocument/2006/relationships/hyperlink" Target="https://dadosabertos.camara.leg.br/api/v2/deputados/74399" TargetMode="External"/><Relationship Id="rId1098" Type="http://schemas.openxmlformats.org/officeDocument/2006/relationships/hyperlink" Target="https://dadosabertos.camara.leg.br/api/v2/deputados/204651" TargetMode="External"/><Relationship Id="rId2149" Type="http://schemas.openxmlformats.org/officeDocument/2006/relationships/hyperlink" Target="https://dadosabertos.camara.leg.br/api/v2/deputados/74360" TargetMode="External"/><Relationship Id="rId2563" Type="http://schemas.openxmlformats.org/officeDocument/2006/relationships/hyperlink" Target="https://dadosabertos.camara.leg.br/api/v2/deputados/67836" TargetMode="External"/><Relationship Id="rId3614" Type="http://schemas.openxmlformats.org/officeDocument/2006/relationships/hyperlink" Target="https://dadosabertos.camara.leg.br/api/v2/deputados/131767" TargetMode="External"/><Relationship Id="rId6020" Type="http://schemas.openxmlformats.org/officeDocument/2006/relationships/hyperlink" Target="https://dadosabertos.camara.leg.br/api/v2/deputados/4265" TargetMode="External"/><Relationship Id="rId535" Type="http://schemas.openxmlformats.org/officeDocument/2006/relationships/hyperlink" Target="https://dadosabertos.camara.leg.br/api/v2/deputados/204524" TargetMode="External"/><Relationship Id="rId1165" Type="http://schemas.openxmlformats.org/officeDocument/2006/relationships/hyperlink" Target="https://dadosabertos.camara.leg.br/api/v2/deputados/74277" TargetMode="External"/><Relationship Id="rId2216" Type="http://schemas.openxmlformats.org/officeDocument/2006/relationships/hyperlink" Target="https://dadosabertos.camara.leg.br/api/v2/deputados/73833" TargetMode="External"/><Relationship Id="rId2630" Type="http://schemas.openxmlformats.org/officeDocument/2006/relationships/hyperlink" Target="https://dadosabertos.camara.leg.br/api/v2/deputados/74826" TargetMode="External"/><Relationship Id="rId5786" Type="http://schemas.openxmlformats.org/officeDocument/2006/relationships/hyperlink" Target="https://dadosabertos.camara.leg.br/api/v2/deputados/2607" TargetMode="External"/><Relationship Id="rId6837" Type="http://schemas.openxmlformats.org/officeDocument/2006/relationships/hyperlink" Target="https://dadosabertos.camara.leg.br/api/v2/deputados/1181" TargetMode="External"/><Relationship Id="rId602" Type="http://schemas.openxmlformats.org/officeDocument/2006/relationships/hyperlink" Target="https://dadosabertos.camara.leg.br/api/v2/deputados/204416" TargetMode="External"/><Relationship Id="rId1232" Type="http://schemas.openxmlformats.org/officeDocument/2006/relationships/hyperlink" Target="https://dadosabertos.camara.leg.br/api/v2/deputados/202063" TargetMode="External"/><Relationship Id="rId4388" Type="http://schemas.openxmlformats.org/officeDocument/2006/relationships/hyperlink" Target="https://dadosabertos.camara.leg.br/api/v2/deputados/130984" TargetMode="External"/><Relationship Id="rId5439" Type="http://schemas.openxmlformats.org/officeDocument/2006/relationships/hyperlink" Target="https://dadosabertos.camara.leg.br/api/v2/deputados/2959" TargetMode="External"/><Relationship Id="rId5853" Type="http://schemas.openxmlformats.org/officeDocument/2006/relationships/hyperlink" Target="https://dadosabertos.camara.leg.br/api/v2/deputados/4423" TargetMode="External"/><Relationship Id="rId6904" Type="http://schemas.openxmlformats.org/officeDocument/2006/relationships/hyperlink" Target="https://dadosabertos.camara.leg.br/api/v2/deputados/1233" TargetMode="External"/><Relationship Id="rId3057" Type="http://schemas.openxmlformats.org/officeDocument/2006/relationships/hyperlink" Target="https://dadosabertos.camara.leg.br/api/v2/deputados/1537" TargetMode="External"/><Relationship Id="rId4108" Type="http://schemas.openxmlformats.org/officeDocument/2006/relationships/hyperlink" Target="https://dadosabertos.camara.leg.br/api/v2/deputados/131236" TargetMode="External"/><Relationship Id="rId4455" Type="http://schemas.openxmlformats.org/officeDocument/2006/relationships/hyperlink" Target="https://dadosabertos.camara.leg.br/api/v2/deputados/131070" TargetMode="External"/><Relationship Id="rId5506" Type="http://schemas.openxmlformats.org/officeDocument/2006/relationships/hyperlink" Target="https://dadosabertos.camara.leg.br/api/v2/deputados/2118" TargetMode="External"/><Relationship Id="rId5920" Type="http://schemas.openxmlformats.org/officeDocument/2006/relationships/hyperlink" Target="https://dadosabertos.camara.leg.br/api/v2/deputados/2544" TargetMode="External"/><Relationship Id="rId3471" Type="http://schemas.openxmlformats.org/officeDocument/2006/relationships/hyperlink" Target="https://dadosabertos.camara.leg.br/api/v2/deputados/131954" TargetMode="External"/><Relationship Id="rId4522" Type="http://schemas.openxmlformats.org/officeDocument/2006/relationships/hyperlink" Target="https://dadosabertos.camara.leg.br/api/v2/deputados/131076" TargetMode="External"/><Relationship Id="rId7678" Type="http://schemas.openxmlformats.org/officeDocument/2006/relationships/hyperlink" Target="https://dadosabertos.camara.leg.br/api/v2/deputados/528" TargetMode="External"/><Relationship Id="rId392" Type="http://schemas.openxmlformats.org/officeDocument/2006/relationships/hyperlink" Target="https://www.instagram.com/luciano_passofundo" TargetMode="External"/><Relationship Id="rId2073" Type="http://schemas.openxmlformats.org/officeDocument/2006/relationships/hyperlink" Target="https://dadosabertos.camara.leg.br/api/v2/deputados/74288" TargetMode="External"/><Relationship Id="rId3124" Type="http://schemas.openxmlformats.org/officeDocument/2006/relationships/hyperlink" Target="https://dadosabertos.camara.leg.br/api/v2/deputados/139273" TargetMode="External"/><Relationship Id="rId6694" Type="http://schemas.openxmlformats.org/officeDocument/2006/relationships/hyperlink" Target="https://dadosabertos.camara.leg.br/api/v2/deputados/3981" TargetMode="External"/><Relationship Id="rId7745" Type="http://schemas.openxmlformats.org/officeDocument/2006/relationships/hyperlink" Target="https://dadosabertos.camara.leg.br/api/v2/deputados/424" TargetMode="External"/><Relationship Id="rId2140" Type="http://schemas.openxmlformats.org/officeDocument/2006/relationships/hyperlink" Target="https://dadosabertos.camara.leg.br/api/v2/deputados/73421" TargetMode="External"/><Relationship Id="rId5296" Type="http://schemas.openxmlformats.org/officeDocument/2006/relationships/hyperlink" Target="https://dadosabertos.camara.leg.br/api/v2/deputados/130378" TargetMode="External"/><Relationship Id="rId6347" Type="http://schemas.openxmlformats.org/officeDocument/2006/relationships/hyperlink" Target="https://dadosabertos.camara.leg.br/api/v2/deputados/3639" TargetMode="External"/><Relationship Id="rId6761" Type="http://schemas.openxmlformats.org/officeDocument/2006/relationships/hyperlink" Target="https://dadosabertos.camara.leg.br/api/v2/deputados/4036" TargetMode="External"/><Relationship Id="rId7812" Type="http://schemas.openxmlformats.org/officeDocument/2006/relationships/hyperlink" Target="https://dadosabertos.camara.leg.br/api/v2/deputados/304" TargetMode="External"/><Relationship Id="rId112" Type="http://schemas.openxmlformats.org/officeDocument/2006/relationships/hyperlink" Target="https://dadosabertos.camara.leg.br/api/v2/deputados/204488" TargetMode="External"/><Relationship Id="rId5363" Type="http://schemas.openxmlformats.org/officeDocument/2006/relationships/hyperlink" Target="https://dadosabertos.camara.leg.br/api/v2/deputados/2045" TargetMode="External"/><Relationship Id="rId6414" Type="http://schemas.openxmlformats.org/officeDocument/2006/relationships/hyperlink" Target="https://dadosabertos.camara.leg.br/api/v2/deputados/2058" TargetMode="External"/><Relationship Id="rId2957" Type="http://schemas.openxmlformats.org/officeDocument/2006/relationships/hyperlink" Target="https://dadosabertos.camara.leg.br/api/v2/deputados/139127" TargetMode="External"/><Relationship Id="rId5016" Type="http://schemas.openxmlformats.org/officeDocument/2006/relationships/hyperlink" Target="https://dadosabertos.camara.leg.br/api/v2/deputados/3096" TargetMode="External"/><Relationship Id="rId929" Type="http://schemas.openxmlformats.org/officeDocument/2006/relationships/hyperlink" Target="https://dadosabertos.camara.leg.br/api/v2/deputados/74693" TargetMode="External"/><Relationship Id="rId1559" Type="http://schemas.openxmlformats.org/officeDocument/2006/relationships/hyperlink" Target="https://dadosabertos.camara.leg.br/api/v2/deputados/141537" TargetMode="External"/><Relationship Id="rId1973" Type="http://schemas.openxmlformats.org/officeDocument/2006/relationships/hyperlink" Target="https://dadosabertos.camara.leg.br/api/v2/deputados/74468" TargetMode="External"/><Relationship Id="rId4032" Type="http://schemas.openxmlformats.org/officeDocument/2006/relationships/hyperlink" Target="https://dadosabertos.camara.leg.br/api/v2/deputados/130995" TargetMode="External"/><Relationship Id="rId5430" Type="http://schemas.openxmlformats.org/officeDocument/2006/relationships/hyperlink" Target="https://dadosabertos.camara.leg.br/api/v2/deputados/4768" TargetMode="External"/><Relationship Id="rId7188" Type="http://schemas.openxmlformats.org/officeDocument/2006/relationships/hyperlink" Target="https://dadosabertos.camara.leg.br/api/v2/deputados/362" TargetMode="External"/><Relationship Id="rId1626" Type="http://schemas.openxmlformats.org/officeDocument/2006/relationships/hyperlink" Target="https://dadosabertos.camara.leg.br/api/v2/deputados/73676" TargetMode="External"/><Relationship Id="rId3798" Type="http://schemas.openxmlformats.org/officeDocument/2006/relationships/hyperlink" Target="https://dadosabertos.camara.leg.br/api/v2/deputados/131524" TargetMode="External"/><Relationship Id="rId4849" Type="http://schemas.openxmlformats.org/officeDocument/2006/relationships/hyperlink" Target="https://dadosabertos.camara.leg.br/api/v2/deputados/130640" TargetMode="External"/><Relationship Id="rId7255" Type="http://schemas.openxmlformats.org/officeDocument/2006/relationships/hyperlink" Target="https://dadosabertos.camara.leg.br/api/v2/deputados/685" TargetMode="External"/><Relationship Id="rId3865" Type="http://schemas.openxmlformats.org/officeDocument/2006/relationships/hyperlink" Target="https://dadosabertos.camara.leg.br/api/v2/deputados/131596" TargetMode="External"/><Relationship Id="rId4916" Type="http://schemas.openxmlformats.org/officeDocument/2006/relationships/hyperlink" Target="https://dadosabertos.camara.leg.br/api/v2/deputados/130385" TargetMode="External"/><Relationship Id="rId6271" Type="http://schemas.openxmlformats.org/officeDocument/2006/relationships/hyperlink" Target="https://dadosabertos.camara.leg.br/api/v2/deputados/2318" TargetMode="External"/><Relationship Id="rId7322" Type="http://schemas.openxmlformats.org/officeDocument/2006/relationships/hyperlink" Target="https://dadosabertos.camara.leg.br/api/v2/deputados/897" TargetMode="External"/><Relationship Id="rId786" Type="http://schemas.openxmlformats.org/officeDocument/2006/relationships/hyperlink" Target="https://dadosabertos.camara.leg.br/api/v2/deputados/204442" TargetMode="External"/><Relationship Id="rId2467" Type="http://schemas.openxmlformats.org/officeDocument/2006/relationships/hyperlink" Target="https://dadosabertos.camara.leg.br/api/v2/deputados/74020" TargetMode="External"/><Relationship Id="rId3518" Type="http://schemas.openxmlformats.org/officeDocument/2006/relationships/hyperlink" Target="https://dadosabertos.camara.leg.br/api/v2/deputados/132065" TargetMode="External"/><Relationship Id="rId439" Type="http://schemas.openxmlformats.org/officeDocument/2006/relationships/hyperlink" Target="https://dadosabertos.camara.leg.br/api/v2/deputados/204431" TargetMode="External"/><Relationship Id="rId1069" Type="http://schemas.openxmlformats.org/officeDocument/2006/relationships/hyperlink" Target="https://dadosabertos.camara.leg.br/api/v2/deputados/73447" TargetMode="External"/><Relationship Id="rId1483" Type="http://schemas.openxmlformats.org/officeDocument/2006/relationships/hyperlink" Target="https://dadosabertos.camara.leg.br/api/v2/deputados/73682" TargetMode="External"/><Relationship Id="rId2881" Type="http://schemas.openxmlformats.org/officeDocument/2006/relationships/hyperlink" Target="https://dadosabertos.camara.leg.br/api/v2/deputados/133955" TargetMode="External"/><Relationship Id="rId3932" Type="http://schemas.openxmlformats.org/officeDocument/2006/relationships/hyperlink" Target="https://dadosabertos.camara.leg.br/api/v2/deputados/131409" TargetMode="External"/><Relationship Id="rId506" Type="http://schemas.openxmlformats.org/officeDocument/2006/relationships/hyperlink" Target="https://dadosabertos.camara.leg.br/api/v2/deputados/74160" TargetMode="External"/><Relationship Id="rId853" Type="http://schemas.openxmlformats.org/officeDocument/2006/relationships/hyperlink" Target="https://dadosabertos.camara.leg.br/api/v2/deputados/204452" TargetMode="External"/><Relationship Id="rId1136" Type="http://schemas.openxmlformats.org/officeDocument/2006/relationships/hyperlink" Target="https://dadosabertos.camara.leg.br/api/v2/deputados/74388" TargetMode="External"/><Relationship Id="rId2534" Type="http://schemas.openxmlformats.org/officeDocument/2006/relationships/hyperlink" Target="https://dadosabertos.camara.leg.br/api/v2/deputados/74128" TargetMode="External"/><Relationship Id="rId920" Type="http://schemas.openxmlformats.org/officeDocument/2006/relationships/hyperlink" Target="https://dadosabertos.camara.leg.br/api/v2/deputados/211649" TargetMode="External"/><Relationship Id="rId1550" Type="http://schemas.openxmlformats.org/officeDocument/2006/relationships/hyperlink" Target="https://dadosabertos.camara.leg.br/api/v2/deputados/179880" TargetMode="External"/><Relationship Id="rId2601" Type="http://schemas.openxmlformats.org/officeDocument/2006/relationships/hyperlink" Target="https://dadosabertos.camara.leg.br/api/v2/deputados/74009" TargetMode="External"/><Relationship Id="rId5757" Type="http://schemas.openxmlformats.org/officeDocument/2006/relationships/hyperlink" Target="https://dadosabertos.camara.leg.br/api/v2/deputados/4494" TargetMode="External"/><Relationship Id="rId6808" Type="http://schemas.openxmlformats.org/officeDocument/2006/relationships/hyperlink" Target="https://dadosabertos.camara.leg.br/api/v2/deputados/1598" TargetMode="External"/><Relationship Id="rId1203" Type="http://schemas.openxmlformats.org/officeDocument/2006/relationships/hyperlink" Target="https://dadosabertos.camara.leg.br/api/v2/deputados/74235" TargetMode="External"/><Relationship Id="rId4359" Type="http://schemas.openxmlformats.org/officeDocument/2006/relationships/hyperlink" Target="https://dadosabertos.camara.leg.br/api/v2/deputados/130960" TargetMode="External"/><Relationship Id="rId4773" Type="http://schemas.openxmlformats.org/officeDocument/2006/relationships/hyperlink" Target="https://dadosabertos.camara.leg.br/api/v2/deputados/130560" TargetMode="External"/><Relationship Id="rId5824" Type="http://schemas.openxmlformats.org/officeDocument/2006/relationships/hyperlink" Target="https://dadosabertos.camara.leg.br/api/v2/deputados/2617" TargetMode="External"/><Relationship Id="rId3375" Type="http://schemas.openxmlformats.org/officeDocument/2006/relationships/hyperlink" Target="https://dadosabertos.camara.leg.br/api/v2/deputados/132064" TargetMode="External"/><Relationship Id="rId4426" Type="http://schemas.openxmlformats.org/officeDocument/2006/relationships/hyperlink" Target="https://dadosabertos.camara.leg.br/api/v2/deputados/131043" TargetMode="External"/><Relationship Id="rId4840" Type="http://schemas.openxmlformats.org/officeDocument/2006/relationships/hyperlink" Target="https://dadosabertos.camara.leg.br/api/v2/deputados/130609" TargetMode="External"/><Relationship Id="rId296" Type="http://schemas.openxmlformats.org/officeDocument/2006/relationships/hyperlink" Target="https://dadosabertos.camara.leg.br/api/v2/deputados/204408" TargetMode="External"/><Relationship Id="rId2391" Type="http://schemas.openxmlformats.org/officeDocument/2006/relationships/hyperlink" Target="https://dadosabertos.camara.leg.br/api/v2/deputados/74564" TargetMode="External"/><Relationship Id="rId3028" Type="http://schemas.openxmlformats.org/officeDocument/2006/relationships/hyperlink" Target="https://dadosabertos.camara.leg.br/api/v2/deputados/139192" TargetMode="External"/><Relationship Id="rId3442" Type="http://schemas.openxmlformats.org/officeDocument/2006/relationships/hyperlink" Target="https://dadosabertos.camara.leg.br/api/v2/deputados/131953" TargetMode="External"/><Relationship Id="rId6598" Type="http://schemas.openxmlformats.org/officeDocument/2006/relationships/hyperlink" Target="https://dadosabertos.camara.leg.br/api/v2/deputados/2013" TargetMode="External"/><Relationship Id="rId7649" Type="http://schemas.openxmlformats.org/officeDocument/2006/relationships/hyperlink" Target="https://dadosabertos.camara.leg.br/api/v2/deputados/230" TargetMode="External"/><Relationship Id="rId363" Type="http://schemas.openxmlformats.org/officeDocument/2006/relationships/hyperlink" Target="https://www.instagram.com/juniorlourenco2200" TargetMode="External"/><Relationship Id="rId2044" Type="http://schemas.openxmlformats.org/officeDocument/2006/relationships/hyperlink" Target="https://dadosabertos.camara.leg.br/api/v2/deputados/74782" TargetMode="External"/><Relationship Id="rId430" Type="http://schemas.openxmlformats.org/officeDocument/2006/relationships/hyperlink" Target="https://dadosabertos.camara.leg.br/api/v2/deputados/226410" TargetMode="External"/><Relationship Id="rId1060" Type="http://schemas.openxmlformats.org/officeDocument/2006/relationships/hyperlink" Target="https://dadosabertos.camara.leg.br/api/v2/deputados/178893" TargetMode="External"/><Relationship Id="rId2111" Type="http://schemas.openxmlformats.org/officeDocument/2006/relationships/hyperlink" Target="https://dadosabertos.camara.leg.br/api/v2/deputados/73485" TargetMode="External"/><Relationship Id="rId5267" Type="http://schemas.openxmlformats.org/officeDocument/2006/relationships/hyperlink" Target="https://dadosabertos.camara.leg.br/api/v2/deputados/4902" TargetMode="External"/><Relationship Id="rId6318" Type="http://schemas.openxmlformats.org/officeDocument/2006/relationships/hyperlink" Target="https://dadosabertos.camara.leg.br/api/v2/deputados/2239" TargetMode="External"/><Relationship Id="rId6665" Type="http://schemas.openxmlformats.org/officeDocument/2006/relationships/hyperlink" Target="https://dadosabertos.camara.leg.br/api/v2/deputados/1907" TargetMode="External"/><Relationship Id="rId7716" Type="http://schemas.openxmlformats.org/officeDocument/2006/relationships/hyperlink" Target="https://dadosabertos.camara.leg.br/api/v2/deputados/213" TargetMode="External"/><Relationship Id="rId5681" Type="http://schemas.openxmlformats.org/officeDocument/2006/relationships/hyperlink" Target="https://dadosabertos.camara.leg.br/api/v2/deputados/130208" TargetMode="External"/><Relationship Id="rId6732" Type="http://schemas.openxmlformats.org/officeDocument/2006/relationships/hyperlink" Target="https://dadosabertos.camara.leg.br/api/v2/deputados/1725" TargetMode="External"/><Relationship Id="rId1877" Type="http://schemas.openxmlformats.org/officeDocument/2006/relationships/hyperlink" Target="https://dadosabertos.camara.leg.br/api/v2/deputados/151214" TargetMode="External"/><Relationship Id="rId2928" Type="http://schemas.openxmlformats.org/officeDocument/2006/relationships/hyperlink" Target="https://dadosabertos.camara.leg.br/api/v2/deputados/73856" TargetMode="External"/><Relationship Id="rId4283" Type="http://schemas.openxmlformats.org/officeDocument/2006/relationships/hyperlink" Target="https://dadosabertos.camara.leg.br/api/v2/deputados/130889" TargetMode="External"/><Relationship Id="rId5334" Type="http://schemas.openxmlformats.org/officeDocument/2006/relationships/hyperlink" Target="https://dadosabertos.camara.leg.br/api/v2/deputados/4759" TargetMode="External"/><Relationship Id="rId1944" Type="http://schemas.openxmlformats.org/officeDocument/2006/relationships/hyperlink" Target="https://dadosabertos.camara.leg.br/api/v2/deputados/74349" TargetMode="External"/><Relationship Id="rId4350" Type="http://schemas.openxmlformats.org/officeDocument/2006/relationships/hyperlink" Target="https://dadosabertos.camara.leg.br/api/v2/deputados/130952" TargetMode="External"/><Relationship Id="rId5401" Type="http://schemas.openxmlformats.org/officeDocument/2006/relationships/hyperlink" Target="https://dadosabertos.camara.leg.br/api/v2/deputados/130256" TargetMode="External"/><Relationship Id="rId4003" Type="http://schemas.openxmlformats.org/officeDocument/2006/relationships/hyperlink" Target="https://dadosabertos.camara.leg.br/api/v2/deputados/131488" TargetMode="External"/><Relationship Id="rId7159" Type="http://schemas.openxmlformats.org/officeDocument/2006/relationships/hyperlink" Target="https://dadosabertos.camara.leg.br/api/v2/deputados/957" TargetMode="External"/><Relationship Id="rId7573" Type="http://schemas.openxmlformats.org/officeDocument/2006/relationships/hyperlink" Target="https://dadosabertos.camara.leg.br/api/v2/deputados/314" TargetMode="External"/><Relationship Id="rId6175" Type="http://schemas.openxmlformats.org/officeDocument/2006/relationships/hyperlink" Target="https://dadosabertos.camara.leg.br/api/v2/deputados/2448" TargetMode="External"/><Relationship Id="rId7226" Type="http://schemas.openxmlformats.org/officeDocument/2006/relationships/hyperlink" Target="https://dadosabertos.camara.leg.br/api/v2/deputados/967" TargetMode="External"/><Relationship Id="rId3769" Type="http://schemas.openxmlformats.org/officeDocument/2006/relationships/hyperlink" Target="https://dadosabertos.camara.leg.br/api/v2/deputados/131818" TargetMode="External"/><Relationship Id="rId5191" Type="http://schemas.openxmlformats.org/officeDocument/2006/relationships/hyperlink" Target="https://dadosabertos.camara.leg.br/api/v2/deputados/4885" TargetMode="External"/><Relationship Id="rId6242" Type="http://schemas.openxmlformats.org/officeDocument/2006/relationships/hyperlink" Target="https://dadosabertos.camara.leg.br/api/v2/deputados/1693" TargetMode="External"/><Relationship Id="rId7640" Type="http://schemas.openxmlformats.org/officeDocument/2006/relationships/hyperlink" Target="https://dadosabertos.camara.leg.br/api/v2/deputados/491" TargetMode="External"/><Relationship Id="rId2785" Type="http://schemas.openxmlformats.org/officeDocument/2006/relationships/hyperlink" Target="https://dadosabertos.camara.leg.br/api/v2/deputados/73709" TargetMode="External"/><Relationship Id="rId3836" Type="http://schemas.openxmlformats.org/officeDocument/2006/relationships/hyperlink" Target="https://dadosabertos.camara.leg.br/api/v2/deputados/131561" TargetMode="External"/><Relationship Id="rId757" Type="http://schemas.openxmlformats.org/officeDocument/2006/relationships/hyperlink" Target="https://dadosabertos.camara.leg.br/api/v2/deputados/178953" TargetMode="External"/><Relationship Id="rId1387" Type="http://schemas.openxmlformats.org/officeDocument/2006/relationships/hyperlink" Target="https://dadosabertos.camara.leg.br/api/v2/deputados/74379" TargetMode="External"/><Relationship Id="rId2438" Type="http://schemas.openxmlformats.org/officeDocument/2006/relationships/hyperlink" Target="https://dadosabertos.camara.leg.br/api/v2/deputados/74071" TargetMode="External"/><Relationship Id="rId2852" Type="http://schemas.openxmlformats.org/officeDocument/2006/relationships/hyperlink" Target="https://dadosabertos.camara.leg.br/api/v2/deputados/133893" TargetMode="External"/><Relationship Id="rId3903" Type="http://schemas.openxmlformats.org/officeDocument/2006/relationships/hyperlink" Target="https://dadosabertos.camara.leg.br/api/v2/deputados/131388" TargetMode="External"/><Relationship Id="rId93" Type="http://schemas.openxmlformats.org/officeDocument/2006/relationships/hyperlink" Target="https://dadosabertos.camara.leg.br/api/v2/deputados/229069" TargetMode="External"/><Relationship Id="rId824" Type="http://schemas.openxmlformats.org/officeDocument/2006/relationships/hyperlink" Target="https://dadosabertos.camara.leg.br/api/v2/deputados/204359" TargetMode="External"/><Relationship Id="rId1454" Type="http://schemas.openxmlformats.org/officeDocument/2006/relationships/hyperlink" Target="https://dadosabertos.camara.leg.br/api/v2/deputados/160562" TargetMode="External"/><Relationship Id="rId2505" Type="http://schemas.openxmlformats.org/officeDocument/2006/relationships/hyperlink" Target="https://dadosabertos.camara.leg.br/api/v2/deputados/74519" TargetMode="External"/><Relationship Id="rId1107" Type="http://schemas.openxmlformats.org/officeDocument/2006/relationships/hyperlink" Target="https://dadosabertos.camara.leg.br/api/v2/deputados/194259" TargetMode="External"/><Relationship Id="rId1521" Type="http://schemas.openxmlformats.org/officeDocument/2006/relationships/hyperlink" Target="http://www.twitter.com/luizargolo_1133" TargetMode="External"/><Relationship Id="rId4677" Type="http://schemas.openxmlformats.org/officeDocument/2006/relationships/hyperlink" Target="https://dadosabertos.camara.leg.br/api/v2/deputados/130843" TargetMode="External"/><Relationship Id="rId5728" Type="http://schemas.openxmlformats.org/officeDocument/2006/relationships/hyperlink" Target="https://dadosabertos.camara.leg.br/api/v2/deputados/2590" TargetMode="External"/><Relationship Id="rId7083" Type="http://schemas.openxmlformats.org/officeDocument/2006/relationships/hyperlink" Target="https://dadosabertos.camara.leg.br/api/v2/deputados/1077" TargetMode="External"/><Relationship Id="rId3279" Type="http://schemas.openxmlformats.org/officeDocument/2006/relationships/hyperlink" Target="https://dadosabertos.camara.leg.br/api/v2/deputados/131857" TargetMode="External"/><Relationship Id="rId3693" Type="http://schemas.openxmlformats.org/officeDocument/2006/relationships/hyperlink" Target="https://dadosabertos.camara.leg.br/api/v2/deputados/131754" TargetMode="External"/><Relationship Id="rId7150" Type="http://schemas.openxmlformats.org/officeDocument/2006/relationships/hyperlink" Target="https://dadosabertos.camara.leg.br/api/v2/deputados/927" TargetMode="External"/><Relationship Id="rId2295" Type="http://schemas.openxmlformats.org/officeDocument/2006/relationships/hyperlink" Target="https://dadosabertos.camara.leg.br/api/v2/deputados/74125" TargetMode="External"/><Relationship Id="rId3346" Type="http://schemas.openxmlformats.org/officeDocument/2006/relationships/hyperlink" Target="https://dadosabertos.camara.leg.br/api/v2/deputados/131899" TargetMode="External"/><Relationship Id="rId4744" Type="http://schemas.openxmlformats.org/officeDocument/2006/relationships/hyperlink" Target="https://dadosabertos.camara.leg.br/api/v2/deputados/130517" TargetMode="External"/><Relationship Id="rId267" Type="http://schemas.openxmlformats.org/officeDocument/2006/relationships/hyperlink" Target="https://dadosabertos.camara.leg.br/api/v2/deputados/178966" TargetMode="External"/><Relationship Id="rId3760" Type="http://schemas.openxmlformats.org/officeDocument/2006/relationships/hyperlink" Target="https://dadosabertos.camara.leg.br/api/v2/deputados/131810" TargetMode="External"/><Relationship Id="rId4811" Type="http://schemas.openxmlformats.org/officeDocument/2006/relationships/hyperlink" Target="https://dadosabertos.camara.leg.br/api/v2/deputados/130596" TargetMode="External"/><Relationship Id="rId7967" Type="http://schemas.openxmlformats.org/officeDocument/2006/relationships/hyperlink" Target="https://dadosabertos.camara.leg.br/api/v2/deputados/216072" TargetMode="External"/><Relationship Id="rId681" Type="http://schemas.openxmlformats.org/officeDocument/2006/relationships/hyperlink" Target="https://dadosabertos.camara.leg.br/api/v2/deputados/105534" TargetMode="External"/><Relationship Id="rId2362" Type="http://schemas.openxmlformats.org/officeDocument/2006/relationships/hyperlink" Target="https://dadosabertos.camara.leg.br/api/v2/deputados/74589" TargetMode="External"/><Relationship Id="rId3413" Type="http://schemas.openxmlformats.org/officeDocument/2006/relationships/hyperlink" Target="https://dadosabertos.camara.leg.br/api/v2/deputados/131957" TargetMode="External"/><Relationship Id="rId6569" Type="http://schemas.openxmlformats.org/officeDocument/2006/relationships/hyperlink" Target="https://dadosabertos.camara.leg.br/api/v2/deputados/1825" TargetMode="External"/><Relationship Id="rId6983" Type="http://schemas.openxmlformats.org/officeDocument/2006/relationships/hyperlink" Target="https://dadosabertos.camara.leg.br/api/v2/deputados/1195" TargetMode="External"/><Relationship Id="rId334" Type="http://schemas.openxmlformats.org/officeDocument/2006/relationships/hyperlink" Target="https://dadosabertos.camara.leg.br/api/v2/deputados/160548" TargetMode="External"/><Relationship Id="rId2015" Type="http://schemas.openxmlformats.org/officeDocument/2006/relationships/hyperlink" Target="https://dadosabertos.camara.leg.br/api/v2/deputados/74663" TargetMode="External"/><Relationship Id="rId5585" Type="http://schemas.openxmlformats.org/officeDocument/2006/relationships/hyperlink" Target="https://dadosabertos.camara.leg.br/api/v2/deputados/4609" TargetMode="External"/><Relationship Id="rId6636" Type="http://schemas.openxmlformats.org/officeDocument/2006/relationships/hyperlink" Target="https://dadosabertos.camara.leg.br/api/v2/deputados/1914" TargetMode="External"/><Relationship Id="rId401" Type="http://schemas.openxmlformats.org/officeDocument/2006/relationships/hyperlink" Target="https://dadosabertos.camara.leg.br/api/v2/deputados/204410" TargetMode="External"/><Relationship Id="rId1031" Type="http://schemas.openxmlformats.org/officeDocument/2006/relationships/hyperlink" Target="https://dadosabertos.camara.leg.br/api/v2/deputados/105112" TargetMode="External"/><Relationship Id="rId4187" Type="http://schemas.openxmlformats.org/officeDocument/2006/relationships/hyperlink" Target="https://dadosabertos.camara.leg.br/api/v2/deputados/131284" TargetMode="External"/><Relationship Id="rId5238" Type="http://schemas.openxmlformats.org/officeDocument/2006/relationships/hyperlink" Target="https://dadosabertos.camara.leg.br/api/v2/deputados/2999" TargetMode="External"/><Relationship Id="rId5652" Type="http://schemas.openxmlformats.org/officeDocument/2006/relationships/hyperlink" Target="https://dadosabertos.camara.leg.br/api/v2/deputados/4595" TargetMode="External"/><Relationship Id="rId6703" Type="http://schemas.openxmlformats.org/officeDocument/2006/relationships/hyperlink" Target="https://dadosabertos.camara.leg.br/api/v2/deputados/1860" TargetMode="External"/><Relationship Id="rId4254" Type="http://schemas.openxmlformats.org/officeDocument/2006/relationships/hyperlink" Target="https://dadosabertos.camara.leg.br/api/v2/deputados/131371" TargetMode="External"/><Relationship Id="rId5305" Type="http://schemas.openxmlformats.org/officeDocument/2006/relationships/hyperlink" Target="https://dadosabertos.camara.leg.br/api/v2/deputados/130244" TargetMode="External"/><Relationship Id="rId1848" Type="http://schemas.openxmlformats.org/officeDocument/2006/relationships/hyperlink" Target="https://dadosabertos.camara.leg.br/api/v2/deputados/74032" TargetMode="External"/><Relationship Id="rId3270" Type="http://schemas.openxmlformats.org/officeDocument/2006/relationships/hyperlink" Target="https://dadosabertos.camara.leg.br/api/v2/deputados/131967" TargetMode="External"/><Relationship Id="rId4321" Type="http://schemas.openxmlformats.org/officeDocument/2006/relationships/hyperlink" Target="https://dadosabertos.camara.leg.br/api/v2/deputados/130931" TargetMode="External"/><Relationship Id="rId7477" Type="http://schemas.openxmlformats.org/officeDocument/2006/relationships/hyperlink" Target="https://dadosabertos.camara.leg.br/api/v2/deputados/697" TargetMode="External"/><Relationship Id="rId191" Type="http://schemas.openxmlformats.org/officeDocument/2006/relationships/hyperlink" Target="https://www.instagram.com/danielsoranz" TargetMode="External"/><Relationship Id="rId1915" Type="http://schemas.openxmlformats.org/officeDocument/2006/relationships/hyperlink" Target="https://dadosabertos.camara.leg.br/api/v2/deputados/73654" TargetMode="External"/><Relationship Id="rId6079" Type="http://schemas.openxmlformats.org/officeDocument/2006/relationships/hyperlink" Target="https://dadosabertos.camara.leg.br/api/v2/deputados/2204" TargetMode="External"/><Relationship Id="rId7891" Type="http://schemas.openxmlformats.org/officeDocument/2006/relationships/hyperlink" Target="https://dadosabertos.camara.leg.br/api/v2/deputados/231" TargetMode="External"/><Relationship Id="rId5095" Type="http://schemas.openxmlformats.org/officeDocument/2006/relationships/hyperlink" Target="https://dadosabertos.camara.leg.br/api/v2/deputados/130290" TargetMode="External"/><Relationship Id="rId6493" Type="http://schemas.openxmlformats.org/officeDocument/2006/relationships/hyperlink" Target="https://dadosabertos.camara.leg.br/api/v2/deputados/1874" TargetMode="External"/><Relationship Id="rId7544" Type="http://schemas.openxmlformats.org/officeDocument/2006/relationships/hyperlink" Target="https://dadosabertos.camara.leg.br/api/v2/deputados/524" TargetMode="External"/><Relationship Id="rId2689" Type="http://schemas.openxmlformats.org/officeDocument/2006/relationships/hyperlink" Target="https://dadosabertos.camara.leg.br/api/v2/deputados/73700" TargetMode="External"/><Relationship Id="rId6146" Type="http://schemas.openxmlformats.org/officeDocument/2006/relationships/hyperlink" Target="https://dadosabertos.camara.leg.br/api/v2/deputados/2323" TargetMode="External"/><Relationship Id="rId6560" Type="http://schemas.openxmlformats.org/officeDocument/2006/relationships/hyperlink" Target="https://dadosabertos.camara.leg.br/api/v2/deputados/1857" TargetMode="External"/><Relationship Id="rId7611" Type="http://schemas.openxmlformats.org/officeDocument/2006/relationships/hyperlink" Target="https://dadosabertos.camara.leg.br/api/v2/deputados/585" TargetMode="External"/><Relationship Id="rId2756" Type="http://schemas.openxmlformats.org/officeDocument/2006/relationships/hyperlink" Target="https://dadosabertos.camara.leg.br/api/v2/deputados/133872" TargetMode="External"/><Relationship Id="rId3807" Type="http://schemas.openxmlformats.org/officeDocument/2006/relationships/hyperlink" Target="https://dadosabertos.camara.leg.br/api/v2/deputados/131533" TargetMode="External"/><Relationship Id="rId5162" Type="http://schemas.openxmlformats.org/officeDocument/2006/relationships/hyperlink" Target="https://dadosabertos.camara.leg.br/api/v2/deputados/3002" TargetMode="External"/><Relationship Id="rId6213" Type="http://schemas.openxmlformats.org/officeDocument/2006/relationships/hyperlink" Target="https://dadosabertos.camara.leg.br/api/v2/deputados/2295" TargetMode="External"/><Relationship Id="rId728" Type="http://schemas.openxmlformats.org/officeDocument/2006/relationships/hyperlink" Target="https://dadosabertos.camara.leg.br/api/v2/deputados/164359" TargetMode="External"/><Relationship Id="rId1358" Type="http://schemas.openxmlformats.org/officeDocument/2006/relationships/hyperlink" Target="https://dadosabertos.camara.leg.br/api/v2/deputados/141387" TargetMode="External"/><Relationship Id="rId1772" Type="http://schemas.openxmlformats.org/officeDocument/2006/relationships/hyperlink" Target="https://dadosabertos.camara.leg.br/api/v2/deputados/74139" TargetMode="External"/><Relationship Id="rId2409" Type="http://schemas.openxmlformats.org/officeDocument/2006/relationships/hyperlink" Target="https://dadosabertos.camara.leg.br/api/v2/deputados/73643" TargetMode="External"/><Relationship Id="rId5979" Type="http://schemas.openxmlformats.org/officeDocument/2006/relationships/hyperlink" Target="https://dadosabertos.camara.leg.br/api/v2/deputados/2465" TargetMode="External"/><Relationship Id="rId64" Type="http://schemas.openxmlformats.org/officeDocument/2006/relationships/hyperlink" Target="https://dadosabertos.camara.leg.br/api/v2/deputados/74090" TargetMode="External"/><Relationship Id="rId1425" Type="http://schemas.openxmlformats.org/officeDocument/2006/relationships/hyperlink" Target="https://dadosabertos.camara.leg.br/api/v2/deputados/162175" TargetMode="External"/><Relationship Id="rId2823" Type="http://schemas.openxmlformats.org/officeDocument/2006/relationships/hyperlink" Target="https://dadosabertos.camara.leg.br/api/v2/deputados/65495" TargetMode="External"/><Relationship Id="rId4995" Type="http://schemas.openxmlformats.org/officeDocument/2006/relationships/hyperlink" Target="https://dadosabertos.camara.leg.br/api/v2/deputados/3071" TargetMode="External"/><Relationship Id="rId7054" Type="http://schemas.openxmlformats.org/officeDocument/2006/relationships/hyperlink" Target="https://dadosabertos.camara.leg.br/api/v2/deputados/612" TargetMode="External"/><Relationship Id="rId2199" Type="http://schemas.openxmlformats.org/officeDocument/2006/relationships/hyperlink" Target="https://dadosabertos.camara.leg.br/api/v2/deputados/73589" TargetMode="External"/><Relationship Id="rId3597" Type="http://schemas.openxmlformats.org/officeDocument/2006/relationships/hyperlink" Target="https://dadosabertos.camara.leg.br/api/v2/deputados/131647" TargetMode="External"/><Relationship Id="rId4648" Type="http://schemas.openxmlformats.org/officeDocument/2006/relationships/hyperlink" Target="https://dadosabertos.camara.leg.br/api/v2/deputados/130818" TargetMode="External"/><Relationship Id="rId6070" Type="http://schemas.openxmlformats.org/officeDocument/2006/relationships/hyperlink" Target="https://dadosabertos.camara.leg.br/api/v2/deputados/2359" TargetMode="External"/><Relationship Id="rId3664" Type="http://schemas.openxmlformats.org/officeDocument/2006/relationships/hyperlink" Target="https://dadosabertos.camara.leg.br/api/v2/deputados/131713" TargetMode="External"/><Relationship Id="rId4715" Type="http://schemas.openxmlformats.org/officeDocument/2006/relationships/hyperlink" Target="https://dadosabertos.camara.leg.br/api/v2/deputados/130795" TargetMode="External"/><Relationship Id="rId7121" Type="http://schemas.openxmlformats.org/officeDocument/2006/relationships/hyperlink" Target="https://dadosabertos.camara.leg.br/api/v2/deputados/451" TargetMode="External"/><Relationship Id="rId585" Type="http://schemas.openxmlformats.org/officeDocument/2006/relationships/hyperlink" Target="https://dadosabertos.camara.leg.br/api/v2/deputados/204480" TargetMode="External"/><Relationship Id="rId2266" Type="http://schemas.openxmlformats.org/officeDocument/2006/relationships/hyperlink" Target="https://dadosabertos.camara.leg.br/api/v2/deputados/73795" TargetMode="External"/><Relationship Id="rId2680" Type="http://schemas.openxmlformats.org/officeDocument/2006/relationships/hyperlink" Target="https://dadosabertos.camara.leg.br/api/v2/deputados/133897" TargetMode="External"/><Relationship Id="rId3317" Type="http://schemas.openxmlformats.org/officeDocument/2006/relationships/hyperlink" Target="https://dadosabertos.camara.leg.br/api/v2/deputados/131876" TargetMode="External"/><Relationship Id="rId3731" Type="http://schemas.openxmlformats.org/officeDocument/2006/relationships/hyperlink" Target="https://dadosabertos.camara.leg.br/api/v2/deputados/131715" TargetMode="External"/><Relationship Id="rId6887" Type="http://schemas.openxmlformats.org/officeDocument/2006/relationships/hyperlink" Target="https://dadosabertos.camara.leg.br/api/v2/deputados/1236" TargetMode="External"/><Relationship Id="rId7938" Type="http://schemas.openxmlformats.org/officeDocument/2006/relationships/hyperlink" Target="https://dadosabertos.camara.leg.br/api/v2/deputados/113" TargetMode="External"/><Relationship Id="rId238" Type="http://schemas.openxmlformats.org/officeDocument/2006/relationships/hyperlink" Target="https://www.facebook.com/fabioreispsd" TargetMode="External"/><Relationship Id="rId652" Type="http://schemas.openxmlformats.org/officeDocument/2006/relationships/hyperlink" Target="https://dadosabertos.camara.leg.br/api/v2/deputados/160518" TargetMode="External"/><Relationship Id="rId1282" Type="http://schemas.openxmlformats.org/officeDocument/2006/relationships/hyperlink" Target="https://dadosabertos.camara.leg.br/api/v2/deputados/74372" TargetMode="External"/><Relationship Id="rId2333" Type="http://schemas.openxmlformats.org/officeDocument/2006/relationships/hyperlink" Target="https://dadosabertos.camara.leg.br/api/v2/deputados/65904" TargetMode="External"/><Relationship Id="rId5489" Type="http://schemas.openxmlformats.org/officeDocument/2006/relationships/hyperlink" Target="https://dadosabertos.camara.leg.br/api/v2/deputados/4733" TargetMode="External"/><Relationship Id="rId305" Type="http://schemas.openxmlformats.org/officeDocument/2006/relationships/hyperlink" Target="https://dadosabertos.camara.leg.br/api/v2/deputados/227324" TargetMode="External"/><Relationship Id="rId2400" Type="http://schemas.openxmlformats.org/officeDocument/2006/relationships/hyperlink" Target="https://dadosabertos.camara.leg.br/api/v2/deputados/74136" TargetMode="External"/><Relationship Id="rId5556" Type="http://schemas.openxmlformats.org/officeDocument/2006/relationships/hyperlink" Target="https://dadosabertos.camara.leg.br/api/v2/deputados/4545" TargetMode="External"/><Relationship Id="rId6607" Type="http://schemas.openxmlformats.org/officeDocument/2006/relationships/hyperlink" Target="https://dadosabertos.camara.leg.br/api/v2/deputados/130116" TargetMode="External"/><Relationship Id="rId6954" Type="http://schemas.openxmlformats.org/officeDocument/2006/relationships/hyperlink" Target="https://dadosabertos.camara.leg.br/api/v2/deputados/1151" TargetMode="External"/><Relationship Id="rId1002" Type="http://schemas.openxmlformats.org/officeDocument/2006/relationships/hyperlink" Target="https://dadosabertos.camara.leg.br/api/v2/deputados/178837" TargetMode="External"/><Relationship Id="rId4158" Type="http://schemas.openxmlformats.org/officeDocument/2006/relationships/hyperlink" Target="https://dadosabertos.camara.leg.br/api/v2/deputados/131291" TargetMode="External"/><Relationship Id="rId5209" Type="http://schemas.openxmlformats.org/officeDocument/2006/relationships/hyperlink" Target="https://dadosabertos.camara.leg.br/api/v2/deputados/3056" TargetMode="External"/><Relationship Id="rId5970" Type="http://schemas.openxmlformats.org/officeDocument/2006/relationships/hyperlink" Target="https://dadosabertos.camara.leg.br/api/v2/deputados/2594" TargetMode="External"/><Relationship Id="rId3174" Type="http://schemas.openxmlformats.org/officeDocument/2006/relationships/hyperlink" Target="https://dadosabertos.camara.leg.br/api/v2/deputados/139316" TargetMode="External"/><Relationship Id="rId4572" Type="http://schemas.openxmlformats.org/officeDocument/2006/relationships/hyperlink" Target="https://dadosabertos.camara.leg.br/api/v2/deputados/130827" TargetMode="External"/><Relationship Id="rId5623" Type="http://schemas.openxmlformats.org/officeDocument/2006/relationships/hyperlink" Target="https://dadosabertos.camara.leg.br/api/v2/deputados/2710" TargetMode="External"/><Relationship Id="rId1819" Type="http://schemas.openxmlformats.org/officeDocument/2006/relationships/hyperlink" Target="http://www.twitter.com/deplupercio" TargetMode="External"/><Relationship Id="rId4225" Type="http://schemas.openxmlformats.org/officeDocument/2006/relationships/hyperlink" Target="https://dadosabertos.camara.leg.br/api/v2/deputados/131171" TargetMode="External"/><Relationship Id="rId7795" Type="http://schemas.openxmlformats.org/officeDocument/2006/relationships/hyperlink" Target="https://dadosabertos.camara.leg.br/api/v2/deputados/370" TargetMode="External"/><Relationship Id="rId2190" Type="http://schemas.openxmlformats.org/officeDocument/2006/relationships/hyperlink" Target="https://dadosabertos.camara.leg.br/api/v2/deputados/74404" TargetMode="External"/><Relationship Id="rId3241" Type="http://schemas.openxmlformats.org/officeDocument/2006/relationships/hyperlink" Target="https://dadosabertos.camara.leg.br/api/v2/deputados/139371" TargetMode="External"/><Relationship Id="rId6397" Type="http://schemas.openxmlformats.org/officeDocument/2006/relationships/hyperlink" Target="https://dadosabertos.camara.leg.br/api/v2/deputados/2152" TargetMode="External"/><Relationship Id="rId7448" Type="http://schemas.openxmlformats.org/officeDocument/2006/relationships/hyperlink" Target="https://dadosabertos.camara.leg.br/api/v2/deputados/704" TargetMode="External"/><Relationship Id="rId7862" Type="http://schemas.openxmlformats.org/officeDocument/2006/relationships/hyperlink" Target="https://dadosabertos.camara.leg.br/api/v2/deputados/151" TargetMode="External"/><Relationship Id="rId162" Type="http://schemas.openxmlformats.org/officeDocument/2006/relationships/hyperlink" Target="https://dadosabertos.camara.leg.br/api/v2/deputados/220649" TargetMode="External"/><Relationship Id="rId6464" Type="http://schemas.openxmlformats.org/officeDocument/2006/relationships/hyperlink" Target="https://dadosabertos.camara.leg.br/api/v2/deputados/1706" TargetMode="External"/><Relationship Id="rId7515" Type="http://schemas.openxmlformats.org/officeDocument/2006/relationships/hyperlink" Target="https://dadosabertos.camara.leg.br/api/v2/deputados/563" TargetMode="External"/><Relationship Id="rId979" Type="http://schemas.openxmlformats.org/officeDocument/2006/relationships/hyperlink" Target="https://dadosabertos.camara.leg.br/api/v2/deputados/178889" TargetMode="External"/><Relationship Id="rId5066" Type="http://schemas.openxmlformats.org/officeDocument/2006/relationships/hyperlink" Target="https://dadosabertos.camara.leg.br/api/v2/deputados/3139" TargetMode="External"/><Relationship Id="rId5480" Type="http://schemas.openxmlformats.org/officeDocument/2006/relationships/hyperlink" Target="https://dadosabertos.camara.leg.br/api/v2/deputados/4694" TargetMode="External"/><Relationship Id="rId6117" Type="http://schemas.openxmlformats.org/officeDocument/2006/relationships/hyperlink" Target="https://dadosabertos.camara.leg.br/api/v2/deputados/2330" TargetMode="External"/><Relationship Id="rId6531" Type="http://schemas.openxmlformats.org/officeDocument/2006/relationships/hyperlink" Target="https://dadosabertos.camara.leg.br/api/v2/deputados/3858" TargetMode="External"/><Relationship Id="rId4082" Type="http://schemas.openxmlformats.org/officeDocument/2006/relationships/hyperlink" Target="https://dadosabertos.camara.leg.br/api/v2/deputados/131365" TargetMode="External"/><Relationship Id="rId5133" Type="http://schemas.openxmlformats.org/officeDocument/2006/relationships/hyperlink" Target="https://dadosabertos.camara.leg.br/api/v2/deputados/130346" TargetMode="External"/><Relationship Id="rId1676" Type="http://schemas.openxmlformats.org/officeDocument/2006/relationships/hyperlink" Target="https://dadosabertos.camara.leg.br/api/v2/deputados/73928" TargetMode="External"/><Relationship Id="rId2727" Type="http://schemas.openxmlformats.org/officeDocument/2006/relationships/hyperlink" Target="https://dadosabertos.camara.leg.br/api/v2/deputados/133993" TargetMode="External"/><Relationship Id="rId1329" Type="http://schemas.openxmlformats.org/officeDocument/2006/relationships/hyperlink" Target="https://dadosabertos.camara.leg.br/api/v2/deputados/178949" TargetMode="External"/><Relationship Id="rId1743" Type="http://schemas.openxmlformats.org/officeDocument/2006/relationships/hyperlink" Target="https://dadosabertos.camara.leg.br/api/v2/deputados/74269" TargetMode="External"/><Relationship Id="rId4899" Type="http://schemas.openxmlformats.org/officeDocument/2006/relationships/hyperlink" Target="https://dadosabertos.camara.leg.br/api/v2/deputados/130688" TargetMode="External"/><Relationship Id="rId5200" Type="http://schemas.openxmlformats.org/officeDocument/2006/relationships/hyperlink" Target="https://dadosabertos.camara.leg.br/api/v2/deputados/3003" TargetMode="External"/><Relationship Id="rId35" Type="http://schemas.openxmlformats.org/officeDocument/2006/relationships/hyperlink" Target="https://dadosabertos.camara.leg.br/api/v2/deputados/178937" TargetMode="External"/><Relationship Id="rId1810" Type="http://schemas.openxmlformats.org/officeDocument/2006/relationships/hyperlink" Target="https://dadosabertos.camara.leg.br/api/v2/deputados/141452" TargetMode="External"/><Relationship Id="rId4966" Type="http://schemas.openxmlformats.org/officeDocument/2006/relationships/hyperlink" Target="https://dadosabertos.camara.leg.br/api/v2/deputados/130434" TargetMode="External"/><Relationship Id="rId7372" Type="http://schemas.openxmlformats.org/officeDocument/2006/relationships/hyperlink" Target="https://dadosabertos.camara.leg.br/api/v2/deputados/226063" TargetMode="External"/><Relationship Id="rId3568" Type="http://schemas.openxmlformats.org/officeDocument/2006/relationships/hyperlink" Target="https://dadosabertos.camara.leg.br/api/v2/deputados/132106" TargetMode="External"/><Relationship Id="rId3982" Type="http://schemas.openxmlformats.org/officeDocument/2006/relationships/hyperlink" Target="https://dadosabertos.camara.leg.br/api/v2/deputados/131471" TargetMode="External"/><Relationship Id="rId4619" Type="http://schemas.openxmlformats.org/officeDocument/2006/relationships/hyperlink" Target="https://dadosabertos.camara.leg.br/api/v2/deputados/130769" TargetMode="External"/><Relationship Id="rId7025" Type="http://schemas.openxmlformats.org/officeDocument/2006/relationships/hyperlink" Target="https://dadosabertos.camara.leg.br/api/v2/deputados/1186" TargetMode="External"/><Relationship Id="rId489" Type="http://schemas.openxmlformats.org/officeDocument/2006/relationships/hyperlink" Target="https://dadosabertos.camara.leg.br/api/v2/deputados/227660" TargetMode="External"/><Relationship Id="rId2584" Type="http://schemas.openxmlformats.org/officeDocument/2006/relationships/hyperlink" Target="https://dadosabertos.camara.leg.br/api/v2/deputados/74249" TargetMode="External"/><Relationship Id="rId3635" Type="http://schemas.openxmlformats.org/officeDocument/2006/relationships/hyperlink" Target="https://dadosabertos.camara.leg.br/api/v2/deputados/131689" TargetMode="External"/><Relationship Id="rId6041" Type="http://schemas.openxmlformats.org/officeDocument/2006/relationships/hyperlink" Target="https://dadosabertos.camara.leg.br/api/v2/deputados/2517" TargetMode="External"/><Relationship Id="rId556" Type="http://schemas.openxmlformats.org/officeDocument/2006/relationships/hyperlink" Target="https://dadosabertos.camara.leg.br/api/v2/deputados/225386" TargetMode="External"/><Relationship Id="rId1186" Type="http://schemas.openxmlformats.org/officeDocument/2006/relationships/hyperlink" Target="https://dadosabertos.camara.leg.br/api/v2/deputados/195826" TargetMode="External"/><Relationship Id="rId2237" Type="http://schemas.openxmlformats.org/officeDocument/2006/relationships/hyperlink" Target="https://dadosabertos.camara.leg.br/api/v2/deputados/74540" TargetMode="External"/><Relationship Id="rId209" Type="http://schemas.openxmlformats.org/officeDocument/2006/relationships/hyperlink" Target="https://dadosabertos.camara.leg.br/api/v2/deputados/92346" TargetMode="External"/><Relationship Id="rId970" Type="http://schemas.openxmlformats.org/officeDocument/2006/relationships/hyperlink" Target="https://dadosabertos.camara.leg.br/api/v2/deputados/178888" TargetMode="External"/><Relationship Id="rId1253" Type="http://schemas.openxmlformats.org/officeDocument/2006/relationships/hyperlink" Target="http://www.renzobraz.com.br/" TargetMode="External"/><Relationship Id="rId2651" Type="http://schemas.openxmlformats.org/officeDocument/2006/relationships/hyperlink" Target="https://dadosabertos.camara.leg.br/api/v2/deputados/74019" TargetMode="External"/><Relationship Id="rId3702" Type="http://schemas.openxmlformats.org/officeDocument/2006/relationships/hyperlink" Target="https://dadosabertos.camara.leg.br/api/v2/deputados/1701" TargetMode="External"/><Relationship Id="rId6858" Type="http://schemas.openxmlformats.org/officeDocument/2006/relationships/hyperlink" Target="https://dadosabertos.camara.leg.br/api/v2/deputados/1087" TargetMode="External"/><Relationship Id="rId7909" Type="http://schemas.openxmlformats.org/officeDocument/2006/relationships/hyperlink" Target="https://dadosabertos.camara.leg.br/api/v2/deputados/202" TargetMode="External"/><Relationship Id="rId623" Type="http://schemas.openxmlformats.org/officeDocument/2006/relationships/hyperlink" Target="https://dadosabertos.camara.leg.br/api/v2/deputados/178946" TargetMode="External"/><Relationship Id="rId2304" Type="http://schemas.openxmlformats.org/officeDocument/2006/relationships/hyperlink" Target="https://dadosabertos.camara.leg.br/api/v2/deputados/74809" TargetMode="External"/><Relationship Id="rId5874" Type="http://schemas.openxmlformats.org/officeDocument/2006/relationships/hyperlink" Target="https://dadosabertos.camara.leg.br/api/v2/deputados/2551" TargetMode="External"/><Relationship Id="rId6925" Type="http://schemas.openxmlformats.org/officeDocument/2006/relationships/hyperlink" Target="https://dadosabertos.camara.leg.br/api/v2/deputados/1240" TargetMode="External"/><Relationship Id="rId1320" Type="http://schemas.openxmlformats.org/officeDocument/2006/relationships/hyperlink" Target="https://dadosabertos.camara.leg.br/api/v2/deputados/141563" TargetMode="External"/><Relationship Id="rId4476" Type="http://schemas.openxmlformats.org/officeDocument/2006/relationships/hyperlink" Target="https://dadosabertos.camara.leg.br/api/v2/deputados/131092" TargetMode="External"/><Relationship Id="rId4890" Type="http://schemas.openxmlformats.org/officeDocument/2006/relationships/hyperlink" Target="https://dadosabertos.camara.leg.br/api/v2/deputados/130623" TargetMode="External"/><Relationship Id="rId5527" Type="http://schemas.openxmlformats.org/officeDocument/2006/relationships/hyperlink" Target="https://dadosabertos.camara.leg.br/api/v2/deputados/2951" TargetMode="External"/><Relationship Id="rId5941" Type="http://schemas.openxmlformats.org/officeDocument/2006/relationships/hyperlink" Target="https://dadosabertos.camara.leg.br/api/v2/deputados/2433" TargetMode="External"/><Relationship Id="rId3078" Type="http://schemas.openxmlformats.org/officeDocument/2006/relationships/hyperlink" Target="https://dadosabertos.camara.leg.br/api/v2/deputados/139233" TargetMode="External"/><Relationship Id="rId3492" Type="http://schemas.openxmlformats.org/officeDocument/2006/relationships/hyperlink" Target="https://dadosabertos.camara.leg.br/api/v2/deputados/132135" TargetMode="External"/><Relationship Id="rId4129" Type="http://schemas.openxmlformats.org/officeDocument/2006/relationships/hyperlink" Target="https://dadosabertos.camara.leg.br/api/v2/deputados/131255" TargetMode="External"/><Relationship Id="rId4543" Type="http://schemas.openxmlformats.org/officeDocument/2006/relationships/hyperlink" Target="https://dadosabertos.camara.leg.br/api/v2/deputados/130706" TargetMode="External"/><Relationship Id="rId7699" Type="http://schemas.openxmlformats.org/officeDocument/2006/relationships/hyperlink" Target="https://dadosabertos.camara.leg.br/api/v2/deputados/498" TargetMode="External"/><Relationship Id="rId2094" Type="http://schemas.openxmlformats.org/officeDocument/2006/relationships/hyperlink" Target="https://dadosabertos.camara.leg.br/api/v2/deputados/74375" TargetMode="External"/><Relationship Id="rId3145" Type="http://schemas.openxmlformats.org/officeDocument/2006/relationships/hyperlink" Target="https://dadosabertos.camara.leg.br/api/v2/deputados/139291" TargetMode="External"/><Relationship Id="rId4610" Type="http://schemas.openxmlformats.org/officeDocument/2006/relationships/hyperlink" Target="https://dadosabertos.camara.leg.br/api/v2/deputados/130773" TargetMode="External"/><Relationship Id="rId7766" Type="http://schemas.openxmlformats.org/officeDocument/2006/relationships/hyperlink" Target="https://dadosabertos.camara.leg.br/api/v2/deputados/444" TargetMode="External"/><Relationship Id="rId480" Type="http://schemas.openxmlformats.org/officeDocument/2006/relationships/hyperlink" Target="https://dadosabertos.camara.leg.br/api/v2/deputados/233218" TargetMode="External"/><Relationship Id="rId2161" Type="http://schemas.openxmlformats.org/officeDocument/2006/relationships/hyperlink" Target="https://dadosabertos.camara.leg.br/api/v2/deputados/74282" TargetMode="External"/><Relationship Id="rId3212" Type="http://schemas.openxmlformats.org/officeDocument/2006/relationships/hyperlink" Target="https://dadosabertos.camara.leg.br/api/v2/deputados/139346" TargetMode="External"/><Relationship Id="rId6368" Type="http://schemas.openxmlformats.org/officeDocument/2006/relationships/hyperlink" Target="https://dadosabertos.camara.leg.br/api/v2/deputados/2227" TargetMode="External"/><Relationship Id="rId7419" Type="http://schemas.openxmlformats.org/officeDocument/2006/relationships/hyperlink" Target="https://dadosabertos.camara.leg.br/api/v2/deputados/778" TargetMode="External"/><Relationship Id="rId133" Type="http://schemas.openxmlformats.org/officeDocument/2006/relationships/hyperlink" Target="https://dadosabertos.camara.leg.br/api/v2/deputados/178963" TargetMode="External"/><Relationship Id="rId5384" Type="http://schemas.openxmlformats.org/officeDocument/2006/relationships/hyperlink" Target="https://dadosabertos.camara.leg.br/api/v2/deputados/4717" TargetMode="External"/><Relationship Id="rId6782" Type="http://schemas.openxmlformats.org/officeDocument/2006/relationships/hyperlink" Target="https://dadosabertos.camara.leg.br/api/v2/deputados/1647" TargetMode="External"/><Relationship Id="rId7833" Type="http://schemas.openxmlformats.org/officeDocument/2006/relationships/hyperlink" Target="https://dadosabertos.camara.leg.br/api/v2/deputados/299" TargetMode="External"/><Relationship Id="rId200" Type="http://schemas.openxmlformats.org/officeDocument/2006/relationships/hyperlink" Target="https://dadosabertos.camara.leg.br/api/v2/deputados/220528" TargetMode="External"/><Relationship Id="rId2978" Type="http://schemas.openxmlformats.org/officeDocument/2006/relationships/hyperlink" Target="https://dadosabertos.camara.leg.br/api/v2/deputados/139146" TargetMode="External"/><Relationship Id="rId5037" Type="http://schemas.openxmlformats.org/officeDocument/2006/relationships/hyperlink" Target="https://dadosabertos.camara.leg.br/api/v2/deputados/130475" TargetMode="External"/><Relationship Id="rId6435" Type="http://schemas.openxmlformats.org/officeDocument/2006/relationships/hyperlink" Target="https://dadosabertos.camara.leg.br/api/v2/deputados/3733" TargetMode="External"/><Relationship Id="rId7900" Type="http://schemas.openxmlformats.org/officeDocument/2006/relationships/hyperlink" Target="https://dadosabertos.camara.leg.br/api/v2/deputados/23" TargetMode="External"/><Relationship Id="rId1994" Type="http://schemas.openxmlformats.org/officeDocument/2006/relationships/hyperlink" Target="https://dadosabertos.camara.leg.br/api/v2/deputados/74393" TargetMode="External"/><Relationship Id="rId5451" Type="http://schemas.openxmlformats.org/officeDocument/2006/relationships/hyperlink" Target="https://dadosabertos.camara.leg.br/api/v2/deputados/130273" TargetMode="External"/><Relationship Id="rId6502" Type="http://schemas.openxmlformats.org/officeDocument/2006/relationships/hyperlink" Target="https://dadosabertos.camara.leg.br/api/v2/deputados/2094" TargetMode="External"/><Relationship Id="rId1647" Type="http://schemas.openxmlformats.org/officeDocument/2006/relationships/hyperlink" Target="https://dadosabertos.camara.leg.br/api/v2/deputados/141870" TargetMode="External"/><Relationship Id="rId4053" Type="http://schemas.openxmlformats.org/officeDocument/2006/relationships/hyperlink" Target="https://dadosabertos.camara.leg.br/api/v2/deputados/131191" TargetMode="External"/><Relationship Id="rId5104" Type="http://schemas.openxmlformats.org/officeDocument/2006/relationships/hyperlink" Target="https://dadosabertos.camara.leg.br/api/v2/deputados/130353" TargetMode="External"/><Relationship Id="rId1714" Type="http://schemas.openxmlformats.org/officeDocument/2006/relationships/hyperlink" Target="https://dadosabertos.camara.leg.br/api/v2/deputados/141501" TargetMode="External"/><Relationship Id="rId4120" Type="http://schemas.openxmlformats.org/officeDocument/2006/relationships/hyperlink" Target="https://dadosabertos.camara.leg.br/api/v2/deputados/131245" TargetMode="External"/><Relationship Id="rId7276" Type="http://schemas.openxmlformats.org/officeDocument/2006/relationships/hyperlink" Target="https://dadosabertos.camara.leg.br/api/v2/deputados/998" TargetMode="External"/><Relationship Id="rId7690" Type="http://schemas.openxmlformats.org/officeDocument/2006/relationships/hyperlink" Target="https://dadosabertos.camara.leg.br/api/v2/deputados/429" TargetMode="External"/><Relationship Id="rId6292" Type="http://schemas.openxmlformats.org/officeDocument/2006/relationships/hyperlink" Target="https://dadosabertos.camara.leg.br/api/v2/deputados/2066" TargetMode="External"/><Relationship Id="rId7343" Type="http://schemas.openxmlformats.org/officeDocument/2006/relationships/hyperlink" Target="https://dadosabertos.camara.leg.br/api/v2/deputados/781" TargetMode="External"/><Relationship Id="rId2488" Type="http://schemas.openxmlformats.org/officeDocument/2006/relationships/hyperlink" Target="https://dadosabertos.camara.leg.br/api/v2/deputados/74105" TargetMode="External"/><Relationship Id="rId3886" Type="http://schemas.openxmlformats.org/officeDocument/2006/relationships/hyperlink" Target="https://dadosabertos.camara.leg.br/api/v2/deputados/131612" TargetMode="External"/><Relationship Id="rId4937" Type="http://schemas.openxmlformats.org/officeDocument/2006/relationships/hyperlink" Target="https://dadosabertos.camara.leg.br/api/v2/deputados/3014" TargetMode="External"/><Relationship Id="rId3539" Type="http://schemas.openxmlformats.org/officeDocument/2006/relationships/hyperlink" Target="https://dadosabertos.camara.leg.br/api/v2/deputados/132081" TargetMode="External"/><Relationship Id="rId3953" Type="http://schemas.openxmlformats.org/officeDocument/2006/relationships/hyperlink" Target="https://dadosabertos.camara.leg.br/api/v2/deputados/131431" TargetMode="External"/><Relationship Id="rId6012" Type="http://schemas.openxmlformats.org/officeDocument/2006/relationships/hyperlink" Target="https://dadosabertos.camara.leg.br/api/v2/deputados/2532" TargetMode="External"/><Relationship Id="rId7410" Type="http://schemas.openxmlformats.org/officeDocument/2006/relationships/hyperlink" Target="https://dadosabertos.camara.leg.br/api/v2/deputados/551" TargetMode="External"/><Relationship Id="rId874" Type="http://schemas.openxmlformats.org/officeDocument/2006/relationships/hyperlink" Target="https://dadosabertos.camara.leg.br/api/v2/deputados/74165" TargetMode="External"/><Relationship Id="rId2555" Type="http://schemas.openxmlformats.org/officeDocument/2006/relationships/hyperlink" Target="https://dadosabertos.camara.leg.br/api/v2/deputados/74855" TargetMode="External"/><Relationship Id="rId3606" Type="http://schemas.openxmlformats.org/officeDocument/2006/relationships/hyperlink" Target="https://dadosabertos.camara.leg.br/api/v2/deputados/131793" TargetMode="External"/><Relationship Id="rId527" Type="http://schemas.openxmlformats.org/officeDocument/2006/relationships/hyperlink" Target="https://dadosabertos.camara.leg.br/api/v2/deputados/229112" TargetMode="External"/><Relationship Id="rId941" Type="http://schemas.openxmlformats.org/officeDocument/2006/relationships/hyperlink" Target="https://dadosabertos.camara.leg.br/api/v2/deputados/219599" TargetMode="External"/><Relationship Id="rId1157" Type="http://schemas.openxmlformats.org/officeDocument/2006/relationships/hyperlink" Target="https://dadosabertos.camara.leg.br/api/v2/deputados/178918" TargetMode="External"/><Relationship Id="rId1571" Type="http://schemas.openxmlformats.org/officeDocument/2006/relationships/hyperlink" Target="https://dadosabertos.camara.leg.br/api/v2/deputados/73782" TargetMode="External"/><Relationship Id="rId2208" Type="http://schemas.openxmlformats.org/officeDocument/2006/relationships/hyperlink" Target="https://dadosabertos.camara.leg.br/api/v2/deputados/73479" TargetMode="External"/><Relationship Id="rId2622" Type="http://schemas.openxmlformats.org/officeDocument/2006/relationships/hyperlink" Target="https://dadosabertos.camara.leg.br/api/v2/deputados/73789" TargetMode="External"/><Relationship Id="rId5778" Type="http://schemas.openxmlformats.org/officeDocument/2006/relationships/hyperlink" Target="https://dadosabertos.camara.leg.br/api/v2/deputados/2668" TargetMode="External"/><Relationship Id="rId6829" Type="http://schemas.openxmlformats.org/officeDocument/2006/relationships/hyperlink" Target="https://dadosabertos.camara.leg.br/api/v2/deputados/1703" TargetMode="External"/><Relationship Id="rId1224" Type="http://schemas.openxmlformats.org/officeDocument/2006/relationships/hyperlink" Target="https://dadosabertos.camara.leg.br/api/v2/deputados/193069" TargetMode="External"/><Relationship Id="rId4794" Type="http://schemas.openxmlformats.org/officeDocument/2006/relationships/hyperlink" Target="https://dadosabertos.camara.leg.br/api/v2/deputados/130577" TargetMode="External"/><Relationship Id="rId5845" Type="http://schemas.openxmlformats.org/officeDocument/2006/relationships/hyperlink" Target="https://dadosabertos.camara.leg.br/api/v2/deputados/130157" TargetMode="External"/><Relationship Id="rId3396" Type="http://schemas.openxmlformats.org/officeDocument/2006/relationships/hyperlink" Target="https://dadosabertos.camara.leg.br/api/v2/deputados/1590" TargetMode="External"/><Relationship Id="rId4447" Type="http://schemas.openxmlformats.org/officeDocument/2006/relationships/hyperlink" Target="https://dadosabertos.camara.leg.br/api/v2/deputados/131065" TargetMode="External"/><Relationship Id="rId3049" Type="http://schemas.openxmlformats.org/officeDocument/2006/relationships/hyperlink" Target="https://dadosabertos.camara.leg.br/api/v2/deputados/139209" TargetMode="External"/><Relationship Id="rId3463" Type="http://schemas.openxmlformats.org/officeDocument/2006/relationships/hyperlink" Target="https://dadosabertos.camara.leg.br/api/v2/deputados/131986" TargetMode="External"/><Relationship Id="rId4861" Type="http://schemas.openxmlformats.org/officeDocument/2006/relationships/hyperlink" Target="https://dadosabertos.camara.leg.br/api/v2/deputados/130631" TargetMode="External"/><Relationship Id="rId5912" Type="http://schemas.openxmlformats.org/officeDocument/2006/relationships/hyperlink" Target="https://dadosabertos.camara.leg.br/api/v2/deputados/4305" TargetMode="External"/><Relationship Id="rId384" Type="http://schemas.openxmlformats.org/officeDocument/2006/relationships/hyperlink" Target="https://dadosabertos.camara.leg.br/api/v2/deputados/74858" TargetMode="External"/><Relationship Id="rId2065" Type="http://schemas.openxmlformats.org/officeDocument/2006/relationships/hyperlink" Target="https://dadosabertos.camara.leg.br/api/v2/deputados/74028" TargetMode="External"/><Relationship Id="rId3116" Type="http://schemas.openxmlformats.org/officeDocument/2006/relationships/hyperlink" Target="https://dadosabertos.camara.leg.br/api/v2/deputados/139266" TargetMode="External"/><Relationship Id="rId4514" Type="http://schemas.openxmlformats.org/officeDocument/2006/relationships/hyperlink" Target="https://dadosabertos.camara.leg.br/api/v2/deputados/131118" TargetMode="External"/><Relationship Id="rId1081" Type="http://schemas.openxmlformats.org/officeDocument/2006/relationships/hyperlink" Target="https://dadosabertos.camara.leg.br/api/v2/deputados/178941" TargetMode="External"/><Relationship Id="rId3530" Type="http://schemas.openxmlformats.org/officeDocument/2006/relationships/hyperlink" Target="https://dadosabertos.camara.leg.br/api/v2/deputados/132078" TargetMode="External"/><Relationship Id="rId6686" Type="http://schemas.openxmlformats.org/officeDocument/2006/relationships/hyperlink" Target="https://dadosabertos.camara.leg.br/api/v2/deputados/1705" TargetMode="External"/><Relationship Id="rId7737" Type="http://schemas.openxmlformats.org/officeDocument/2006/relationships/hyperlink" Target="https://dadosabertos.camara.leg.br/api/v2/deputados/33" TargetMode="External"/><Relationship Id="rId451" Type="http://schemas.openxmlformats.org/officeDocument/2006/relationships/hyperlink" Target="https://dadosabertos.camara.leg.br/api/v2/deputados/74158" TargetMode="External"/><Relationship Id="rId2132" Type="http://schemas.openxmlformats.org/officeDocument/2006/relationships/hyperlink" Target="https://dadosabertos.camara.leg.br/api/v2/deputados/74758" TargetMode="External"/><Relationship Id="rId5288" Type="http://schemas.openxmlformats.org/officeDocument/2006/relationships/hyperlink" Target="https://dadosabertos.camara.leg.br/api/v2/deputados/3025" TargetMode="External"/><Relationship Id="rId6339" Type="http://schemas.openxmlformats.org/officeDocument/2006/relationships/hyperlink" Target="https://dadosabertos.camara.leg.br/api/v2/deputados/1920" TargetMode="External"/><Relationship Id="rId6753" Type="http://schemas.openxmlformats.org/officeDocument/2006/relationships/hyperlink" Target="https://dadosabertos.camara.leg.br/api/v2/deputados/1656" TargetMode="External"/><Relationship Id="rId7804" Type="http://schemas.openxmlformats.org/officeDocument/2006/relationships/hyperlink" Target="https://dadosabertos.camara.leg.br/api/v2/deputados/1271" TargetMode="External"/><Relationship Id="rId104" Type="http://schemas.openxmlformats.org/officeDocument/2006/relationships/hyperlink" Target="https://dadosabertos.camara.leg.br/api/v2/deputados/204426" TargetMode="External"/><Relationship Id="rId1898" Type="http://schemas.openxmlformats.org/officeDocument/2006/relationships/hyperlink" Target="https://dadosabertos.camara.leg.br/api/v2/deputados/141524" TargetMode="External"/><Relationship Id="rId2949" Type="http://schemas.openxmlformats.org/officeDocument/2006/relationships/hyperlink" Target="https://dadosabertos.camara.leg.br/api/v2/deputados/73864" TargetMode="External"/><Relationship Id="rId5355" Type="http://schemas.openxmlformats.org/officeDocument/2006/relationships/hyperlink" Target="https://dadosabertos.camara.leg.br/api/v2/deputados/2908" TargetMode="External"/><Relationship Id="rId6406" Type="http://schemas.openxmlformats.org/officeDocument/2006/relationships/hyperlink" Target="https://dadosabertos.camara.leg.br/api/v2/deputados/3699" TargetMode="External"/><Relationship Id="rId6820" Type="http://schemas.openxmlformats.org/officeDocument/2006/relationships/hyperlink" Target="https://dadosabertos.camara.leg.br/api/v2/deputados/1591" TargetMode="External"/><Relationship Id="rId4371" Type="http://schemas.openxmlformats.org/officeDocument/2006/relationships/hyperlink" Target="https://dadosabertos.camara.leg.br/api/v2/deputados/130970" TargetMode="External"/><Relationship Id="rId5008" Type="http://schemas.openxmlformats.org/officeDocument/2006/relationships/hyperlink" Target="https://dadosabertos.camara.leg.br/api/v2/deputados/130472" TargetMode="External"/><Relationship Id="rId5422" Type="http://schemas.openxmlformats.org/officeDocument/2006/relationships/hyperlink" Target="https://dadosabertos.camara.leg.br/api/v2/deputados/4753" TargetMode="External"/><Relationship Id="rId1965" Type="http://schemas.openxmlformats.org/officeDocument/2006/relationships/hyperlink" Target="https://dadosabertos.camara.leg.br/api/v2/deputados/74097" TargetMode="External"/><Relationship Id="rId4024" Type="http://schemas.openxmlformats.org/officeDocument/2006/relationships/hyperlink" Target="https://dadosabertos.camara.leg.br/api/v2/deputados/131157" TargetMode="External"/><Relationship Id="rId7594" Type="http://schemas.openxmlformats.org/officeDocument/2006/relationships/hyperlink" Target="https://dadosabertos.camara.leg.br/api/v2/deputados/575" TargetMode="External"/><Relationship Id="rId1618" Type="http://schemas.openxmlformats.org/officeDocument/2006/relationships/hyperlink" Target="https://dadosabertos.camara.leg.br/api/v2/deputados/160594" TargetMode="External"/><Relationship Id="rId3040" Type="http://schemas.openxmlformats.org/officeDocument/2006/relationships/hyperlink" Target="https://dadosabertos.camara.leg.br/api/v2/deputados/139200" TargetMode="External"/><Relationship Id="rId6196" Type="http://schemas.openxmlformats.org/officeDocument/2006/relationships/hyperlink" Target="https://dadosabertos.camara.leg.br/api/v2/deputados/1780" TargetMode="External"/><Relationship Id="rId7247" Type="http://schemas.openxmlformats.org/officeDocument/2006/relationships/hyperlink" Target="https://dadosabertos.camara.leg.br/api/v2/deputados/954" TargetMode="External"/><Relationship Id="rId7661" Type="http://schemas.openxmlformats.org/officeDocument/2006/relationships/hyperlink" Target="https://dadosabertos.camara.leg.br/api/v2/deputados/554" TargetMode="External"/><Relationship Id="rId3857" Type="http://schemas.openxmlformats.org/officeDocument/2006/relationships/hyperlink" Target="https://dadosabertos.camara.leg.br/api/v2/deputados/131589" TargetMode="External"/><Relationship Id="rId4908" Type="http://schemas.openxmlformats.org/officeDocument/2006/relationships/hyperlink" Target="https://dadosabertos.camara.leg.br/api/v2/deputados/130575" TargetMode="External"/><Relationship Id="rId6263" Type="http://schemas.openxmlformats.org/officeDocument/2006/relationships/hyperlink" Target="https://dadosabertos.camara.leg.br/api/v2/deputados/1809" TargetMode="External"/><Relationship Id="rId7314" Type="http://schemas.openxmlformats.org/officeDocument/2006/relationships/hyperlink" Target="https://dadosabertos.camara.leg.br/api/v2/deputados/911" TargetMode="External"/><Relationship Id="rId778" Type="http://schemas.openxmlformats.org/officeDocument/2006/relationships/hyperlink" Target="https://dadosabertos.camara.leg.br/api/v2/deputados/204484" TargetMode="External"/><Relationship Id="rId2459" Type="http://schemas.openxmlformats.org/officeDocument/2006/relationships/hyperlink" Target="https://dadosabertos.camara.leg.br/api/v2/deputados/74179" TargetMode="External"/><Relationship Id="rId2873" Type="http://schemas.openxmlformats.org/officeDocument/2006/relationships/hyperlink" Target="https://dadosabertos.camara.leg.br/api/v2/deputados/73965" TargetMode="External"/><Relationship Id="rId3924" Type="http://schemas.openxmlformats.org/officeDocument/2006/relationships/hyperlink" Target="https://dadosabertos.camara.leg.br/api/v2/deputados/131436" TargetMode="External"/><Relationship Id="rId6330" Type="http://schemas.openxmlformats.org/officeDocument/2006/relationships/hyperlink" Target="https://dadosabertos.camara.leg.br/api/v2/deputados/2236" TargetMode="External"/><Relationship Id="rId845" Type="http://schemas.openxmlformats.org/officeDocument/2006/relationships/hyperlink" Target="https://dadosabertos.camara.leg.br/api/v2/deputados/146788" TargetMode="External"/><Relationship Id="rId1475" Type="http://schemas.openxmlformats.org/officeDocument/2006/relationships/hyperlink" Target="https://dadosabertos.camara.leg.br/api/v2/deputados/3151" TargetMode="External"/><Relationship Id="rId2526" Type="http://schemas.openxmlformats.org/officeDocument/2006/relationships/hyperlink" Target="https://dadosabertos.camara.leg.br/api/v2/deputados/74296" TargetMode="External"/><Relationship Id="rId1128" Type="http://schemas.openxmlformats.org/officeDocument/2006/relationships/hyperlink" Target="https://dadosabertos.camara.leg.br/api/v2/deputados/178917" TargetMode="External"/><Relationship Id="rId1542" Type="http://schemas.openxmlformats.org/officeDocument/2006/relationships/hyperlink" Target="https://dadosabertos.camara.leg.br/api/v2/deputados/74744" TargetMode="External"/><Relationship Id="rId2940" Type="http://schemas.openxmlformats.org/officeDocument/2006/relationships/hyperlink" Target="https://dadosabertos.camara.leg.br/api/v2/deputados/133855" TargetMode="External"/><Relationship Id="rId4698" Type="http://schemas.openxmlformats.org/officeDocument/2006/relationships/hyperlink" Target="https://dadosabertos.camara.leg.br/api/v2/deputados/130857" TargetMode="External"/><Relationship Id="rId5749" Type="http://schemas.openxmlformats.org/officeDocument/2006/relationships/hyperlink" Target="https://dadosabertos.camara.leg.br/api/v2/deputados/2664" TargetMode="External"/><Relationship Id="rId912" Type="http://schemas.openxmlformats.org/officeDocument/2006/relationships/hyperlink" Target="https://dadosabertos.camara.leg.br/api/v2/deputados/178951" TargetMode="External"/><Relationship Id="rId7171" Type="http://schemas.openxmlformats.org/officeDocument/2006/relationships/hyperlink" Target="https://dadosabertos.camara.leg.br/api/v2/deputados/1008" TargetMode="External"/><Relationship Id="rId4765" Type="http://schemas.openxmlformats.org/officeDocument/2006/relationships/hyperlink" Target="https://dadosabertos.camara.leg.br/api/v2/deputados/130556" TargetMode="External"/><Relationship Id="rId5816" Type="http://schemas.openxmlformats.org/officeDocument/2006/relationships/hyperlink" Target="https://dadosabertos.camara.leg.br/api/v2/deputados/4535" TargetMode="External"/><Relationship Id="rId288" Type="http://schemas.openxmlformats.org/officeDocument/2006/relationships/hyperlink" Target="http://www.gleisi.com.br/" TargetMode="External"/><Relationship Id="rId3367" Type="http://schemas.openxmlformats.org/officeDocument/2006/relationships/hyperlink" Target="https://dadosabertos.camara.leg.br/api/v2/deputados/131918" TargetMode="External"/><Relationship Id="rId3781" Type="http://schemas.openxmlformats.org/officeDocument/2006/relationships/hyperlink" Target="https://dadosabertos.camara.leg.br/api/v2/deputados/131513" TargetMode="External"/><Relationship Id="rId4418" Type="http://schemas.openxmlformats.org/officeDocument/2006/relationships/hyperlink" Target="https://dadosabertos.camara.leg.br/api/v2/deputados/131036" TargetMode="External"/><Relationship Id="rId4832" Type="http://schemas.openxmlformats.org/officeDocument/2006/relationships/hyperlink" Target="https://dadosabertos.camara.leg.br/api/v2/deputados/130627" TargetMode="External"/><Relationship Id="rId7988" Type="http://schemas.openxmlformats.org/officeDocument/2006/relationships/hyperlink" Target="https://dadosabertos.camara.leg.br/api/v2/deputados/170" TargetMode="External"/><Relationship Id="rId2383" Type="http://schemas.openxmlformats.org/officeDocument/2006/relationships/hyperlink" Target="https://dadosabertos.camara.leg.br/api/v2/deputados/73690" TargetMode="External"/><Relationship Id="rId3434" Type="http://schemas.openxmlformats.org/officeDocument/2006/relationships/hyperlink" Target="https://dadosabertos.camara.leg.br/api/v2/deputados/1712" TargetMode="External"/><Relationship Id="rId355" Type="http://schemas.openxmlformats.org/officeDocument/2006/relationships/hyperlink" Target="https://dadosabertos.camara.leg.br/api/v2/deputados/74317" TargetMode="External"/><Relationship Id="rId2036" Type="http://schemas.openxmlformats.org/officeDocument/2006/relationships/hyperlink" Target="https://dadosabertos.camara.leg.br/api/v2/deputados/74477" TargetMode="External"/><Relationship Id="rId2450" Type="http://schemas.openxmlformats.org/officeDocument/2006/relationships/hyperlink" Target="https://dadosabertos.camara.leg.br/api/v2/deputados/66476" TargetMode="External"/><Relationship Id="rId3501" Type="http://schemas.openxmlformats.org/officeDocument/2006/relationships/hyperlink" Target="https://dadosabertos.camara.leg.br/api/v2/deputados/132051" TargetMode="External"/><Relationship Id="rId6657" Type="http://schemas.openxmlformats.org/officeDocument/2006/relationships/hyperlink" Target="https://dadosabertos.camara.leg.br/api/v2/deputados/1655" TargetMode="External"/><Relationship Id="rId7708" Type="http://schemas.openxmlformats.org/officeDocument/2006/relationships/hyperlink" Target="https://dadosabertos.camara.leg.br/api/v2/deputados/484" TargetMode="External"/><Relationship Id="rId422" Type="http://schemas.openxmlformats.org/officeDocument/2006/relationships/hyperlink" Target="https://dadosabertos.camara.leg.br/api/v2/deputados/179000" TargetMode="External"/><Relationship Id="rId1052" Type="http://schemas.openxmlformats.org/officeDocument/2006/relationships/hyperlink" Target="https://dadosabertos.camara.leg.br/api/v2/deputados/194258" TargetMode="External"/><Relationship Id="rId2103" Type="http://schemas.openxmlformats.org/officeDocument/2006/relationships/hyperlink" Target="https://dadosabertos.camara.leg.br/api/v2/deputados/73603" TargetMode="External"/><Relationship Id="rId5259" Type="http://schemas.openxmlformats.org/officeDocument/2006/relationships/hyperlink" Target="https://dadosabertos.camara.leg.br/api/v2/deputados/3035" TargetMode="External"/><Relationship Id="rId5673" Type="http://schemas.openxmlformats.org/officeDocument/2006/relationships/hyperlink" Target="https://dadosabertos.camara.leg.br/api/v2/deputados/2819" TargetMode="External"/><Relationship Id="rId4275" Type="http://schemas.openxmlformats.org/officeDocument/2006/relationships/hyperlink" Target="https://dadosabertos.camara.leg.br/api/v2/deputados/130881" TargetMode="External"/><Relationship Id="rId5326" Type="http://schemas.openxmlformats.org/officeDocument/2006/relationships/hyperlink" Target="https://dadosabertos.camara.leg.br/api/v2/deputados/2931" TargetMode="External"/><Relationship Id="rId6724" Type="http://schemas.openxmlformats.org/officeDocument/2006/relationships/hyperlink" Target="https://dadosabertos.camara.leg.br/api/v2/deputados/1665" TargetMode="External"/><Relationship Id="rId1869" Type="http://schemas.openxmlformats.org/officeDocument/2006/relationships/hyperlink" Target="https://dadosabertos.camara.leg.br/api/v2/deputados/74777" TargetMode="External"/><Relationship Id="rId3291" Type="http://schemas.openxmlformats.org/officeDocument/2006/relationships/hyperlink" Target="https://dadosabertos.camara.leg.br/api/v2/deputados/131861" TargetMode="External"/><Relationship Id="rId5740" Type="http://schemas.openxmlformats.org/officeDocument/2006/relationships/hyperlink" Target="https://dadosabertos.camara.leg.br/api/v2/deputados/4480" TargetMode="External"/><Relationship Id="rId1936" Type="http://schemas.openxmlformats.org/officeDocument/2006/relationships/hyperlink" Target="https://dadosabertos.camara.leg.br/api/v2/deputados/74452" TargetMode="External"/><Relationship Id="rId4342" Type="http://schemas.openxmlformats.org/officeDocument/2006/relationships/hyperlink" Target="https://dadosabertos.camara.leg.br/api/v2/deputados/130944" TargetMode="External"/><Relationship Id="rId7498" Type="http://schemas.openxmlformats.org/officeDocument/2006/relationships/hyperlink" Target="https://dadosabertos.camara.leg.br/api/v2/deputados/516" TargetMode="External"/><Relationship Id="rId7565" Type="http://schemas.openxmlformats.org/officeDocument/2006/relationships/hyperlink" Target="https://dadosabertos.camara.leg.br/api/v2/deputados/381" TargetMode="External"/><Relationship Id="rId3011" Type="http://schemas.openxmlformats.org/officeDocument/2006/relationships/hyperlink" Target="https://dadosabertos.camara.leg.br/api/v2/deputados/139175" TargetMode="External"/><Relationship Id="rId6167" Type="http://schemas.openxmlformats.org/officeDocument/2006/relationships/hyperlink" Target="https://dadosabertos.camara.leg.br/api/v2/deputados/4136" TargetMode="External"/><Relationship Id="rId6581" Type="http://schemas.openxmlformats.org/officeDocument/2006/relationships/hyperlink" Target="https://dadosabertos.camara.leg.br/api/v2/deputados/1988" TargetMode="External"/><Relationship Id="rId7218" Type="http://schemas.openxmlformats.org/officeDocument/2006/relationships/hyperlink" Target="https://dadosabertos.camara.leg.br/api/v2/deputados/1031" TargetMode="External"/><Relationship Id="rId7632" Type="http://schemas.openxmlformats.org/officeDocument/2006/relationships/hyperlink" Target="https://dadosabertos.camara.leg.br/api/v2/deputados/592" TargetMode="External"/><Relationship Id="rId2777" Type="http://schemas.openxmlformats.org/officeDocument/2006/relationships/hyperlink" Target="https://dadosabertos.camara.leg.br/api/v2/deputados/73960" TargetMode="External"/><Relationship Id="rId5183" Type="http://schemas.openxmlformats.org/officeDocument/2006/relationships/hyperlink" Target="https://dadosabertos.camara.leg.br/api/v2/deputados/3053" TargetMode="External"/><Relationship Id="rId6234" Type="http://schemas.openxmlformats.org/officeDocument/2006/relationships/hyperlink" Target="https://dadosabertos.camara.leg.br/api/v2/deputados/2334" TargetMode="External"/><Relationship Id="rId749" Type="http://schemas.openxmlformats.org/officeDocument/2006/relationships/hyperlink" Target="http://www.twitter.com/efraimfilho" TargetMode="External"/><Relationship Id="rId1379" Type="http://schemas.openxmlformats.org/officeDocument/2006/relationships/hyperlink" Target="https://dadosabertos.camara.leg.br/api/v2/deputados/160584" TargetMode="External"/><Relationship Id="rId3828" Type="http://schemas.openxmlformats.org/officeDocument/2006/relationships/hyperlink" Target="https://dadosabertos.camara.leg.br/api/v2/deputados/131537" TargetMode="External"/><Relationship Id="rId5250" Type="http://schemas.openxmlformats.org/officeDocument/2006/relationships/hyperlink" Target="https://dadosabertos.camara.leg.br/api/v2/deputados/4815" TargetMode="External"/><Relationship Id="rId6301" Type="http://schemas.openxmlformats.org/officeDocument/2006/relationships/hyperlink" Target="https://dadosabertos.camara.leg.br/api/v2/deputados/130101" TargetMode="External"/><Relationship Id="rId1793" Type="http://schemas.openxmlformats.org/officeDocument/2006/relationships/hyperlink" Target="https://dadosabertos.camara.leg.br/api/v2/deputados/151249" TargetMode="External"/><Relationship Id="rId2844" Type="http://schemas.openxmlformats.org/officeDocument/2006/relationships/hyperlink" Target="https://dadosabertos.camara.leg.br/api/v2/deputados/73495" TargetMode="External"/><Relationship Id="rId85" Type="http://schemas.openxmlformats.org/officeDocument/2006/relationships/hyperlink" Target="https://dadosabertos.camara.leg.br/api/v2/deputados/210989" TargetMode="External"/><Relationship Id="rId816" Type="http://schemas.openxmlformats.org/officeDocument/2006/relationships/hyperlink" Target="https://dadosabertos.camara.leg.br/api/v2/deputados/204420" TargetMode="External"/><Relationship Id="rId1446" Type="http://schemas.openxmlformats.org/officeDocument/2006/relationships/hyperlink" Target="https://dadosabertos.camara.leg.br/api/v2/deputados/141467" TargetMode="External"/><Relationship Id="rId1860" Type="http://schemas.openxmlformats.org/officeDocument/2006/relationships/hyperlink" Target="https://dadosabertos.camara.leg.br/api/v2/deputados/74370" TargetMode="External"/><Relationship Id="rId2911" Type="http://schemas.openxmlformats.org/officeDocument/2006/relationships/hyperlink" Target="https://dadosabertos.camara.leg.br/api/v2/deputados/133992" TargetMode="External"/><Relationship Id="rId7075" Type="http://schemas.openxmlformats.org/officeDocument/2006/relationships/hyperlink" Target="https://dadosabertos.camara.leg.br/api/v2/deputados/1124" TargetMode="External"/><Relationship Id="rId1513" Type="http://schemas.openxmlformats.org/officeDocument/2006/relationships/hyperlink" Target="https://dadosabertos.camara.leg.br/api/v2/deputados/141462" TargetMode="External"/><Relationship Id="rId4669" Type="http://schemas.openxmlformats.org/officeDocument/2006/relationships/hyperlink" Target="https://dadosabertos.camara.leg.br/api/v2/deputados/130837" TargetMode="External"/><Relationship Id="rId3685" Type="http://schemas.openxmlformats.org/officeDocument/2006/relationships/hyperlink" Target="https://dadosabertos.camara.leg.br/api/v2/deputados/131740" TargetMode="External"/><Relationship Id="rId4736" Type="http://schemas.openxmlformats.org/officeDocument/2006/relationships/hyperlink" Target="https://dadosabertos.camara.leg.br/api/v2/deputados/130540" TargetMode="External"/><Relationship Id="rId6091" Type="http://schemas.openxmlformats.org/officeDocument/2006/relationships/hyperlink" Target="https://dadosabertos.camara.leg.br/api/v2/deputados/2463" TargetMode="External"/><Relationship Id="rId7142" Type="http://schemas.openxmlformats.org/officeDocument/2006/relationships/hyperlink" Target="https://dadosabertos.camara.leg.br/api/v2/deputados/1042" TargetMode="External"/><Relationship Id="rId2287" Type="http://schemas.openxmlformats.org/officeDocument/2006/relationships/hyperlink" Target="https://dadosabertos.camara.leg.br/api/v2/deputados/74850" TargetMode="External"/><Relationship Id="rId3338" Type="http://schemas.openxmlformats.org/officeDocument/2006/relationships/hyperlink" Target="https://dadosabertos.camara.leg.br/api/v2/deputados/131895" TargetMode="External"/><Relationship Id="rId3752" Type="http://schemas.openxmlformats.org/officeDocument/2006/relationships/hyperlink" Target="https://dadosabertos.camara.leg.br/api/v2/deputados/131803" TargetMode="External"/><Relationship Id="rId7959" Type="http://schemas.openxmlformats.org/officeDocument/2006/relationships/hyperlink" Target="https://dadosabertos.camara.leg.br/api/v2/deputados/140" TargetMode="External"/><Relationship Id="rId259" Type="http://schemas.openxmlformats.org/officeDocument/2006/relationships/hyperlink" Target="https://dadosabertos.camara.leg.br/api/v2/deputados/220700" TargetMode="External"/><Relationship Id="rId673" Type="http://schemas.openxmlformats.org/officeDocument/2006/relationships/hyperlink" Target="https://dadosabertos.camara.leg.br/api/v2/deputados/204521" TargetMode="External"/><Relationship Id="rId2354" Type="http://schemas.openxmlformats.org/officeDocument/2006/relationships/hyperlink" Target="https://dadosabertos.camara.leg.br/api/v2/deputados/73884" TargetMode="External"/><Relationship Id="rId3405" Type="http://schemas.openxmlformats.org/officeDocument/2006/relationships/hyperlink" Target="https://dadosabertos.camara.leg.br/api/v2/deputados/132116" TargetMode="External"/><Relationship Id="rId4803" Type="http://schemas.openxmlformats.org/officeDocument/2006/relationships/hyperlink" Target="https://dadosabertos.camara.leg.br/api/v2/deputados/130586" TargetMode="External"/><Relationship Id="rId326" Type="http://schemas.openxmlformats.org/officeDocument/2006/relationships/hyperlink" Target="https://dadosabertos.camara.leg.br/api/v2/deputados/141456" TargetMode="External"/><Relationship Id="rId1370" Type="http://schemas.openxmlformats.org/officeDocument/2006/relationships/hyperlink" Target="https://dadosabertos.camara.leg.br/api/v2/deputados/73478" TargetMode="External"/><Relationship Id="rId2007" Type="http://schemas.openxmlformats.org/officeDocument/2006/relationships/hyperlink" Target="https://dadosabertos.camara.leg.br/api/v2/deputados/74778" TargetMode="External"/><Relationship Id="rId6975" Type="http://schemas.openxmlformats.org/officeDocument/2006/relationships/hyperlink" Target="https://dadosabertos.camara.leg.br/api/v2/deputados/817" TargetMode="External"/><Relationship Id="rId740" Type="http://schemas.openxmlformats.org/officeDocument/2006/relationships/hyperlink" Target="http://www.ediolopes.com/" TargetMode="External"/><Relationship Id="rId1023" Type="http://schemas.openxmlformats.org/officeDocument/2006/relationships/hyperlink" Target="https://dadosabertos.camara.leg.br/api/v2/deputados/73437" TargetMode="External"/><Relationship Id="rId2421" Type="http://schemas.openxmlformats.org/officeDocument/2006/relationships/hyperlink" Target="https://dadosabertos.camara.leg.br/api/v2/deputados/74798" TargetMode="External"/><Relationship Id="rId4179" Type="http://schemas.openxmlformats.org/officeDocument/2006/relationships/hyperlink" Target="https://dadosabertos.camara.leg.br/api/v2/deputados/131309" TargetMode="External"/><Relationship Id="rId5577" Type="http://schemas.openxmlformats.org/officeDocument/2006/relationships/hyperlink" Target="https://dadosabertos.camara.leg.br/api/v2/deputados/130227" TargetMode="External"/><Relationship Id="rId5991" Type="http://schemas.openxmlformats.org/officeDocument/2006/relationships/hyperlink" Target="https://dadosabertos.camara.leg.br/api/v2/deputados/4237" TargetMode="External"/><Relationship Id="rId6628" Type="http://schemas.openxmlformats.org/officeDocument/2006/relationships/hyperlink" Target="https://dadosabertos.camara.leg.br/api/v2/deputados/3913" TargetMode="External"/><Relationship Id="rId4593" Type="http://schemas.openxmlformats.org/officeDocument/2006/relationships/hyperlink" Target="https://dadosabertos.camara.leg.br/api/v2/deputados/130753" TargetMode="External"/><Relationship Id="rId5644" Type="http://schemas.openxmlformats.org/officeDocument/2006/relationships/hyperlink" Target="https://dadosabertos.camara.leg.br/api/v2/deputados/2826" TargetMode="External"/><Relationship Id="rId3195" Type="http://schemas.openxmlformats.org/officeDocument/2006/relationships/hyperlink" Target="https://dadosabertos.camara.leg.br/api/v2/deputados/139331" TargetMode="External"/><Relationship Id="rId4246" Type="http://schemas.openxmlformats.org/officeDocument/2006/relationships/hyperlink" Target="https://dadosabertos.camara.leg.br/api/v2/deputados/131366" TargetMode="External"/><Relationship Id="rId4660" Type="http://schemas.openxmlformats.org/officeDocument/2006/relationships/hyperlink" Target="https://dadosabertos.camara.leg.br/api/v2/deputados/130833" TargetMode="External"/><Relationship Id="rId5711" Type="http://schemas.openxmlformats.org/officeDocument/2006/relationships/hyperlink" Target="https://dadosabertos.camara.leg.br/api/v2/deputados/2439" TargetMode="External"/><Relationship Id="rId3262" Type="http://schemas.openxmlformats.org/officeDocument/2006/relationships/hyperlink" Target="https://dadosabertos.camara.leg.br/api/v2/deputados/131829" TargetMode="External"/><Relationship Id="rId4313" Type="http://schemas.openxmlformats.org/officeDocument/2006/relationships/hyperlink" Target="https://dadosabertos.camara.leg.br/api/v2/deputados/130921" TargetMode="External"/><Relationship Id="rId7469" Type="http://schemas.openxmlformats.org/officeDocument/2006/relationships/hyperlink" Target="https://dadosabertos.camara.leg.br/api/v2/deputados/743" TargetMode="External"/><Relationship Id="rId7883" Type="http://schemas.openxmlformats.org/officeDocument/2006/relationships/hyperlink" Target="https://dadosabertos.camara.leg.br/api/v2/deputados/268" TargetMode="External"/><Relationship Id="rId183" Type="http://schemas.openxmlformats.org/officeDocument/2006/relationships/hyperlink" Target="https://dadosabertos.camara.leg.br/api/v2/deputados/220573" TargetMode="External"/><Relationship Id="rId1907" Type="http://schemas.openxmlformats.org/officeDocument/2006/relationships/hyperlink" Target="https://dadosabertos.camara.leg.br/api/v2/deputados/148295" TargetMode="External"/><Relationship Id="rId6485" Type="http://schemas.openxmlformats.org/officeDocument/2006/relationships/hyperlink" Target="https://dadosabertos.camara.leg.br/api/v2/deputados/1816" TargetMode="External"/><Relationship Id="rId7536" Type="http://schemas.openxmlformats.org/officeDocument/2006/relationships/hyperlink" Target="https://dadosabertos.camara.leg.br/api/v2/deputados/634" TargetMode="External"/><Relationship Id="rId250" Type="http://schemas.openxmlformats.org/officeDocument/2006/relationships/hyperlink" Target="https://dadosabertos.camara.leg.br/api/v2/deputados/141431" TargetMode="External"/><Relationship Id="rId5087" Type="http://schemas.openxmlformats.org/officeDocument/2006/relationships/hyperlink" Target="https://dadosabertos.camara.leg.br/api/v2/deputados/130286" TargetMode="External"/><Relationship Id="rId6138" Type="http://schemas.openxmlformats.org/officeDocument/2006/relationships/hyperlink" Target="https://dadosabertos.camara.leg.br/api/v2/deputados/2450" TargetMode="External"/><Relationship Id="rId7950" Type="http://schemas.openxmlformats.org/officeDocument/2006/relationships/hyperlink" Target="https://dadosabertos.camara.leg.br/api/v2/deputados/172" TargetMode="External"/><Relationship Id="rId5154" Type="http://schemas.openxmlformats.org/officeDocument/2006/relationships/hyperlink" Target="https://dadosabertos.camara.leg.br/api/v2/deputados/130308" TargetMode="External"/><Relationship Id="rId6552" Type="http://schemas.openxmlformats.org/officeDocument/2006/relationships/hyperlink" Target="https://dadosabertos.camara.leg.br/api/v2/deputados/2041" TargetMode="External"/><Relationship Id="rId7603" Type="http://schemas.openxmlformats.org/officeDocument/2006/relationships/hyperlink" Target="https://dadosabertos.camara.leg.br/api/v2/deputados/377" TargetMode="External"/><Relationship Id="rId1697" Type="http://schemas.openxmlformats.org/officeDocument/2006/relationships/hyperlink" Target="https://dadosabertos.camara.leg.br/api/v2/deputados/152606" TargetMode="External"/><Relationship Id="rId2748" Type="http://schemas.openxmlformats.org/officeDocument/2006/relationships/hyperlink" Target="https://dadosabertos.camara.leg.br/api/v2/deputados/133973" TargetMode="External"/><Relationship Id="rId6205" Type="http://schemas.openxmlformats.org/officeDocument/2006/relationships/hyperlink" Target="https://dadosabertos.camara.leg.br/api/v2/deputados/1804" TargetMode="External"/><Relationship Id="rId1764" Type="http://schemas.openxmlformats.org/officeDocument/2006/relationships/hyperlink" Target="https://dadosabertos.camara.leg.br/api/v2/deputados/74544" TargetMode="External"/><Relationship Id="rId2815" Type="http://schemas.openxmlformats.org/officeDocument/2006/relationships/hyperlink" Target="https://dadosabertos.camara.leg.br/api/v2/deputados/133941" TargetMode="External"/><Relationship Id="rId4170" Type="http://schemas.openxmlformats.org/officeDocument/2006/relationships/hyperlink" Target="https://dadosabertos.camara.leg.br/api/v2/deputados/131302" TargetMode="External"/><Relationship Id="rId5221" Type="http://schemas.openxmlformats.org/officeDocument/2006/relationships/hyperlink" Target="https://dadosabertos.camara.leg.br/api/v2/deputados/4873" TargetMode="External"/><Relationship Id="rId56" Type="http://schemas.openxmlformats.org/officeDocument/2006/relationships/hyperlink" Target="https://www.instagram.com/antoniobritobahia/" TargetMode="External"/><Relationship Id="rId1417" Type="http://schemas.openxmlformats.org/officeDocument/2006/relationships/hyperlink" Target="https://dadosabertos.camara.leg.br/api/v2/deputados/141418" TargetMode="External"/><Relationship Id="rId1831" Type="http://schemas.openxmlformats.org/officeDocument/2006/relationships/hyperlink" Target="https://dadosabertos.camara.leg.br/api/v2/deputados/73552" TargetMode="External"/><Relationship Id="rId4987" Type="http://schemas.openxmlformats.org/officeDocument/2006/relationships/hyperlink" Target="https://dadosabertos.camara.leg.br/api/v2/deputados/3070" TargetMode="External"/><Relationship Id="rId7393" Type="http://schemas.openxmlformats.org/officeDocument/2006/relationships/hyperlink" Target="https://dadosabertos.camara.leg.br/api/v2/deputados/700" TargetMode="External"/><Relationship Id="rId3589" Type="http://schemas.openxmlformats.org/officeDocument/2006/relationships/hyperlink" Target="https://dadosabertos.camara.leg.br/api/v2/deputados/131642" TargetMode="External"/><Relationship Id="rId7046" Type="http://schemas.openxmlformats.org/officeDocument/2006/relationships/hyperlink" Target="https://dadosabertos.camara.leg.br/api/v2/deputados/832" TargetMode="External"/><Relationship Id="rId7460" Type="http://schemas.openxmlformats.org/officeDocument/2006/relationships/hyperlink" Target="https://dadosabertos.camara.leg.br/api/v2/deputados/382" TargetMode="External"/><Relationship Id="rId6062" Type="http://schemas.openxmlformats.org/officeDocument/2006/relationships/hyperlink" Target="https://dadosabertos.camara.leg.br/api/v2/deputados/2436" TargetMode="External"/><Relationship Id="rId7113" Type="http://schemas.openxmlformats.org/officeDocument/2006/relationships/hyperlink" Target="https://dadosabertos.camara.leg.br/api/v2/deputados/819" TargetMode="External"/><Relationship Id="rId577" Type="http://schemas.openxmlformats.org/officeDocument/2006/relationships/hyperlink" Target="https://rodolfonogueirams.com.br/" TargetMode="External"/><Relationship Id="rId2258" Type="http://schemas.openxmlformats.org/officeDocument/2006/relationships/hyperlink" Target="https://dadosabertos.camara.leg.br/api/v2/deputados/72553" TargetMode="External"/><Relationship Id="rId3656" Type="http://schemas.openxmlformats.org/officeDocument/2006/relationships/hyperlink" Target="https://dadosabertos.camara.leg.br/api/v2/deputados/131705" TargetMode="External"/><Relationship Id="rId4707" Type="http://schemas.openxmlformats.org/officeDocument/2006/relationships/hyperlink" Target="https://dadosabertos.camara.leg.br/api/v2/deputados/130772" TargetMode="External"/><Relationship Id="rId991" Type="http://schemas.openxmlformats.org/officeDocument/2006/relationships/hyperlink" Target="https://dadosabertos.camara.leg.br/api/v2/deputados/178875" TargetMode="External"/><Relationship Id="rId2672" Type="http://schemas.openxmlformats.org/officeDocument/2006/relationships/hyperlink" Target="https://dadosabertos.camara.leg.br/api/v2/deputados/133852" TargetMode="External"/><Relationship Id="rId3309" Type="http://schemas.openxmlformats.org/officeDocument/2006/relationships/hyperlink" Target="https://dadosabertos.camara.leg.br/api/v2/deputados/131847" TargetMode="External"/><Relationship Id="rId3723" Type="http://schemas.openxmlformats.org/officeDocument/2006/relationships/hyperlink" Target="https://dadosabertos.camara.leg.br/api/v2/deputados/131779" TargetMode="External"/><Relationship Id="rId6879" Type="http://schemas.openxmlformats.org/officeDocument/2006/relationships/hyperlink" Target="https://dadosabertos.camara.leg.br/api/v2/deputados/1121" TargetMode="External"/><Relationship Id="rId644" Type="http://schemas.openxmlformats.org/officeDocument/2006/relationships/hyperlink" Target="https://dadosabertos.camara.leg.br/api/v2/deputados/74283" TargetMode="External"/><Relationship Id="rId1274" Type="http://schemas.openxmlformats.org/officeDocument/2006/relationships/hyperlink" Target="http://www.twitter.com/ronaldo_benedet" TargetMode="External"/><Relationship Id="rId2325" Type="http://schemas.openxmlformats.org/officeDocument/2006/relationships/hyperlink" Target="https://dadosabertos.camara.leg.br/api/v2/deputados/74364" TargetMode="External"/><Relationship Id="rId5895" Type="http://schemas.openxmlformats.org/officeDocument/2006/relationships/hyperlink" Target="https://dadosabertos.camara.leg.br/api/v2/deputados/2619" TargetMode="External"/><Relationship Id="rId6946" Type="http://schemas.openxmlformats.org/officeDocument/2006/relationships/hyperlink" Target="https://dadosabertos.camara.leg.br/api/v2/deputados/1255" TargetMode="External"/><Relationship Id="rId711" Type="http://schemas.openxmlformats.org/officeDocument/2006/relationships/hyperlink" Target="http://celinaleao.com.br/" TargetMode="External"/><Relationship Id="rId1341" Type="http://schemas.openxmlformats.org/officeDocument/2006/relationships/hyperlink" Target="https://dadosabertos.camara.leg.br/api/v2/deputados/169712" TargetMode="External"/><Relationship Id="rId4497" Type="http://schemas.openxmlformats.org/officeDocument/2006/relationships/hyperlink" Target="https://dadosabertos.camara.leg.br/api/v2/deputados/131107" TargetMode="External"/><Relationship Id="rId5548" Type="http://schemas.openxmlformats.org/officeDocument/2006/relationships/hyperlink" Target="https://dadosabertos.camara.leg.br/api/v2/deputados/2661" TargetMode="External"/><Relationship Id="rId5962" Type="http://schemas.openxmlformats.org/officeDocument/2006/relationships/hyperlink" Target="https://dadosabertos.camara.leg.br/api/v2/deputados/2258" TargetMode="External"/><Relationship Id="rId3099" Type="http://schemas.openxmlformats.org/officeDocument/2006/relationships/hyperlink" Target="https://dadosabertos.camara.leg.br/api/v2/deputados/139252" TargetMode="External"/><Relationship Id="rId4564" Type="http://schemas.openxmlformats.org/officeDocument/2006/relationships/hyperlink" Target="https://dadosabertos.camara.leg.br/api/v2/deputados/130852" TargetMode="External"/><Relationship Id="rId5615" Type="http://schemas.openxmlformats.org/officeDocument/2006/relationships/hyperlink" Target="https://dadosabertos.camara.leg.br/api/v2/deputados/4599" TargetMode="External"/><Relationship Id="rId3166" Type="http://schemas.openxmlformats.org/officeDocument/2006/relationships/hyperlink" Target="https://dadosabertos.camara.leg.br/api/v2/deputados/139307" TargetMode="External"/><Relationship Id="rId3580" Type="http://schemas.openxmlformats.org/officeDocument/2006/relationships/hyperlink" Target="https://dadosabertos.camara.leg.br/api/v2/deputados/131635" TargetMode="External"/><Relationship Id="rId4217" Type="http://schemas.openxmlformats.org/officeDocument/2006/relationships/hyperlink" Target="https://dadosabertos.camara.leg.br/api/v2/deputados/131334" TargetMode="External"/><Relationship Id="rId2182" Type="http://schemas.openxmlformats.org/officeDocument/2006/relationships/hyperlink" Target="https://dadosabertos.camara.leg.br/api/v2/deputados/73996" TargetMode="External"/><Relationship Id="rId3233" Type="http://schemas.openxmlformats.org/officeDocument/2006/relationships/hyperlink" Target="https://dadosabertos.camara.leg.br/api/v2/deputados/139366" TargetMode="External"/><Relationship Id="rId4631" Type="http://schemas.openxmlformats.org/officeDocument/2006/relationships/hyperlink" Target="https://dadosabertos.camara.leg.br/api/v2/deputados/130794" TargetMode="External"/><Relationship Id="rId6389" Type="http://schemas.openxmlformats.org/officeDocument/2006/relationships/hyperlink" Target="https://dadosabertos.camara.leg.br/api/v2/deputados/1642" TargetMode="External"/><Relationship Id="rId7787" Type="http://schemas.openxmlformats.org/officeDocument/2006/relationships/hyperlink" Target="https://dadosabertos.camara.leg.br/api/v2/deputados/229" TargetMode="External"/><Relationship Id="rId154" Type="http://schemas.openxmlformats.org/officeDocument/2006/relationships/hyperlink" Target="https://dadosabertos.camara.leg.br/api/v2/deputados/204511" TargetMode="External"/><Relationship Id="rId7854" Type="http://schemas.openxmlformats.org/officeDocument/2006/relationships/hyperlink" Target="https://dadosabertos.camara.leg.br/api/v2/deputados/270" TargetMode="External"/><Relationship Id="rId2999" Type="http://schemas.openxmlformats.org/officeDocument/2006/relationships/hyperlink" Target="https://dadosabertos.camara.leg.br/api/v2/deputados/139164" TargetMode="External"/><Relationship Id="rId3300" Type="http://schemas.openxmlformats.org/officeDocument/2006/relationships/hyperlink" Target="https://dadosabertos.camara.leg.br/api/v2/deputados/131855" TargetMode="External"/><Relationship Id="rId6456" Type="http://schemas.openxmlformats.org/officeDocument/2006/relationships/hyperlink" Target="https://dadosabertos.camara.leg.br/api/v2/deputados/1767" TargetMode="External"/><Relationship Id="rId6870" Type="http://schemas.openxmlformats.org/officeDocument/2006/relationships/hyperlink" Target="https://dadosabertos.camara.leg.br/api/v2/deputados/1265" TargetMode="External"/><Relationship Id="rId7507" Type="http://schemas.openxmlformats.org/officeDocument/2006/relationships/hyperlink" Target="https://dadosabertos.camara.leg.br/api/v2/deputados/276" TargetMode="External"/><Relationship Id="rId7921" Type="http://schemas.openxmlformats.org/officeDocument/2006/relationships/hyperlink" Target="https://dadosabertos.camara.leg.br/api/v2/deputados/267" TargetMode="External"/><Relationship Id="rId221" Type="http://schemas.openxmlformats.org/officeDocument/2006/relationships/hyperlink" Target="https://dadosabertos.camara.leg.br/api/v2/deputados/161550" TargetMode="External"/><Relationship Id="rId5058" Type="http://schemas.openxmlformats.org/officeDocument/2006/relationships/hyperlink" Target="https://dadosabertos.camara.leg.br/api/v2/deputados/3075" TargetMode="External"/><Relationship Id="rId5472" Type="http://schemas.openxmlformats.org/officeDocument/2006/relationships/hyperlink" Target="https://dadosabertos.camara.leg.br/api/v2/deputados/4813" TargetMode="External"/><Relationship Id="rId6109" Type="http://schemas.openxmlformats.org/officeDocument/2006/relationships/hyperlink" Target="https://dadosabertos.camara.leg.br/api/v2/deputados/4222" TargetMode="External"/><Relationship Id="rId6523" Type="http://schemas.openxmlformats.org/officeDocument/2006/relationships/hyperlink" Target="https://dadosabertos.camara.leg.br/api/v2/deputados/2049" TargetMode="External"/><Relationship Id="rId1668" Type="http://schemas.openxmlformats.org/officeDocument/2006/relationships/hyperlink" Target="https://dadosabertos.camara.leg.br/api/v2/deputados/73457" TargetMode="External"/><Relationship Id="rId2719" Type="http://schemas.openxmlformats.org/officeDocument/2006/relationships/hyperlink" Target="https://dadosabertos.camara.leg.br/api/v2/deputados/73721" TargetMode="External"/><Relationship Id="rId4074" Type="http://schemas.openxmlformats.org/officeDocument/2006/relationships/hyperlink" Target="https://dadosabertos.camara.leg.br/api/v2/deputados/131203" TargetMode="External"/><Relationship Id="rId5125" Type="http://schemas.openxmlformats.org/officeDocument/2006/relationships/hyperlink" Target="https://dadosabertos.camara.leg.br/api/v2/deputados/2641" TargetMode="External"/><Relationship Id="rId3090" Type="http://schemas.openxmlformats.org/officeDocument/2006/relationships/hyperlink" Target="https://dadosabertos.camara.leg.br/api/v2/deputados/139244" TargetMode="External"/><Relationship Id="rId4141" Type="http://schemas.openxmlformats.org/officeDocument/2006/relationships/hyperlink" Target="https://dadosabertos.camara.leg.br/api/v2/deputados/131267" TargetMode="External"/><Relationship Id="rId7297" Type="http://schemas.openxmlformats.org/officeDocument/2006/relationships/hyperlink" Target="https://dadosabertos.camara.leg.br/api/v2/deputados/915" TargetMode="External"/><Relationship Id="rId1735" Type="http://schemas.openxmlformats.org/officeDocument/2006/relationships/hyperlink" Target="https://dadosabertos.camara.leg.br/api/v2/deputados/74061" TargetMode="External"/><Relationship Id="rId7364" Type="http://schemas.openxmlformats.org/officeDocument/2006/relationships/hyperlink" Target="https://dadosabertos.camara.leg.br/api/v2/deputados/835" TargetMode="External"/><Relationship Id="rId27" Type="http://schemas.openxmlformats.org/officeDocument/2006/relationships/hyperlink" Target="https://dadosabertos.camara.leg.br/api/v2/deputados/204503" TargetMode="External"/><Relationship Id="rId1802" Type="http://schemas.openxmlformats.org/officeDocument/2006/relationships/hyperlink" Target="https://dadosabertos.camara.leg.br/api/v2/deputados/73994" TargetMode="External"/><Relationship Id="rId4958" Type="http://schemas.openxmlformats.org/officeDocument/2006/relationships/hyperlink" Target="https://dadosabertos.camara.leg.br/api/v2/deputados/130426" TargetMode="External"/><Relationship Id="rId7017" Type="http://schemas.openxmlformats.org/officeDocument/2006/relationships/hyperlink" Target="https://dadosabertos.camara.leg.br/api/v2/deputados/1020" TargetMode="External"/><Relationship Id="rId3974" Type="http://schemas.openxmlformats.org/officeDocument/2006/relationships/hyperlink" Target="https://dadosabertos.camara.leg.br/api/v2/deputados/131463" TargetMode="External"/><Relationship Id="rId6380" Type="http://schemas.openxmlformats.org/officeDocument/2006/relationships/hyperlink" Target="https://dadosabertos.camara.leg.br/api/v2/deputados/2221" TargetMode="External"/><Relationship Id="rId7431" Type="http://schemas.openxmlformats.org/officeDocument/2006/relationships/hyperlink" Target="https://dadosabertos.camara.leg.br/api/v2/deputados/680" TargetMode="External"/><Relationship Id="rId895" Type="http://schemas.openxmlformats.org/officeDocument/2006/relationships/hyperlink" Target="https://dadosabertos.camara.leg.br/api/v2/deputados/133968" TargetMode="External"/><Relationship Id="rId2576" Type="http://schemas.openxmlformats.org/officeDocument/2006/relationships/hyperlink" Target="https://dadosabertos.camara.leg.br/api/v2/deputados/73549" TargetMode="External"/><Relationship Id="rId2990" Type="http://schemas.openxmlformats.org/officeDocument/2006/relationships/hyperlink" Target="https://dadosabertos.camara.leg.br/api/v2/deputados/139156" TargetMode="External"/><Relationship Id="rId3627" Type="http://schemas.openxmlformats.org/officeDocument/2006/relationships/hyperlink" Target="https://dadosabertos.camara.leg.br/api/v2/deputados/131743" TargetMode="External"/><Relationship Id="rId6033" Type="http://schemas.openxmlformats.org/officeDocument/2006/relationships/hyperlink" Target="https://dadosabertos.camara.leg.br/api/v2/deputados/2358" TargetMode="External"/><Relationship Id="rId548" Type="http://schemas.openxmlformats.org/officeDocument/2006/relationships/hyperlink" Target="https://dadosabertos.camara.leg.br/api/v2/deputados/220626" TargetMode="External"/><Relationship Id="rId962" Type="http://schemas.openxmlformats.org/officeDocument/2006/relationships/hyperlink" Target="https://dadosabertos.camara.leg.br/api/v2/deputados/197438" TargetMode="External"/><Relationship Id="rId1178" Type="http://schemas.openxmlformats.org/officeDocument/2006/relationships/hyperlink" Target="https://dadosabertos.camara.leg.br/api/v2/deputados/178867" TargetMode="External"/><Relationship Id="rId1592" Type="http://schemas.openxmlformats.org/officeDocument/2006/relationships/hyperlink" Target="https://dadosabertos.camara.leg.br/api/v2/deputados/179384" TargetMode="External"/><Relationship Id="rId2229" Type="http://schemas.openxmlformats.org/officeDocument/2006/relationships/hyperlink" Target="https://dadosabertos.camara.leg.br/api/v2/deputados/73446" TargetMode="External"/><Relationship Id="rId2643" Type="http://schemas.openxmlformats.org/officeDocument/2006/relationships/hyperlink" Target="https://dadosabertos.camara.leg.br/api/v2/deputados/73562" TargetMode="External"/><Relationship Id="rId5799" Type="http://schemas.openxmlformats.org/officeDocument/2006/relationships/hyperlink" Target="https://dadosabertos.camara.leg.br/api/v2/deputados/2623" TargetMode="External"/><Relationship Id="rId6100" Type="http://schemas.openxmlformats.org/officeDocument/2006/relationships/hyperlink" Target="https://dadosabertos.camara.leg.br/api/v2/deputados/130140" TargetMode="External"/><Relationship Id="rId615" Type="http://schemas.openxmlformats.org/officeDocument/2006/relationships/hyperlink" Target="https://dadosabertos.camara.leg.br/api/v2/deputados/227310" TargetMode="External"/><Relationship Id="rId1245" Type="http://schemas.openxmlformats.org/officeDocument/2006/relationships/hyperlink" Target="https://dadosabertos.camara.leg.br/api/v2/deputados/74216" TargetMode="External"/><Relationship Id="rId1312" Type="http://schemas.openxmlformats.org/officeDocument/2006/relationships/hyperlink" Target="https://dadosabertos.camara.leg.br/api/v2/deputados/189593" TargetMode="External"/><Relationship Id="rId2710" Type="http://schemas.openxmlformats.org/officeDocument/2006/relationships/hyperlink" Target="https://dadosabertos.camara.leg.br/api/v2/deputados/73964" TargetMode="External"/><Relationship Id="rId4468" Type="http://schemas.openxmlformats.org/officeDocument/2006/relationships/hyperlink" Target="https://dadosabertos.camara.leg.br/api/v2/deputados/131084" TargetMode="External"/><Relationship Id="rId5866" Type="http://schemas.openxmlformats.org/officeDocument/2006/relationships/hyperlink" Target="https://dadosabertos.camara.leg.br/api/v2/deputados/2539" TargetMode="External"/><Relationship Id="rId6917" Type="http://schemas.openxmlformats.org/officeDocument/2006/relationships/hyperlink" Target="https://dadosabertos.camara.leg.br/api/v2/deputados/1243" TargetMode="External"/><Relationship Id="rId4882" Type="http://schemas.openxmlformats.org/officeDocument/2006/relationships/hyperlink" Target="https://dadosabertos.camara.leg.br/api/v2/deputados/130679" TargetMode="External"/><Relationship Id="rId5519" Type="http://schemas.openxmlformats.org/officeDocument/2006/relationships/hyperlink" Target="https://dadosabertos.camara.leg.br/api/v2/deputados/2887" TargetMode="External"/><Relationship Id="rId5933" Type="http://schemas.openxmlformats.org/officeDocument/2006/relationships/hyperlink" Target="https://dadosabertos.camara.leg.br/api/v2/deputados/2521" TargetMode="External"/><Relationship Id="rId2086" Type="http://schemas.openxmlformats.org/officeDocument/2006/relationships/hyperlink" Target="https://dadosabertos.camara.leg.br/api/v2/deputados/65511" TargetMode="External"/><Relationship Id="rId3484" Type="http://schemas.openxmlformats.org/officeDocument/2006/relationships/hyperlink" Target="https://dadosabertos.camara.leg.br/api/v2/deputados/132121" TargetMode="External"/><Relationship Id="rId4535" Type="http://schemas.openxmlformats.org/officeDocument/2006/relationships/hyperlink" Target="https://dadosabertos.camara.leg.br/api/v2/deputados/131136" TargetMode="External"/><Relationship Id="rId3137" Type="http://schemas.openxmlformats.org/officeDocument/2006/relationships/hyperlink" Target="https://dadosabertos.camara.leg.br/api/v2/deputados/1523" TargetMode="External"/><Relationship Id="rId3551" Type="http://schemas.openxmlformats.org/officeDocument/2006/relationships/hyperlink" Target="https://dadosabertos.camara.leg.br/api/v2/deputados/3141" TargetMode="External"/><Relationship Id="rId4602" Type="http://schemas.openxmlformats.org/officeDocument/2006/relationships/hyperlink" Target="https://dadosabertos.camara.leg.br/api/v2/deputados/130761" TargetMode="External"/><Relationship Id="rId7758" Type="http://schemas.openxmlformats.org/officeDocument/2006/relationships/hyperlink" Target="https://dadosabertos.camara.leg.br/api/v2/deputados/454" TargetMode="External"/><Relationship Id="rId472" Type="http://schemas.openxmlformats.org/officeDocument/2006/relationships/hyperlink" Target="https://dadosabertos.camara.leg.br/api/v2/deputados/178895" TargetMode="External"/><Relationship Id="rId2153" Type="http://schemas.openxmlformats.org/officeDocument/2006/relationships/hyperlink" Target="https://dadosabertos.camara.leg.br/api/v2/deputados/74492" TargetMode="External"/><Relationship Id="rId3204" Type="http://schemas.openxmlformats.org/officeDocument/2006/relationships/hyperlink" Target="https://dadosabertos.camara.leg.br/api/v2/deputados/139339" TargetMode="External"/><Relationship Id="rId6774" Type="http://schemas.openxmlformats.org/officeDocument/2006/relationships/hyperlink" Target="https://dadosabertos.camara.leg.br/api/v2/deputados/4047" TargetMode="External"/><Relationship Id="rId7825" Type="http://schemas.openxmlformats.org/officeDocument/2006/relationships/hyperlink" Target="https://dadosabertos.camara.leg.br/api/v2/deputados/330" TargetMode="External"/><Relationship Id="rId125" Type="http://schemas.openxmlformats.org/officeDocument/2006/relationships/hyperlink" Target="https://dadosabertos.camara.leg.br/api/v2/deputados/204376" TargetMode="External"/><Relationship Id="rId2220" Type="http://schemas.openxmlformats.org/officeDocument/2006/relationships/hyperlink" Target="https://dadosabertos.camara.leg.br/api/v2/deputados/73832" TargetMode="External"/><Relationship Id="rId5376" Type="http://schemas.openxmlformats.org/officeDocument/2006/relationships/hyperlink" Target="https://dadosabertos.camara.leg.br/api/v2/deputados/4709" TargetMode="External"/><Relationship Id="rId5790" Type="http://schemas.openxmlformats.org/officeDocument/2006/relationships/hyperlink" Target="https://dadosabertos.camara.leg.br/api/v2/deputados/130211" TargetMode="External"/><Relationship Id="rId6427" Type="http://schemas.openxmlformats.org/officeDocument/2006/relationships/hyperlink" Target="https://dadosabertos.camara.leg.br/api/v2/deputados/1887" TargetMode="External"/><Relationship Id="rId4392" Type="http://schemas.openxmlformats.org/officeDocument/2006/relationships/hyperlink" Target="https://dadosabertos.camara.leg.br/api/v2/deputados/131022" TargetMode="External"/><Relationship Id="rId5029" Type="http://schemas.openxmlformats.org/officeDocument/2006/relationships/hyperlink" Target="https://dadosabertos.camara.leg.br/api/v2/deputados/130496" TargetMode="External"/><Relationship Id="rId5443" Type="http://schemas.openxmlformats.org/officeDocument/2006/relationships/hyperlink" Target="https://dadosabertos.camara.leg.br/api/v2/deputados/4793" TargetMode="External"/><Relationship Id="rId6841" Type="http://schemas.openxmlformats.org/officeDocument/2006/relationships/hyperlink" Target="https://dadosabertos.camara.leg.br/api/v2/deputados/1221" TargetMode="External"/><Relationship Id="rId1986" Type="http://schemas.openxmlformats.org/officeDocument/2006/relationships/hyperlink" Target="https://dadosabertos.camara.leg.br/api/v2/deputados/74683" TargetMode="External"/><Relationship Id="rId4045" Type="http://schemas.openxmlformats.org/officeDocument/2006/relationships/hyperlink" Target="https://dadosabertos.camara.leg.br/api/v2/deputados/131186" TargetMode="External"/><Relationship Id="rId1639" Type="http://schemas.openxmlformats.org/officeDocument/2006/relationships/hyperlink" Target="https://dadosabertos.camara.leg.br/api/v2/deputados/162490" TargetMode="External"/><Relationship Id="rId3061" Type="http://schemas.openxmlformats.org/officeDocument/2006/relationships/hyperlink" Target="https://dadosabertos.camara.leg.br/api/v2/deputados/139218" TargetMode="External"/><Relationship Id="rId5510" Type="http://schemas.openxmlformats.org/officeDocument/2006/relationships/hyperlink" Target="https://dadosabertos.camara.leg.br/api/v2/deputados/2557" TargetMode="External"/><Relationship Id="rId1706" Type="http://schemas.openxmlformats.org/officeDocument/2006/relationships/hyperlink" Target="https://dadosabertos.camara.leg.br/api/v2/deputados/74799" TargetMode="External"/><Relationship Id="rId4112" Type="http://schemas.openxmlformats.org/officeDocument/2006/relationships/hyperlink" Target="https://dadosabertos.camara.leg.br/api/v2/deputados/131239" TargetMode="External"/><Relationship Id="rId7268" Type="http://schemas.openxmlformats.org/officeDocument/2006/relationships/hyperlink" Target="https://dadosabertos.camara.leg.br/api/v2/deputados/987" TargetMode="External"/><Relationship Id="rId7682" Type="http://schemas.openxmlformats.org/officeDocument/2006/relationships/hyperlink" Target="https://dadosabertos.camara.leg.br/api/v2/deputados/471" TargetMode="External"/><Relationship Id="rId3878" Type="http://schemas.openxmlformats.org/officeDocument/2006/relationships/hyperlink" Target="https://dadosabertos.camara.leg.br/api/v2/deputados/131604" TargetMode="External"/><Relationship Id="rId4929" Type="http://schemas.openxmlformats.org/officeDocument/2006/relationships/hyperlink" Target="https://dadosabertos.camara.leg.br/api/v2/deputados/130399" TargetMode="External"/><Relationship Id="rId6284" Type="http://schemas.openxmlformats.org/officeDocument/2006/relationships/hyperlink" Target="https://dadosabertos.camara.leg.br/api/v2/deputados/2243" TargetMode="External"/><Relationship Id="rId7335" Type="http://schemas.openxmlformats.org/officeDocument/2006/relationships/hyperlink" Target="https://dadosabertos.camara.leg.br/api/v2/deputados/844" TargetMode="External"/><Relationship Id="rId799" Type="http://schemas.openxmlformats.org/officeDocument/2006/relationships/hyperlink" Target="https://dadosabertos.camara.leg.br/api/v2/deputados/67138" TargetMode="External"/><Relationship Id="rId2894" Type="http://schemas.openxmlformats.org/officeDocument/2006/relationships/hyperlink" Target="https://dadosabertos.camara.leg.br/api/v2/deputados/73816" TargetMode="External"/><Relationship Id="rId6351" Type="http://schemas.openxmlformats.org/officeDocument/2006/relationships/hyperlink" Target="https://dadosabertos.camara.leg.br/api/v2/deputados/1891" TargetMode="External"/><Relationship Id="rId7402" Type="http://schemas.openxmlformats.org/officeDocument/2006/relationships/hyperlink" Target="https://dadosabertos.camara.leg.br/api/v2/deputados/511" TargetMode="External"/><Relationship Id="rId866" Type="http://schemas.openxmlformats.org/officeDocument/2006/relationships/hyperlink" Target="https://dadosabertos.camara.leg.br/api/v2/deputados/74749" TargetMode="External"/><Relationship Id="rId1496" Type="http://schemas.openxmlformats.org/officeDocument/2006/relationships/hyperlink" Target="https://dadosabertos.camara.leg.br/api/v2/deputados/160560" TargetMode="External"/><Relationship Id="rId2547" Type="http://schemas.openxmlformats.org/officeDocument/2006/relationships/hyperlink" Target="https://dadosabertos.camara.leg.br/api/v2/deputados/74232" TargetMode="External"/><Relationship Id="rId3945" Type="http://schemas.openxmlformats.org/officeDocument/2006/relationships/hyperlink" Target="https://dadosabertos.camara.leg.br/api/v2/deputados/131420" TargetMode="External"/><Relationship Id="rId6004" Type="http://schemas.openxmlformats.org/officeDocument/2006/relationships/hyperlink" Target="https://dadosabertos.camara.leg.br/api/v2/deputados/4272" TargetMode="External"/><Relationship Id="rId519" Type="http://schemas.openxmlformats.org/officeDocument/2006/relationships/hyperlink" Target="https://dadosabertos.camara.leg.br/api/v2/deputados/233592" TargetMode="External"/><Relationship Id="rId1149" Type="http://schemas.openxmlformats.org/officeDocument/2006/relationships/hyperlink" Target="https://dadosabertos.camara.leg.br/api/v2/deputados/73666" TargetMode="External"/><Relationship Id="rId2961" Type="http://schemas.openxmlformats.org/officeDocument/2006/relationships/hyperlink" Target="https://dadosabertos.camara.leg.br/api/v2/deputados/139130" TargetMode="External"/><Relationship Id="rId5020" Type="http://schemas.openxmlformats.org/officeDocument/2006/relationships/hyperlink" Target="https://dadosabertos.camara.leg.br/api/v2/deputados/130476" TargetMode="External"/><Relationship Id="rId933" Type="http://schemas.openxmlformats.org/officeDocument/2006/relationships/hyperlink" Target="https://dadosabertos.camara.leg.br/api/v2/deputados/122466" TargetMode="External"/><Relationship Id="rId1563" Type="http://schemas.openxmlformats.org/officeDocument/2006/relationships/hyperlink" Target="https://dadosabertos.camara.leg.br/api/v2/deputados/74491" TargetMode="External"/><Relationship Id="rId2614" Type="http://schemas.openxmlformats.org/officeDocument/2006/relationships/hyperlink" Target="https://dadosabertos.camara.leg.br/api/v2/deputados/73671" TargetMode="External"/><Relationship Id="rId7192" Type="http://schemas.openxmlformats.org/officeDocument/2006/relationships/hyperlink" Target="https://dadosabertos.camara.leg.br/api/v2/deputados/864" TargetMode="External"/><Relationship Id="rId1216" Type="http://schemas.openxmlformats.org/officeDocument/2006/relationships/hyperlink" Target="https://dadosabertos.camara.leg.br/api/v2/deputados/74787" TargetMode="External"/><Relationship Id="rId1630" Type="http://schemas.openxmlformats.org/officeDocument/2006/relationships/hyperlink" Target="https://dadosabertos.camara.leg.br/api/v2/deputados/141547" TargetMode="External"/><Relationship Id="rId4786" Type="http://schemas.openxmlformats.org/officeDocument/2006/relationships/hyperlink" Target="https://dadosabertos.camara.leg.br/api/v2/deputados/130645" TargetMode="External"/><Relationship Id="rId5837" Type="http://schemas.openxmlformats.org/officeDocument/2006/relationships/hyperlink" Target="https://dadosabertos.camara.leg.br/api/v2/deputados/4384" TargetMode="External"/><Relationship Id="rId3388" Type="http://schemas.openxmlformats.org/officeDocument/2006/relationships/hyperlink" Target="https://dadosabertos.camara.leg.br/api/v2/deputados/131979" TargetMode="External"/><Relationship Id="rId4439" Type="http://schemas.openxmlformats.org/officeDocument/2006/relationships/hyperlink" Target="https://dadosabertos.camara.leg.br/api/v2/deputados/131057" TargetMode="External"/><Relationship Id="rId4853" Type="http://schemas.openxmlformats.org/officeDocument/2006/relationships/hyperlink" Target="https://dadosabertos.camara.leg.br/api/v2/deputados/130610" TargetMode="External"/><Relationship Id="rId5904" Type="http://schemas.openxmlformats.org/officeDocument/2006/relationships/hyperlink" Target="https://dadosabertos.camara.leg.br/api/v2/deputados/2581" TargetMode="External"/><Relationship Id="rId3455" Type="http://schemas.openxmlformats.org/officeDocument/2006/relationships/hyperlink" Target="https://dadosabertos.camara.leg.br/api/v2/deputados/132019" TargetMode="External"/><Relationship Id="rId4506" Type="http://schemas.openxmlformats.org/officeDocument/2006/relationships/hyperlink" Target="https://dadosabertos.camara.leg.br/api/v2/deputados/131141" TargetMode="External"/><Relationship Id="rId376" Type="http://schemas.openxmlformats.org/officeDocument/2006/relationships/hyperlink" Target="https://dadosabertos.camara.leg.br/api/v2/deputados/231911" TargetMode="External"/><Relationship Id="rId790" Type="http://schemas.openxmlformats.org/officeDocument/2006/relationships/hyperlink" Target="https://dadosabertos.camara.leg.br/api/v2/deputados/204373" TargetMode="External"/><Relationship Id="rId2057" Type="http://schemas.openxmlformats.org/officeDocument/2006/relationships/hyperlink" Target="https://dadosabertos.camara.leg.br/api/v2/deputados/74493" TargetMode="External"/><Relationship Id="rId2471" Type="http://schemas.openxmlformats.org/officeDocument/2006/relationships/hyperlink" Target="https://dadosabertos.camara.leg.br/api/v2/deputados/74180" TargetMode="External"/><Relationship Id="rId3108" Type="http://schemas.openxmlformats.org/officeDocument/2006/relationships/hyperlink" Target="https://dadosabertos.camara.leg.br/api/v2/deputados/139259" TargetMode="External"/><Relationship Id="rId3522" Type="http://schemas.openxmlformats.org/officeDocument/2006/relationships/hyperlink" Target="https://dadosabertos.camara.leg.br/api/v2/deputados/132072" TargetMode="External"/><Relationship Id="rId4920" Type="http://schemas.openxmlformats.org/officeDocument/2006/relationships/hyperlink" Target="https://dadosabertos.camara.leg.br/api/v2/deputados/130391" TargetMode="External"/><Relationship Id="rId6678" Type="http://schemas.openxmlformats.org/officeDocument/2006/relationships/hyperlink" Target="https://dadosabertos.camara.leg.br/api/v2/deputados/3973" TargetMode="External"/><Relationship Id="rId7729" Type="http://schemas.openxmlformats.org/officeDocument/2006/relationships/hyperlink" Target="https://dadosabertos.camara.leg.br/api/v2/deputados/136" TargetMode="External"/><Relationship Id="rId443" Type="http://schemas.openxmlformats.org/officeDocument/2006/relationships/hyperlink" Target="https://dadosabertos.camara.leg.br/api/v2/deputados/220604" TargetMode="External"/><Relationship Id="rId1073" Type="http://schemas.openxmlformats.org/officeDocument/2006/relationships/hyperlink" Target="https://dadosabertos.camara.leg.br/api/v2/deputados/181316" TargetMode="External"/><Relationship Id="rId2124" Type="http://schemas.openxmlformats.org/officeDocument/2006/relationships/hyperlink" Target="https://dadosabertos.camara.leg.br/api/v2/deputados/74256" TargetMode="External"/><Relationship Id="rId1140" Type="http://schemas.openxmlformats.org/officeDocument/2006/relationships/hyperlink" Target="https://dadosabertos.camara.leg.br/api/v2/deputados/74553" TargetMode="External"/><Relationship Id="rId4296" Type="http://schemas.openxmlformats.org/officeDocument/2006/relationships/hyperlink" Target="https://dadosabertos.camara.leg.br/api/v2/deputados/130903" TargetMode="External"/><Relationship Id="rId5694" Type="http://schemas.openxmlformats.org/officeDocument/2006/relationships/hyperlink" Target="https://dadosabertos.camara.leg.br/api/v2/deputados/130174" TargetMode="External"/><Relationship Id="rId6745" Type="http://schemas.openxmlformats.org/officeDocument/2006/relationships/hyperlink" Target="https://dadosabertos.camara.leg.br/api/v2/deputados/1726" TargetMode="External"/><Relationship Id="rId510" Type="http://schemas.openxmlformats.org/officeDocument/2006/relationships/hyperlink" Target="https://dadosabertos.camara.leg.br/api/v2/deputados/141518" TargetMode="External"/><Relationship Id="rId5347" Type="http://schemas.openxmlformats.org/officeDocument/2006/relationships/hyperlink" Target="https://dadosabertos.camara.leg.br/api/v2/deputados/130245" TargetMode="External"/><Relationship Id="rId5761" Type="http://schemas.openxmlformats.org/officeDocument/2006/relationships/hyperlink" Target="https://dadosabertos.camara.leg.br/api/v2/deputados/2667" TargetMode="External"/><Relationship Id="rId6812" Type="http://schemas.openxmlformats.org/officeDocument/2006/relationships/hyperlink" Target="https://dadosabertos.camara.leg.br/api/v2/deputados/4043" TargetMode="External"/><Relationship Id="rId1957" Type="http://schemas.openxmlformats.org/officeDocument/2006/relationships/hyperlink" Target="https://dadosabertos.camara.leg.br/api/v2/deputados/74149" TargetMode="External"/><Relationship Id="rId4363" Type="http://schemas.openxmlformats.org/officeDocument/2006/relationships/hyperlink" Target="https://dadosabertos.camara.leg.br/api/v2/deputados/130964" TargetMode="External"/><Relationship Id="rId5414" Type="http://schemas.openxmlformats.org/officeDocument/2006/relationships/hyperlink" Target="https://dadosabertos.camara.leg.br/api/v2/deputados/4746" TargetMode="External"/><Relationship Id="rId4016" Type="http://schemas.openxmlformats.org/officeDocument/2006/relationships/hyperlink" Target="https://dadosabertos.camara.leg.br/api/v2/deputados/131149" TargetMode="External"/><Relationship Id="rId4430" Type="http://schemas.openxmlformats.org/officeDocument/2006/relationships/hyperlink" Target="https://dadosabertos.camara.leg.br/api/v2/deputados/131049" TargetMode="External"/><Relationship Id="rId7586" Type="http://schemas.openxmlformats.org/officeDocument/2006/relationships/hyperlink" Target="https://dadosabertos.camara.leg.br/api/v2/deputados/590" TargetMode="External"/><Relationship Id="rId3032" Type="http://schemas.openxmlformats.org/officeDocument/2006/relationships/hyperlink" Target="https://dadosabertos.camara.leg.br/api/v2/deputados/139194" TargetMode="External"/><Relationship Id="rId6188" Type="http://schemas.openxmlformats.org/officeDocument/2006/relationships/hyperlink" Target="https://dadosabertos.camara.leg.br/api/v2/deputados/4114" TargetMode="External"/><Relationship Id="rId7239" Type="http://schemas.openxmlformats.org/officeDocument/2006/relationships/hyperlink" Target="https://dadosabertos.camara.leg.br/api/v2/deputados/985" TargetMode="External"/><Relationship Id="rId7653" Type="http://schemas.openxmlformats.org/officeDocument/2006/relationships/hyperlink" Target="https://dadosabertos.camara.leg.br/api/v2/deputados/536" TargetMode="External"/><Relationship Id="rId6255" Type="http://schemas.openxmlformats.org/officeDocument/2006/relationships/hyperlink" Target="https://dadosabertos.camara.leg.br/api/v2/deputados/2346" TargetMode="External"/><Relationship Id="rId7306" Type="http://schemas.openxmlformats.org/officeDocument/2006/relationships/hyperlink" Target="https://dadosabertos.camara.leg.br/api/v2/deputados/868" TargetMode="External"/><Relationship Id="rId2798" Type="http://schemas.openxmlformats.org/officeDocument/2006/relationships/hyperlink" Target="https://dadosabertos.camara.leg.br/api/v2/deputados/133921" TargetMode="External"/><Relationship Id="rId3849" Type="http://schemas.openxmlformats.org/officeDocument/2006/relationships/hyperlink" Target="https://dadosabertos.camara.leg.br/api/v2/deputados/131583" TargetMode="External"/><Relationship Id="rId5271" Type="http://schemas.openxmlformats.org/officeDocument/2006/relationships/hyperlink" Target="https://dadosabertos.camara.leg.br/api/v2/deputados/3066" TargetMode="External"/><Relationship Id="rId7720" Type="http://schemas.openxmlformats.org/officeDocument/2006/relationships/hyperlink" Target="https://dadosabertos.camara.leg.br/api/v2/deputados/510" TargetMode="External"/><Relationship Id="rId2865" Type="http://schemas.openxmlformats.org/officeDocument/2006/relationships/hyperlink" Target="https://dadosabertos.camara.leg.br/api/v2/deputados/133878" TargetMode="External"/><Relationship Id="rId3916" Type="http://schemas.openxmlformats.org/officeDocument/2006/relationships/hyperlink" Target="https://dadosabertos.camara.leg.br/api/v2/deputados/131494" TargetMode="External"/><Relationship Id="rId6322" Type="http://schemas.openxmlformats.org/officeDocument/2006/relationships/hyperlink" Target="https://dadosabertos.camara.leg.br/api/v2/deputados/2234" TargetMode="External"/><Relationship Id="rId837" Type="http://schemas.openxmlformats.org/officeDocument/2006/relationships/hyperlink" Target="https://dadosabertos.camara.leg.br/api/v2/deputados/178982" TargetMode="External"/><Relationship Id="rId1467" Type="http://schemas.openxmlformats.org/officeDocument/2006/relationships/hyperlink" Target="https://dadosabertos.camara.leg.br/api/v2/deputados/73935" TargetMode="External"/><Relationship Id="rId1881" Type="http://schemas.openxmlformats.org/officeDocument/2006/relationships/hyperlink" Target="https://dadosabertos.camara.leg.br/api/v2/deputados/149293" TargetMode="External"/><Relationship Id="rId2518" Type="http://schemas.openxmlformats.org/officeDocument/2006/relationships/hyperlink" Target="https://dadosabertos.camara.leg.br/api/v2/deputados/73898" TargetMode="External"/><Relationship Id="rId2932" Type="http://schemas.openxmlformats.org/officeDocument/2006/relationships/hyperlink" Target="https://dadosabertos.camara.leg.br/api/v2/deputados/133843" TargetMode="External"/><Relationship Id="rId904" Type="http://schemas.openxmlformats.org/officeDocument/2006/relationships/hyperlink" Target="https://dadosabertos.camara.leg.br/api/v2/deputados/204529" TargetMode="External"/><Relationship Id="rId1534" Type="http://schemas.openxmlformats.org/officeDocument/2006/relationships/hyperlink" Target="https://dadosabertos.camara.leg.br/api/v2/deputados/74124" TargetMode="External"/><Relationship Id="rId7096" Type="http://schemas.openxmlformats.org/officeDocument/2006/relationships/hyperlink" Target="https://dadosabertos.camara.leg.br/api/v2/deputados/1107" TargetMode="External"/><Relationship Id="rId1601" Type="http://schemas.openxmlformats.org/officeDocument/2006/relationships/hyperlink" Target="https://dadosabertos.camara.leg.br/api/v2/deputados/141525" TargetMode="External"/><Relationship Id="rId4757" Type="http://schemas.openxmlformats.org/officeDocument/2006/relationships/hyperlink" Target="https://dadosabertos.camara.leg.br/api/v2/deputados/130512" TargetMode="External"/><Relationship Id="rId7163" Type="http://schemas.openxmlformats.org/officeDocument/2006/relationships/hyperlink" Target="https://dadosabertos.camara.leg.br/api/v2/deputados/959" TargetMode="External"/><Relationship Id="rId3359" Type="http://schemas.openxmlformats.org/officeDocument/2006/relationships/hyperlink" Target="https://dadosabertos.camara.leg.br/api/v2/deputados/132129" TargetMode="External"/><Relationship Id="rId5808" Type="http://schemas.openxmlformats.org/officeDocument/2006/relationships/hyperlink" Target="https://dadosabertos.camara.leg.br/api/v2/deputados/4514" TargetMode="External"/><Relationship Id="rId7230" Type="http://schemas.openxmlformats.org/officeDocument/2006/relationships/hyperlink" Target="https://dadosabertos.camara.leg.br/api/v2/deputados/618" TargetMode="External"/><Relationship Id="rId694" Type="http://schemas.openxmlformats.org/officeDocument/2006/relationships/hyperlink" Target="https://dadosabertos.camara.leg.br/api/v2/deputados/141335" TargetMode="External"/><Relationship Id="rId2375" Type="http://schemas.openxmlformats.org/officeDocument/2006/relationships/hyperlink" Target="https://dadosabertos.camara.leg.br/api/v2/deputados/73985" TargetMode="External"/><Relationship Id="rId3773" Type="http://schemas.openxmlformats.org/officeDocument/2006/relationships/hyperlink" Target="https://dadosabertos.camara.leg.br/api/v2/deputados/131501" TargetMode="External"/><Relationship Id="rId4824" Type="http://schemas.openxmlformats.org/officeDocument/2006/relationships/hyperlink" Target="https://dadosabertos.camara.leg.br/api/v2/deputados/130654" TargetMode="External"/><Relationship Id="rId347" Type="http://schemas.openxmlformats.org/officeDocument/2006/relationships/hyperlink" Target="https://dadosabertos.camara.leg.br/api/v2/deputados/74141" TargetMode="External"/><Relationship Id="rId2028" Type="http://schemas.openxmlformats.org/officeDocument/2006/relationships/hyperlink" Target="https://dadosabertos.camara.leg.br/api/v2/deputados/74131" TargetMode="External"/><Relationship Id="rId3426" Type="http://schemas.openxmlformats.org/officeDocument/2006/relationships/hyperlink" Target="https://dadosabertos.camara.leg.br/api/v2/deputados/131980" TargetMode="External"/><Relationship Id="rId3840" Type="http://schemas.openxmlformats.org/officeDocument/2006/relationships/hyperlink" Target="https://dadosabertos.camara.leg.br/api/v2/deputados/131569" TargetMode="External"/><Relationship Id="rId6996" Type="http://schemas.openxmlformats.org/officeDocument/2006/relationships/hyperlink" Target="https://dadosabertos.camara.leg.br/api/v2/deputados/1078" TargetMode="External"/><Relationship Id="rId761" Type="http://schemas.openxmlformats.org/officeDocument/2006/relationships/hyperlink" Target="https://dadosabertos.camara.leg.br/api/v2/deputados/178969" TargetMode="External"/><Relationship Id="rId1391" Type="http://schemas.openxmlformats.org/officeDocument/2006/relationships/hyperlink" Target="https://dadosabertos.camara.leg.br/api/v2/deputados/160557" TargetMode="External"/><Relationship Id="rId2442" Type="http://schemas.openxmlformats.org/officeDocument/2006/relationships/hyperlink" Target="https://dadosabertos.camara.leg.br/api/v2/deputados/74214" TargetMode="External"/><Relationship Id="rId5598" Type="http://schemas.openxmlformats.org/officeDocument/2006/relationships/hyperlink" Target="https://dadosabertos.camara.leg.br/api/v2/deputados/4847" TargetMode="External"/><Relationship Id="rId6649" Type="http://schemas.openxmlformats.org/officeDocument/2006/relationships/hyperlink" Target="https://dadosabertos.camara.leg.br/api/v2/deputados/3937" TargetMode="External"/><Relationship Id="rId414" Type="http://schemas.openxmlformats.org/officeDocument/2006/relationships/hyperlink" Target="https://dadosabertos.camara.leg.br/api/v2/deputados/204526" TargetMode="External"/><Relationship Id="rId1044" Type="http://schemas.openxmlformats.org/officeDocument/2006/relationships/hyperlink" Target="https://dadosabertos.camara.leg.br/api/v2/deputados/72912" TargetMode="External"/><Relationship Id="rId5665" Type="http://schemas.openxmlformats.org/officeDocument/2006/relationships/hyperlink" Target="https://dadosabertos.camara.leg.br/api/v2/deputados/4640" TargetMode="External"/><Relationship Id="rId6716" Type="http://schemas.openxmlformats.org/officeDocument/2006/relationships/hyperlink" Target="https://dadosabertos.camara.leg.br/api/v2/deputados/3140" TargetMode="External"/><Relationship Id="rId1111" Type="http://schemas.openxmlformats.org/officeDocument/2006/relationships/hyperlink" Target="https://dadosabertos.camara.leg.br/api/v2/deputados/160596" TargetMode="External"/><Relationship Id="rId4267" Type="http://schemas.openxmlformats.org/officeDocument/2006/relationships/hyperlink" Target="https://dadosabertos.camara.leg.br/api/v2/deputados/131382" TargetMode="External"/><Relationship Id="rId4681" Type="http://schemas.openxmlformats.org/officeDocument/2006/relationships/hyperlink" Target="https://dadosabertos.camara.leg.br/api/v2/deputados/130847" TargetMode="External"/><Relationship Id="rId5318" Type="http://schemas.openxmlformats.org/officeDocument/2006/relationships/hyperlink" Target="https://dadosabertos.camara.leg.br/api/v2/deputados/130264" TargetMode="External"/><Relationship Id="rId5732" Type="http://schemas.openxmlformats.org/officeDocument/2006/relationships/hyperlink" Target="https://dadosabertos.camara.leg.br/api/v2/deputados/4511" TargetMode="External"/><Relationship Id="rId3283" Type="http://schemas.openxmlformats.org/officeDocument/2006/relationships/hyperlink" Target="https://dadosabertos.camara.leg.br/api/v2/deputados/131852" TargetMode="External"/><Relationship Id="rId4334" Type="http://schemas.openxmlformats.org/officeDocument/2006/relationships/hyperlink" Target="https://dadosabertos.camara.leg.br/api/v2/deputados/131138" TargetMode="External"/><Relationship Id="rId1928" Type="http://schemas.openxmlformats.org/officeDocument/2006/relationships/hyperlink" Target="https://dadosabertos.camara.leg.br/api/v2/deputados/133440" TargetMode="External"/><Relationship Id="rId3350" Type="http://schemas.openxmlformats.org/officeDocument/2006/relationships/hyperlink" Target="https://dadosabertos.camara.leg.br/api/v2/deputados/132111" TargetMode="External"/><Relationship Id="rId271" Type="http://schemas.openxmlformats.org/officeDocument/2006/relationships/hyperlink" Target="https://dadosabertos.camara.leg.br/api/v2/deputados/220587" TargetMode="External"/><Relationship Id="rId3003" Type="http://schemas.openxmlformats.org/officeDocument/2006/relationships/hyperlink" Target="https://dadosabertos.camara.leg.br/api/v2/deputados/139168" TargetMode="External"/><Relationship Id="rId4401" Type="http://schemas.openxmlformats.org/officeDocument/2006/relationships/hyperlink" Target="https://dadosabertos.camara.leg.br/api/v2/deputados/130996" TargetMode="External"/><Relationship Id="rId6159" Type="http://schemas.openxmlformats.org/officeDocument/2006/relationships/hyperlink" Target="https://dadosabertos.camara.leg.br/api/v2/deputados/2431" TargetMode="External"/><Relationship Id="rId7557" Type="http://schemas.openxmlformats.org/officeDocument/2006/relationships/hyperlink" Target="https://dadosabertos.camara.leg.br/api/v2/deputados/629" TargetMode="External"/><Relationship Id="rId7971" Type="http://schemas.openxmlformats.org/officeDocument/2006/relationships/hyperlink" Target="https://dadosabertos.camara.leg.br/api/v2/deputados/177" TargetMode="External"/><Relationship Id="rId6573" Type="http://schemas.openxmlformats.org/officeDocument/2006/relationships/hyperlink" Target="https://dadosabertos.camara.leg.br/api/v2/deputados/3822" TargetMode="External"/><Relationship Id="rId7624" Type="http://schemas.openxmlformats.org/officeDocument/2006/relationships/hyperlink" Target="https://dadosabertos.camara.leg.br/api/v2/deputados/238" TargetMode="External"/><Relationship Id="rId2769" Type="http://schemas.openxmlformats.org/officeDocument/2006/relationships/hyperlink" Target="https://dadosabertos.camara.leg.br/api/v2/deputados/133920" TargetMode="External"/><Relationship Id="rId5175" Type="http://schemas.openxmlformats.org/officeDocument/2006/relationships/hyperlink" Target="https://dadosabertos.camara.leg.br/api/v2/deputados/3051" TargetMode="External"/><Relationship Id="rId6226" Type="http://schemas.openxmlformats.org/officeDocument/2006/relationships/hyperlink" Target="https://dadosabertos.camara.leg.br/api/v2/deputados/2208" TargetMode="External"/><Relationship Id="rId6640" Type="http://schemas.openxmlformats.org/officeDocument/2006/relationships/hyperlink" Target="https://dadosabertos.camara.leg.br/api/v2/deputados/1984" TargetMode="External"/><Relationship Id="rId1785" Type="http://schemas.openxmlformats.org/officeDocument/2006/relationships/hyperlink" Target="https://dadosabertos.camara.leg.br/api/v2/deputados/73873" TargetMode="External"/><Relationship Id="rId2836" Type="http://schemas.openxmlformats.org/officeDocument/2006/relationships/hyperlink" Target="https://dadosabertos.camara.leg.br/api/v2/deputados/73717" TargetMode="External"/><Relationship Id="rId4191" Type="http://schemas.openxmlformats.org/officeDocument/2006/relationships/hyperlink" Target="https://dadosabertos.camara.leg.br/api/v2/deputados/131298" TargetMode="External"/><Relationship Id="rId5242" Type="http://schemas.openxmlformats.org/officeDocument/2006/relationships/hyperlink" Target="https://dadosabertos.camara.leg.br/api/v2/deputados/4880" TargetMode="External"/><Relationship Id="rId77" Type="http://schemas.openxmlformats.org/officeDocument/2006/relationships/hyperlink" Target="https://dadosabertos.camara.leg.br/api/v2/deputados/109429" TargetMode="External"/><Relationship Id="rId808" Type="http://schemas.openxmlformats.org/officeDocument/2006/relationships/hyperlink" Target="https://dadosabertos.camara.leg.br/api/v2/deputados/204576" TargetMode="External"/><Relationship Id="rId1438" Type="http://schemas.openxmlformats.org/officeDocument/2006/relationships/hyperlink" Target="https://dadosabertos.camara.leg.br/api/v2/deputados/74843" TargetMode="External"/><Relationship Id="rId1852" Type="http://schemas.openxmlformats.org/officeDocument/2006/relationships/hyperlink" Target="https://dadosabertos.camara.leg.br/api/v2/deputados/73612" TargetMode="External"/><Relationship Id="rId2903" Type="http://schemas.openxmlformats.org/officeDocument/2006/relationships/hyperlink" Target="https://dadosabertos.camara.leg.br/api/v2/deputados/73851" TargetMode="External"/><Relationship Id="rId7067" Type="http://schemas.openxmlformats.org/officeDocument/2006/relationships/hyperlink" Target="https://dadosabertos.camara.leg.br/api/v2/deputados/773" TargetMode="External"/><Relationship Id="rId7481" Type="http://schemas.openxmlformats.org/officeDocument/2006/relationships/hyperlink" Target="https://dadosabertos.camara.leg.br/api/v2/deputados/723" TargetMode="External"/><Relationship Id="rId1505" Type="http://schemas.openxmlformats.org/officeDocument/2006/relationships/hyperlink" Target="https://dadosabertos.camara.leg.br/api/v2/deputados/74742" TargetMode="External"/><Relationship Id="rId6083" Type="http://schemas.openxmlformats.org/officeDocument/2006/relationships/hyperlink" Target="https://dadosabertos.camara.leg.br/api/v2/deputados/4209" TargetMode="External"/><Relationship Id="rId7134" Type="http://schemas.openxmlformats.org/officeDocument/2006/relationships/hyperlink" Target="https://dadosabertos.camara.leg.br/api/v2/deputados/990" TargetMode="External"/><Relationship Id="rId3677" Type="http://schemas.openxmlformats.org/officeDocument/2006/relationships/hyperlink" Target="https://dadosabertos.camara.leg.br/api/v2/deputados/131729" TargetMode="External"/><Relationship Id="rId4728" Type="http://schemas.openxmlformats.org/officeDocument/2006/relationships/hyperlink" Target="https://dadosabertos.camara.leg.br/api/v2/deputados/130513" TargetMode="External"/><Relationship Id="rId598" Type="http://schemas.openxmlformats.org/officeDocument/2006/relationships/hyperlink" Target="https://dadosabertos.camara.leg.br/api/v2/deputados/160635" TargetMode="External"/><Relationship Id="rId2279" Type="http://schemas.openxmlformats.org/officeDocument/2006/relationships/hyperlink" Target="https://dadosabertos.camara.leg.br/api/v2/deputados/74772" TargetMode="External"/><Relationship Id="rId2693" Type="http://schemas.openxmlformats.org/officeDocument/2006/relationships/hyperlink" Target="https://dadosabertos.camara.leg.br/api/v2/deputados/133846" TargetMode="External"/><Relationship Id="rId3744" Type="http://schemas.openxmlformats.org/officeDocument/2006/relationships/hyperlink" Target="https://dadosabertos.camara.leg.br/api/v2/deputados/131796" TargetMode="External"/><Relationship Id="rId6150" Type="http://schemas.openxmlformats.org/officeDocument/2006/relationships/hyperlink" Target="https://dadosabertos.camara.leg.br/api/v2/deputados/2410" TargetMode="External"/><Relationship Id="rId7201" Type="http://schemas.openxmlformats.org/officeDocument/2006/relationships/hyperlink" Target="https://dadosabertos.camara.leg.br/api/v2/deputados/1017" TargetMode="External"/><Relationship Id="rId665" Type="http://schemas.openxmlformats.org/officeDocument/2006/relationships/hyperlink" Target="https://dadosabertos.camara.leg.br/api/v2/deputados/220558" TargetMode="External"/><Relationship Id="rId1295" Type="http://schemas.openxmlformats.org/officeDocument/2006/relationships/hyperlink" Target="https://dadosabertos.camara.leg.br/api/v2/deputados/178911" TargetMode="External"/><Relationship Id="rId2346" Type="http://schemas.openxmlformats.org/officeDocument/2006/relationships/hyperlink" Target="https://dadosabertos.camara.leg.br/api/v2/deputados/74811" TargetMode="External"/><Relationship Id="rId2760" Type="http://schemas.openxmlformats.org/officeDocument/2006/relationships/hyperlink" Target="https://dadosabertos.camara.leg.br/api/v2/deputados/133950" TargetMode="External"/><Relationship Id="rId3811" Type="http://schemas.openxmlformats.org/officeDocument/2006/relationships/hyperlink" Target="https://dadosabertos.camara.leg.br/api/v2/deputados/131517" TargetMode="External"/><Relationship Id="rId6967" Type="http://schemas.openxmlformats.org/officeDocument/2006/relationships/hyperlink" Target="https://dadosabertos.camara.leg.br/api/v2/deputados/1178" TargetMode="External"/><Relationship Id="rId318" Type="http://schemas.openxmlformats.org/officeDocument/2006/relationships/hyperlink" Target="https://dadosabertos.camara.leg.br/api/v2/deputados/220696" TargetMode="External"/><Relationship Id="rId732" Type="http://schemas.openxmlformats.org/officeDocument/2006/relationships/hyperlink" Target="https://dadosabertos.camara.leg.br/api/v2/deputados/213679" TargetMode="External"/><Relationship Id="rId1362" Type="http://schemas.openxmlformats.org/officeDocument/2006/relationships/hyperlink" Target="https://dadosabertos.camara.leg.br/api/v2/deputados/74405" TargetMode="External"/><Relationship Id="rId2413" Type="http://schemas.openxmlformats.org/officeDocument/2006/relationships/hyperlink" Target="https://dadosabertos.camara.leg.br/api/v2/deputados/74695" TargetMode="External"/><Relationship Id="rId5569" Type="http://schemas.openxmlformats.org/officeDocument/2006/relationships/hyperlink" Target="https://dadosabertos.camara.leg.br/api/v2/deputados/130229" TargetMode="External"/><Relationship Id="rId1015" Type="http://schemas.openxmlformats.org/officeDocument/2006/relationships/hyperlink" Target="https://dadosabertos.camara.leg.br/api/v2/deputados/160581" TargetMode="External"/><Relationship Id="rId4585" Type="http://schemas.openxmlformats.org/officeDocument/2006/relationships/hyperlink" Target="https://dadosabertos.camara.leg.br/api/v2/deputados/130745" TargetMode="External"/><Relationship Id="rId5983" Type="http://schemas.openxmlformats.org/officeDocument/2006/relationships/hyperlink" Target="https://dadosabertos.camara.leg.br/api/v2/deputados/4312" TargetMode="External"/><Relationship Id="rId3187" Type="http://schemas.openxmlformats.org/officeDocument/2006/relationships/hyperlink" Target="https://dadosabertos.camara.leg.br/api/v2/deputados/139327" TargetMode="External"/><Relationship Id="rId4238" Type="http://schemas.openxmlformats.org/officeDocument/2006/relationships/hyperlink" Target="https://dadosabertos.camara.leg.br/api/v2/deputados/131356" TargetMode="External"/><Relationship Id="rId5636" Type="http://schemas.openxmlformats.org/officeDocument/2006/relationships/hyperlink" Target="https://dadosabertos.camara.leg.br/api/v2/deputados/2712" TargetMode="External"/><Relationship Id="rId4652" Type="http://schemas.openxmlformats.org/officeDocument/2006/relationships/hyperlink" Target="https://dadosabertos.camara.leg.br/api/v2/deputados/130828" TargetMode="External"/><Relationship Id="rId5703" Type="http://schemas.openxmlformats.org/officeDocument/2006/relationships/hyperlink" Target="https://dadosabertos.camara.leg.br/api/v2/deputados/4461" TargetMode="External"/><Relationship Id="rId175" Type="http://schemas.openxmlformats.org/officeDocument/2006/relationships/hyperlink" Target="https://dadosabertos.camara.leg.br/api/v2/deputados/220691" TargetMode="External"/><Relationship Id="rId3254" Type="http://schemas.openxmlformats.org/officeDocument/2006/relationships/hyperlink" Target="https://dadosabertos.camara.leg.br/api/v2/deputados/132141" TargetMode="External"/><Relationship Id="rId4305" Type="http://schemas.openxmlformats.org/officeDocument/2006/relationships/hyperlink" Target="https://dadosabertos.camara.leg.br/api/v2/deputados/130916" TargetMode="External"/><Relationship Id="rId7875" Type="http://schemas.openxmlformats.org/officeDocument/2006/relationships/hyperlink" Target="https://dadosabertos.camara.leg.br/api/v2/deputados/313" TargetMode="External"/><Relationship Id="rId2270" Type="http://schemas.openxmlformats.org/officeDocument/2006/relationships/hyperlink" Target="https://dadosabertos.camara.leg.br/api/v2/deputados/73570" TargetMode="External"/><Relationship Id="rId3321" Type="http://schemas.openxmlformats.org/officeDocument/2006/relationships/hyperlink" Target="https://dadosabertos.camara.leg.br/api/v2/deputados/131881" TargetMode="External"/><Relationship Id="rId6477" Type="http://schemas.openxmlformats.org/officeDocument/2006/relationships/hyperlink" Target="https://dadosabertos.camara.leg.br/api/v2/deputados/3771" TargetMode="External"/><Relationship Id="rId6891" Type="http://schemas.openxmlformats.org/officeDocument/2006/relationships/hyperlink" Target="https://dadosabertos.camara.leg.br/api/v2/deputados/1223" TargetMode="External"/><Relationship Id="rId7528" Type="http://schemas.openxmlformats.org/officeDocument/2006/relationships/hyperlink" Target="https://dadosabertos.camara.leg.br/api/v2/deputados/410" TargetMode="External"/><Relationship Id="rId7942" Type="http://schemas.openxmlformats.org/officeDocument/2006/relationships/hyperlink" Target="https://dadosabertos.camara.leg.br/api/v2/deputados/114" TargetMode="External"/><Relationship Id="rId242" Type="http://schemas.openxmlformats.org/officeDocument/2006/relationships/hyperlink" Target="https://dadosabertos.camara.leg.br/api/v2/deputados/220712" TargetMode="External"/><Relationship Id="rId5079" Type="http://schemas.openxmlformats.org/officeDocument/2006/relationships/hyperlink" Target="https://dadosabertos.camara.leg.br/api/v2/deputados/130406" TargetMode="External"/><Relationship Id="rId5493" Type="http://schemas.openxmlformats.org/officeDocument/2006/relationships/hyperlink" Target="https://dadosabertos.camara.leg.br/api/v2/deputados/2853" TargetMode="External"/><Relationship Id="rId6544" Type="http://schemas.openxmlformats.org/officeDocument/2006/relationships/hyperlink" Target="https://dadosabertos.camara.leg.br/api/v2/deputados/2092" TargetMode="External"/><Relationship Id="rId1689" Type="http://schemas.openxmlformats.org/officeDocument/2006/relationships/hyperlink" Target="https://dadosabertos.camara.leg.br/api/v2/deputados/74024" TargetMode="External"/><Relationship Id="rId4095" Type="http://schemas.openxmlformats.org/officeDocument/2006/relationships/hyperlink" Target="https://dadosabertos.camara.leg.br/api/v2/deputados/3146" TargetMode="External"/><Relationship Id="rId5146" Type="http://schemas.openxmlformats.org/officeDocument/2006/relationships/hyperlink" Target="https://dadosabertos.camara.leg.br/api/v2/deputados/130316" TargetMode="External"/><Relationship Id="rId5560" Type="http://schemas.openxmlformats.org/officeDocument/2006/relationships/hyperlink" Target="https://dadosabertos.camara.leg.br/api/v2/deputados/4597" TargetMode="External"/><Relationship Id="rId4162" Type="http://schemas.openxmlformats.org/officeDocument/2006/relationships/hyperlink" Target="https://dadosabertos.camara.leg.br/api/v2/deputados/131293" TargetMode="External"/><Relationship Id="rId5213" Type="http://schemas.openxmlformats.org/officeDocument/2006/relationships/hyperlink" Target="https://dadosabertos.camara.leg.br/api/v2/deputados/3040" TargetMode="External"/><Relationship Id="rId6611" Type="http://schemas.openxmlformats.org/officeDocument/2006/relationships/hyperlink" Target="https://dadosabertos.camara.leg.br/api/v2/deputados/2017" TargetMode="External"/><Relationship Id="rId1756" Type="http://schemas.openxmlformats.org/officeDocument/2006/relationships/hyperlink" Target="https://dadosabertos.camara.leg.br/api/v2/deputados/152608" TargetMode="External"/><Relationship Id="rId2807" Type="http://schemas.openxmlformats.org/officeDocument/2006/relationships/hyperlink" Target="https://dadosabertos.camara.leg.br/api/v2/deputados/133848" TargetMode="External"/><Relationship Id="rId48" Type="http://schemas.openxmlformats.org/officeDocument/2006/relationships/hyperlink" Target="https://dadosabertos.camara.leg.br/api/v2/deputados/204423" TargetMode="External"/><Relationship Id="rId1409" Type="http://schemas.openxmlformats.org/officeDocument/2006/relationships/hyperlink" Target="https://dadosabertos.camara.leg.br/api/v2/deputados/147975" TargetMode="External"/><Relationship Id="rId1823" Type="http://schemas.openxmlformats.org/officeDocument/2006/relationships/hyperlink" Target="https://dadosabertos.camara.leg.br/api/v2/deputados/74300" TargetMode="External"/><Relationship Id="rId4979" Type="http://schemas.openxmlformats.org/officeDocument/2006/relationships/hyperlink" Target="https://dadosabertos.camara.leg.br/api/v2/deputados/130474" TargetMode="External"/><Relationship Id="rId7385" Type="http://schemas.openxmlformats.org/officeDocument/2006/relationships/hyperlink" Target="https://dadosabertos.camara.leg.br/api/v2/deputados/610" TargetMode="External"/><Relationship Id="rId3995" Type="http://schemas.openxmlformats.org/officeDocument/2006/relationships/hyperlink" Target="https://dadosabertos.camara.leg.br/api/v2/deputados/131481" TargetMode="External"/><Relationship Id="rId7038" Type="http://schemas.openxmlformats.org/officeDocument/2006/relationships/hyperlink" Target="https://dadosabertos.camara.leg.br/api/v2/deputados/1165" TargetMode="External"/><Relationship Id="rId7452" Type="http://schemas.openxmlformats.org/officeDocument/2006/relationships/hyperlink" Target="https://dadosabertos.camara.leg.br/api/v2/deputados/228" TargetMode="External"/><Relationship Id="rId2597" Type="http://schemas.openxmlformats.org/officeDocument/2006/relationships/hyperlink" Target="https://dadosabertos.camara.leg.br/api/v2/deputados/73418" TargetMode="External"/><Relationship Id="rId3648" Type="http://schemas.openxmlformats.org/officeDocument/2006/relationships/hyperlink" Target="https://dadosabertos.camara.leg.br/api/v2/deputados/131769" TargetMode="External"/><Relationship Id="rId6054" Type="http://schemas.openxmlformats.org/officeDocument/2006/relationships/hyperlink" Target="https://dadosabertos.camara.leg.br/api/v2/deputados/2458" TargetMode="External"/><Relationship Id="rId7105" Type="http://schemas.openxmlformats.org/officeDocument/2006/relationships/hyperlink" Target="https://dadosabertos.camara.leg.br/api/v2/deputados/527" TargetMode="External"/><Relationship Id="rId569" Type="http://schemas.openxmlformats.org/officeDocument/2006/relationships/hyperlink" Target="https://www.facebook.com/ricardosilvarp" TargetMode="External"/><Relationship Id="rId983" Type="http://schemas.openxmlformats.org/officeDocument/2006/relationships/hyperlink" Target="https://dadosabertos.camara.leg.br/api/v2/deputados/178914" TargetMode="External"/><Relationship Id="rId1199" Type="http://schemas.openxmlformats.org/officeDocument/2006/relationships/hyperlink" Target="https://dadosabertos.camara.leg.br/api/v2/deputados/167722" TargetMode="External"/><Relationship Id="rId2664" Type="http://schemas.openxmlformats.org/officeDocument/2006/relationships/hyperlink" Target="https://dadosabertos.camara.leg.br/api/v2/deputados/133898" TargetMode="External"/><Relationship Id="rId5070" Type="http://schemas.openxmlformats.org/officeDocument/2006/relationships/hyperlink" Target="https://dadosabertos.camara.leg.br/api/v2/deputados/130492" TargetMode="External"/><Relationship Id="rId6121" Type="http://schemas.openxmlformats.org/officeDocument/2006/relationships/hyperlink" Target="https://dadosabertos.camara.leg.br/api/v2/deputados/1817" TargetMode="External"/><Relationship Id="rId636" Type="http://schemas.openxmlformats.org/officeDocument/2006/relationships/hyperlink" Target="https://dadosabertos.camara.leg.br/api/v2/deputados/220684" TargetMode="External"/><Relationship Id="rId1266" Type="http://schemas.openxmlformats.org/officeDocument/2006/relationships/hyperlink" Target="https://dadosabertos.camara.leg.br/api/v2/deputados/88950" TargetMode="External"/><Relationship Id="rId2317" Type="http://schemas.openxmlformats.org/officeDocument/2006/relationships/hyperlink" Target="https://dadosabertos.camara.leg.br/api/v2/deputados/74681" TargetMode="External"/><Relationship Id="rId3715" Type="http://schemas.openxmlformats.org/officeDocument/2006/relationships/hyperlink" Target="https://dadosabertos.camara.leg.br/api/v2/deputados/131653" TargetMode="External"/><Relationship Id="rId1680" Type="http://schemas.openxmlformats.org/officeDocument/2006/relationships/hyperlink" Target="https://dadosabertos.camara.leg.br/api/v2/deputados/73431" TargetMode="External"/><Relationship Id="rId2731" Type="http://schemas.openxmlformats.org/officeDocument/2006/relationships/hyperlink" Target="https://dadosabertos.camara.leg.br/api/v2/deputados/73725" TargetMode="External"/><Relationship Id="rId5887" Type="http://schemas.openxmlformats.org/officeDocument/2006/relationships/hyperlink" Target="https://dadosabertos.camara.leg.br/api/v2/deputados/2585" TargetMode="External"/><Relationship Id="rId6938" Type="http://schemas.openxmlformats.org/officeDocument/2006/relationships/hyperlink" Target="https://dadosabertos.camara.leg.br/api/v2/deputados/690" TargetMode="External"/><Relationship Id="rId703" Type="http://schemas.openxmlformats.org/officeDocument/2006/relationships/hyperlink" Target="https://dadosabertos.camara.leg.br/api/v2/deputados/93083" TargetMode="External"/><Relationship Id="rId1333" Type="http://schemas.openxmlformats.org/officeDocument/2006/relationships/hyperlink" Target="http://www.popo.com.br/" TargetMode="External"/><Relationship Id="rId4489" Type="http://schemas.openxmlformats.org/officeDocument/2006/relationships/hyperlink" Target="https://dadosabertos.camara.leg.br/api/v2/deputados/131104" TargetMode="External"/><Relationship Id="rId5954" Type="http://schemas.openxmlformats.org/officeDocument/2006/relationships/hyperlink" Target="https://dadosabertos.camara.leg.br/api/v2/deputados/130148" TargetMode="External"/><Relationship Id="rId1400" Type="http://schemas.openxmlformats.org/officeDocument/2006/relationships/hyperlink" Target="https://dadosabertos.camara.leg.br/api/v2/deputados/74264" TargetMode="External"/><Relationship Id="rId4556" Type="http://schemas.openxmlformats.org/officeDocument/2006/relationships/hyperlink" Target="https://dadosabertos.camara.leg.br/api/v2/deputados/130725" TargetMode="External"/><Relationship Id="rId4970" Type="http://schemas.openxmlformats.org/officeDocument/2006/relationships/hyperlink" Target="https://dadosabertos.camara.leg.br/api/v2/deputados/130461" TargetMode="External"/><Relationship Id="rId5607" Type="http://schemas.openxmlformats.org/officeDocument/2006/relationships/hyperlink" Target="https://dadosabertos.camara.leg.br/api/v2/deputados/2823" TargetMode="External"/><Relationship Id="rId3158" Type="http://schemas.openxmlformats.org/officeDocument/2006/relationships/hyperlink" Target="https://dadosabertos.camara.leg.br/api/v2/deputados/139300" TargetMode="External"/><Relationship Id="rId3572" Type="http://schemas.openxmlformats.org/officeDocument/2006/relationships/hyperlink" Target="https://dadosabertos.camara.leg.br/api/v2/deputados/132110" TargetMode="External"/><Relationship Id="rId4209" Type="http://schemas.openxmlformats.org/officeDocument/2006/relationships/hyperlink" Target="https://dadosabertos.camara.leg.br/api/v2/deputados/131328" TargetMode="External"/><Relationship Id="rId4623" Type="http://schemas.openxmlformats.org/officeDocument/2006/relationships/hyperlink" Target="https://dadosabertos.camara.leg.br/api/v2/deputados/130786" TargetMode="External"/><Relationship Id="rId7779" Type="http://schemas.openxmlformats.org/officeDocument/2006/relationships/hyperlink" Target="https://dadosabertos.camara.leg.br/api/v2/deputados/227" TargetMode="External"/><Relationship Id="rId493" Type="http://schemas.openxmlformats.org/officeDocument/2006/relationships/hyperlink" Target="https://dadosabertos.camara.leg.br/api/v2/deputados/178987" TargetMode="External"/><Relationship Id="rId2174" Type="http://schemas.openxmlformats.org/officeDocument/2006/relationships/hyperlink" Target="https://dadosabertos.camara.leg.br/api/v2/deputados/74496" TargetMode="External"/><Relationship Id="rId3225" Type="http://schemas.openxmlformats.org/officeDocument/2006/relationships/hyperlink" Target="https://dadosabertos.camara.leg.br/api/v2/deputados/139359" TargetMode="External"/><Relationship Id="rId6795" Type="http://schemas.openxmlformats.org/officeDocument/2006/relationships/hyperlink" Target="https://dadosabertos.camara.leg.br/api/v2/deputados/1770" TargetMode="External"/><Relationship Id="rId146" Type="http://schemas.openxmlformats.org/officeDocument/2006/relationships/hyperlink" Target="https://dadosabertos.camara.leg.br/api/v2/deputados/204367" TargetMode="External"/><Relationship Id="rId560" Type="http://schemas.openxmlformats.org/officeDocument/2006/relationships/hyperlink" Target="https://dadosabertos.camara.leg.br/api/v2/deputados/175765" TargetMode="External"/><Relationship Id="rId1190" Type="http://schemas.openxmlformats.org/officeDocument/2006/relationships/hyperlink" Target="https://dadosabertos.camara.leg.br/api/v2/deputados/178942" TargetMode="External"/><Relationship Id="rId2241" Type="http://schemas.openxmlformats.org/officeDocument/2006/relationships/hyperlink" Target="https://dadosabertos.camara.leg.br/api/v2/deputados/74091" TargetMode="External"/><Relationship Id="rId5397" Type="http://schemas.openxmlformats.org/officeDocument/2006/relationships/hyperlink" Target="https://dadosabertos.camara.leg.br/api/v2/deputados/2955" TargetMode="External"/><Relationship Id="rId6448" Type="http://schemas.openxmlformats.org/officeDocument/2006/relationships/hyperlink" Target="https://dadosabertos.camara.leg.br/api/v2/deputados/2046" TargetMode="External"/><Relationship Id="rId7846" Type="http://schemas.openxmlformats.org/officeDocument/2006/relationships/hyperlink" Target="https://dadosabertos.camara.leg.br/api/v2/deputados/292" TargetMode="External"/><Relationship Id="rId213" Type="http://schemas.openxmlformats.org/officeDocument/2006/relationships/hyperlink" Target="https://dadosabertos.camara.leg.br/api/v2/deputados/204364" TargetMode="External"/><Relationship Id="rId6862" Type="http://schemas.openxmlformats.org/officeDocument/2006/relationships/hyperlink" Target="https://dadosabertos.camara.leg.br/api/v2/deputados/1210" TargetMode="External"/><Relationship Id="rId7913" Type="http://schemas.openxmlformats.org/officeDocument/2006/relationships/hyperlink" Target="https://dadosabertos.camara.leg.br/api/v2/deputados/103" TargetMode="External"/><Relationship Id="rId4066" Type="http://schemas.openxmlformats.org/officeDocument/2006/relationships/hyperlink" Target="https://dadosabertos.camara.leg.br/api/v2/deputados/131292" TargetMode="External"/><Relationship Id="rId5464" Type="http://schemas.openxmlformats.org/officeDocument/2006/relationships/hyperlink" Target="https://dadosabertos.camara.leg.br/api/v2/deputados/130274" TargetMode="External"/><Relationship Id="rId6515" Type="http://schemas.openxmlformats.org/officeDocument/2006/relationships/hyperlink" Target="https://dadosabertos.camara.leg.br/api/v2/deputados/1966" TargetMode="External"/><Relationship Id="rId4480" Type="http://schemas.openxmlformats.org/officeDocument/2006/relationships/hyperlink" Target="https://dadosabertos.camara.leg.br/api/v2/deputados/131098" TargetMode="External"/><Relationship Id="rId5117" Type="http://schemas.openxmlformats.org/officeDocument/2006/relationships/hyperlink" Target="https://dadosabertos.camara.leg.br/api/v2/deputados/2993" TargetMode="External"/><Relationship Id="rId5531" Type="http://schemas.openxmlformats.org/officeDocument/2006/relationships/hyperlink" Target="https://dadosabertos.camara.leg.br/api/v2/deputados/2897" TargetMode="External"/><Relationship Id="rId1727" Type="http://schemas.openxmlformats.org/officeDocument/2006/relationships/hyperlink" Target="https://dadosabertos.camara.leg.br/api/v2/deputados/141540" TargetMode="External"/><Relationship Id="rId3082" Type="http://schemas.openxmlformats.org/officeDocument/2006/relationships/hyperlink" Target="https://dadosabertos.camara.leg.br/api/v2/deputados/139237" TargetMode="External"/><Relationship Id="rId4133" Type="http://schemas.openxmlformats.org/officeDocument/2006/relationships/hyperlink" Target="https://dadosabertos.camara.leg.br/api/v2/deputados/131259" TargetMode="External"/><Relationship Id="rId7289" Type="http://schemas.openxmlformats.org/officeDocument/2006/relationships/hyperlink" Target="https://dadosabertos.camara.leg.br/api/v2/deputados/457" TargetMode="External"/><Relationship Id="rId19" Type="http://schemas.openxmlformats.org/officeDocument/2006/relationships/hyperlink" Target="https://dadosabertos.camara.leg.br/api/v2/deputados/160559" TargetMode="External"/><Relationship Id="rId3899" Type="http://schemas.openxmlformats.org/officeDocument/2006/relationships/hyperlink" Target="https://dadosabertos.camara.leg.br/api/v2/deputados/131624" TargetMode="External"/><Relationship Id="rId4200" Type="http://schemas.openxmlformats.org/officeDocument/2006/relationships/hyperlink" Target="https://dadosabertos.camara.leg.br/api/v2/deputados/131319" TargetMode="External"/><Relationship Id="rId7356" Type="http://schemas.openxmlformats.org/officeDocument/2006/relationships/hyperlink" Target="https://dadosabertos.camara.leg.br/api/v2/deputados/225374" TargetMode="External"/><Relationship Id="rId7770" Type="http://schemas.openxmlformats.org/officeDocument/2006/relationships/hyperlink" Target="https://dadosabertos.camara.leg.br/api/v2/deputados/405" TargetMode="External"/><Relationship Id="rId6372" Type="http://schemas.openxmlformats.org/officeDocument/2006/relationships/hyperlink" Target="https://dadosabertos.camara.leg.br/api/v2/deputados/2171" TargetMode="External"/><Relationship Id="rId7009" Type="http://schemas.openxmlformats.org/officeDocument/2006/relationships/hyperlink" Target="https://dadosabertos.camara.leg.br/api/v2/deputados/991" TargetMode="External"/><Relationship Id="rId7423" Type="http://schemas.openxmlformats.org/officeDocument/2006/relationships/hyperlink" Target="https://dadosabertos.camara.leg.br/api/v2/deputados/555" TargetMode="External"/><Relationship Id="rId3966" Type="http://schemas.openxmlformats.org/officeDocument/2006/relationships/hyperlink" Target="https://dadosabertos.camara.leg.br/api/v2/deputados/131455" TargetMode="External"/><Relationship Id="rId6025" Type="http://schemas.openxmlformats.org/officeDocument/2006/relationships/hyperlink" Target="https://dadosabertos.camara.leg.br/api/v2/deputados/2187" TargetMode="External"/><Relationship Id="rId3" Type="http://schemas.openxmlformats.org/officeDocument/2006/relationships/hyperlink" Target="https://dadosabertos.camara.leg.br/api/v2/deputados/220714" TargetMode="External"/><Relationship Id="rId887" Type="http://schemas.openxmlformats.org/officeDocument/2006/relationships/hyperlink" Target="https://dadosabertos.camara.leg.br/api/v2/deputados/74319" TargetMode="External"/><Relationship Id="rId2568" Type="http://schemas.openxmlformats.org/officeDocument/2006/relationships/hyperlink" Target="https://dadosabertos.camara.leg.br/api/v2/deputados/74205" TargetMode="External"/><Relationship Id="rId2982" Type="http://schemas.openxmlformats.org/officeDocument/2006/relationships/hyperlink" Target="https://dadosabertos.camara.leg.br/api/v2/deputados/1522" TargetMode="External"/><Relationship Id="rId3619" Type="http://schemas.openxmlformats.org/officeDocument/2006/relationships/hyperlink" Target="https://dadosabertos.camara.leg.br/api/v2/deputados/131670" TargetMode="External"/><Relationship Id="rId5041" Type="http://schemas.openxmlformats.org/officeDocument/2006/relationships/hyperlink" Target="https://dadosabertos.camara.leg.br/api/v2/deputados/3104" TargetMode="External"/><Relationship Id="rId954" Type="http://schemas.openxmlformats.org/officeDocument/2006/relationships/hyperlink" Target="https://dadosabertos.camara.leg.br/api/v2/deputados/178901" TargetMode="External"/><Relationship Id="rId1584" Type="http://schemas.openxmlformats.org/officeDocument/2006/relationships/hyperlink" Target="https://dadosabertos.camara.leg.br/api/v2/deputados/141519" TargetMode="External"/><Relationship Id="rId2635" Type="http://schemas.openxmlformats.org/officeDocument/2006/relationships/hyperlink" Target="https://dadosabertos.camara.leg.br/api/v2/deputados/73763" TargetMode="External"/><Relationship Id="rId607" Type="http://schemas.openxmlformats.org/officeDocument/2006/relationships/hyperlink" Target="https://dadosabertos.camara.leg.br/api/v2/deputados/220713" TargetMode="External"/><Relationship Id="rId1237" Type="http://schemas.openxmlformats.org/officeDocument/2006/relationships/hyperlink" Target="https://dadosabertos.camara.leg.br/api/v2/deputados/74812" TargetMode="External"/><Relationship Id="rId1651" Type="http://schemas.openxmlformats.org/officeDocument/2006/relationships/hyperlink" Target="http://www.facebook.com/home.php" TargetMode="External"/><Relationship Id="rId2702" Type="http://schemas.openxmlformats.org/officeDocument/2006/relationships/hyperlink" Target="https://dadosabertos.camara.leg.br/api/v2/deputados/73638" TargetMode="External"/><Relationship Id="rId5858" Type="http://schemas.openxmlformats.org/officeDocument/2006/relationships/hyperlink" Target="https://dadosabertos.camara.leg.br/api/v2/deputados/130162" TargetMode="External"/><Relationship Id="rId6909" Type="http://schemas.openxmlformats.org/officeDocument/2006/relationships/hyperlink" Target="https://dadosabertos.camara.leg.br/api/v2/deputados/1145" TargetMode="External"/><Relationship Id="rId1304" Type="http://schemas.openxmlformats.org/officeDocument/2006/relationships/hyperlink" Target="https://dadosabertos.camara.leg.br/api/v2/deputados/74010" TargetMode="External"/><Relationship Id="rId4874" Type="http://schemas.openxmlformats.org/officeDocument/2006/relationships/hyperlink" Target="https://dadosabertos.camara.leg.br/api/v2/deputados/130533" TargetMode="External"/><Relationship Id="rId7280" Type="http://schemas.openxmlformats.org/officeDocument/2006/relationships/hyperlink" Target="https://dadosabertos.camara.leg.br/api/v2/deputados/962" TargetMode="External"/><Relationship Id="rId3476" Type="http://schemas.openxmlformats.org/officeDocument/2006/relationships/hyperlink" Target="https://dadosabertos.camara.leg.br/api/v2/deputados/132028" TargetMode="External"/><Relationship Id="rId4527" Type="http://schemas.openxmlformats.org/officeDocument/2006/relationships/hyperlink" Target="https://dadosabertos.camara.leg.br/api/v2/deputados/131139" TargetMode="External"/><Relationship Id="rId5925" Type="http://schemas.openxmlformats.org/officeDocument/2006/relationships/hyperlink" Target="https://dadosabertos.camara.leg.br/api/v2/deputados/2141" TargetMode="External"/><Relationship Id="rId10" Type="http://schemas.openxmlformats.org/officeDocument/2006/relationships/hyperlink" Target="https://dadosabertos.camara.leg.br/api/v2/deputados/136811" TargetMode="External"/><Relationship Id="rId397" Type="http://schemas.openxmlformats.org/officeDocument/2006/relationships/hyperlink" Target="https://dadosabertos.camara.leg.br/api/v2/deputados/178954" TargetMode="External"/><Relationship Id="rId2078" Type="http://schemas.openxmlformats.org/officeDocument/2006/relationships/hyperlink" Target="https://dadosabertos.camara.leg.br/api/v2/deputados/74279" TargetMode="External"/><Relationship Id="rId2492" Type="http://schemas.openxmlformats.org/officeDocument/2006/relationships/hyperlink" Target="https://dadosabertos.camara.leg.br/api/v2/deputados/74126" TargetMode="External"/><Relationship Id="rId3129" Type="http://schemas.openxmlformats.org/officeDocument/2006/relationships/hyperlink" Target="https://dadosabertos.camara.leg.br/api/v2/deputados/139278" TargetMode="External"/><Relationship Id="rId3890" Type="http://schemas.openxmlformats.org/officeDocument/2006/relationships/hyperlink" Target="https://dadosabertos.camara.leg.br/api/v2/deputados/131618" TargetMode="External"/><Relationship Id="rId4941" Type="http://schemas.openxmlformats.org/officeDocument/2006/relationships/hyperlink" Target="https://dadosabertos.camara.leg.br/api/v2/deputados/3088" TargetMode="External"/><Relationship Id="rId7000" Type="http://schemas.openxmlformats.org/officeDocument/2006/relationships/hyperlink" Target="https://dadosabertos.camara.leg.br/api/v2/deputados/847" TargetMode="External"/><Relationship Id="rId464" Type="http://schemas.openxmlformats.org/officeDocument/2006/relationships/hyperlink" Target="https://dadosabertos.camara.leg.br/api/v2/deputados/220591" TargetMode="External"/><Relationship Id="rId1094" Type="http://schemas.openxmlformats.org/officeDocument/2006/relationships/hyperlink" Target="https://dadosabertos.camara.leg.br/api/v2/deputados/160677" TargetMode="External"/><Relationship Id="rId2145" Type="http://schemas.openxmlformats.org/officeDocument/2006/relationships/hyperlink" Target="https://dadosabertos.camara.leg.br/api/v2/deputados/74434" TargetMode="External"/><Relationship Id="rId3543" Type="http://schemas.openxmlformats.org/officeDocument/2006/relationships/hyperlink" Target="https://dadosabertos.camara.leg.br/api/v2/deputados/132137" TargetMode="External"/><Relationship Id="rId6699" Type="http://schemas.openxmlformats.org/officeDocument/2006/relationships/hyperlink" Target="https://dadosabertos.camara.leg.br/api/v2/deputados/1556" TargetMode="External"/><Relationship Id="rId117" Type="http://schemas.openxmlformats.org/officeDocument/2006/relationships/hyperlink" Target="https://dadosabertos.camara.leg.br/api/v2/deputados/74171" TargetMode="External"/><Relationship Id="rId3610" Type="http://schemas.openxmlformats.org/officeDocument/2006/relationships/hyperlink" Target="https://dadosabertos.camara.leg.br/api/v2/deputados/131666" TargetMode="External"/><Relationship Id="rId6766" Type="http://schemas.openxmlformats.org/officeDocument/2006/relationships/hyperlink" Target="https://dadosabertos.camara.leg.br/api/v2/deputados/4040" TargetMode="External"/><Relationship Id="rId7817" Type="http://schemas.openxmlformats.org/officeDocument/2006/relationships/hyperlink" Target="https://dadosabertos.camara.leg.br/api/v2/deputados/398" TargetMode="External"/><Relationship Id="rId531" Type="http://schemas.openxmlformats.org/officeDocument/2006/relationships/hyperlink" Target="https://dadosabertos.camara.leg.br/api/v2/deputados/229259" TargetMode="External"/><Relationship Id="rId1161" Type="http://schemas.openxmlformats.org/officeDocument/2006/relationships/hyperlink" Target="https://dadosabertos.camara.leg.br/api/v2/deputados/141482" TargetMode="External"/><Relationship Id="rId2212" Type="http://schemas.openxmlformats.org/officeDocument/2006/relationships/hyperlink" Target="https://dadosabertos.camara.leg.br/api/v2/deputados/74703" TargetMode="External"/><Relationship Id="rId5368" Type="http://schemas.openxmlformats.org/officeDocument/2006/relationships/hyperlink" Target="https://dadosabertos.camara.leg.br/api/v2/deputados/4704" TargetMode="External"/><Relationship Id="rId5782" Type="http://schemas.openxmlformats.org/officeDocument/2006/relationships/hyperlink" Target="https://dadosabertos.camara.leg.br/api/v2/deputados/2586" TargetMode="External"/><Relationship Id="rId6419" Type="http://schemas.openxmlformats.org/officeDocument/2006/relationships/hyperlink" Target="https://dadosabertos.camara.leg.br/api/v2/deputados/2165" TargetMode="External"/><Relationship Id="rId6833" Type="http://schemas.openxmlformats.org/officeDocument/2006/relationships/hyperlink" Target="https://dadosabertos.camara.leg.br/api/v2/deputados/1157" TargetMode="External"/><Relationship Id="rId1978" Type="http://schemas.openxmlformats.org/officeDocument/2006/relationships/hyperlink" Target="https://dadosabertos.camara.leg.br/api/v2/deputados/74779" TargetMode="External"/><Relationship Id="rId4384" Type="http://schemas.openxmlformats.org/officeDocument/2006/relationships/hyperlink" Target="https://dadosabertos.camara.leg.br/api/v2/deputados/130980" TargetMode="External"/><Relationship Id="rId5435" Type="http://schemas.openxmlformats.org/officeDocument/2006/relationships/hyperlink" Target="https://dadosabertos.camara.leg.br/api/v2/deputados/4747" TargetMode="External"/><Relationship Id="rId4037" Type="http://schemas.openxmlformats.org/officeDocument/2006/relationships/hyperlink" Target="https://dadosabertos.camara.leg.br/api/v2/deputados/131168" TargetMode="External"/><Relationship Id="rId4451" Type="http://schemas.openxmlformats.org/officeDocument/2006/relationships/hyperlink" Target="https://dadosabertos.camara.leg.br/api/v2/deputados/131067" TargetMode="External"/><Relationship Id="rId5502" Type="http://schemas.openxmlformats.org/officeDocument/2006/relationships/hyperlink" Target="https://dadosabertos.camara.leg.br/api/v2/deputados/2769" TargetMode="External"/><Relationship Id="rId6900" Type="http://schemas.openxmlformats.org/officeDocument/2006/relationships/hyperlink" Target="https://dadosabertos.camara.leg.br/api/v2/deputados/450" TargetMode="External"/><Relationship Id="rId3053" Type="http://schemas.openxmlformats.org/officeDocument/2006/relationships/hyperlink" Target="https://dadosabertos.camara.leg.br/api/v2/deputados/139213" TargetMode="External"/><Relationship Id="rId4104" Type="http://schemas.openxmlformats.org/officeDocument/2006/relationships/hyperlink" Target="https://dadosabertos.camara.leg.br/api/v2/deputados/131278" TargetMode="External"/><Relationship Id="rId3120" Type="http://schemas.openxmlformats.org/officeDocument/2006/relationships/hyperlink" Target="https://dadosabertos.camara.leg.br/api/v2/deputados/1508" TargetMode="External"/><Relationship Id="rId6276" Type="http://schemas.openxmlformats.org/officeDocument/2006/relationships/hyperlink" Target="https://dadosabertos.camara.leg.br/api/v2/deputados/2068" TargetMode="External"/><Relationship Id="rId7674" Type="http://schemas.openxmlformats.org/officeDocument/2006/relationships/hyperlink" Target="https://dadosabertos.camara.leg.br/api/v2/deputados/364" TargetMode="External"/><Relationship Id="rId6690" Type="http://schemas.openxmlformats.org/officeDocument/2006/relationships/hyperlink" Target="https://dadosabertos.camara.leg.br/api/v2/deputados/1594" TargetMode="External"/><Relationship Id="rId7327" Type="http://schemas.openxmlformats.org/officeDocument/2006/relationships/hyperlink" Target="https://dadosabertos.camara.leg.br/api/v2/deputados/591" TargetMode="External"/><Relationship Id="rId7741" Type="http://schemas.openxmlformats.org/officeDocument/2006/relationships/hyperlink" Target="https://dadosabertos.camara.leg.br/api/v2/deputados/214" TargetMode="External"/><Relationship Id="rId2886" Type="http://schemas.openxmlformats.org/officeDocument/2006/relationships/hyperlink" Target="https://dadosabertos.camara.leg.br/api/v2/deputados/73961" TargetMode="External"/><Relationship Id="rId3937" Type="http://schemas.openxmlformats.org/officeDocument/2006/relationships/hyperlink" Target="https://dadosabertos.camara.leg.br/api/v2/deputados/131414" TargetMode="External"/><Relationship Id="rId5292" Type="http://schemas.openxmlformats.org/officeDocument/2006/relationships/hyperlink" Target="https://dadosabertos.camara.leg.br/api/v2/deputados/2870" TargetMode="External"/><Relationship Id="rId6343" Type="http://schemas.openxmlformats.org/officeDocument/2006/relationships/hyperlink" Target="https://dadosabertos.camara.leg.br/api/v2/deputados/2268" TargetMode="External"/><Relationship Id="rId858" Type="http://schemas.openxmlformats.org/officeDocument/2006/relationships/hyperlink" Target="https://dadosabertos.camara.leg.br/api/v2/deputados/204430" TargetMode="External"/><Relationship Id="rId1488" Type="http://schemas.openxmlformats.org/officeDocument/2006/relationships/hyperlink" Target="https://dadosabertos.camara.leg.br/api/v2/deputados/73874" TargetMode="External"/><Relationship Id="rId2539" Type="http://schemas.openxmlformats.org/officeDocument/2006/relationships/hyperlink" Target="https://dadosabertos.camara.leg.br/api/v2/deputados/74092" TargetMode="External"/><Relationship Id="rId2953" Type="http://schemas.openxmlformats.org/officeDocument/2006/relationships/hyperlink" Target="https://dadosabertos.camara.leg.br/api/v2/deputados/139123" TargetMode="External"/><Relationship Id="rId6410" Type="http://schemas.openxmlformats.org/officeDocument/2006/relationships/hyperlink" Target="https://dadosabertos.camara.leg.br/api/v2/deputados/3681" TargetMode="External"/><Relationship Id="rId925" Type="http://schemas.openxmlformats.org/officeDocument/2006/relationships/hyperlink" Target="http://www.robertopessoa.com.br/" TargetMode="External"/><Relationship Id="rId1555" Type="http://schemas.openxmlformats.org/officeDocument/2006/relationships/hyperlink" Target="https://dadosabertos.camara.leg.br/api/v2/deputados/74056" TargetMode="External"/><Relationship Id="rId2606" Type="http://schemas.openxmlformats.org/officeDocument/2006/relationships/hyperlink" Target="https://dadosabertos.camara.leg.br/api/v2/deputados/74107" TargetMode="External"/><Relationship Id="rId5012" Type="http://schemas.openxmlformats.org/officeDocument/2006/relationships/hyperlink" Target="https://dadosabertos.camara.leg.br/api/v2/deputados/3095" TargetMode="External"/><Relationship Id="rId1208" Type="http://schemas.openxmlformats.org/officeDocument/2006/relationships/hyperlink" Target="https://dadosabertos.camara.leg.br/api/v2/deputados/74177" TargetMode="External"/><Relationship Id="rId7184" Type="http://schemas.openxmlformats.org/officeDocument/2006/relationships/hyperlink" Target="https://dadosabertos.camara.leg.br/api/v2/deputados/776" TargetMode="External"/><Relationship Id="rId1622" Type="http://schemas.openxmlformats.org/officeDocument/2006/relationships/hyperlink" Target="https://dadosabertos.camara.leg.br/api/v2/deputados/104254" TargetMode="External"/><Relationship Id="rId4778" Type="http://schemas.openxmlformats.org/officeDocument/2006/relationships/hyperlink" Target="https://dadosabertos.camara.leg.br/api/v2/deputados/130565" TargetMode="External"/><Relationship Id="rId5829" Type="http://schemas.openxmlformats.org/officeDocument/2006/relationships/hyperlink" Target="https://dadosabertos.camara.leg.br/api/v2/deputados/2105" TargetMode="External"/><Relationship Id="rId7251" Type="http://schemas.openxmlformats.org/officeDocument/2006/relationships/hyperlink" Target="https://dadosabertos.camara.leg.br/api/v2/deputados/931" TargetMode="External"/><Relationship Id="rId3794" Type="http://schemas.openxmlformats.org/officeDocument/2006/relationships/hyperlink" Target="https://dadosabertos.camara.leg.br/api/v2/deputados/131521" TargetMode="External"/><Relationship Id="rId4845" Type="http://schemas.openxmlformats.org/officeDocument/2006/relationships/hyperlink" Target="https://dadosabertos.camara.leg.br/api/v2/deputados/130639" TargetMode="External"/><Relationship Id="rId2396" Type="http://schemas.openxmlformats.org/officeDocument/2006/relationships/hyperlink" Target="https://dadosabertos.camara.leg.br/api/v2/deputados/74767" TargetMode="External"/><Relationship Id="rId3447" Type="http://schemas.openxmlformats.org/officeDocument/2006/relationships/hyperlink" Target="https://dadosabertos.camara.leg.br/api/v2/deputados/132010" TargetMode="External"/><Relationship Id="rId3861" Type="http://schemas.openxmlformats.org/officeDocument/2006/relationships/hyperlink" Target="https://dadosabertos.camara.leg.br/api/v2/deputados/131592" TargetMode="External"/><Relationship Id="rId4912" Type="http://schemas.openxmlformats.org/officeDocument/2006/relationships/hyperlink" Target="https://dadosabertos.camara.leg.br/api/v2/deputados/130696" TargetMode="External"/><Relationship Id="rId368" Type="http://schemas.openxmlformats.org/officeDocument/2006/relationships/hyperlink" Target="https://dadosabertos.camara.leg.br/api/v2/deputados/162067" TargetMode="External"/><Relationship Id="rId782" Type="http://schemas.openxmlformats.org/officeDocument/2006/relationships/hyperlink" Target="https://dadosabertos.camara.leg.br/api/v2/deputados/74419" TargetMode="External"/><Relationship Id="rId2049" Type="http://schemas.openxmlformats.org/officeDocument/2006/relationships/hyperlink" Target="https://dadosabertos.camara.leg.br/api/v2/deputados/74584" TargetMode="External"/><Relationship Id="rId2463" Type="http://schemas.openxmlformats.org/officeDocument/2006/relationships/hyperlink" Target="https://dadosabertos.camara.leg.br/api/v2/deputados/74096" TargetMode="External"/><Relationship Id="rId3514" Type="http://schemas.openxmlformats.org/officeDocument/2006/relationships/hyperlink" Target="https://dadosabertos.camara.leg.br/api/v2/deputados/132063" TargetMode="External"/><Relationship Id="rId435" Type="http://schemas.openxmlformats.org/officeDocument/2006/relationships/hyperlink" Target="https://dadosabertos.camara.leg.br/api/v2/deputados/204522" TargetMode="External"/><Relationship Id="rId1065" Type="http://schemas.openxmlformats.org/officeDocument/2006/relationships/hyperlink" Target="https://dadosabertos.camara.leg.br/api/v2/deputados/185500" TargetMode="External"/><Relationship Id="rId2116" Type="http://schemas.openxmlformats.org/officeDocument/2006/relationships/hyperlink" Target="https://dadosabertos.camara.leg.br/api/v2/deputados/74637" TargetMode="External"/><Relationship Id="rId2530" Type="http://schemas.openxmlformats.org/officeDocument/2006/relationships/hyperlink" Target="https://dadosabertos.camara.leg.br/api/v2/deputados/74201" TargetMode="External"/><Relationship Id="rId5686" Type="http://schemas.openxmlformats.org/officeDocument/2006/relationships/hyperlink" Target="https://dadosabertos.camara.leg.br/api/v2/deputados/4446" TargetMode="External"/><Relationship Id="rId6737" Type="http://schemas.openxmlformats.org/officeDocument/2006/relationships/hyperlink" Target="https://dadosabertos.camara.leg.br/api/v2/deputados/4021" TargetMode="External"/><Relationship Id="rId502" Type="http://schemas.openxmlformats.org/officeDocument/2006/relationships/hyperlink" Target="https://dadosabertos.camara.leg.br/api/v2/deputados/160642" TargetMode="External"/><Relationship Id="rId1132" Type="http://schemas.openxmlformats.org/officeDocument/2006/relationships/hyperlink" Target="https://dadosabertos.camara.leg.br/api/v2/deputados/160571" TargetMode="External"/><Relationship Id="rId4288" Type="http://schemas.openxmlformats.org/officeDocument/2006/relationships/hyperlink" Target="https://dadosabertos.camara.leg.br/api/v2/deputados/130896" TargetMode="External"/><Relationship Id="rId5339" Type="http://schemas.openxmlformats.org/officeDocument/2006/relationships/hyperlink" Target="https://dadosabertos.camara.leg.br/api/v2/deputados/2906" TargetMode="External"/><Relationship Id="rId4355" Type="http://schemas.openxmlformats.org/officeDocument/2006/relationships/hyperlink" Target="https://dadosabertos.camara.leg.br/api/v2/deputados/130957" TargetMode="External"/><Relationship Id="rId5753" Type="http://schemas.openxmlformats.org/officeDocument/2006/relationships/hyperlink" Target="https://dadosabertos.camara.leg.br/api/v2/deputados/130191" TargetMode="External"/><Relationship Id="rId6804" Type="http://schemas.openxmlformats.org/officeDocument/2006/relationships/hyperlink" Target="https://dadosabertos.camara.leg.br/api/v2/deputados/1709" TargetMode="External"/><Relationship Id="rId1949" Type="http://schemas.openxmlformats.org/officeDocument/2006/relationships/hyperlink" Target="https://dadosabertos.camara.leg.br/api/v2/deputados/133658" TargetMode="External"/><Relationship Id="rId4008" Type="http://schemas.openxmlformats.org/officeDocument/2006/relationships/hyperlink" Target="https://dadosabertos.camara.leg.br/api/v2/deputados/131491" TargetMode="External"/><Relationship Id="rId5406" Type="http://schemas.openxmlformats.org/officeDocument/2006/relationships/hyperlink" Target="https://dadosabertos.camara.leg.br/api/v2/deputados/2822" TargetMode="External"/><Relationship Id="rId5820" Type="http://schemas.openxmlformats.org/officeDocument/2006/relationships/hyperlink" Target="https://dadosabertos.camara.leg.br/api/v2/deputados/130221" TargetMode="External"/><Relationship Id="rId292" Type="http://schemas.openxmlformats.org/officeDocument/2006/relationships/hyperlink" Target="http://www.derrite.com.br/" TargetMode="External"/><Relationship Id="rId3371" Type="http://schemas.openxmlformats.org/officeDocument/2006/relationships/hyperlink" Target="https://dadosabertos.camara.leg.br/api/v2/deputados/131922" TargetMode="External"/><Relationship Id="rId4422" Type="http://schemas.openxmlformats.org/officeDocument/2006/relationships/hyperlink" Target="https://dadosabertos.camara.leg.br/api/v2/deputados/131040" TargetMode="External"/><Relationship Id="rId7578" Type="http://schemas.openxmlformats.org/officeDocument/2006/relationships/hyperlink" Target="https://dadosabertos.camara.leg.br/api/v2/deputados/386" TargetMode="External"/><Relationship Id="rId3024" Type="http://schemas.openxmlformats.org/officeDocument/2006/relationships/hyperlink" Target="https://dadosabertos.camara.leg.br/api/v2/deputados/139188" TargetMode="External"/><Relationship Id="rId6594" Type="http://schemas.openxmlformats.org/officeDocument/2006/relationships/hyperlink" Target="https://dadosabertos.camara.leg.br/api/v2/deputados/1847" TargetMode="External"/><Relationship Id="rId7645" Type="http://schemas.openxmlformats.org/officeDocument/2006/relationships/hyperlink" Target="https://dadosabertos.camara.leg.br/api/v2/deputados/534" TargetMode="External"/><Relationship Id="rId2040" Type="http://schemas.openxmlformats.org/officeDocument/2006/relationships/hyperlink" Target="https://dadosabertos.camara.leg.br/api/v2/deputados/135476" TargetMode="External"/><Relationship Id="rId5196" Type="http://schemas.openxmlformats.org/officeDocument/2006/relationships/hyperlink" Target="https://dadosabertos.camara.leg.br/api/v2/deputados/130342" TargetMode="External"/><Relationship Id="rId6247" Type="http://schemas.openxmlformats.org/officeDocument/2006/relationships/hyperlink" Target="https://dadosabertos.camara.leg.br/api/v2/deputados/3554" TargetMode="External"/><Relationship Id="rId6661" Type="http://schemas.openxmlformats.org/officeDocument/2006/relationships/hyperlink" Target="https://dadosabertos.camara.leg.br/api/v2/deputados/1548" TargetMode="External"/><Relationship Id="rId7712" Type="http://schemas.openxmlformats.org/officeDocument/2006/relationships/hyperlink" Target="https://dadosabertos.camara.leg.br/api/v2/deputados/332" TargetMode="External"/><Relationship Id="rId5263" Type="http://schemas.openxmlformats.org/officeDocument/2006/relationships/hyperlink" Target="https://dadosabertos.camara.leg.br/api/v2/deputados/4899" TargetMode="External"/><Relationship Id="rId6314" Type="http://schemas.openxmlformats.org/officeDocument/2006/relationships/hyperlink" Target="https://dadosabertos.camara.leg.br/api/v2/deputados/2313" TargetMode="External"/><Relationship Id="rId1459" Type="http://schemas.openxmlformats.org/officeDocument/2006/relationships/hyperlink" Target="https://dadosabertos.camara.leg.br/api/v2/deputados/175737" TargetMode="External"/><Relationship Id="rId2857" Type="http://schemas.openxmlformats.org/officeDocument/2006/relationships/hyperlink" Target="https://dadosabertos.camara.leg.br/api/v2/deputados/133884" TargetMode="External"/><Relationship Id="rId3908" Type="http://schemas.openxmlformats.org/officeDocument/2006/relationships/hyperlink" Target="https://dadosabertos.camara.leg.br/api/v2/deputados/131437" TargetMode="External"/><Relationship Id="rId5330" Type="http://schemas.openxmlformats.org/officeDocument/2006/relationships/hyperlink" Target="https://dadosabertos.camara.leg.br/api/v2/deputados/4688" TargetMode="External"/><Relationship Id="rId98" Type="http://schemas.openxmlformats.org/officeDocument/2006/relationships/hyperlink" Target="http://www.carloschiodini.com.br/" TargetMode="External"/><Relationship Id="rId829" Type="http://schemas.openxmlformats.org/officeDocument/2006/relationships/hyperlink" Target="https://dadosabertos.camara.leg.br/api/v2/deputados/196358" TargetMode="External"/><Relationship Id="rId1873" Type="http://schemas.openxmlformats.org/officeDocument/2006/relationships/hyperlink" Target="https://dadosabertos.camara.leg.br/api/v2/deputados/141530" TargetMode="External"/><Relationship Id="rId2924" Type="http://schemas.openxmlformats.org/officeDocument/2006/relationships/hyperlink" Target="https://dadosabertos.camara.leg.br/api/v2/deputados/133905" TargetMode="External"/><Relationship Id="rId7088" Type="http://schemas.openxmlformats.org/officeDocument/2006/relationships/hyperlink" Target="https://dadosabertos.camara.leg.br/api/v2/deputados/1552" TargetMode="External"/><Relationship Id="rId1526" Type="http://schemas.openxmlformats.org/officeDocument/2006/relationships/hyperlink" Target="https://dadosabertos.camara.leg.br/api/v2/deputados/161906" TargetMode="External"/><Relationship Id="rId1940" Type="http://schemas.openxmlformats.org/officeDocument/2006/relationships/hyperlink" Target="https://dadosabertos.camara.leg.br/api/v2/deputados/73435" TargetMode="External"/><Relationship Id="rId3698" Type="http://schemas.openxmlformats.org/officeDocument/2006/relationships/hyperlink" Target="https://dadosabertos.camara.leg.br/api/v2/deputados/131759" TargetMode="External"/><Relationship Id="rId4749" Type="http://schemas.openxmlformats.org/officeDocument/2006/relationships/hyperlink" Target="https://dadosabertos.camara.leg.br/api/v2/deputados/130635" TargetMode="External"/><Relationship Id="rId7155" Type="http://schemas.openxmlformats.org/officeDocument/2006/relationships/hyperlink" Target="https://dadosabertos.camara.leg.br/api/v2/deputados/1027" TargetMode="External"/><Relationship Id="rId3765" Type="http://schemas.openxmlformats.org/officeDocument/2006/relationships/hyperlink" Target="https://dadosabertos.camara.leg.br/api/v2/deputados/131814" TargetMode="External"/><Relationship Id="rId4816" Type="http://schemas.openxmlformats.org/officeDocument/2006/relationships/hyperlink" Target="https://dadosabertos.camara.leg.br/api/v2/deputados/130599" TargetMode="External"/><Relationship Id="rId6171" Type="http://schemas.openxmlformats.org/officeDocument/2006/relationships/hyperlink" Target="https://dadosabertos.camara.leg.br/api/v2/deputados/1957" TargetMode="External"/><Relationship Id="rId7222" Type="http://schemas.openxmlformats.org/officeDocument/2006/relationships/hyperlink" Target="https://dadosabertos.camara.leg.br/api/v2/deputados/947" TargetMode="External"/><Relationship Id="rId686" Type="http://schemas.openxmlformats.org/officeDocument/2006/relationships/hyperlink" Target="https://dadosabertos.camara.leg.br/api/v2/deputados/74471" TargetMode="External"/><Relationship Id="rId2367" Type="http://schemas.openxmlformats.org/officeDocument/2006/relationships/hyperlink" Target="https://dadosabertos.camara.leg.br/api/v2/deputados/73593" TargetMode="External"/><Relationship Id="rId2781" Type="http://schemas.openxmlformats.org/officeDocument/2006/relationships/hyperlink" Target="https://dadosabertos.camara.leg.br/api/v2/deputados/73974" TargetMode="External"/><Relationship Id="rId3418" Type="http://schemas.openxmlformats.org/officeDocument/2006/relationships/hyperlink" Target="https://dadosabertos.camara.leg.br/api/v2/deputados/131965" TargetMode="External"/><Relationship Id="rId339" Type="http://schemas.openxmlformats.org/officeDocument/2006/relationships/hyperlink" Target="https://dadosabertos.camara.leg.br/api/v2/deputados/141464" TargetMode="External"/><Relationship Id="rId753" Type="http://schemas.openxmlformats.org/officeDocument/2006/relationships/hyperlink" Target="http://www.eliasvaz.com/" TargetMode="External"/><Relationship Id="rId1383" Type="http://schemas.openxmlformats.org/officeDocument/2006/relationships/hyperlink" Target="https://dadosabertos.camara.leg.br/api/v2/deputados/179381" TargetMode="External"/><Relationship Id="rId2434" Type="http://schemas.openxmlformats.org/officeDocument/2006/relationships/hyperlink" Target="https://dadosabertos.camara.leg.br/api/v2/deputados/74247" TargetMode="External"/><Relationship Id="rId3832" Type="http://schemas.openxmlformats.org/officeDocument/2006/relationships/hyperlink" Target="https://dadosabertos.camara.leg.br/api/v2/deputados/131570" TargetMode="External"/><Relationship Id="rId6988" Type="http://schemas.openxmlformats.org/officeDocument/2006/relationships/hyperlink" Target="https://dadosabertos.camara.leg.br/api/v2/deputados/1214" TargetMode="External"/><Relationship Id="rId406" Type="http://schemas.openxmlformats.org/officeDocument/2006/relationships/hyperlink" Target="https://dadosabertos.camara.leg.br/api/v2/deputados/74041" TargetMode="External"/><Relationship Id="rId1036" Type="http://schemas.openxmlformats.org/officeDocument/2006/relationships/hyperlink" Target="https://dadosabertos.camara.leg.br/api/v2/deputados/205303" TargetMode="External"/><Relationship Id="rId820" Type="http://schemas.openxmlformats.org/officeDocument/2006/relationships/hyperlink" Target="https://dadosabertos.camara.leg.br/api/v2/deputados/160534" TargetMode="External"/><Relationship Id="rId1450" Type="http://schemas.openxmlformats.org/officeDocument/2006/relationships/hyperlink" Target="https://dadosabertos.camara.leg.br/api/v2/deputados/74566" TargetMode="External"/><Relationship Id="rId2501" Type="http://schemas.openxmlformats.org/officeDocument/2006/relationships/hyperlink" Target="https://dadosabertos.camara.leg.br/api/v2/deputados/74314" TargetMode="External"/><Relationship Id="rId5657" Type="http://schemas.openxmlformats.org/officeDocument/2006/relationships/hyperlink" Target="https://dadosabertos.camara.leg.br/api/v2/deputados/4603" TargetMode="External"/><Relationship Id="rId6708" Type="http://schemas.openxmlformats.org/officeDocument/2006/relationships/hyperlink" Target="https://dadosabertos.camara.leg.br/api/v2/deputados/1755" TargetMode="External"/><Relationship Id="rId1103" Type="http://schemas.openxmlformats.org/officeDocument/2006/relationships/hyperlink" Target="https://dadosabertos.camara.leg.br/api/v2/deputados/178878" TargetMode="External"/><Relationship Id="rId4259" Type="http://schemas.openxmlformats.org/officeDocument/2006/relationships/hyperlink" Target="https://dadosabertos.camara.leg.br/api/v2/deputados/131304" TargetMode="External"/><Relationship Id="rId4673" Type="http://schemas.openxmlformats.org/officeDocument/2006/relationships/hyperlink" Target="https://dadosabertos.camara.leg.br/api/v2/deputados/130840" TargetMode="External"/><Relationship Id="rId5724" Type="http://schemas.openxmlformats.org/officeDocument/2006/relationships/hyperlink" Target="https://dadosabertos.camara.leg.br/api/v2/deputados/2424" TargetMode="External"/><Relationship Id="rId3275" Type="http://schemas.openxmlformats.org/officeDocument/2006/relationships/hyperlink" Target="https://dadosabertos.camara.leg.br/api/v2/deputados/131841" TargetMode="External"/><Relationship Id="rId4326" Type="http://schemas.openxmlformats.org/officeDocument/2006/relationships/hyperlink" Target="https://dadosabertos.camara.leg.br/api/v2/deputados/130932" TargetMode="External"/><Relationship Id="rId4740" Type="http://schemas.openxmlformats.org/officeDocument/2006/relationships/hyperlink" Target="https://dadosabertos.camara.leg.br/api/v2/deputados/130543" TargetMode="External"/><Relationship Id="rId7896" Type="http://schemas.openxmlformats.org/officeDocument/2006/relationships/hyperlink" Target="https://dadosabertos.camara.leg.br/api/v2/deputados/117" TargetMode="External"/><Relationship Id="rId196" Type="http://schemas.openxmlformats.org/officeDocument/2006/relationships/hyperlink" Target="https://dadosabertos.camara.leg.br/api/v2/deputados/220570" TargetMode="External"/><Relationship Id="rId2291" Type="http://schemas.openxmlformats.org/officeDocument/2006/relationships/hyperlink" Target="https://dadosabertos.camara.leg.br/api/v2/deputados/74670" TargetMode="External"/><Relationship Id="rId3342" Type="http://schemas.openxmlformats.org/officeDocument/2006/relationships/hyperlink" Target="https://dadosabertos.camara.leg.br/api/v2/deputados/131898" TargetMode="External"/><Relationship Id="rId6498" Type="http://schemas.openxmlformats.org/officeDocument/2006/relationships/hyperlink" Target="https://dadosabertos.camara.leg.br/api/v2/deputados/1844" TargetMode="External"/><Relationship Id="rId7549" Type="http://schemas.openxmlformats.org/officeDocument/2006/relationships/hyperlink" Target="https://dadosabertos.camara.leg.br/api/v2/deputados/635" TargetMode="External"/><Relationship Id="rId263" Type="http://schemas.openxmlformats.org/officeDocument/2006/relationships/hyperlink" Target="https://dadosabertos.camara.leg.br/api/v2/deputados/224117" TargetMode="External"/><Relationship Id="rId6565" Type="http://schemas.openxmlformats.org/officeDocument/2006/relationships/hyperlink" Target="https://dadosabertos.camara.leg.br/api/v2/deputados/1980" TargetMode="External"/><Relationship Id="rId7963" Type="http://schemas.openxmlformats.org/officeDocument/2006/relationships/hyperlink" Target="https://dadosabertos.camara.leg.br/api/v2/deputados/24" TargetMode="External"/><Relationship Id="rId330" Type="http://schemas.openxmlformats.org/officeDocument/2006/relationships/hyperlink" Target="https://dadosabertos.camara.leg.br/api/v2/deputados/178970" TargetMode="External"/><Relationship Id="rId2011" Type="http://schemas.openxmlformats.org/officeDocument/2006/relationships/hyperlink" Target="https://dadosabertos.camara.leg.br/api/v2/deputados/73925" TargetMode="External"/><Relationship Id="rId5167" Type="http://schemas.openxmlformats.org/officeDocument/2006/relationships/hyperlink" Target="https://dadosabertos.camara.leg.br/api/v2/deputados/130330" TargetMode="External"/><Relationship Id="rId6218" Type="http://schemas.openxmlformats.org/officeDocument/2006/relationships/hyperlink" Target="https://dadosabertos.camara.leg.br/api/v2/deputados/2390" TargetMode="External"/><Relationship Id="rId7616" Type="http://schemas.openxmlformats.org/officeDocument/2006/relationships/hyperlink" Target="https://dadosabertos.camara.leg.br/api/v2/deputados/578" TargetMode="External"/><Relationship Id="rId4183" Type="http://schemas.openxmlformats.org/officeDocument/2006/relationships/hyperlink" Target="https://dadosabertos.camara.leg.br/api/v2/deputados/131310" TargetMode="External"/><Relationship Id="rId5581" Type="http://schemas.openxmlformats.org/officeDocument/2006/relationships/hyperlink" Target="https://dadosabertos.camara.leg.br/api/v2/deputados/130234" TargetMode="External"/><Relationship Id="rId6632" Type="http://schemas.openxmlformats.org/officeDocument/2006/relationships/hyperlink" Target="https://dadosabertos.camara.leg.br/api/v2/deputados/1886" TargetMode="External"/><Relationship Id="rId1777" Type="http://schemas.openxmlformats.org/officeDocument/2006/relationships/hyperlink" Target="https://dadosabertos.camara.leg.br/api/v2/deputados/159264" TargetMode="External"/><Relationship Id="rId2828" Type="http://schemas.openxmlformats.org/officeDocument/2006/relationships/hyperlink" Target="https://dadosabertos.camara.leg.br/api/v2/deputados/73757" TargetMode="External"/><Relationship Id="rId5234" Type="http://schemas.openxmlformats.org/officeDocument/2006/relationships/hyperlink" Target="https://dadosabertos.camara.leg.br/api/v2/deputados/4882" TargetMode="External"/><Relationship Id="rId69" Type="http://schemas.openxmlformats.org/officeDocument/2006/relationships/hyperlink" Target="https://dadosabertos.camara.leg.br/api/v2/deputados/160512" TargetMode="External"/><Relationship Id="rId1844" Type="http://schemas.openxmlformats.org/officeDocument/2006/relationships/hyperlink" Target="https://dadosabertos.camara.leg.br/api/v2/deputados/73909" TargetMode="External"/><Relationship Id="rId4250" Type="http://schemas.openxmlformats.org/officeDocument/2006/relationships/hyperlink" Target="https://dadosabertos.camara.leg.br/api/v2/deputados/131369" TargetMode="External"/><Relationship Id="rId5301" Type="http://schemas.openxmlformats.org/officeDocument/2006/relationships/hyperlink" Target="https://dadosabertos.camara.leg.br/api/v2/deputados/2952" TargetMode="External"/><Relationship Id="rId7059" Type="http://schemas.openxmlformats.org/officeDocument/2006/relationships/hyperlink" Target="https://dadosabertos.camara.leg.br/api/v2/deputados/900" TargetMode="External"/><Relationship Id="rId7473" Type="http://schemas.openxmlformats.org/officeDocument/2006/relationships/hyperlink" Target="https://dadosabertos.camara.leg.br/api/v2/deputados/621" TargetMode="External"/><Relationship Id="rId1911" Type="http://schemas.openxmlformats.org/officeDocument/2006/relationships/hyperlink" Target="https://dadosabertos.camara.leg.br/api/v2/deputados/154996" TargetMode="External"/><Relationship Id="rId3669" Type="http://schemas.openxmlformats.org/officeDocument/2006/relationships/hyperlink" Target="https://dadosabertos.camara.leg.br/api/v2/deputados/131718" TargetMode="External"/><Relationship Id="rId6075" Type="http://schemas.openxmlformats.org/officeDocument/2006/relationships/hyperlink" Target="https://dadosabertos.camara.leg.br/api/v2/deputados/4186" TargetMode="External"/><Relationship Id="rId7126" Type="http://schemas.openxmlformats.org/officeDocument/2006/relationships/hyperlink" Target="https://dadosabertos.camara.leg.br/api/v2/deputados/564" TargetMode="External"/><Relationship Id="rId7540" Type="http://schemas.openxmlformats.org/officeDocument/2006/relationships/hyperlink" Target="https://dadosabertos.camara.leg.br/api/v2/deputados/523" TargetMode="External"/><Relationship Id="rId5091" Type="http://schemas.openxmlformats.org/officeDocument/2006/relationships/hyperlink" Target="https://dadosabertos.camara.leg.br/api/v2/deputados/130338" TargetMode="External"/><Relationship Id="rId6142" Type="http://schemas.openxmlformats.org/officeDocument/2006/relationships/hyperlink" Target="https://dadosabertos.camara.leg.br/api/v2/deputados/4111" TargetMode="External"/><Relationship Id="rId1287" Type="http://schemas.openxmlformats.org/officeDocument/2006/relationships/hyperlink" Target="https://dadosabertos.camara.leg.br/api/v2/deputados/160612" TargetMode="External"/><Relationship Id="rId2685" Type="http://schemas.openxmlformats.org/officeDocument/2006/relationships/hyperlink" Target="https://dadosabertos.camara.leg.br/api/v2/deputados/73699" TargetMode="External"/><Relationship Id="rId3736" Type="http://schemas.openxmlformats.org/officeDocument/2006/relationships/hyperlink" Target="https://dadosabertos.camara.leg.br/api/v2/deputados/131790" TargetMode="External"/><Relationship Id="rId657" Type="http://schemas.openxmlformats.org/officeDocument/2006/relationships/hyperlink" Target="https://dadosabertos.camara.leg.br/api/v2/deputados/74044" TargetMode="External"/><Relationship Id="rId2338" Type="http://schemas.openxmlformats.org/officeDocument/2006/relationships/hyperlink" Target="https://dadosabertos.camara.leg.br/api/v2/deputados/74788" TargetMode="External"/><Relationship Id="rId2752" Type="http://schemas.openxmlformats.org/officeDocument/2006/relationships/hyperlink" Target="https://dadosabertos.camara.leg.br/api/v2/deputados/73959" TargetMode="External"/><Relationship Id="rId3803" Type="http://schemas.openxmlformats.org/officeDocument/2006/relationships/hyperlink" Target="https://dadosabertos.camara.leg.br/api/v2/deputados/131529" TargetMode="External"/><Relationship Id="rId6959" Type="http://schemas.openxmlformats.org/officeDocument/2006/relationships/hyperlink" Target="https://dadosabertos.camara.leg.br/api/v2/deputados/1155" TargetMode="External"/><Relationship Id="rId724" Type="http://schemas.openxmlformats.org/officeDocument/2006/relationships/hyperlink" Target="https://dadosabertos.camara.leg.br/api/v2/deputados/73891" TargetMode="External"/><Relationship Id="rId1354" Type="http://schemas.openxmlformats.org/officeDocument/2006/relationships/hyperlink" Target="https://dadosabertos.camara.leg.br/api/v2/deputados/141381" TargetMode="External"/><Relationship Id="rId2405" Type="http://schemas.openxmlformats.org/officeDocument/2006/relationships/hyperlink" Target="https://dadosabertos.camara.leg.br/api/v2/deputados/73476" TargetMode="External"/><Relationship Id="rId5975" Type="http://schemas.openxmlformats.org/officeDocument/2006/relationships/hyperlink" Target="https://dadosabertos.camara.leg.br/api/v2/deputados/130150" TargetMode="External"/><Relationship Id="rId60" Type="http://schemas.openxmlformats.org/officeDocument/2006/relationships/hyperlink" Target="https://dadosabertos.camara.leg.br/api/v2/deputados/73433" TargetMode="External"/><Relationship Id="rId1007" Type="http://schemas.openxmlformats.org/officeDocument/2006/relationships/hyperlink" Target="https://dadosabertos.camara.leg.br/api/v2/deputados/178950" TargetMode="External"/><Relationship Id="rId1421" Type="http://schemas.openxmlformats.org/officeDocument/2006/relationships/hyperlink" Target="https://dadosabertos.camara.leg.br/api/v2/deputados/74106" TargetMode="External"/><Relationship Id="rId4577" Type="http://schemas.openxmlformats.org/officeDocument/2006/relationships/hyperlink" Target="https://dadosabertos.camara.leg.br/api/v2/deputados/130742" TargetMode="External"/><Relationship Id="rId4991" Type="http://schemas.openxmlformats.org/officeDocument/2006/relationships/hyperlink" Target="https://dadosabertos.camara.leg.br/api/v2/deputados/130452" TargetMode="External"/><Relationship Id="rId5628" Type="http://schemas.openxmlformats.org/officeDocument/2006/relationships/hyperlink" Target="https://dadosabertos.camara.leg.br/api/v2/deputados/2721" TargetMode="External"/><Relationship Id="rId3179" Type="http://schemas.openxmlformats.org/officeDocument/2006/relationships/hyperlink" Target="https://dadosabertos.camara.leg.br/api/v2/deputados/139321" TargetMode="External"/><Relationship Id="rId3593" Type="http://schemas.openxmlformats.org/officeDocument/2006/relationships/hyperlink" Target="https://dadosabertos.camara.leg.br/api/v2/deputados/131652" TargetMode="External"/><Relationship Id="rId4644" Type="http://schemas.openxmlformats.org/officeDocument/2006/relationships/hyperlink" Target="https://dadosabertos.camara.leg.br/api/v2/deputados/130813" TargetMode="External"/><Relationship Id="rId7050" Type="http://schemas.openxmlformats.org/officeDocument/2006/relationships/hyperlink" Target="https://dadosabertos.camara.leg.br/api/v2/deputados/1128" TargetMode="External"/><Relationship Id="rId2195" Type="http://schemas.openxmlformats.org/officeDocument/2006/relationships/hyperlink" Target="https://dadosabertos.camara.leg.br/api/v2/deputados/74647" TargetMode="External"/><Relationship Id="rId3246" Type="http://schemas.openxmlformats.org/officeDocument/2006/relationships/hyperlink" Target="https://dadosabertos.camara.leg.br/api/v2/deputados/139376" TargetMode="External"/><Relationship Id="rId167" Type="http://schemas.openxmlformats.org/officeDocument/2006/relationships/hyperlink" Target="https://dadosabertos.camara.leg.br/api/v2/deputados/220652" TargetMode="External"/><Relationship Id="rId581" Type="http://schemas.openxmlformats.org/officeDocument/2006/relationships/hyperlink" Target="https://dadosabertos.camara.leg.br/api/v2/deputados/220641" TargetMode="External"/><Relationship Id="rId2262" Type="http://schemas.openxmlformats.org/officeDocument/2006/relationships/hyperlink" Target="https://dadosabertos.camara.leg.br/api/v2/deputados/73691" TargetMode="External"/><Relationship Id="rId3660" Type="http://schemas.openxmlformats.org/officeDocument/2006/relationships/hyperlink" Target="https://dadosabertos.camara.leg.br/api/v2/deputados/131708" TargetMode="External"/><Relationship Id="rId4711" Type="http://schemas.openxmlformats.org/officeDocument/2006/relationships/hyperlink" Target="https://dadosabertos.camara.leg.br/api/v2/deputados/130860" TargetMode="External"/><Relationship Id="rId7867" Type="http://schemas.openxmlformats.org/officeDocument/2006/relationships/hyperlink" Target="https://dadosabertos.camara.leg.br/api/v2/deputados/327" TargetMode="External"/><Relationship Id="rId234" Type="http://schemas.openxmlformats.org/officeDocument/2006/relationships/hyperlink" Target="https://dadosabertos.camara.leg.br/api/v2/deputados/178905" TargetMode="External"/><Relationship Id="rId3313" Type="http://schemas.openxmlformats.org/officeDocument/2006/relationships/hyperlink" Target="https://dadosabertos.camara.leg.br/api/v2/deputados/131877" TargetMode="External"/><Relationship Id="rId6469" Type="http://schemas.openxmlformats.org/officeDocument/2006/relationships/hyperlink" Target="https://dadosabertos.camara.leg.br/api/v2/deputados/2188" TargetMode="External"/><Relationship Id="rId6883" Type="http://schemas.openxmlformats.org/officeDocument/2006/relationships/hyperlink" Target="https://dadosabertos.camara.leg.br/api/v2/deputados/1263" TargetMode="External"/><Relationship Id="rId7934" Type="http://schemas.openxmlformats.org/officeDocument/2006/relationships/hyperlink" Target="https://dadosabertos.camara.leg.br/api/v2/deputados/30" TargetMode="External"/><Relationship Id="rId5485" Type="http://schemas.openxmlformats.org/officeDocument/2006/relationships/hyperlink" Target="https://dadosabertos.camara.leg.br/api/v2/deputados/2941" TargetMode="External"/><Relationship Id="rId6536" Type="http://schemas.openxmlformats.org/officeDocument/2006/relationships/hyperlink" Target="https://dadosabertos.camara.leg.br/api/v2/deputados/3827" TargetMode="External"/><Relationship Id="rId6950" Type="http://schemas.openxmlformats.org/officeDocument/2006/relationships/hyperlink" Target="https://dadosabertos.camara.leg.br/api/v2/deputados/979" TargetMode="External"/><Relationship Id="rId301" Type="http://schemas.openxmlformats.org/officeDocument/2006/relationships/hyperlink" Target="https://dadosabertos.camara.leg.br/api/v2/deputados/178909" TargetMode="External"/><Relationship Id="rId4087" Type="http://schemas.openxmlformats.org/officeDocument/2006/relationships/hyperlink" Target="https://dadosabertos.camara.leg.br/api/v2/deputados/131277" TargetMode="External"/><Relationship Id="rId5138" Type="http://schemas.openxmlformats.org/officeDocument/2006/relationships/hyperlink" Target="https://dadosabertos.camara.leg.br/api/v2/deputados/130310" TargetMode="External"/><Relationship Id="rId5552" Type="http://schemas.openxmlformats.org/officeDocument/2006/relationships/hyperlink" Target="https://dadosabertos.camara.leg.br/api/v2/deputados/130224" TargetMode="External"/><Relationship Id="rId6603" Type="http://schemas.openxmlformats.org/officeDocument/2006/relationships/hyperlink" Target="https://dadosabertos.camara.leg.br/api/v2/deputados/1908" TargetMode="External"/><Relationship Id="rId1748" Type="http://schemas.openxmlformats.org/officeDocument/2006/relationships/hyperlink" Target="https://dadosabertos.camara.leg.br/api/v2/deputados/154734" TargetMode="External"/><Relationship Id="rId4154" Type="http://schemas.openxmlformats.org/officeDocument/2006/relationships/hyperlink" Target="https://dadosabertos.camara.leg.br/api/v2/deputados/131282" TargetMode="External"/><Relationship Id="rId5205" Type="http://schemas.openxmlformats.org/officeDocument/2006/relationships/hyperlink" Target="https://dadosabertos.camara.leg.br/api/v2/deputados/2874" TargetMode="External"/><Relationship Id="rId3170" Type="http://schemas.openxmlformats.org/officeDocument/2006/relationships/hyperlink" Target="https://dadosabertos.camara.leg.br/api/v2/deputados/139312" TargetMode="External"/><Relationship Id="rId4221" Type="http://schemas.openxmlformats.org/officeDocument/2006/relationships/hyperlink" Target="https://dadosabertos.camara.leg.br/api/v2/deputados/131344" TargetMode="External"/><Relationship Id="rId7377" Type="http://schemas.openxmlformats.org/officeDocument/2006/relationships/hyperlink" Target="https://dadosabertos.camara.leg.br/api/v2/deputados/499" TargetMode="External"/><Relationship Id="rId1815" Type="http://schemas.openxmlformats.org/officeDocument/2006/relationships/hyperlink" Target="https://dadosabertos.camara.leg.br/api/v2/deputados/74810" TargetMode="External"/><Relationship Id="rId6393" Type="http://schemas.openxmlformats.org/officeDocument/2006/relationships/hyperlink" Target="https://dadosabertos.camara.leg.br/api/v2/deputados/3677" TargetMode="External"/><Relationship Id="rId7791" Type="http://schemas.openxmlformats.org/officeDocument/2006/relationships/hyperlink" Target="https://dadosabertos.camara.leg.br/api/v2/deputados/179" TargetMode="External"/><Relationship Id="rId3987" Type="http://schemas.openxmlformats.org/officeDocument/2006/relationships/hyperlink" Target="https://dadosabertos.camara.leg.br/api/v2/deputados/131476" TargetMode="External"/><Relationship Id="rId6046" Type="http://schemas.openxmlformats.org/officeDocument/2006/relationships/hyperlink" Target="https://dadosabertos.camara.leg.br/api/v2/deputados/4273" TargetMode="External"/><Relationship Id="rId7444" Type="http://schemas.openxmlformats.org/officeDocument/2006/relationships/hyperlink" Target="https://dadosabertos.camara.leg.br/api/v2/deputados/693" TargetMode="External"/><Relationship Id="rId2589" Type="http://schemas.openxmlformats.org/officeDocument/2006/relationships/hyperlink" Target="https://dadosabertos.camara.leg.br/api/v2/deputados/74067" TargetMode="External"/><Relationship Id="rId6460" Type="http://schemas.openxmlformats.org/officeDocument/2006/relationships/hyperlink" Target="https://dadosabertos.camara.leg.br/api/v2/deputados/1835" TargetMode="External"/><Relationship Id="rId7511" Type="http://schemas.openxmlformats.org/officeDocument/2006/relationships/hyperlink" Target="https://dadosabertos.camara.leg.br/api/v2/deputados/769" TargetMode="External"/><Relationship Id="rId975" Type="http://schemas.openxmlformats.org/officeDocument/2006/relationships/hyperlink" Target="https://dadosabertos.camara.leg.br/api/v2/deputados/178952" TargetMode="External"/><Relationship Id="rId2656" Type="http://schemas.openxmlformats.org/officeDocument/2006/relationships/hyperlink" Target="https://dadosabertos.camara.leg.br/api/v2/deputados/73995" TargetMode="External"/><Relationship Id="rId3707" Type="http://schemas.openxmlformats.org/officeDocument/2006/relationships/hyperlink" Target="https://dadosabertos.camara.leg.br/api/v2/deputados/131765" TargetMode="External"/><Relationship Id="rId5062" Type="http://schemas.openxmlformats.org/officeDocument/2006/relationships/hyperlink" Target="https://dadosabertos.camara.leg.br/api/v2/deputados/3085" TargetMode="External"/><Relationship Id="rId6113" Type="http://schemas.openxmlformats.org/officeDocument/2006/relationships/hyperlink" Target="https://dadosabertos.camara.leg.br/api/v2/deputados/2462" TargetMode="External"/><Relationship Id="rId628" Type="http://schemas.openxmlformats.org/officeDocument/2006/relationships/hyperlink" Target="https://dadosabertos.camara.leg.br/api/v2/deputados/220682" TargetMode="External"/><Relationship Id="rId1258" Type="http://schemas.openxmlformats.org/officeDocument/2006/relationships/hyperlink" Target="https://dadosabertos.camara.leg.br/api/v2/deputados/141529" TargetMode="External"/><Relationship Id="rId1672" Type="http://schemas.openxmlformats.org/officeDocument/2006/relationships/hyperlink" Target="https://dadosabertos.camara.leg.br/api/v2/deputados/139133" TargetMode="External"/><Relationship Id="rId2309" Type="http://schemas.openxmlformats.org/officeDocument/2006/relationships/hyperlink" Target="https://dadosabertos.camara.leg.br/api/v2/deputados/74555" TargetMode="External"/><Relationship Id="rId2723" Type="http://schemas.openxmlformats.org/officeDocument/2006/relationships/hyperlink" Target="https://dadosabertos.camara.leg.br/api/v2/deputados/133989" TargetMode="External"/><Relationship Id="rId5879" Type="http://schemas.openxmlformats.org/officeDocument/2006/relationships/hyperlink" Target="https://dadosabertos.camara.leg.br/api/v2/deputados/2588" TargetMode="External"/><Relationship Id="rId1325" Type="http://schemas.openxmlformats.org/officeDocument/2006/relationships/hyperlink" Target="https://dadosabertos.camara.leg.br/api/v2/deputados/199809" TargetMode="External"/><Relationship Id="rId3497" Type="http://schemas.openxmlformats.org/officeDocument/2006/relationships/hyperlink" Target="https://dadosabertos.camara.leg.br/api/v2/deputados/132046" TargetMode="External"/><Relationship Id="rId4895" Type="http://schemas.openxmlformats.org/officeDocument/2006/relationships/hyperlink" Target="https://dadosabertos.camara.leg.br/api/v2/deputados/130624" TargetMode="External"/><Relationship Id="rId5946" Type="http://schemas.openxmlformats.org/officeDocument/2006/relationships/hyperlink" Target="https://dadosabertos.camara.leg.br/api/v2/deputados/2559" TargetMode="External"/><Relationship Id="rId31" Type="http://schemas.openxmlformats.org/officeDocument/2006/relationships/hyperlink" Target="https://dadosabertos.camara.leg.br/api/v2/deputados/74057" TargetMode="External"/><Relationship Id="rId2099" Type="http://schemas.openxmlformats.org/officeDocument/2006/relationships/hyperlink" Target="https://dadosabertos.camara.leg.br/api/v2/deputados/74369" TargetMode="External"/><Relationship Id="rId4548" Type="http://schemas.openxmlformats.org/officeDocument/2006/relationships/hyperlink" Target="https://dadosabertos.camara.leg.br/api/v2/deputados/130718" TargetMode="External"/><Relationship Id="rId4962" Type="http://schemas.openxmlformats.org/officeDocument/2006/relationships/hyperlink" Target="https://dadosabertos.camara.leg.br/api/v2/deputados/130503" TargetMode="External"/><Relationship Id="rId7021" Type="http://schemas.openxmlformats.org/officeDocument/2006/relationships/hyperlink" Target="https://dadosabertos.camara.leg.br/api/v2/deputados/1272" TargetMode="External"/><Relationship Id="rId3564" Type="http://schemas.openxmlformats.org/officeDocument/2006/relationships/hyperlink" Target="https://dadosabertos.camara.leg.br/api/v2/deputados/132103" TargetMode="External"/><Relationship Id="rId4615" Type="http://schemas.openxmlformats.org/officeDocument/2006/relationships/hyperlink" Target="https://dadosabertos.camara.leg.br/api/v2/deputados/130779" TargetMode="External"/><Relationship Id="rId485" Type="http://schemas.openxmlformats.org/officeDocument/2006/relationships/hyperlink" Target="https://dadosabertos.camara.leg.br/api/v2/deputados/178896" TargetMode="External"/><Relationship Id="rId2166" Type="http://schemas.openxmlformats.org/officeDocument/2006/relationships/hyperlink" Target="https://dadosabertos.camara.leg.br/api/v2/deputados/74768" TargetMode="External"/><Relationship Id="rId2580" Type="http://schemas.openxmlformats.org/officeDocument/2006/relationships/hyperlink" Target="https://dadosabertos.camara.leg.br/api/v2/deputados/74748" TargetMode="External"/><Relationship Id="rId3217" Type="http://schemas.openxmlformats.org/officeDocument/2006/relationships/hyperlink" Target="https://dadosabertos.camara.leg.br/api/v2/deputados/139351" TargetMode="External"/><Relationship Id="rId3631" Type="http://schemas.openxmlformats.org/officeDocument/2006/relationships/hyperlink" Target="https://dadosabertos.camara.leg.br/api/v2/deputados/131685" TargetMode="External"/><Relationship Id="rId6787" Type="http://schemas.openxmlformats.org/officeDocument/2006/relationships/hyperlink" Target="https://dadosabertos.camara.leg.br/api/v2/deputados/1728" TargetMode="External"/><Relationship Id="rId7838" Type="http://schemas.openxmlformats.org/officeDocument/2006/relationships/hyperlink" Target="https://dadosabertos.camara.leg.br/api/v2/deputados/317" TargetMode="External"/><Relationship Id="rId138" Type="http://schemas.openxmlformats.org/officeDocument/2006/relationships/hyperlink" Target="https://dadosabertos.camara.leg.br/api/v2/deputados/220692" TargetMode="External"/><Relationship Id="rId552" Type="http://schemas.openxmlformats.org/officeDocument/2006/relationships/hyperlink" Target="https://dadosabertos.camara.leg.br/api/v2/deputados/74161" TargetMode="External"/><Relationship Id="rId1182" Type="http://schemas.openxmlformats.org/officeDocument/2006/relationships/hyperlink" Target="https://dadosabertos.camara.leg.br/api/v2/deputados/160565" TargetMode="External"/><Relationship Id="rId2233" Type="http://schemas.openxmlformats.org/officeDocument/2006/relationships/hyperlink" Target="https://dadosabertos.camara.leg.br/api/v2/deputados/74656" TargetMode="External"/><Relationship Id="rId5389" Type="http://schemas.openxmlformats.org/officeDocument/2006/relationships/hyperlink" Target="https://dadosabertos.camara.leg.br/api/v2/deputados/2778" TargetMode="External"/><Relationship Id="rId6854" Type="http://schemas.openxmlformats.org/officeDocument/2006/relationships/hyperlink" Target="https://dadosabertos.camara.leg.br/api/v2/deputados/948" TargetMode="External"/><Relationship Id="rId205" Type="http://schemas.openxmlformats.org/officeDocument/2006/relationships/hyperlink" Target="https://dadosabertos.camara.leg.br/api/v2/deputados/220686" TargetMode="External"/><Relationship Id="rId2300" Type="http://schemas.openxmlformats.org/officeDocument/2006/relationships/hyperlink" Target="https://dadosabertos.camara.leg.br/api/v2/deputados/74740" TargetMode="External"/><Relationship Id="rId5456" Type="http://schemas.openxmlformats.org/officeDocument/2006/relationships/hyperlink" Target="https://dadosabertos.camara.leg.br/api/v2/deputados/2877" TargetMode="External"/><Relationship Id="rId6507" Type="http://schemas.openxmlformats.org/officeDocument/2006/relationships/hyperlink" Target="https://dadosabertos.camara.leg.br/api/v2/deputados/130100" TargetMode="External"/><Relationship Id="rId7905" Type="http://schemas.openxmlformats.org/officeDocument/2006/relationships/hyperlink" Target="https://dadosabertos.camara.leg.br/api/v2/deputados/144" TargetMode="External"/><Relationship Id="rId1999" Type="http://schemas.openxmlformats.org/officeDocument/2006/relationships/hyperlink" Target="https://dadosabertos.camara.leg.br/api/v2/deputados/74033" TargetMode="External"/><Relationship Id="rId4058" Type="http://schemas.openxmlformats.org/officeDocument/2006/relationships/hyperlink" Target="https://dadosabertos.camara.leg.br/api/v2/deputados/131320" TargetMode="External"/><Relationship Id="rId4472" Type="http://schemas.openxmlformats.org/officeDocument/2006/relationships/hyperlink" Target="https://dadosabertos.camara.leg.br/api/v2/deputados/131088" TargetMode="External"/><Relationship Id="rId5109" Type="http://schemas.openxmlformats.org/officeDocument/2006/relationships/hyperlink" Target="https://dadosabertos.camara.leg.br/api/v2/deputados/130305" TargetMode="External"/><Relationship Id="rId5870" Type="http://schemas.openxmlformats.org/officeDocument/2006/relationships/hyperlink" Target="https://dadosabertos.camara.leg.br/api/v2/deputados/1599" TargetMode="External"/><Relationship Id="rId6921" Type="http://schemas.openxmlformats.org/officeDocument/2006/relationships/hyperlink" Target="https://dadosabertos.camara.leg.br/api/v2/deputados/1229" TargetMode="External"/><Relationship Id="rId3074" Type="http://schemas.openxmlformats.org/officeDocument/2006/relationships/hyperlink" Target="https://dadosabertos.camara.leg.br/api/v2/deputados/139230" TargetMode="External"/><Relationship Id="rId4125" Type="http://schemas.openxmlformats.org/officeDocument/2006/relationships/hyperlink" Target="https://dadosabertos.camara.leg.br/api/v2/deputados/131250" TargetMode="External"/><Relationship Id="rId5523" Type="http://schemas.openxmlformats.org/officeDocument/2006/relationships/hyperlink" Target="https://dadosabertos.camara.leg.br/api/v2/deputados/2471" TargetMode="External"/><Relationship Id="rId1719" Type="http://schemas.openxmlformats.org/officeDocument/2006/relationships/hyperlink" Target="https://dadosabertos.camara.leg.br/api/v2/deputados/74263" TargetMode="External"/><Relationship Id="rId7695" Type="http://schemas.openxmlformats.org/officeDocument/2006/relationships/hyperlink" Target="https://dadosabertos.camara.leg.br/api/v2/deputados/247" TargetMode="External"/><Relationship Id="rId2090" Type="http://schemas.openxmlformats.org/officeDocument/2006/relationships/hyperlink" Target="https://dadosabertos.camara.leg.br/api/v2/deputados/73984" TargetMode="External"/><Relationship Id="rId3141" Type="http://schemas.openxmlformats.org/officeDocument/2006/relationships/hyperlink" Target="https://dadosabertos.camara.leg.br/api/v2/deputados/139287" TargetMode="External"/><Relationship Id="rId6297" Type="http://schemas.openxmlformats.org/officeDocument/2006/relationships/hyperlink" Target="https://dadosabertos.camara.leg.br/api/v2/deputados/2226" TargetMode="External"/><Relationship Id="rId7348" Type="http://schemas.openxmlformats.org/officeDocument/2006/relationships/hyperlink" Target="https://dadosabertos.camara.leg.br/api/v2/deputados/850" TargetMode="External"/><Relationship Id="rId7762" Type="http://schemas.openxmlformats.org/officeDocument/2006/relationships/hyperlink" Target="https://dadosabertos.camara.leg.br/api/v2/deputados/336" TargetMode="External"/><Relationship Id="rId3958" Type="http://schemas.openxmlformats.org/officeDocument/2006/relationships/hyperlink" Target="https://dadosabertos.camara.leg.br/api/v2/deputados/131441" TargetMode="External"/><Relationship Id="rId6364" Type="http://schemas.openxmlformats.org/officeDocument/2006/relationships/hyperlink" Target="https://dadosabertos.camara.leg.br/api/v2/deputados/2040" TargetMode="External"/><Relationship Id="rId7415" Type="http://schemas.openxmlformats.org/officeDocument/2006/relationships/hyperlink" Target="https://dadosabertos.camara.leg.br/api/v2/deputados/713" TargetMode="External"/><Relationship Id="rId879" Type="http://schemas.openxmlformats.org/officeDocument/2006/relationships/hyperlink" Target="https://dadosabertos.camara.leg.br/api/v2/deputados/66179" TargetMode="External"/><Relationship Id="rId5380" Type="http://schemas.openxmlformats.org/officeDocument/2006/relationships/hyperlink" Target="https://dadosabertos.camara.leg.br/api/v2/deputados/130252" TargetMode="External"/><Relationship Id="rId6017" Type="http://schemas.openxmlformats.org/officeDocument/2006/relationships/hyperlink" Target="https://dadosabertos.camara.leg.br/api/v2/deputados/4259" TargetMode="External"/><Relationship Id="rId6431" Type="http://schemas.openxmlformats.org/officeDocument/2006/relationships/hyperlink" Target="https://dadosabertos.camara.leg.br/api/v2/deputados/130107" TargetMode="External"/><Relationship Id="rId1576" Type="http://schemas.openxmlformats.org/officeDocument/2006/relationships/hyperlink" Target="https://dadosabertos.camara.leg.br/api/v2/deputados/74430" TargetMode="External"/><Relationship Id="rId2974" Type="http://schemas.openxmlformats.org/officeDocument/2006/relationships/hyperlink" Target="https://dadosabertos.camara.leg.br/api/v2/deputados/139142" TargetMode="External"/><Relationship Id="rId5033" Type="http://schemas.openxmlformats.org/officeDocument/2006/relationships/hyperlink" Target="https://dadosabertos.camara.leg.br/api/v2/deputados/130407" TargetMode="External"/><Relationship Id="rId946" Type="http://schemas.openxmlformats.org/officeDocument/2006/relationships/hyperlink" Target="https://dadosabertos.camara.leg.br/api/v2/deputados/167614" TargetMode="External"/><Relationship Id="rId1229" Type="http://schemas.openxmlformats.org/officeDocument/2006/relationships/hyperlink" Target="https://dadosabertos.camara.leg.br/api/v2/deputados/74752" TargetMode="External"/><Relationship Id="rId1990" Type="http://schemas.openxmlformats.org/officeDocument/2006/relationships/hyperlink" Target="https://dadosabertos.camara.leg.br/api/v2/deputados/74198" TargetMode="External"/><Relationship Id="rId2627" Type="http://schemas.openxmlformats.org/officeDocument/2006/relationships/hyperlink" Target="https://dadosabertos.camara.leg.br/api/v2/deputados/73649" TargetMode="External"/><Relationship Id="rId5100" Type="http://schemas.openxmlformats.org/officeDocument/2006/relationships/hyperlink" Target="https://dadosabertos.camara.leg.br/api/v2/deputados/130301" TargetMode="External"/><Relationship Id="rId1643" Type="http://schemas.openxmlformats.org/officeDocument/2006/relationships/hyperlink" Target="https://dadosabertos.camara.leg.br/api/v2/deputados/159258" TargetMode="External"/><Relationship Id="rId4799" Type="http://schemas.openxmlformats.org/officeDocument/2006/relationships/hyperlink" Target="https://dadosabertos.camara.leg.br/api/v2/deputados/130581" TargetMode="External"/><Relationship Id="rId1710" Type="http://schemas.openxmlformats.org/officeDocument/2006/relationships/hyperlink" Target="https://dadosabertos.camara.leg.br/api/v2/deputados/146308" TargetMode="External"/><Relationship Id="rId4866" Type="http://schemas.openxmlformats.org/officeDocument/2006/relationships/hyperlink" Target="https://dadosabertos.camara.leg.br/api/v2/deputados/130672" TargetMode="External"/><Relationship Id="rId5917" Type="http://schemas.openxmlformats.org/officeDocument/2006/relationships/hyperlink" Target="https://dadosabertos.camara.leg.br/api/v2/deputados/2179" TargetMode="External"/><Relationship Id="rId7272" Type="http://schemas.openxmlformats.org/officeDocument/2006/relationships/hyperlink" Target="https://dadosabertos.camara.leg.br/api/v2/deputados/960" TargetMode="External"/><Relationship Id="rId3468" Type="http://schemas.openxmlformats.org/officeDocument/2006/relationships/hyperlink" Target="https://dadosabertos.camara.leg.br/api/v2/deputados/131989" TargetMode="External"/><Relationship Id="rId3882" Type="http://schemas.openxmlformats.org/officeDocument/2006/relationships/hyperlink" Target="https://dadosabertos.camara.leg.br/api/v2/deputados/131610" TargetMode="External"/><Relationship Id="rId4519" Type="http://schemas.openxmlformats.org/officeDocument/2006/relationships/hyperlink" Target="https://dadosabertos.camara.leg.br/api/v2/deputados/131123" TargetMode="External"/><Relationship Id="rId4933" Type="http://schemas.openxmlformats.org/officeDocument/2006/relationships/hyperlink" Target="https://dadosabertos.camara.leg.br/api/v2/deputados/3086" TargetMode="External"/><Relationship Id="rId389" Type="http://schemas.openxmlformats.org/officeDocument/2006/relationships/hyperlink" Target="https://dadosabertos.camara.leg.br/api/v2/deputados/138286" TargetMode="External"/><Relationship Id="rId2484" Type="http://schemas.openxmlformats.org/officeDocument/2006/relationships/hyperlink" Target="https://dadosabertos.camara.leg.br/api/v2/deputados/74127" TargetMode="External"/><Relationship Id="rId3535" Type="http://schemas.openxmlformats.org/officeDocument/2006/relationships/hyperlink" Target="https://dadosabertos.camara.leg.br/api/v2/deputados/131994" TargetMode="External"/><Relationship Id="rId456" Type="http://schemas.openxmlformats.org/officeDocument/2006/relationships/hyperlink" Target="https://dadosabertos.camara.leg.br/api/v2/deputados/178843" TargetMode="External"/><Relationship Id="rId870" Type="http://schemas.openxmlformats.org/officeDocument/2006/relationships/hyperlink" Target="https://dadosabertos.camara.leg.br/api/v2/deputados/218879" TargetMode="External"/><Relationship Id="rId1086" Type="http://schemas.openxmlformats.org/officeDocument/2006/relationships/hyperlink" Target="https://dadosabertos.camara.leg.br/api/v2/deputados/141429" TargetMode="External"/><Relationship Id="rId2137" Type="http://schemas.openxmlformats.org/officeDocument/2006/relationships/hyperlink" Target="https://dadosabertos.camara.leg.br/api/v2/deputados/74759" TargetMode="External"/><Relationship Id="rId2551" Type="http://schemas.openxmlformats.org/officeDocument/2006/relationships/hyperlink" Target="https://dadosabertos.camara.leg.br/api/v2/deputados/74006" TargetMode="External"/><Relationship Id="rId109" Type="http://schemas.openxmlformats.org/officeDocument/2006/relationships/hyperlink" Target="https://dadosabertos.camara.leg.br/api/v2/deputados/220699" TargetMode="External"/><Relationship Id="rId523" Type="http://schemas.openxmlformats.org/officeDocument/2006/relationships/hyperlink" Target="https://dadosabertos.camara.leg.br/api/v2/deputados/74400" TargetMode="External"/><Relationship Id="rId1153" Type="http://schemas.openxmlformats.org/officeDocument/2006/relationships/hyperlink" Target="https://dadosabertos.camara.leg.br/api/v2/deputados/201357" TargetMode="External"/><Relationship Id="rId2204" Type="http://schemas.openxmlformats.org/officeDocument/2006/relationships/hyperlink" Target="https://dadosabertos.camara.leg.br/api/v2/deputados/74561" TargetMode="External"/><Relationship Id="rId3602" Type="http://schemas.openxmlformats.org/officeDocument/2006/relationships/hyperlink" Target="https://dadosabertos.camara.leg.br/api/v2/deputados/131660" TargetMode="External"/><Relationship Id="rId6758" Type="http://schemas.openxmlformats.org/officeDocument/2006/relationships/hyperlink" Target="https://dadosabertos.camara.leg.br/api/v2/deputados/1618" TargetMode="External"/><Relationship Id="rId7809" Type="http://schemas.openxmlformats.org/officeDocument/2006/relationships/hyperlink" Target="https://dadosabertos.camara.leg.br/api/v2/deputados/312" TargetMode="External"/><Relationship Id="rId5774" Type="http://schemas.openxmlformats.org/officeDocument/2006/relationships/hyperlink" Target="https://dadosabertos.camara.leg.br/api/v2/deputados/4516" TargetMode="External"/><Relationship Id="rId6825" Type="http://schemas.openxmlformats.org/officeDocument/2006/relationships/hyperlink" Target="https://dadosabertos.camara.leg.br/api/v2/deputados/1757" TargetMode="External"/><Relationship Id="rId1220" Type="http://schemas.openxmlformats.org/officeDocument/2006/relationships/hyperlink" Target="https://dadosabertos.camara.leg.br/api/v2/deputados/74457" TargetMode="External"/><Relationship Id="rId4376" Type="http://schemas.openxmlformats.org/officeDocument/2006/relationships/hyperlink" Target="https://dadosabertos.camara.leg.br/api/v2/deputados/130974" TargetMode="External"/><Relationship Id="rId4790" Type="http://schemas.openxmlformats.org/officeDocument/2006/relationships/hyperlink" Target="https://dadosabertos.camara.leg.br/api/v2/deputados/130647" TargetMode="External"/><Relationship Id="rId5427" Type="http://schemas.openxmlformats.org/officeDocument/2006/relationships/hyperlink" Target="https://dadosabertos.camara.leg.br/api/v2/deputados/4756" TargetMode="External"/><Relationship Id="rId5841" Type="http://schemas.openxmlformats.org/officeDocument/2006/relationships/hyperlink" Target="https://dadosabertos.camara.leg.br/api/v2/deputados/2613" TargetMode="External"/><Relationship Id="rId3392" Type="http://schemas.openxmlformats.org/officeDocument/2006/relationships/hyperlink" Target="https://dadosabertos.camara.leg.br/api/v2/deputados/131917" TargetMode="External"/><Relationship Id="rId4029" Type="http://schemas.openxmlformats.org/officeDocument/2006/relationships/hyperlink" Target="https://dadosabertos.camara.leg.br/api/v2/deputados/131163" TargetMode="External"/><Relationship Id="rId4443" Type="http://schemas.openxmlformats.org/officeDocument/2006/relationships/hyperlink" Target="https://dadosabertos.camara.leg.br/api/v2/deputados/131048" TargetMode="External"/><Relationship Id="rId7599" Type="http://schemas.openxmlformats.org/officeDocument/2006/relationships/hyperlink" Target="https://dadosabertos.camara.leg.br/api/v2/deputados/559" TargetMode="External"/><Relationship Id="rId3045" Type="http://schemas.openxmlformats.org/officeDocument/2006/relationships/hyperlink" Target="https://dadosabertos.camara.leg.br/api/v2/deputados/139205" TargetMode="External"/><Relationship Id="rId4510" Type="http://schemas.openxmlformats.org/officeDocument/2006/relationships/hyperlink" Target="https://dadosabertos.camara.leg.br/api/v2/deputados/131082" TargetMode="External"/><Relationship Id="rId7666" Type="http://schemas.openxmlformats.org/officeDocument/2006/relationships/hyperlink" Target="https://dadosabertos.camara.leg.br/api/v2/deputados/549" TargetMode="External"/><Relationship Id="rId380" Type="http://schemas.openxmlformats.org/officeDocument/2006/relationships/hyperlink" Target="https://dadosabertos.camara.leg.br/api/v2/deputados/74299" TargetMode="External"/><Relationship Id="rId2061" Type="http://schemas.openxmlformats.org/officeDocument/2006/relationships/hyperlink" Target="https://dadosabertos.camara.leg.br/api/v2/deputados/73473" TargetMode="External"/><Relationship Id="rId3112" Type="http://schemas.openxmlformats.org/officeDocument/2006/relationships/hyperlink" Target="https://dadosabertos.camara.leg.br/api/v2/deputados/139262" TargetMode="External"/><Relationship Id="rId6268" Type="http://schemas.openxmlformats.org/officeDocument/2006/relationships/hyperlink" Target="https://dadosabertos.camara.leg.br/api/v2/deputados/2369" TargetMode="External"/><Relationship Id="rId6682" Type="http://schemas.openxmlformats.org/officeDocument/2006/relationships/hyperlink" Target="https://dadosabertos.camara.leg.br/api/v2/deputados/1889" TargetMode="External"/><Relationship Id="rId7319" Type="http://schemas.openxmlformats.org/officeDocument/2006/relationships/hyperlink" Target="https://dadosabertos.camara.leg.br/api/v2/deputados/801" TargetMode="External"/><Relationship Id="rId5284" Type="http://schemas.openxmlformats.org/officeDocument/2006/relationships/hyperlink" Target="https://dadosabertos.camara.leg.br/api/v2/deputados/130334" TargetMode="External"/><Relationship Id="rId6335" Type="http://schemas.openxmlformats.org/officeDocument/2006/relationships/hyperlink" Target="https://dadosabertos.camara.leg.br/api/v2/deputados/1148" TargetMode="External"/><Relationship Id="rId7733" Type="http://schemas.openxmlformats.org/officeDocument/2006/relationships/hyperlink" Target="https://dadosabertos.camara.leg.br/api/v2/deputados/250" TargetMode="External"/><Relationship Id="rId100" Type="http://schemas.openxmlformats.org/officeDocument/2006/relationships/hyperlink" Target="https://dadosabertos.camara.leg.br/api/v2/deputados/178993" TargetMode="External"/><Relationship Id="rId2878" Type="http://schemas.openxmlformats.org/officeDocument/2006/relationships/hyperlink" Target="https://dadosabertos.camara.leg.br/api/v2/deputados/73821" TargetMode="External"/><Relationship Id="rId3929" Type="http://schemas.openxmlformats.org/officeDocument/2006/relationships/hyperlink" Target="https://dadosabertos.camara.leg.br/api/v2/deputados/131442" TargetMode="External"/><Relationship Id="rId7800" Type="http://schemas.openxmlformats.org/officeDocument/2006/relationships/hyperlink" Target="https://dadosabertos.camara.leg.br/api/v2/deputados/403" TargetMode="External"/><Relationship Id="rId1894" Type="http://schemas.openxmlformats.org/officeDocument/2006/relationships/hyperlink" Target="https://dadosabertos.camara.leg.br/api/v2/deputados/141382" TargetMode="External"/><Relationship Id="rId2945" Type="http://schemas.openxmlformats.org/officeDocument/2006/relationships/hyperlink" Target="https://dadosabertos.camara.leg.br/api/v2/deputados/133930" TargetMode="External"/><Relationship Id="rId5351" Type="http://schemas.openxmlformats.org/officeDocument/2006/relationships/hyperlink" Target="https://dadosabertos.camara.leg.br/api/v2/deputados/130271" TargetMode="External"/><Relationship Id="rId6402" Type="http://schemas.openxmlformats.org/officeDocument/2006/relationships/hyperlink" Target="https://dadosabertos.camara.leg.br/api/v2/deputados/2079" TargetMode="External"/><Relationship Id="rId917" Type="http://schemas.openxmlformats.org/officeDocument/2006/relationships/hyperlink" Target="https://dadosabertos.camara.leg.br/api/v2/deputados/215042" TargetMode="External"/><Relationship Id="rId1547" Type="http://schemas.openxmlformats.org/officeDocument/2006/relationships/hyperlink" Target="https://dadosabertos.camara.leg.br/api/v2/deputados/168447" TargetMode="External"/><Relationship Id="rId1961" Type="http://schemas.openxmlformats.org/officeDocument/2006/relationships/hyperlink" Target="https://dadosabertos.camara.leg.br/api/v2/deputados/74527" TargetMode="External"/><Relationship Id="rId5004" Type="http://schemas.openxmlformats.org/officeDocument/2006/relationships/hyperlink" Target="https://dadosabertos.camara.leg.br/api/v2/deputados/3092" TargetMode="External"/><Relationship Id="rId1614" Type="http://schemas.openxmlformats.org/officeDocument/2006/relationships/hyperlink" Target="https://dadosabertos.camara.leg.br/api/v2/deputados/160568" TargetMode="External"/><Relationship Id="rId4020" Type="http://schemas.openxmlformats.org/officeDocument/2006/relationships/hyperlink" Target="https://dadosabertos.camara.leg.br/api/v2/deputados/131153" TargetMode="External"/><Relationship Id="rId7176" Type="http://schemas.openxmlformats.org/officeDocument/2006/relationships/hyperlink" Target="https://dadosabertos.camara.leg.br/api/v2/deputados/1061" TargetMode="External"/><Relationship Id="rId7590" Type="http://schemas.openxmlformats.org/officeDocument/2006/relationships/hyperlink" Target="https://dadosabertos.camara.leg.br/api/v2/deputados/582" TargetMode="External"/><Relationship Id="rId3786" Type="http://schemas.openxmlformats.org/officeDocument/2006/relationships/hyperlink" Target="https://dadosabertos.camara.leg.br/api/v2/deputados/131565" TargetMode="External"/><Relationship Id="rId6192" Type="http://schemas.openxmlformats.org/officeDocument/2006/relationships/hyperlink" Target="https://dadosabertos.camara.leg.br/api/v2/deputados/2333" TargetMode="External"/><Relationship Id="rId7243" Type="http://schemas.openxmlformats.org/officeDocument/2006/relationships/hyperlink" Target="https://dadosabertos.camara.leg.br/api/v2/deputados/949" TargetMode="External"/><Relationship Id="rId2388" Type="http://schemas.openxmlformats.org/officeDocument/2006/relationships/hyperlink" Target="https://dadosabertos.camara.leg.br/api/v2/deputados/74069" TargetMode="External"/><Relationship Id="rId3439" Type="http://schemas.openxmlformats.org/officeDocument/2006/relationships/hyperlink" Target="https://dadosabertos.camara.leg.br/api/v2/deputados/132003" TargetMode="External"/><Relationship Id="rId4837" Type="http://schemas.openxmlformats.org/officeDocument/2006/relationships/hyperlink" Target="https://dadosabertos.camara.leg.br/api/v2/deputados/130514" TargetMode="External"/><Relationship Id="rId7310" Type="http://schemas.openxmlformats.org/officeDocument/2006/relationships/hyperlink" Target="https://dadosabertos.camara.leg.br/api/v2/deputados/648" TargetMode="External"/><Relationship Id="rId3853" Type="http://schemas.openxmlformats.org/officeDocument/2006/relationships/hyperlink" Target="https://dadosabertos.camara.leg.br/api/v2/deputados/131511" TargetMode="External"/><Relationship Id="rId4904" Type="http://schemas.openxmlformats.org/officeDocument/2006/relationships/hyperlink" Target="https://dadosabertos.camara.leg.br/api/v2/deputados/130519" TargetMode="External"/><Relationship Id="rId774" Type="http://schemas.openxmlformats.org/officeDocument/2006/relationships/hyperlink" Target="https://dadosabertos.camara.leg.br/api/v2/deputados/204393" TargetMode="External"/><Relationship Id="rId1057" Type="http://schemas.openxmlformats.org/officeDocument/2006/relationships/hyperlink" Target="https://dadosabertos.camara.leg.br/api/v2/deputados/101309" TargetMode="External"/><Relationship Id="rId2455" Type="http://schemas.openxmlformats.org/officeDocument/2006/relationships/hyperlink" Target="https://dadosabertos.camara.leg.br/api/v2/deputados/74074" TargetMode="External"/><Relationship Id="rId3506" Type="http://schemas.openxmlformats.org/officeDocument/2006/relationships/hyperlink" Target="https://dadosabertos.camara.leg.br/api/v2/deputados/132054" TargetMode="External"/><Relationship Id="rId3920" Type="http://schemas.openxmlformats.org/officeDocument/2006/relationships/hyperlink" Target="https://dadosabertos.camara.leg.br/api/v2/deputados/131438" TargetMode="External"/><Relationship Id="rId427" Type="http://schemas.openxmlformats.org/officeDocument/2006/relationships/hyperlink" Target="https://dadosabertos.camara.leg.br/api/v2/deputados/160161" TargetMode="External"/><Relationship Id="rId841" Type="http://schemas.openxmlformats.org/officeDocument/2006/relationships/hyperlink" Target="https://dadosabertos.camara.leg.br/api/v2/deputados/179587" TargetMode="External"/><Relationship Id="rId1471" Type="http://schemas.openxmlformats.org/officeDocument/2006/relationships/hyperlink" Target="https://dadosabertos.camara.leg.br/api/v2/deputados/74421" TargetMode="External"/><Relationship Id="rId2108" Type="http://schemas.openxmlformats.org/officeDocument/2006/relationships/hyperlink" Target="https://dadosabertos.camara.leg.br/api/v2/deputados/74390" TargetMode="External"/><Relationship Id="rId2522" Type="http://schemas.openxmlformats.org/officeDocument/2006/relationships/hyperlink" Target="https://dadosabertos.camara.leg.br/api/v2/deputados/74664" TargetMode="External"/><Relationship Id="rId5678" Type="http://schemas.openxmlformats.org/officeDocument/2006/relationships/hyperlink" Target="https://dadosabertos.camara.leg.br/api/v2/deputados/2662" TargetMode="External"/><Relationship Id="rId6729" Type="http://schemas.openxmlformats.org/officeDocument/2006/relationships/hyperlink" Target="https://dadosabertos.camara.leg.br/api/v2/deputados/4009" TargetMode="External"/><Relationship Id="rId1124" Type="http://schemas.openxmlformats.org/officeDocument/2006/relationships/hyperlink" Target="https://dadosabertos.camara.leg.br/api/v2/deputados/141503" TargetMode="External"/><Relationship Id="rId4694" Type="http://schemas.openxmlformats.org/officeDocument/2006/relationships/hyperlink" Target="https://dadosabertos.camara.leg.br/api/v2/deputados/130851" TargetMode="External"/><Relationship Id="rId5745" Type="http://schemas.openxmlformats.org/officeDocument/2006/relationships/hyperlink" Target="https://dadosabertos.camara.leg.br/api/v2/deputados/2183" TargetMode="External"/><Relationship Id="rId3296" Type="http://schemas.openxmlformats.org/officeDocument/2006/relationships/hyperlink" Target="https://dadosabertos.camara.leg.br/api/v2/deputados/131998" TargetMode="External"/><Relationship Id="rId4347" Type="http://schemas.openxmlformats.org/officeDocument/2006/relationships/hyperlink" Target="https://dadosabertos.camara.leg.br/api/v2/deputados/130949" TargetMode="External"/><Relationship Id="rId4761" Type="http://schemas.openxmlformats.org/officeDocument/2006/relationships/hyperlink" Target="https://dadosabertos.camara.leg.br/api/v2/deputados/130552" TargetMode="External"/><Relationship Id="rId3363" Type="http://schemas.openxmlformats.org/officeDocument/2006/relationships/hyperlink" Target="https://dadosabertos.camara.leg.br/api/v2/deputados/131981" TargetMode="External"/><Relationship Id="rId4414" Type="http://schemas.openxmlformats.org/officeDocument/2006/relationships/hyperlink" Target="https://dadosabertos.camara.leg.br/api/v2/deputados/131030" TargetMode="External"/><Relationship Id="rId5812" Type="http://schemas.openxmlformats.org/officeDocument/2006/relationships/hyperlink" Target="https://dadosabertos.camara.leg.br/api/v2/deputados/130179" TargetMode="External"/><Relationship Id="rId284" Type="http://schemas.openxmlformats.org/officeDocument/2006/relationships/hyperlink" Target="https://dadosabertos.camara.leg.br/api/v2/deputados/152605" TargetMode="External"/><Relationship Id="rId3016" Type="http://schemas.openxmlformats.org/officeDocument/2006/relationships/hyperlink" Target="https://dadosabertos.camara.leg.br/api/v2/deputados/139180" TargetMode="External"/><Relationship Id="rId7984" Type="http://schemas.openxmlformats.org/officeDocument/2006/relationships/hyperlink" Target="https://dadosabertos.camara.leg.br/api/v2/deputados/110" TargetMode="External"/><Relationship Id="rId3430" Type="http://schemas.openxmlformats.org/officeDocument/2006/relationships/hyperlink" Target="https://dadosabertos.camara.leg.br/api/v2/deputados/131995" TargetMode="External"/><Relationship Id="rId5188" Type="http://schemas.openxmlformats.org/officeDocument/2006/relationships/hyperlink" Target="https://dadosabertos.camara.leg.br/api/v2/deputados/3127" TargetMode="External"/><Relationship Id="rId6586" Type="http://schemas.openxmlformats.org/officeDocument/2006/relationships/hyperlink" Target="https://dadosabertos.camara.leg.br/api/v2/deputados/1947" TargetMode="External"/><Relationship Id="rId7637" Type="http://schemas.openxmlformats.org/officeDocument/2006/relationships/hyperlink" Target="https://dadosabertos.camara.leg.br/api/v2/deputados/360" TargetMode="External"/><Relationship Id="rId351" Type="http://schemas.openxmlformats.org/officeDocument/2006/relationships/hyperlink" Target="https://dadosabertos.camara.leg.br/api/v2/deputados/220559" TargetMode="External"/><Relationship Id="rId2032" Type="http://schemas.openxmlformats.org/officeDocument/2006/relationships/hyperlink" Target="https://dadosabertos.camara.leg.br/api/v2/deputados/73572" TargetMode="External"/><Relationship Id="rId6239" Type="http://schemas.openxmlformats.org/officeDocument/2006/relationships/hyperlink" Target="https://dadosabertos.camara.leg.br/api/v2/deputados/3620" TargetMode="External"/><Relationship Id="rId6653" Type="http://schemas.openxmlformats.org/officeDocument/2006/relationships/hyperlink" Target="https://dadosabertos.camara.leg.br/api/v2/deputados/1828" TargetMode="External"/><Relationship Id="rId7704" Type="http://schemas.openxmlformats.org/officeDocument/2006/relationships/hyperlink" Target="https://dadosabertos.camara.leg.br/api/v2/deputados/504" TargetMode="External"/><Relationship Id="rId1798" Type="http://schemas.openxmlformats.org/officeDocument/2006/relationships/hyperlink" Target="https://dadosabertos.camara.leg.br/api/v2/deputados/141471" TargetMode="External"/><Relationship Id="rId2849" Type="http://schemas.openxmlformats.org/officeDocument/2006/relationships/hyperlink" Target="https://dadosabertos.camara.leg.br/api/v2/deputados/73719" TargetMode="External"/><Relationship Id="rId5255" Type="http://schemas.openxmlformats.org/officeDocument/2006/relationships/hyperlink" Target="https://dadosabertos.camara.leg.br/api/v2/deputados/4893" TargetMode="External"/><Relationship Id="rId6306" Type="http://schemas.openxmlformats.org/officeDocument/2006/relationships/hyperlink" Target="https://dadosabertos.camara.leg.br/api/v2/deputados/3625" TargetMode="External"/><Relationship Id="rId6720" Type="http://schemas.openxmlformats.org/officeDocument/2006/relationships/hyperlink" Target="https://dadosabertos.camara.leg.br/api/v2/deputados/1565" TargetMode="External"/><Relationship Id="rId1865" Type="http://schemas.openxmlformats.org/officeDocument/2006/relationships/hyperlink" Target="https://dadosabertos.camara.leg.br/api/v2/deputados/141528" TargetMode="External"/><Relationship Id="rId4271" Type="http://schemas.openxmlformats.org/officeDocument/2006/relationships/hyperlink" Target="https://dadosabertos.camara.leg.br/api/v2/deputados/131384" TargetMode="External"/><Relationship Id="rId5322" Type="http://schemas.openxmlformats.org/officeDocument/2006/relationships/hyperlink" Target="https://dadosabertos.camara.leg.br/api/v2/deputados/4671" TargetMode="External"/><Relationship Id="rId1518" Type="http://schemas.openxmlformats.org/officeDocument/2006/relationships/hyperlink" Target="https://dadosabertos.camara.leg.br/api/v2/deputados/73777" TargetMode="External"/><Relationship Id="rId2916" Type="http://schemas.openxmlformats.org/officeDocument/2006/relationships/hyperlink" Target="https://dadosabertos.camara.leg.br/api/v2/deputados/73963" TargetMode="External"/><Relationship Id="rId7494" Type="http://schemas.openxmlformats.org/officeDocument/2006/relationships/hyperlink" Target="https://dadosabertos.camara.leg.br/api/v2/deputados/230662" TargetMode="External"/><Relationship Id="rId1932" Type="http://schemas.openxmlformats.org/officeDocument/2006/relationships/hyperlink" Target="https://dadosabertos.camara.leg.br/api/v2/deputados/74168" TargetMode="External"/><Relationship Id="rId6096" Type="http://schemas.openxmlformats.org/officeDocument/2006/relationships/hyperlink" Target="https://dadosabertos.camara.leg.br/api/v2/deputados/2503" TargetMode="External"/><Relationship Id="rId7147" Type="http://schemas.openxmlformats.org/officeDocument/2006/relationships/hyperlink" Target="https://dadosabertos.camara.leg.br/api/v2/deputados/698" TargetMode="External"/><Relationship Id="rId6163" Type="http://schemas.openxmlformats.org/officeDocument/2006/relationships/hyperlink" Target="https://dadosabertos.camara.leg.br/api/v2/deputados/2388" TargetMode="External"/><Relationship Id="rId7561" Type="http://schemas.openxmlformats.org/officeDocument/2006/relationships/hyperlink" Target="https://dadosabertos.camara.leg.br/api/v2/deputados/580" TargetMode="External"/><Relationship Id="rId3757" Type="http://schemas.openxmlformats.org/officeDocument/2006/relationships/hyperlink" Target="https://dadosabertos.camara.leg.br/api/v2/deputados/131809" TargetMode="External"/><Relationship Id="rId4808" Type="http://schemas.openxmlformats.org/officeDocument/2006/relationships/hyperlink" Target="https://dadosabertos.camara.leg.br/api/v2/deputados/130592" TargetMode="External"/><Relationship Id="rId7214" Type="http://schemas.openxmlformats.org/officeDocument/2006/relationships/hyperlink" Target="https://dadosabertos.camara.leg.br/api/v2/deputados/439" TargetMode="External"/><Relationship Id="rId678" Type="http://schemas.openxmlformats.org/officeDocument/2006/relationships/hyperlink" Target="https://dadosabertos.camara.leg.br/api/v2/deputados/204413" TargetMode="External"/><Relationship Id="rId2359" Type="http://schemas.openxmlformats.org/officeDocument/2006/relationships/hyperlink" Target="https://dadosabertos.camara.leg.br/api/v2/deputados/73914" TargetMode="External"/><Relationship Id="rId2773" Type="http://schemas.openxmlformats.org/officeDocument/2006/relationships/hyperlink" Target="https://dadosabertos.camara.leg.br/api/v2/deputados/73707" TargetMode="External"/><Relationship Id="rId3824" Type="http://schemas.openxmlformats.org/officeDocument/2006/relationships/hyperlink" Target="https://dadosabertos.camara.leg.br/api/v2/deputados/131547" TargetMode="External"/><Relationship Id="rId6230" Type="http://schemas.openxmlformats.org/officeDocument/2006/relationships/hyperlink" Target="https://dadosabertos.camara.leg.br/api/v2/deputados/1561" TargetMode="External"/><Relationship Id="rId745" Type="http://schemas.openxmlformats.org/officeDocument/2006/relationships/hyperlink" Target="https://dadosabertos.camara.leg.br/api/v2/deputados/204552" TargetMode="External"/><Relationship Id="rId1375" Type="http://schemas.openxmlformats.org/officeDocument/2006/relationships/hyperlink" Target="https://dadosabertos.camara.leg.br/api/v2/deputados/141395" TargetMode="External"/><Relationship Id="rId2426" Type="http://schemas.openxmlformats.org/officeDocument/2006/relationships/hyperlink" Target="https://dadosabertos.camara.leg.br/api/v2/deputados/74220" TargetMode="External"/><Relationship Id="rId5996" Type="http://schemas.openxmlformats.org/officeDocument/2006/relationships/hyperlink" Target="https://dadosabertos.camara.leg.br/api/v2/deputados/4238" TargetMode="External"/><Relationship Id="rId81" Type="http://schemas.openxmlformats.org/officeDocument/2006/relationships/hyperlink" Target="https://dadosabertos.camara.leg.br/api/v2/deputados/204374" TargetMode="External"/><Relationship Id="rId812" Type="http://schemas.openxmlformats.org/officeDocument/2006/relationships/hyperlink" Target="https://dadosabertos.camara.leg.br/api/v2/deputados/218245" TargetMode="External"/><Relationship Id="rId1028" Type="http://schemas.openxmlformats.org/officeDocument/2006/relationships/hyperlink" Target="https://dadosabertos.camara.leg.br/api/v2/deputados/178976" TargetMode="External"/><Relationship Id="rId1442" Type="http://schemas.openxmlformats.org/officeDocument/2006/relationships/hyperlink" Target="https://dadosabertos.camara.leg.br/api/v2/deputados/172029" TargetMode="External"/><Relationship Id="rId2840" Type="http://schemas.openxmlformats.org/officeDocument/2006/relationships/hyperlink" Target="https://dadosabertos.camara.leg.br/api/v2/deputados/133982" TargetMode="External"/><Relationship Id="rId4598" Type="http://schemas.openxmlformats.org/officeDocument/2006/relationships/hyperlink" Target="https://dadosabertos.camara.leg.br/api/v2/deputados/130758" TargetMode="External"/><Relationship Id="rId5649" Type="http://schemas.openxmlformats.org/officeDocument/2006/relationships/hyperlink" Target="https://dadosabertos.camara.leg.br/api/v2/deputados/4616" TargetMode="External"/><Relationship Id="rId7071" Type="http://schemas.openxmlformats.org/officeDocument/2006/relationships/hyperlink" Target="https://dadosabertos.camara.leg.br/api/v2/deputados/1035" TargetMode="External"/><Relationship Id="rId3267" Type="http://schemas.openxmlformats.org/officeDocument/2006/relationships/hyperlink" Target="https://dadosabertos.camara.leg.br/api/v2/deputados/131834" TargetMode="External"/><Relationship Id="rId4665" Type="http://schemas.openxmlformats.org/officeDocument/2006/relationships/hyperlink" Target="https://dadosabertos.camara.leg.br/api/v2/deputados/130836" TargetMode="External"/><Relationship Id="rId5716" Type="http://schemas.openxmlformats.org/officeDocument/2006/relationships/hyperlink" Target="https://dadosabertos.camara.leg.br/api/v2/deputados/130218" TargetMode="External"/><Relationship Id="rId188" Type="http://schemas.openxmlformats.org/officeDocument/2006/relationships/hyperlink" Target="https://dadosabertos.camara.leg.br/api/v2/deputados/221339" TargetMode="External"/><Relationship Id="rId3681" Type="http://schemas.openxmlformats.org/officeDocument/2006/relationships/hyperlink" Target="https://dadosabertos.camara.leg.br/api/v2/deputados/131733" TargetMode="External"/><Relationship Id="rId4318" Type="http://schemas.openxmlformats.org/officeDocument/2006/relationships/hyperlink" Target="https://dadosabertos.camara.leg.br/api/v2/deputados/131019" TargetMode="External"/><Relationship Id="rId4732" Type="http://schemas.openxmlformats.org/officeDocument/2006/relationships/hyperlink" Target="https://dadosabertos.camara.leg.br/api/v2/deputados/130526" TargetMode="External"/><Relationship Id="rId7888" Type="http://schemas.openxmlformats.org/officeDocument/2006/relationships/hyperlink" Target="https://dadosabertos.camara.leg.br/api/v2/deputados/199" TargetMode="External"/><Relationship Id="rId2283" Type="http://schemas.openxmlformats.org/officeDocument/2006/relationships/hyperlink" Target="https://dadosabertos.camara.leg.br/api/v2/deputados/74190" TargetMode="External"/><Relationship Id="rId3334" Type="http://schemas.openxmlformats.org/officeDocument/2006/relationships/hyperlink" Target="https://dadosabertos.camara.leg.br/api/v2/deputados/131892" TargetMode="External"/><Relationship Id="rId7955" Type="http://schemas.openxmlformats.org/officeDocument/2006/relationships/hyperlink" Target="https://dadosabertos.camara.leg.br/api/v2/deputados/166" TargetMode="External"/><Relationship Id="rId255" Type="http://schemas.openxmlformats.org/officeDocument/2006/relationships/hyperlink" Target="https://dadosabertos.camara.leg.br/api/v2/deputados/220545" TargetMode="External"/><Relationship Id="rId2350" Type="http://schemas.openxmlformats.org/officeDocument/2006/relationships/hyperlink" Target="https://dadosabertos.camara.leg.br/api/v2/deputados/74122" TargetMode="External"/><Relationship Id="rId3401" Type="http://schemas.openxmlformats.org/officeDocument/2006/relationships/hyperlink" Target="https://dadosabertos.camara.leg.br/api/v2/deputados/131978" TargetMode="External"/><Relationship Id="rId6557" Type="http://schemas.openxmlformats.org/officeDocument/2006/relationships/hyperlink" Target="https://dadosabertos.camara.leg.br/api/v2/deputados/1577" TargetMode="External"/><Relationship Id="rId6971" Type="http://schemas.openxmlformats.org/officeDocument/2006/relationships/hyperlink" Target="https://dadosabertos.camara.leg.br/api/v2/deputados/1199" TargetMode="External"/><Relationship Id="rId7608" Type="http://schemas.openxmlformats.org/officeDocument/2006/relationships/hyperlink" Target="https://dadosabertos.camara.leg.br/api/v2/deputados/600" TargetMode="External"/><Relationship Id="rId322" Type="http://schemas.openxmlformats.org/officeDocument/2006/relationships/hyperlink" Target="https://dadosabertos.camara.leg.br/api/v2/deputados/74848" TargetMode="External"/><Relationship Id="rId2003" Type="http://schemas.openxmlformats.org/officeDocument/2006/relationships/hyperlink" Target="https://dadosabertos.camara.leg.br/api/v2/deputados/74394" TargetMode="External"/><Relationship Id="rId5159" Type="http://schemas.openxmlformats.org/officeDocument/2006/relationships/hyperlink" Target="https://dadosabertos.camara.leg.br/api/v2/deputados/2996" TargetMode="External"/><Relationship Id="rId5573" Type="http://schemas.openxmlformats.org/officeDocument/2006/relationships/hyperlink" Target="https://dadosabertos.camara.leg.br/api/v2/deputados/2762" TargetMode="External"/><Relationship Id="rId6624" Type="http://schemas.openxmlformats.org/officeDocument/2006/relationships/hyperlink" Target="https://dadosabertos.camara.leg.br/api/v2/deputados/1855" TargetMode="External"/><Relationship Id="rId4175" Type="http://schemas.openxmlformats.org/officeDocument/2006/relationships/hyperlink" Target="https://dadosabertos.camara.leg.br/api/v2/deputados/131306" TargetMode="External"/><Relationship Id="rId5226" Type="http://schemas.openxmlformats.org/officeDocument/2006/relationships/hyperlink" Target="https://dadosabertos.camara.leg.br/api/v2/deputados/2995" TargetMode="External"/><Relationship Id="rId1769" Type="http://schemas.openxmlformats.org/officeDocument/2006/relationships/hyperlink" Target="https://dadosabertos.camara.leg.br/api/v2/deputados/74076" TargetMode="External"/><Relationship Id="rId3191" Type="http://schemas.openxmlformats.org/officeDocument/2006/relationships/hyperlink" Target="https://dadosabertos.camara.leg.br/api/v2/deputados/1506" TargetMode="External"/><Relationship Id="rId4242" Type="http://schemas.openxmlformats.org/officeDocument/2006/relationships/hyperlink" Target="https://dadosabertos.camara.leg.br/api/v2/deputados/131360" TargetMode="External"/><Relationship Id="rId5640" Type="http://schemas.openxmlformats.org/officeDocument/2006/relationships/hyperlink" Target="https://dadosabertos.camara.leg.br/api/v2/deputados/4626" TargetMode="External"/><Relationship Id="rId7398" Type="http://schemas.openxmlformats.org/officeDocument/2006/relationships/hyperlink" Target="https://dadosabertos.camara.leg.br/api/v2/deputados/846" TargetMode="External"/><Relationship Id="rId1836" Type="http://schemas.openxmlformats.org/officeDocument/2006/relationships/hyperlink" Target="https://dadosabertos.camara.leg.br/api/v2/deputados/74038" TargetMode="External"/><Relationship Id="rId1903" Type="http://schemas.openxmlformats.org/officeDocument/2006/relationships/hyperlink" Target="https://dadosabertos.camara.leg.br/api/v2/deputados/74593" TargetMode="External"/><Relationship Id="rId7465" Type="http://schemas.openxmlformats.org/officeDocument/2006/relationships/hyperlink" Target="https://dadosabertos.camara.leg.br/api/v2/deputados/702" TargetMode="External"/><Relationship Id="rId6067" Type="http://schemas.openxmlformats.org/officeDocument/2006/relationships/hyperlink" Target="https://dadosabertos.camara.leg.br/api/v2/deputados/2413" TargetMode="External"/><Relationship Id="rId6481" Type="http://schemas.openxmlformats.org/officeDocument/2006/relationships/hyperlink" Target="https://dadosabertos.camara.leg.br/api/v2/deputados/2146" TargetMode="External"/><Relationship Id="rId7118" Type="http://schemas.openxmlformats.org/officeDocument/2006/relationships/hyperlink" Target="https://dadosabertos.camara.leg.br/api/v2/deputados/1098" TargetMode="External"/><Relationship Id="rId7532" Type="http://schemas.openxmlformats.org/officeDocument/2006/relationships/hyperlink" Target="https://dadosabertos.camara.leg.br/api/v2/deputados/430" TargetMode="External"/><Relationship Id="rId996" Type="http://schemas.openxmlformats.org/officeDocument/2006/relationships/hyperlink" Target="https://dadosabertos.camara.leg.br/api/v2/deputados/160551" TargetMode="External"/><Relationship Id="rId2677" Type="http://schemas.openxmlformats.org/officeDocument/2006/relationships/hyperlink" Target="https://dadosabertos.camara.leg.br/api/v2/deputados/65988" TargetMode="External"/><Relationship Id="rId3728" Type="http://schemas.openxmlformats.org/officeDocument/2006/relationships/hyperlink" Target="https://dadosabertos.camara.leg.br/api/v2/deputados/131785" TargetMode="External"/><Relationship Id="rId5083" Type="http://schemas.openxmlformats.org/officeDocument/2006/relationships/hyperlink" Target="https://dadosabertos.camara.leg.br/api/v2/deputados/130500" TargetMode="External"/><Relationship Id="rId6134" Type="http://schemas.openxmlformats.org/officeDocument/2006/relationships/hyperlink" Target="https://dadosabertos.camara.leg.br/api/v2/deputados/4105" TargetMode="External"/><Relationship Id="rId649" Type="http://schemas.openxmlformats.org/officeDocument/2006/relationships/hyperlink" Target="https://dadosabertos.camara.leg.br/api/v2/deputados/91228" TargetMode="External"/><Relationship Id="rId1279" Type="http://schemas.openxmlformats.org/officeDocument/2006/relationships/hyperlink" Target="https://dadosabertos.camara.leg.br/api/v2/deputados/146949" TargetMode="External"/><Relationship Id="rId5150" Type="http://schemas.openxmlformats.org/officeDocument/2006/relationships/hyperlink" Target="https://dadosabertos.camara.leg.br/api/v2/deputados/130318" TargetMode="External"/><Relationship Id="rId6201" Type="http://schemas.openxmlformats.org/officeDocument/2006/relationships/hyperlink" Target="https://dadosabertos.camara.leg.br/api/v2/deputados/3511" TargetMode="External"/><Relationship Id="rId1346" Type="http://schemas.openxmlformats.org/officeDocument/2006/relationships/hyperlink" Target="https://dadosabertos.camara.leg.br/api/v2/deputados/160603" TargetMode="External"/><Relationship Id="rId1693" Type="http://schemas.openxmlformats.org/officeDocument/2006/relationships/hyperlink" Target="https://dadosabertos.camara.leg.br/api/v2/deputados/156634" TargetMode="External"/><Relationship Id="rId2744" Type="http://schemas.openxmlformats.org/officeDocument/2006/relationships/hyperlink" Target="https://dadosabertos.camara.leg.br/api/v2/deputados/73729" TargetMode="External"/><Relationship Id="rId716" Type="http://schemas.openxmlformats.org/officeDocument/2006/relationships/hyperlink" Target="https://dadosabertos.camara.leg.br/api/v2/deputados/141439" TargetMode="External"/><Relationship Id="rId1760" Type="http://schemas.openxmlformats.org/officeDocument/2006/relationships/hyperlink" Target="https://dadosabertos.camara.leg.br/api/v2/deputados/73981" TargetMode="External"/><Relationship Id="rId2811" Type="http://schemas.openxmlformats.org/officeDocument/2006/relationships/hyperlink" Target="https://dadosabertos.camara.leg.br/api/v2/deputados/73751" TargetMode="External"/><Relationship Id="rId5967" Type="http://schemas.openxmlformats.org/officeDocument/2006/relationships/hyperlink" Target="https://dadosabertos.camara.leg.br/api/v2/deputados/2591" TargetMode="External"/><Relationship Id="rId52" Type="http://schemas.openxmlformats.org/officeDocument/2006/relationships/hyperlink" Target="https://dadosabertos.camara.leg.br/api/v2/deputados/220676" TargetMode="External"/><Relationship Id="rId1413" Type="http://schemas.openxmlformats.org/officeDocument/2006/relationships/hyperlink" Target="https://dadosabertos.camara.leg.br/api/v2/deputados/161904" TargetMode="External"/><Relationship Id="rId4569" Type="http://schemas.openxmlformats.org/officeDocument/2006/relationships/hyperlink" Target="https://dadosabertos.camara.leg.br/api/v2/deputados/130732" TargetMode="External"/><Relationship Id="rId4983" Type="http://schemas.openxmlformats.org/officeDocument/2006/relationships/hyperlink" Target="https://dadosabertos.camara.leg.br/api/v2/deputados/130447" TargetMode="External"/><Relationship Id="rId3585" Type="http://schemas.openxmlformats.org/officeDocument/2006/relationships/hyperlink" Target="https://dadosabertos.camara.leg.br/api/v2/deputados/131639" TargetMode="External"/><Relationship Id="rId4636" Type="http://schemas.openxmlformats.org/officeDocument/2006/relationships/hyperlink" Target="https://dadosabertos.camara.leg.br/api/v2/deputados/130801" TargetMode="External"/><Relationship Id="rId7042" Type="http://schemas.openxmlformats.org/officeDocument/2006/relationships/hyperlink" Target="https://dadosabertos.camara.leg.br/api/v2/deputados/1170" TargetMode="External"/><Relationship Id="rId2187" Type="http://schemas.openxmlformats.org/officeDocument/2006/relationships/hyperlink" Target="https://dadosabertos.camara.leg.br/api/v2/deputados/73662" TargetMode="External"/><Relationship Id="rId3238" Type="http://schemas.openxmlformats.org/officeDocument/2006/relationships/hyperlink" Target="https://dadosabertos.camara.leg.br/api/v2/deputados/1534" TargetMode="External"/><Relationship Id="rId3652" Type="http://schemas.openxmlformats.org/officeDocument/2006/relationships/hyperlink" Target="https://dadosabertos.camara.leg.br/api/v2/deputados/131700" TargetMode="External"/><Relationship Id="rId4703" Type="http://schemas.openxmlformats.org/officeDocument/2006/relationships/hyperlink" Target="https://dadosabertos.camara.leg.br/api/v2/deputados/130867" TargetMode="External"/><Relationship Id="rId7859" Type="http://schemas.openxmlformats.org/officeDocument/2006/relationships/hyperlink" Target="https://dadosabertos.camara.leg.br/api/v2/deputados/237" TargetMode="External"/><Relationship Id="rId159" Type="http://schemas.openxmlformats.org/officeDocument/2006/relationships/hyperlink" Target="https://dadosabertos.camara.leg.br/api/v2/deputados/220561" TargetMode="External"/><Relationship Id="rId573" Type="http://schemas.openxmlformats.org/officeDocument/2006/relationships/hyperlink" Target="https://dadosabertos.camara.leg.br/api/v2/deputados/220588" TargetMode="External"/><Relationship Id="rId2254" Type="http://schemas.openxmlformats.org/officeDocument/2006/relationships/hyperlink" Target="https://dadosabertos.camara.leg.br/api/v2/deputados/73452" TargetMode="External"/><Relationship Id="rId3305" Type="http://schemas.openxmlformats.org/officeDocument/2006/relationships/hyperlink" Target="https://dadosabertos.camara.leg.br/api/v2/deputados/131870" TargetMode="External"/><Relationship Id="rId226" Type="http://schemas.openxmlformats.org/officeDocument/2006/relationships/hyperlink" Target="https://dadosabertos.camara.leg.br/api/v2/deputados/220663" TargetMode="External"/><Relationship Id="rId1270" Type="http://schemas.openxmlformats.org/officeDocument/2006/relationships/hyperlink" Target="https://dadosabertos.camara.leg.br/api/v2/deputados/160426" TargetMode="External"/><Relationship Id="rId5477" Type="http://schemas.openxmlformats.org/officeDocument/2006/relationships/hyperlink" Target="https://dadosabertos.camara.leg.br/api/v2/deputados/2946" TargetMode="External"/><Relationship Id="rId6875" Type="http://schemas.openxmlformats.org/officeDocument/2006/relationships/hyperlink" Target="https://dadosabertos.camara.leg.br/api/v2/deputados/1168" TargetMode="External"/><Relationship Id="rId7926" Type="http://schemas.openxmlformats.org/officeDocument/2006/relationships/hyperlink" Target="https://dadosabertos.camara.leg.br/api/v2/deputados/204" TargetMode="External"/><Relationship Id="rId640" Type="http://schemas.openxmlformats.org/officeDocument/2006/relationships/hyperlink" Target="https://dadosabertos.camara.leg.br/api/v2/deputados/223398" TargetMode="External"/><Relationship Id="rId2321" Type="http://schemas.openxmlformats.org/officeDocument/2006/relationships/hyperlink" Target="https://dadosabertos.camara.leg.br/api/v2/deputados/74633" TargetMode="External"/><Relationship Id="rId4079" Type="http://schemas.openxmlformats.org/officeDocument/2006/relationships/hyperlink" Target="https://dadosabertos.camara.leg.br/api/v2/deputados/131207" TargetMode="External"/><Relationship Id="rId5891" Type="http://schemas.openxmlformats.org/officeDocument/2006/relationships/hyperlink" Target="https://dadosabertos.camara.leg.br/api/v2/deputados/4379" TargetMode="External"/><Relationship Id="rId6528" Type="http://schemas.openxmlformats.org/officeDocument/2006/relationships/hyperlink" Target="https://dadosabertos.camara.leg.br/api/v2/deputados/3817" TargetMode="External"/><Relationship Id="rId6942" Type="http://schemas.openxmlformats.org/officeDocument/2006/relationships/hyperlink" Target="https://dadosabertos.camara.leg.br/api/v2/deputados/768" TargetMode="External"/><Relationship Id="rId4493" Type="http://schemas.openxmlformats.org/officeDocument/2006/relationships/hyperlink" Target="https://dadosabertos.camara.leg.br/api/v2/deputados/131135" TargetMode="External"/><Relationship Id="rId5544" Type="http://schemas.openxmlformats.org/officeDocument/2006/relationships/hyperlink" Target="https://dadosabertos.camara.leg.br/api/v2/deputados/2942" TargetMode="External"/><Relationship Id="rId3095" Type="http://schemas.openxmlformats.org/officeDocument/2006/relationships/hyperlink" Target="https://dadosabertos.camara.leg.br/api/v2/deputados/139248" TargetMode="External"/><Relationship Id="rId4146" Type="http://schemas.openxmlformats.org/officeDocument/2006/relationships/hyperlink" Target="https://dadosabertos.camara.leg.br/api/v2/deputados/131269" TargetMode="External"/><Relationship Id="rId4560" Type="http://schemas.openxmlformats.org/officeDocument/2006/relationships/hyperlink" Target="https://dadosabertos.camara.leg.br/api/v2/deputados/130727" TargetMode="External"/><Relationship Id="rId5611" Type="http://schemas.openxmlformats.org/officeDocument/2006/relationships/hyperlink" Target="https://dadosabertos.camara.leg.br/api/v2/deputados/2747" TargetMode="External"/><Relationship Id="rId1807" Type="http://schemas.openxmlformats.org/officeDocument/2006/relationships/hyperlink" Target="https://dadosabertos.camara.leg.br/api/v2/deputados/141477" TargetMode="External"/><Relationship Id="rId3162" Type="http://schemas.openxmlformats.org/officeDocument/2006/relationships/hyperlink" Target="https://dadosabertos.camara.leg.br/api/v2/deputados/139303" TargetMode="External"/><Relationship Id="rId4213" Type="http://schemas.openxmlformats.org/officeDocument/2006/relationships/hyperlink" Target="https://dadosabertos.camara.leg.br/api/v2/deputados/131332" TargetMode="External"/><Relationship Id="rId7369" Type="http://schemas.openxmlformats.org/officeDocument/2006/relationships/hyperlink" Target="https://dadosabertos.camara.leg.br/api/v2/deputados/843" TargetMode="External"/><Relationship Id="rId7783" Type="http://schemas.openxmlformats.org/officeDocument/2006/relationships/hyperlink" Target="https://dadosabertos.camara.leg.br/api/v2/deputados/369" TargetMode="External"/><Relationship Id="rId6385" Type="http://schemas.openxmlformats.org/officeDocument/2006/relationships/hyperlink" Target="https://dadosabertos.camara.leg.br/api/v2/deputados/1854" TargetMode="External"/><Relationship Id="rId7436" Type="http://schemas.openxmlformats.org/officeDocument/2006/relationships/hyperlink" Target="https://dadosabertos.camara.leg.br/api/v2/deputados/678" TargetMode="External"/><Relationship Id="rId150" Type="http://schemas.openxmlformats.org/officeDocument/2006/relationships/hyperlink" Target="https://dadosabertos.camara.leg.br/api/v2/deputados/220557" TargetMode="External"/><Relationship Id="rId3979" Type="http://schemas.openxmlformats.org/officeDocument/2006/relationships/hyperlink" Target="https://dadosabertos.camara.leg.br/api/v2/deputados/131470" TargetMode="External"/><Relationship Id="rId6038" Type="http://schemas.openxmlformats.org/officeDocument/2006/relationships/hyperlink" Target="https://dadosabertos.camara.leg.br/api/v2/deputados/2338" TargetMode="External"/><Relationship Id="rId6452" Type="http://schemas.openxmlformats.org/officeDocument/2006/relationships/hyperlink" Target="https://dadosabertos.camara.leg.br/api/v2/deputados/1989" TargetMode="External"/><Relationship Id="rId7850" Type="http://schemas.openxmlformats.org/officeDocument/2006/relationships/hyperlink" Target="https://dadosabertos.camara.leg.br/api/v2/deputados/159" TargetMode="External"/><Relationship Id="rId2995" Type="http://schemas.openxmlformats.org/officeDocument/2006/relationships/hyperlink" Target="https://dadosabertos.camara.leg.br/api/v2/deputados/139160" TargetMode="External"/><Relationship Id="rId5054" Type="http://schemas.openxmlformats.org/officeDocument/2006/relationships/hyperlink" Target="https://dadosabertos.camara.leg.br/api/v2/deputados/130459" TargetMode="External"/><Relationship Id="rId6105" Type="http://schemas.openxmlformats.org/officeDocument/2006/relationships/hyperlink" Target="https://dadosabertos.camara.leg.br/api/v2/deputados/4219" TargetMode="External"/><Relationship Id="rId7503" Type="http://schemas.openxmlformats.org/officeDocument/2006/relationships/hyperlink" Target="https://dadosabertos.camara.leg.br/api/v2/deputados/746" TargetMode="External"/><Relationship Id="rId967" Type="http://schemas.openxmlformats.org/officeDocument/2006/relationships/hyperlink" Target="https://dadosabertos.camara.leg.br/api/v2/deputados/141552" TargetMode="External"/><Relationship Id="rId1597" Type="http://schemas.openxmlformats.org/officeDocument/2006/relationships/hyperlink" Target="https://dadosabertos.camara.leg.br/api/v2/deputados/141543" TargetMode="External"/><Relationship Id="rId2648" Type="http://schemas.openxmlformats.org/officeDocument/2006/relationships/hyperlink" Target="https://dadosabertos.camara.leg.br/api/v2/deputados/73425" TargetMode="External"/><Relationship Id="rId1664" Type="http://schemas.openxmlformats.org/officeDocument/2006/relationships/hyperlink" Target="https://dadosabertos.camara.leg.br/api/v2/deputados/143254" TargetMode="External"/><Relationship Id="rId2715" Type="http://schemas.openxmlformats.org/officeDocument/2006/relationships/hyperlink" Target="https://dadosabertos.camara.leg.br/api/v2/deputados/133847" TargetMode="External"/><Relationship Id="rId4070" Type="http://schemas.openxmlformats.org/officeDocument/2006/relationships/hyperlink" Target="https://dadosabertos.camara.leg.br/api/v2/deputados/131200" TargetMode="External"/><Relationship Id="rId5121" Type="http://schemas.openxmlformats.org/officeDocument/2006/relationships/hyperlink" Target="https://dadosabertos.camara.leg.br/api/v2/deputados/130376" TargetMode="External"/><Relationship Id="rId1317" Type="http://schemas.openxmlformats.org/officeDocument/2006/relationships/hyperlink" Target="https://dadosabertos.camara.leg.br/api/v2/deputados/204760" TargetMode="External"/><Relationship Id="rId1731" Type="http://schemas.openxmlformats.org/officeDocument/2006/relationships/hyperlink" Target="https://dadosabertos.camara.leg.br/api/v2/deputados/143253" TargetMode="External"/><Relationship Id="rId4887" Type="http://schemas.openxmlformats.org/officeDocument/2006/relationships/hyperlink" Target="https://dadosabertos.camara.leg.br/api/v2/deputados/130521" TargetMode="External"/><Relationship Id="rId5938" Type="http://schemas.openxmlformats.org/officeDocument/2006/relationships/hyperlink" Target="https://dadosabertos.camara.leg.br/api/v2/deputados/4344" TargetMode="External"/><Relationship Id="rId7293" Type="http://schemas.openxmlformats.org/officeDocument/2006/relationships/hyperlink" Target="https://dadosabertos.camara.leg.br/api/v2/deputados/870" TargetMode="External"/><Relationship Id="rId23" Type="http://schemas.openxmlformats.org/officeDocument/2006/relationships/hyperlink" Target="https://dadosabertos.camara.leg.br/api/v2/deputados/204571" TargetMode="External"/><Relationship Id="rId3489" Type="http://schemas.openxmlformats.org/officeDocument/2006/relationships/hyperlink" Target="https://dadosabertos.camara.leg.br/api/v2/deputados/132040" TargetMode="External"/><Relationship Id="rId7360" Type="http://schemas.openxmlformats.org/officeDocument/2006/relationships/hyperlink" Target="https://dadosabertos.camara.leg.br/api/v2/deputados/226064" TargetMode="External"/><Relationship Id="rId3556" Type="http://schemas.openxmlformats.org/officeDocument/2006/relationships/hyperlink" Target="https://dadosabertos.camara.leg.br/api/v2/deputados/132095" TargetMode="External"/><Relationship Id="rId4954" Type="http://schemas.openxmlformats.org/officeDocument/2006/relationships/hyperlink" Target="https://dadosabertos.camara.leg.br/api/v2/deputados/130433" TargetMode="External"/><Relationship Id="rId7013" Type="http://schemas.openxmlformats.org/officeDocument/2006/relationships/hyperlink" Target="https://dadosabertos.camara.leg.br/api/v2/deputados/1052" TargetMode="External"/><Relationship Id="rId477" Type="http://schemas.openxmlformats.org/officeDocument/2006/relationships/hyperlink" Target="https://dadosabertos.camara.leg.br/api/v2/deputados/220584" TargetMode="External"/><Relationship Id="rId2158" Type="http://schemas.openxmlformats.org/officeDocument/2006/relationships/hyperlink" Target="https://dadosabertos.camara.leg.br/api/v2/deputados/134116" TargetMode="External"/><Relationship Id="rId3209" Type="http://schemas.openxmlformats.org/officeDocument/2006/relationships/hyperlink" Target="https://dadosabertos.camara.leg.br/api/v2/deputados/139343" TargetMode="External"/><Relationship Id="rId3970" Type="http://schemas.openxmlformats.org/officeDocument/2006/relationships/hyperlink" Target="https://dadosabertos.camara.leg.br/api/v2/deputados/131459" TargetMode="External"/><Relationship Id="rId4607" Type="http://schemas.openxmlformats.org/officeDocument/2006/relationships/hyperlink" Target="https://dadosabertos.camara.leg.br/api/v2/deputados/130831" TargetMode="External"/><Relationship Id="rId891" Type="http://schemas.openxmlformats.org/officeDocument/2006/relationships/hyperlink" Target="https://paulabelmonte.com.br/" TargetMode="External"/><Relationship Id="rId2572" Type="http://schemas.openxmlformats.org/officeDocument/2006/relationships/hyperlink" Target="https://dadosabertos.camara.leg.br/api/v2/deputados/73669" TargetMode="External"/><Relationship Id="rId3623" Type="http://schemas.openxmlformats.org/officeDocument/2006/relationships/hyperlink" Target="https://dadosabertos.camara.leg.br/api/v2/deputados/131675" TargetMode="External"/><Relationship Id="rId6779" Type="http://schemas.openxmlformats.org/officeDocument/2006/relationships/hyperlink" Target="https://dadosabertos.camara.leg.br/api/v2/deputados/1689" TargetMode="External"/><Relationship Id="rId544" Type="http://schemas.openxmlformats.org/officeDocument/2006/relationships/hyperlink" Target="https://dadosabertos.camara.leg.br/api/v2/deputados/160641" TargetMode="External"/><Relationship Id="rId1174" Type="http://schemas.openxmlformats.org/officeDocument/2006/relationships/hyperlink" Target="http://www.luizcarlosramos.com.br/" TargetMode="External"/><Relationship Id="rId2225" Type="http://schemas.openxmlformats.org/officeDocument/2006/relationships/hyperlink" Target="https://dadosabertos.camara.leg.br/api/v2/deputados/73685" TargetMode="External"/><Relationship Id="rId5795" Type="http://schemas.openxmlformats.org/officeDocument/2006/relationships/hyperlink" Target="https://dadosabertos.camara.leg.br/api/v2/deputados/2328" TargetMode="External"/><Relationship Id="rId6846" Type="http://schemas.openxmlformats.org/officeDocument/2006/relationships/hyperlink" Target="https://dadosabertos.camara.leg.br/api/v2/deputados/970" TargetMode="External"/><Relationship Id="rId611" Type="http://schemas.openxmlformats.org/officeDocument/2006/relationships/hyperlink" Target="https://dadosabertos.camara.leg.br/api/v2/deputados/204557" TargetMode="External"/><Relationship Id="rId1241" Type="http://schemas.openxmlformats.org/officeDocument/2006/relationships/hyperlink" Target="https://dadosabertos.camara.leg.br/api/v2/deputados/195997" TargetMode="External"/><Relationship Id="rId4397" Type="http://schemas.openxmlformats.org/officeDocument/2006/relationships/hyperlink" Target="https://dadosabertos.camara.leg.br/api/v2/deputados/130992" TargetMode="External"/><Relationship Id="rId5448" Type="http://schemas.openxmlformats.org/officeDocument/2006/relationships/hyperlink" Target="https://dadosabertos.camara.leg.br/api/v2/deputados/2935" TargetMode="External"/><Relationship Id="rId5862" Type="http://schemas.openxmlformats.org/officeDocument/2006/relationships/hyperlink" Target="https://dadosabertos.camara.leg.br/api/v2/deputados/2627" TargetMode="External"/><Relationship Id="rId6913" Type="http://schemas.openxmlformats.org/officeDocument/2006/relationships/hyperlink" Target="https://dadosabertos.camara.leg.br/api/v2/deputados/869" TargetMode="External"/><Relationship Id="rId4464" Type="http://schemas.openxmlformats.org/officeDocument/2006/relationships/hyperlink" Target="https://dadosabertos.camara.leg.br/api/v2/deputados/131079" TargetMode="External"/><Relationship Id="rId5515" Type="http://schemas.openxmlformats.org/officeDocument/2006/relationships/hyperlink" Target="https://dadosabertos.camara.leg.br/api/v2/deputados/4836" TargetMode="External"/><Relationship Id="rId3066" Type="http://schemas.openxmlformats.org/officeDocument/2006/relationships/hyperlink" Target="https://dadosabertos.camara.leg.br/api/v2/deputados/139223" TargetMode="External"/><Relationship Id="rId3480" Type="http://schemas.openxmlformats.org/officeDocument/2006/relationships/hyperlink" Target="https://dadosabertos.camara.leg.br/api/v2/deputados/132084" TargetMode="External"/><Relationship Id="rId4117" Type="http://schemas.openxmlformats.org/officeDocument/2006/relationships/hyperlink" Target="https://dadosabertos.camara.leg.br/api/v2/deputados/131243" TargetMode="External"/><Relationship Id="rId4531" Type="http://schemas.openxmlformats.org/officeDocument/2006/relationships/hyperlink" Target="https://dadosabertos.camara.leg.br/api/v2/deputados/131131" TargetMode="External"/><Relationship Id="rId7687" Type="http://schemas.openxmlformats.org/officeDocument/2006/relationships/hyperlink" Target="https://dadosabertos.camara.leg.br/api/v2/deputados/478" TargetMode="External"/><Relationship Id="rId2082" Type="http://schemas.openxmlformats.org/officeDocument/2006/relationships/hyperlink" Target="https://dadosabertos.camara.leg.br/api/v2/deputados/74329" TargetMode="External"/><Relationship Id="rId3133" Type="http://schemas.openxmlformats.org/officeDocument/2006/relationships/hyperlink" Target="https://dadosabertos.camara.leg.br/api/v2/deputados/132145" TargetMode="External"/><Relationship Id="rId6289" Type="http://schemas.openxmlformats.org/officeDocument/2006/relationships/hyperlink" Target="https://dadosabertos.camara.leg.br/api/v2/deputados/3599" TargetMode="External"/><Relationship Id="rId7754" Type="http://schemas.openxmlformats.org/officeDocument/2006/relationships/hyperlink" Target="https://dadosabertos.camara.leg.br/api/v2/deputados/453" TargetMode="External"/><Relationship Id="rId2899" Type="http://schemas.openxmlformats.org/officeDocument/2006/relationships/hyperlink" Target="https://dadosabertos.camara.leg.br/api/v2/deputados/65505" TargetMode="External"/><Relationship Id="rId3200" Type="http://schemas.openxmlformats.org/officeDocument/2006/relationships/hyperlink" Target="https://dadosabertos.camara.leg.br/api/v2/deputados/139335" TargetMode="External"/><Relationship Id="rId6356" Type="http://schemas.openxmlformats.org/officeDocument/2006/relationships/hyperlink" Target="https://dadosabertos.camara.leg.br/api/v2/deputados/2178" TargetMode="External"/><Relationship Id="rId6770" Type="http://schemas.openxmlformats.org/officeDocument/2006/relationships/hyperlink" Target="https://dadosabertos.camara.leg.br/api/v2/deputados/1721" TargetMode="External"/><Relationship Id="rId7407" Type="http://schemas.openxmlformats.org/officeDocument/2006/relationships/hyperlink" Target="https://dadosabertos.camara.leg.br/api/v2/deputados/807" TargetMode="External"/><Relationship Id="rId7821" Type="http://schemas.openxmlformats.org/officeDocument/2006/relationships/hyperlink" Target="https://dadosabertos.camara.leg.br/api/v2/deputados/339" TargetMode="External"/><Relationship Id="rId121" Type="http://schemas.openxmlformats.org/officeDocument/2006/relationships/hyperlink" Target="https://dadosabertos.camara.leg.br/api/v2/deputados/74537" TargetMode="External"/><Relationship Id="rId2966" Type="http://schemas.openxmlformats.org/officeDocument/2006/relationships/hyperlink" Target="https://dadosabertos.camara.leg.br/api/v2/deputados/139135" TargetMode="External"/><Relationship Id="rId5372" Type="http://schemas.openxmlformats.org/officeDocument/2006/relationships/hyperlink" Target="https://dadosabertos.camara.leg.br/api/v2/deputados/2945" TargetMode="External"/><Relationship Id="rId6009" Type="http://schemas.openxmlformats.org/officeDocument/2006/relationships/hyperlink" Target="https://dadosabertos.camara.leg.br/api/v2/deputados/2455" TargetMode="External"/><Relationship Id="rId6423" Type="http://schemas.openxmlformats.org/officeDocument/2006/relationships/hyperlink" Target="https://dadosabertos.camara.leg.br/api/v2/deputados/3717" TargetMode="External"/><Relationship Id="rId938" Type="http://schemas.openxmlformats.org/officeDocument/2006/relationships/hyperlink" Target="https://dadosabertos.camara.leg.br/api/v2/deputados/221157" TargetMode="External"/><Relationship Id="rId1568" Type="http://schemas.openxmlformats.org/officeDocument/2006/relationships/hyperlink" Target="https://dadosabertos.camara.leg.br/api/v2/deputados/74447" TargetMode="External"/><Relationship Id="rId2619" Type="http://schemas.openxmlformats.org/officeDocument/2006/relationships/hyperlink" Target="https://dadosabertos.camara.leg.br/api/v2/deputados/74130" TargetMode="External"/><Relationship Id="rId5025" Type="http://schemas.openxmlformats.org/officeDocument/2006/relationships/hyperlink" Target="https://dadosabertos.camara.leg.br/api/v2/deputados/130479" TargetMode="External"/><Relationship Id="rId1635" Type="http://schemas.openxmlformats.org/officeDocument/2006/relationships/hyperlink" Target="https://dadosabertos.camara.leg.br/api/v2/deputados/160608" TargetMode="External"/><Relationship Id="rId1982" Type="http://schemas.openxmlformats.org/officeDocument/2006/relationships/hyperlink" Target="https://dadosabertos.camara.leg.br/api/v2/deputados/73794" TargetMode="External"/><Relationship Id="rId4041" Type="http://schemas.openxmlformats.org/officeDocument/2006/relationships/hyperlink" Target="https://dadosabertos.camara.leg.br/api/v2/deputados/131173" TargetMode="External"/><Relationship Id="rId7197" Type="http://schemas.openxmlformats.org/officeDocument/2006/relationships/hyperlink" Target="https://dadosabertos.camara.leg.br/api/v2/deputados/942" TargetMode="External"/><Relationship Id="rId7264" Type="http://schemas.openxmlformats.org/officeDocument/2006/relationships/hyperlink" Target="https://dadosabertos.camara.leg.br/api/v2/deputados/219413" TargetMode="External"/><Relationship Id="rId1702" Type="http://schemas.openxmlformats.org/officeDocument/2006/relationships/hyperlink" Target="https://dadosabertos.camara.leg.br/api/v2/deputados/74835" TargetMode="External"/><Relationship Id="rId4858" Type="http://schemas.openxmlformats.org/officeDocument/2006/relationships/hyperlink" Target="https://dadosabertos.camara.leg.br/api/v2/deputados/130691" TargetMode="External"/><Relationship Id="rId5909" Type="http://schemas.openxmlformats.org/officeDocument/2006/relationships/hyperlink" Target="https://dadosabertos.camara.leg.br/api/v2/deputados/2248" TargetMode="External"/><Relationship Id="rId3874" Type="http://schemas.openxmlformats.org/officeDocument/2006/relationships/hyperlink" Target="https://dadosabertos.camara.leg.br/api/v2/deputados/131603" TargetMode="External"/><Relationship Id="rId4925" Type="http://schemas.openxmlformats.org/officeDocument/2006/relationships/hyperlink" Target="https://dadosabertos.camara.leg.br/api/v2/deputados/130393" TargetMode="External"/><Relationship Id="rId6280" Type="http://schemas.openxmlformats.org/officeDocument/2006/relationships/hyperlink" Target="https://dadosabertos.camara.leg.br/api/v2/deputados/2262" TargetMode="External"/><Relationship Id="rId7331" Type="http://schemas.openxmlformats.org/officeDocument/2006/relationships/hyperlink" Target="https://dadosabertos.camara.leg.br/api/v2/deputados/893" TargetMode="External"/><Relationship Id="rId795" Type="http://schemas.openxmlformats.org/officeDocument/2006/relationships/hyperlink" Target="https://dadosabertos.camara.leg.br/api/v2/deputados/73772" TargetMode="External"/><Relationship Id="rId2476" Type="http://schemas.openxmlformats.org/officeDocument/2006/relationships/hyperlink" Target="https://dadosabertos.camara.leg.br/api/v2/deputados/74323" TargetMode="External"/><Relationship Id="rId2890" Type="http://schemas.openxmlformats.org/officeDocument/2006/relationships/hyperlink" Target="https://dadosabertos.camara.leg.br/api/v2/deputados/133904" TargetMode="External"/><Relationship Id="rId3527" Type="http://schemas.openxmlformats.org/officeDocument/2006/relationships/hyperlink" Target="https://dadosabertos.camara.leg.br/api/v2/deputados/132076" TargetMode="External"/><Relationship Id="rId3941" Type="http://schemas.openxmlformats.org/officeDocument/2006/relationships/hyperlink" Target="https://dadosabertos.camara.leg.br/api/v2/deputados/131417" TargetMode="External"/><Relationship Id="rId448" Type="http://schemas.openxmlformats.org/officeDocument/2006/relationships/hyperlink" Target="https://dadosabertos.camara.leg.br/api/v2/deputados/227275" TargetMode="External"/><Relationship Id="rId862" Type="http://schemas.openxmlformats.org/officeDocument/2006/relationships/hyperlink" Target="https://dadosabertos.camara.leg.br/api/v2/deputados/204428" TargetMode="External"/><Relationship Id="rId1078" Type="http://schemas.openxmlformats.org/officeDocument/2006/relationships/hyperlink" Target="https://dadosabertos.camara.leg.br/api/v2/deputados/202915" TargetMode="External"/><Relationship Id="rId1492" Type="http://schemas.openxmlformats.org/officeDocument/2006/relationships/hyperlink" Target="https://dadosabertos.camara.leg.br/api/v2/deputados/73536" TargetMode="External"/><Relationship Id="rId2129" Type="http://schemas.openxmlformats.org/officeDocument/2006/relationships/hyperlink" Target="https://dadosabertos.camara.leg.br/api/v2/deputados/74023" TargetMode="External"/><Relationship Id="rId2543" Type="http://schemas.openxmlformats.org/officeDocument/2006/relationships/hyperlink" Target="https://dadosabertos.camara.leg.br/api/v2/deputados/73537" TargetMode="External"/><Relationship Id="rId5699" Type="http://schemas.openxmlformats.org/officeDocument/2006/relationships/hyperlink" Target="https://dadosabertos.camara.leg.br/api/v2/deputados/2638" TargetMode="External"/><Relationship Id="rId6000" Type="http://schemas.openxmlformats.org/officeDocument/2006/relationships/hyperlink" Target="https://dadosabertos.camara.leg.br/api/v2/deputados/4247" TargetMode="External"/><Relationship Id="rId515" Type="http://schemas.openxmlformats.org/officeDocument/2006/relationships/hyperlink" Target="http://www.pauloazi.com.br/" TargetMode="External"/><Relationship Id="rId1145" Type="http://schemas.openxmlformats.org/officeDocument/2006/relationships/hyperlink" Target="https://dadosabertos.camara.leg.br/api/v2/deputados/73714" TargetMode="External"/><Relationship Id="rId5766" Type="http://schemas.openxmlformats.org/officeDocument/2006/relationships/hyperlink" Target="https://dadosabertos.camara.leg.br/api/v2/deputados/2194" TargetMode="External"/><Relationship Id="rId1212" Type="http://schemas.openxmlformats.org/officeDocument/2006/relationships/hyperlink" Target="https://dadosabertos.camara.leg.br/api/v2/deputados/141507" TargetMode="External"/><Relationship Id="rId2610" Type="http://schemas.openxmlformats.org/officeDocument/2006/relationships/hyperlink" Target="https://dadosabertos.camara.leg.br/api/v2/deputados/74239" TargetMode="External"/><Relationship Id="rId4368" Type="http://schemas.openxmlformats.org/officeDocument/2006/relationships/hyperlink" Target="https://dadosabertos.camara.leg.br/api/v2/deputados/130967" TargetMode="External"/><Relationship Id="rId5419" Type="http://schemas.openxmlformats.org/officeDocument/2006/relationships/hyperlink" Target="https://dadosabertos.camara.leg.br/api/v2/deputados/4752" TargetMode="External"/><Relationship Id="rId6817" Type="http://schemas.openxmlformats.org/officeDocument/2006/relationships/hyperlink" Target="https://dadosabertos.camara.leg.br/api/v2/deputados/4010" TargetMode="External"/><Relationship Id="rId4782" Type="http://schemas.openxmlformats.org/officeDocument/2006/relationships/hyperlink" Target="https://dadosabertos.camara.leg.br/api/v2/deputados/130568" TargetMode="External"/><Relationship Id="rId5833" Type="http://schemas.openxmlformats.org/officeDocument/2006/relationships/hyperlink" Target="https://dadosabertos.camara.leg.br/api/v2/deputados/2540" TargetMode="External"/><Relationship Id="rId3037" Type="http://schemas.openxmlformats.org/officeDocument/2006/relationships/hyperlink" Target="https://dadosabertos.camara.leg.br/api/v2/deputados/139198" TargetMode="External"/><Relationship Id="rId3384" Type="http://schemas.openxmlformats.org/officeDocument/2006/relationships/hyperlink" Target="https://dadosabertos.camara.leg.br/api/v2/deputados/131931" TargetMode="External"/><Relationship Id="rId4435" Type="http://schemas.openxmlformats.org/officeDocument/2006/relationships/hyperlink" Target="https://dadosabertos.camara.leg.br/api/v2/deputados/131028" TargetMode="External"/><Relationship Id="rId5900" Type="http://schemas.openxmlformats.org/officeDocument/2006/relationships/hyperlink" Target="https://dadosabertos.camara.leg.br/api/v2/deputados/130155" TargetMode="External"/><Relationship Id="rId3451" Type="http://schemas.openxmlformats.org/officeDocument/2006/relationships/hyperlink" Target="https://dadosabertos.camara.leg.br/api/v2/deputados/131960" TargetMode="External"/><Relationship Id="rId4502" Type="http://schemas.openxmlformats.org/officeDocument/2006/relationships/hyperlink" Target="https://dadosabertos.camara.leg.br/api/v2/deputados/131093" TargetMode="External"/><Relationship Id="rId7658" Type="http://schemas.openxmlformats.org/officeDocument/2006/relationships/hyperlink" Target="https://dadosabertos.camara.leg.br/api/v2/deputados/137" TargetMode="External"/><Relationship Id="rId372" Type="http://schemas.openxmlformats.org/officeDocument/2006/relationships/hyperlink" Target="https://dadosabertos.camara.leg.br/api/v2/deputados/141480" TargetMode="External"/><Relationship Id="rId2053" Type="http://schemas.openxmlformats.org/officeDocument/2006/relationships/hyperlink" Target="https://dadosabertos.camara.leg.br/api/v2/deputados/74176" TargetMode="External"/><Relationship Id="rId3104" Type="http://schemas.openxmlformats.org/officeDocument/2006/relationships/hyperlink" Target="https://dadosabertos.camara.leg.br/api/v2/deputados/1540" TargetMode="External"/><Relationship Id="rId6674" Type="http://schemas.openxmlformats.org/officeDocument/2006/relationships/hyperlink" Target="https://dadosabertos.camara.leg.br/api/v2/deputados/1896" TargetMode="External"/><Relationship Id="rId7725" Type="http://schemas.openxmlformats.org/officeDocument/2006/relationships/hyperlink" Target="https://dadosabertos.camara.leg.br/api/v2/deputados/518" TargetMode="External"/><Relationship Id="rId2120" Type="http://schemas.openxmlformats.org/officeDocument/2006/relationships/hyperlink" Target="https://dadosabertos.camara.leg.br/api/v2/deputados/74280" TargetMode="External"/><Relationship Id="rId5276" Type="http://schemas.openxmlformats.org/officeDocument/2006/relationships/hyperlink" Target="https://dadosabertos.camara.leg.br/api/v2/deputados/4908" TargetMode="External"/><Relationship Id="rId5690" Type="http://schemas.openxmlformats.org/officeDocument/2006/relationships/hyperlink" Target="https://dadosabertos.camara.leg.br/api/v2/deputados/2583" TargetMode="External"/><Relationship Id="rId6327" Type="http://schemas.openxmlformats.org/officeDocument/2006/relationships/hyperlink" Target="https://dadosabertos.camara.leg.br/api/v2/deputados/3624" TargetMode="External"/><Relationship Id="rId6741" Type="http://schemas.openxmlformats.org/officeDocument/2006/relationships/hyperlink" Target="https://dadosabertos.camara.leg.br/api/v2/deputados/1723" TargetMode="External"/><Relationship Id="rId4292" Type="http://schemas.openxmlformats.org/officeDocument/2006/relationships/hyperlink" Target="https://dadosabertos.camara.leg.br/api/v2/deputados/130899" TargetMode="External"/><Relationship Id="rId5343" Type="http://schemas.openxmlformats.org/officeDocument/2006/relationships/hyperlink" Target="https://dadosabertos.camara.leg.br/api/v2/deputados/2732" TargetMode="External"/><Relationship Id="rId1886" Type="http://schemas.openxmlformats.org/officeDocument/2006/relationships/hyperlink" Target="https://dadosabertos.camara.leg.br/api/v2/deputados/73998" TargetMode="External"/><Relationship Id="rId2937" Type="http://schemas.openxmlformats.org/officeDocument/2006/relationships/hyperlink" Target="https://dadosabertos.camara.leg.br/api/v2/deputados/133860" TargetMode="External"/><Relationship Id="rId909" Type="http://schemas.openxmlformats.org/officeDocument/2006/relationships/hyperlink" Target="http://www.professoradorinha.com.br/" TargetMode="External"/><Relationship Id="rId1539" Type="http://schemas.openxmlformats.org/officeDocument/2006/relationships/hyperlink" Target="https://dadosabertos.camara.leg.br/api/v2/deputados/74363" TargetMode="External"/><Relationship Id="rId1953" Type="http://schemas.openxmlformats.org/officeDocument/2006/relationships/hyperlink" Target="https://dadosabertos.camara.leg.br/api/v2/deputados/74484" TargetMode="External"/><Relationship Id="rId5410" Type="http://schemas.openxmlformats.org/officeDocument/2006/relationships/hyperlink" Target="https://dadosabertos.camara.leg.br/api/v2/deputados/2866" TargetMode="External"/><Relationship Id="rId7168" Type="http://schemas.openxmlformats.org/officeDocument/2006/relationships/hyperlink" Target="https://dadosabertos.camara.leg.br/api/v2/deputados/799" TargetMode="External"/><Relationship Id="rId1606" Type="http://schemas.openxmlformats.org/officeDocument/2006/relationships/hyperlink" Target="https://dadosabertos.camara.leg.br/api/v2/deputados/74027" TargetMode="External"/><Relationship Id="rId4012" Type="http://schemas.openxmlformats.org/officeDocument/2006/relationships/hyperlink" Target="https://dadosabertos.camara.leg.br/api/v2/deputados/131493" TargetMode="External"/><Relationship Id="rId7582" Type="http://schemas.openxmlformats.org/officeDocument/2006/relationships/hyperlink" Target="https://dadosabertos.camara.leg.br/api/v2/deputados/628" TargetMode="External"/><Relationship Id="rId3778" Type="http://schemas.openxmlformats.org/officeDocument/2006/relationships/hyperlink" Target="https://dadosabertos.camara.leg.br/api/v2/deputados/131510" TargetMode="External"/><Relationship Id="rId4829" Type="http://schemas.openxmlformats.org/officeDocument/2006/relationships/hyperlink" Target="https://dadosabertos.camara.leg.br/api/v2/deputados/130649" TargetMode="External"/><Relationship Id="rId6184" Type="http://schemas.openxmlformats.org/officeDocument/2006/relationships/hyperlink" Target="https://dadosabertos.camara.leg.br/api/v2/deputados/2408" TargetMode="External"/><Relationship Id="rId7235" Type="http://schemas.openxmlformats.org/officeDocument/2006/relationships/hyperlink" Target="https://dadosabertos.camara.leg.br/api/v2/deputados/533" TargetMode="External"/><Relationship Id="rId699" Type="http://schemas.openxmlformats.org/officeDocument/2006/relationships/hyperlink" Target="https://dadosabertos.camara.leg.br/api/v2/deputados/204397" TargetMode="External"/><Relationship Id="rId2794" Type="http://schemas.openxmlformats.org/officeDocument/2006/relationships/hyperlink" Target="https://dadosabertos.camara.leg.br/api/v2/deputados/133863" TargetMode="External"/><Relationship Id="rId3845" Type="http://schemas.openxmlformats.org/officeDocument/2006/relationships/hyperlink" Target="https://dadosabertos.camara.leg.br/api/v2/deputados/131579" TargetMode="External"/><Relationship Id="rId6251" Type="http://schemas.openxmlformats.org/officeDocument/2006/relationships/hyperlink" Target="https://dadosabertos.camara.leg.br/api/v2/deputados/3559" TargetMode="External"/><Relationship Id="rId7302" Type="http://schemas.openxmlformats.org/officeDocument/2006/relationships/hyperlink" Target="https://dadosabertos.camara.leg.br/api/v2/deputados/885" TargetMode="External"/><Relationship Id="rId766" Type="http://schemas.openxmlformats.org/officeDocument/2006/relationships/hyperlink" Target="https://dadosabertos.camara.leg.br/api/v2/deputados/212504" TargetMode="External"/><Relationship Id="rId1396" Type="http://schemas.openxmlformats.org/officeDocument/2006/relationships/hyperlink" Target="https://dadosabertos.camara.leg.br/api/v2/deputados/73924" TargetMode="External"/><Relationship Id="rId2447" Type="http://schemas.openxmlformats.org/officeDocument/2006/relationships/hyperlink" Target="https://dadosabertos.camara.leg.br/api/v2/deputados/74311" TargetMode="External"/><Relationship Id="rId419" Type="http://schemas.openxmlformats.org/officeDocument/2006/relationships/hyperlink" Target="https://dadosabertos.camara.leg.br/api/v2/deputados/166402" TargetMode="External"/><Relationship Id="rId1049" Type="http://schemas.openxmlformats.org/officeDocument/2006/relationships/hyperlink" Target="https://dadosabertos.camara.leg.br/api/v2/deputados/178841" TargetMode="External"/><Relationship Id="rId2861" Type="http://schemas.openxmlformats.org/officeDocument/2006/relationships/hyperlink" Target="https://dadosabertos.camara.leg.br/api/v2/deputados/133908" TargetMode="External"/><Relationship Id="rId3912" Type="http://schemas.openxmlformats.org/officeDocument/2006/relationships/hyperlink" Target="https://dadosabertos.camara.leg.br/api/v2/deputados/131395" TargetMode="External"/><Relationship Id="rId833" Type="http://schemas.openxmlformats.org/officeDocument/2006/relationships/hyperlink" Target="https://dadosabertos.camara.leg.br/api/v2/deputados/178879" TargetMode="External"/><Relationship Id="rId1116" Type="http://schemas.openxmlformats.org/officeDocument/2006/relationships/hyperlink" Target="https://dadosabertos.camara.leg.br/api/v2/deputados/178855" TargetMode="External"/><Relationship Id="rId1463" Type="http://schemas.openxmlformats.org/officeDocument/2006/relationships/hyperlink" Target="https://dadosabertos.camara.leg.br/api/v2/deputados/74324" TargetMode="External"/><Relationship Id="rId2514" Type="http://schemas.openxmlformats.org/officeDocument/2006/relationships/hyperlink" Target="https://dadosabertos.camara.leg.br/api/v2/deputados/73453" TargetMode="External"/><Relationship Id="rId7092" Type="http://schemas.openxmlformats.org/officeDocument/2006/relationships/hyperlink" Target="https://dadosabertos.camara.leg.br/api/v2/deputados/858" TargetMode="External"/><Relationship Id="rId900" Type="http://schemas.openxmlformats.org/officeDocument/2006/relationships/hyperlink" Target="https://dadosabertos.camara.leg.br/api/v2/deputados/217330" TargetMode="External"/><Relationship Id="rId1530" Type="http://schemas.openxmlformats.org/officeDocument/2006/relationships/hyperlink" Target="https://dadosabertos.camara.leg.br/api/v2/deputados/179382" TargetMode="External"/><Relationship Id="rId4686" Type="http://schemas.openxmlformats.org/officeDocument/2006/relationships/hyperlink" Target="https://dadosabertos.camara.leg.br/api/v2/deputados/130861" TargetMode="External"/><Relationship Id="rId5737" Type="http://schemas.openxmlformats.org/officeDocument/2006/relationships/hyperlink" Target="https://dadosabertos.camara.leg.br/api/v2/deputados/4477" TargetMode="External"/><Relationship Id="rId3288" Type="http://schemas.openxmlformats.org/officeDocument/2006/relationships/hyperlink" Target="https://dadosabertos.camara.leg.br/api/v2/deputados/131858" TargetMode="External"/><Relationship Id="rId4339" Type="http://schemas.openxmlformats.org/officeDocument/2006/relationships/hyperlink" Target="https://dadosabertos.camara.leg.br/api/v2/deputados/130907" TargetMode="External"/><Relationship Id="rId4753" Type="http://schemas.openxmlformats.org/officeDocument/2006/relationships/hyperlink" Target="https://dadosabertos.camara.leg.br/api/v2/deputados/130548" TargetMode="External"/><Relationship Id="rId5804" Type="http://schemas.openxmlformats.org/officeDocument/2006/relationships/hyperlink" Target="https://dadosabertos.camara.leg.br/api/v2/deputados/2632" TargetMode="External"/><Relationship Id="rId3355" Type="http://schemas.openxmlformats.org/officeDocument/2006/relationships/hyperlink" Target="https://dadosabertos.camara.leg.br/api/v2/deputados/131909" TargetMode="External"/><Relationship Id="rId4406" Type="http://schemas.openxmlformats.org/officeDocument/2006/relationships/hyperlink" Target="https://dadosabertos.camara.leg.br/api/v2/deputados/131008" TargetMode="External"/><Relationship Id="rId7976" Type="http://schemas.openxmlformats.org/officeDocument/2006/relationships/hyperlink" Target="https://dadosabertos.camara.leg.br/api/v2/deputados/163" TargetMode="External"/><Relationship Id="rId276" Type="http://schemas.openxmlformats.org/officeDocument/2006/relationships/hyperlink" Target="https://dadosabertos.camara.leg.br/api/v2/deputados/220529" TargetMode="External"/><Relationship Id="rId690" Type="http://schemas.openxmlformats.org/officeDocument/2006/relationships/hyperlink" Target="https://dadosabertos.camara.leg.br/api/v2/deputados/204414" TargetMode="External"/><Relationship Id="rId2371" Type="http://schemas.openxmlformats.org/officeDocument/2006/relationships/hyperlink" Target="https://dadosabertos.camara.leg.br/api/v2/deputados/74353" TargetMode="External"/><Relationship Id="rId3008" Type="http://schemas.openxmlformats.org/officeDocument/2006/relationships/hyperlink" Target="https://dadosabertos.camara.leg.br/api/v2/deputados/139173" TargetMode="External"/><Relationship Id="rId3422" Type="http://schemas.openxmlformats.org/officeDocument/2006/relationships/hyperlink" Target="https://dadosabertos.camara.leg.br/api/v2/deputados/131971" TargetMode="External"/><Relationship Id="rId4820" Type="http://schemas.openxmlformats.org/officeDocument/2006/relationships/hyperlink" Target="https://dadosabertos.camara.leg.br/api/v2/deputados/130613" TargetMode="External"/><Relationship Id="rId6578" Type="http://schemas.openxmlformats.org/officeDocument/2006/relationships/hyperlink" Target="https://dadosabertos.camara.leg.br/api/v2/deputados/2108" TargetMode="External"/><Relationship Id="rId7629" Type="http://schemas.openxmlformats.org/officeDocument/2006/relationships/hyperlink" Target="https://dadosabertos.camara.leg.br/api/v2/deputados/561" TargetMode="External"/><Relationship Id="rId343" Type="http://schemas.openxmlformats.org/officeDocument/2006/relationships/hyperlink" Target="https://dadosabertos.camara.leg.br/api/v2/deputados/74079" TargetMode="External"/><Relationship Id="rId2024" Type="http://schemas.openxmlformats.org/officeDocument/2006/relationships/hyperlink" Target="https://dadosabertos.camara.leg.br/api/v2/deputados/133376" TargetMode="External"/><Relationship Id="rId6992" Type="http://schemas.openxmlformats.org/officeDocument/2006/relationships/hyperlink" Target="https://dadosabertos.camara.leg.br/api/v2/deputados/1212" TargetMode="External"/><Relationship Id="rId1040" Type="http://schemas.openxmlformats.org/officeDocument/2006/relationships/hyperlink" Target="https://dadosabertos.camara.leg.br/api/v2/deputados/178900" TargetMode="External"/><Relationship Id="rId4196" Type="http://schemas.openxmlformats.org/officeDocument/2006/relationships/hyperlink" Target="https://dadosabertos.camara.leg.br/api/v2/deputados/131318" TargetMode="External"/><Relationship Id="rId5247" Type="http://schemas.openxmlformats.org/officeDocument/2006/relationships/hyperlink" Target="https://dadosabertos.camara.leg.br/api/v2/deputados/4888" TargetMode="External"/><Relationship Id="rId5594" Type="http://schemas.openxmlformats.org/officeDocument/2006/relationships/hyperlink" Target="https://dadosabertos.camara.leg.br/api/v2/deputados/2779" TargetMode="External"/><Relationship Id="rId6645" Type="http://schemas.openxmlformats.org/officeDocument/2006/relationships/hyperlink" Target="https://dadosabertos.camara.leg.br/api/v2/deputados/1773" TargetMode="External"/><Relationship Id="rId410" Type="http://schemas.openxmlformats.org/officeDocument/2006/relationships/hyperlink" Target="https://dadosabertos.camara.leg.br/api/v2/deputados/220658" TargetMode="External"/><Relationship Id="rId5661" Type="http://schemas.openxmlformats.org/officeDocument/2006/relationships/hyperlink" Target="https://dadosabertos.camara.leg.br/api/v2/deputados/2817" TargetMode="External"/><Relationship Id="rId6712" Type="http://schemas.openxmlformats.org/officeDocument/2006/relationships/hyperlink" Target="https://dadosabertos.camara.leg.br/api/v2/deputados/3966" TargetMode="External"/><Relationship Id="rId1857" Type="http://schemas.openxmlformats.org/officeDocument/2006/relationships/hyperlink" Target="https://dadosabertos.camara.leg.br/api/v2/deputados/74102" TargetMode="External"/><Relationship Id="rId2908" Type="http://schemas.openxmlformats.org/officeDocument/2006/relationships/hyperlink" Target="https://dadosabertos.camara.leg.br/api/v2/deputados/73802" TargetMode="External"/><Relationship Id="rId4263" Type="http://schemas.openxmlformats.org/officeDocument/2006/relationships/hyperlink" Target="https://dadosabertos.camara.leg.br/api/v2/deputados/131379" TargetMode="External"/><Relationship Id="rId5314" Type="http://schemas.openxmlformats.org/officeDocument/2006/relationships/hyperlink" Target="https://dadosabertos.camara.leg.br/api/v2/deputados/4658" TargetMode="External"/><Relationship Id="rId1924" Type="http://schemas.openxmlformats.org/officeDocument/2006/relationships/hyperlink" Target="https://dadosabertos.camara.leg.br/api/v2/deputados/73430" TargetMode="External"/><Relationship Id="rId4330" Type="http://schemas.openxmlformats.org/officeDocument/2006/relationships/hyperlink" Target="https://dadosabertos.camara.leg.br/api/v2/deputados/130936" TargetMode="External"/><Relationship Id="rId7486" Type="http://schemas.openxmlformats.org/officeDocument/2006/relationships/hyperlink" Target="https://dadosabertos.camara.leg.br/api/v2/deputados/441" TargetMode="External"/><Relationship Id="rId6088" Type="http://schemas.openxmlformats.org/officeDocument/2006/relationships/hyperlink" Target="https://dadosabertos.camara.leg.br/api/v2/deputados/2432" TargetMode="External"/><Relationship Id="rId7139" Type="http://schemas.openxmlformats.org/officeDocument/2006/relationships/hyperlink" Target="https://dadosabertos.camara.leg.br/api/v2/deputados/968" TargetMode="External"/><Relationship Id="rId7553" Type="http://schemas.openxmlformats.org/officeDocument/2006/relationships/hyperlink" Target="https://dadosabertos.camara.leg.br/api/v2/deputados/427" TargetMode="External"/><Relationship Id="rId2698" Type="http://schemas.openxmlformats.org/officeDocument/2006/relationships/hyperlink" Target="https://dadosabertos.camara.leg.br/api/v2/deputados/133899" TargetMode="External"/><Relationship Id="rId6155" Type="http://schemas.openxmlformats.org/officeDocument/2006/relationships/hyperlink" Target="https://dadosabertos.camara.leg.br/api/v2/deputados/2218" TargetMode="External"/><Relationship Id="rId7206" Type="http://schemas.openxmlformats.org/officeDocument/2006/relationships/hyperlink" Target="https://dadosabertos.camara.leg.br/api/v2/deputados/1004" TargetMode="External"/><Relationship Id="rId3749" Type="http://schemas.openxmlformats.org/officeDocument/2006/relationships/hyperlink" Target="https://dadosabertos.camara.leg.br/api/v2/deputados/131801" TargetMode="External"/><Relationship Id="rId5171" Type="http://schemas.openxmlformats.org/officeDocument/2006/relationships/hyperlink" Target="https://dadosabertos.camara.leg.br/api/v2/deputados/130336" TargetMode="External"/><Relationship Id="rId6222" Type="http://schemas.openxmlformats.org/officeDocument/2006/relationships/hyperlink" Target="https://dadosabertos.camara.leg.br/api/v2/deputados/1765" TargetMode="External"/><Relationship Id="rId7620" Type="http://schemas.openxmlformats.org/officeDocument/2006/relationships/hyperlink" Target="https://dadosabertos.camara.leg.br/api/v2/deputados/437" TargetMode="External"/><Relationship Id="rId2765" Type="http://schemas.openxmlformats.org/officeDocument/2006/relationships/hyperlink" Target="https://dadosabertos.camara.leg.br/api/v2/deputados/133964" TargetMode="External"/><Relationship Id="rId3816" Type="http://schemas.openxmlformats.org/officeDocument/2006/relationships/hyperlink" Target="https://dadosabertos.camara.leg.br/api/v2/deputados/131542" TargetMode="External"/><Relationship Id="rId737" Type="http://schemas.openxmlformats.org/officeDocument/2006/relationships/hyperlink" Target="https://dadosabertos.camara.leg.br/api/v2/deputados/178994" TargetMode="External"/><Relationship Id="rId1367" Type="http://schemas.openxmlformats.org/officeDocument/2006/relationships/hyperlink" Target="https://dadosabertos.camara.leg.br/api/v2/deputados/160554" TargetMode="External"/><Relationship Id="rId1781" Type="http://schemas.openxmlformats.org/officeDocument/2006/relationships/hyperlink" Target="https://dadosabertos.camara.leg.br/api/v2/deputados/74528" TargetMode="External"/><Relationship Id="rId2418" Type="http://schemas.openxmlformats.org/officeDocument/2006/relationships/hyperlink" Target="https://dadosabertos.camara.leg.br/api/v2/deputados/73573" TargetMode="External"/><Relationship Id="rId2832" Type="http://schemas.openxmlformats.org/officeDocument/2006/relationships/hyperlink" Target="https://dadosabertos.camara.leg.br/api/v2/deputados/73826" TargetMode="External"/><Relationship Id="rId5988" Type="http://schemas.openxmlformats.org/officeDocument/2006/relationships/hyperlink" Target="https://dadosabertos.camara.leg.br/api/v2/deputados/2241" TargetMode="External"/><Relationship Id="rId73" Type="http://schemas.openxmlformats.org/officeDocument/2006/relationships/hyperlink" Target="https://www.instagram.com/baleia.rossi" TargetMode="External"/><Relationship Id="rId804" Type="http://schemas.openxmlformats.org/officeDocument/2006/relationships/hyperlink" Target="https://dadosabertos.camara.leg.br/api/v2/deputados/178842" TargetMode="External"/><Relationship Id="rId1434" Type="http://schemas.openxmlformats.org/officeDocument/2006/relationships/hyperlink" Target="https://dadosabertos.camara.leg.br/api/v2/deputados/74062" TargetMode="External"/><Relationship Id="rId1501" Type="http://schemas.openxmlformats.org/officeDocument/2006/relationships/hyperlink" Target="https://dadosabertos.camara.leg.br/api/v2/deputados/4929" TargetMode="External"/><Relationship Id="rId4657" Type="http://schemas.openxmlformats.org/officeDocument/2006/relationships/hyperlink" Target="https://dadosabertos.camara.leg.br/api/v2/deputados/130830" TargetMode="External"/><Relationship Id="rId5708" Type="http://schemas.openxmlformats.org/officeDocument/2006/relationships/hyperlink" Target="https://dadosabertos.camara.leg.br/api/v2/deputados/2579" TargetMode="External"/><Relationship Id="rId7063" Type="http://schemas.openxmlformats.org/officeDocument/2006/relationships/hyperlink" Target="https://dadosabertos.camara.leg.br/api/v2/deputados/1070" TargetMode="External"/><Relationship Id="rId3259" Type="http://schemas.openxmlformats.org/officeDocument/2006/relationships/hyperlink" Target="https://dadosabertos.camara.leg.br/api/v2/deputados/131826" TargetMode="External"/><Relationship Id="rId7130" Type="http://schemas.openxmlformats.org/officeDocument/2006/relationships/hyperlink" Target="https://dadosabertos.camara.leg.br/api/v2/deputados/1012" TargetMode="External"/><Relationship Id="rId594" Type="http://schemas.openxmlformats.org/officeDocument/2006/relationships/hyperlink" Target="https://dadosabertos.camara.leg.br/api/v2/deputados/73806" TargetMode="External"/><Relationship Id="rId2275" Type="http://schemas.openxmlformats.org/officeDocument/2006/relationships/hyperlink" Target="https://dadosabertos.camara.leg.br/api/v2/deputados/73900" TargetMode="External"/><Relationship Id="rId3326" Type="http://schemas.openxmlformats.org/officeDocument/2006/relationships/hyperlink" Target="https://dadosabertos.camara.leg.br/api/v2/deputados/131884" TargetMode="External"/><Relationship Id="rId3673" Type="http://schemas.openxmlformats.org/officeDocument/2006/relationships/hyperlink" Target="https://dadosabertos.camara.leg.br/api/v2/deputados/131724" TargetMode="External"/><Relationship Id="rId4724" Type="http://schemas.openxmlformats.org/officeDocument/2006/relationships/hyperlink" Target="https://dadosabertos.camara.leg.br/api/v2/deputados/130887" TargetMode="External"/><Relationship Id="rId247" Type="http://schemas.openxmlformats.org/officeDocument/2006/relationships/hyperlink" Target="https://dadosabertos.camara.leg.br/api/v2/deputados/160666" TargetMode="External"/><Relationship Id="rId3740" Type="http://schemas.openxmlformats.org/officeDocument/2006/relationships/hyperlink" Target="https://dadosabertos.camara.leg.br/api/v2/deputados/131792" TargetMode="External"/><Relationship Id="rId6896" Type="http://schemas.openxmlformats.org/officeDocument/2006/relationships/hyperlink" Target="https://dadosabertos.camara.leg.br/api/v2/deputados/1224" TargetMode="External"/><Relationship Id="rId7947" Type="http://schemas.openxmlformats.org/officeDocument/2006/relationships/hyperlink" Target="https://dadosabertos.camara.leg.br/api/v2/deputados/115" TargetMode="External"/><Relationship Id="rId661" Type="http://schemas.openxmlformats.org/officeDocument/2006/relationships/hyperlink" Target="https://dadosabertos.camara.leg.br/api/v2/deputados/230768" TargetMode="External"/><Relationship Id="rId1291" Type="http://schemas.openxmlformats.org/officeDocument/2006/relationships/hyperlink" Target="https://dadosabertos.camara.leg.br/api/v2/deputados/4930" TargetMode="External"/><Relationship Id="rId2342" Type="http://schemas.openxmlformats.org/officeDocument/2006/relationships/hyperlink" Target="https://dadosabertos.camara.leg.br/api/v2/deputados/74243" TargetMode="External"/><Relationship Id="rId5498" Type="http://schemas.openxmlformats.org/officeDocument/2006/relationships/hyperlink" Target="https://dadosabertos.camara.leg.br/api/v2/deputados/4719" TargetMode="External"/><Relationship Id="rId6549" Type="http://schemas.openxmlformats.org/officeDocument/2006/relationships/hyperlink" Target="https://dadosabertos.camara.leg.br/api/v2/deputados/2064" TargetMode="External"/><Relationship Id="rId6963" Type="http://schemas.openxmlformats.org/officeDocument/2006/relationships/hyperlink" Target="https://dadosabertos.camara.leg.br/api/v2/deputados/1120" TargetMode="External"/><Relationship Id="rId314" Type="http://schemas.openxmlformats.org/officeDocument/2006/relationships/hyperlink" Target="https://dadosabertos.camara.leg.br/api/v2/deputados/98615" TargetMode="External"/><Relationship Id="rId5565" Type="http://schemas.openxmlformats.org/officeDocument/2006/relationships/hyperlink" Target="https://dadosabertos.camara.leg.br/api/v2/deputados/4557" TargetMode="External"/><Relationship Id="rId6616" Type="http://schemas.openxmlformats.org/officeDocument/2006/relationships/hyperlink" Target="https://dadosabertos.camara.leg.br/api/v2/deputados/1824" TargetMode="External"/><Relationship Id="rId1011" Type="http://schemas.openxmlformats.org/officeDocument/2006/relationships/hyperlink" Target="https://dadosabertos.camara.leg.br/api/v2/deputados/74291" TargetMode="External"/><Relationship Id="rId4167" Type="http://schemas.openxmlformats.org/officeDocument/2006/relationships/hyperlink" Target="https://dadosabertos.camara.leg.br/api/v2/deputados/1695" TargetMode="External"/><Relationship Id="rId4581" Type="http://schemas.openxmlformats.org/officeDocument/2006/relationships/hyperlink" Target="https://dadosabertos.camara.leg.br/api/v2/deputados/130457" TargetMode="External"/><Relationship Id="rId5218" Type="http://schemas.openxmlformats.org/officeDocument/2006/relationships/hyperlink" Target="https://dadosabertos.camara.leg.br/api/v2/deputados/2967" TargetMode="External"/><Relationship Id="rId5632" Type="http://schemas.openxmlformats.org/officeDocument/2006/relationships/hyperlink" Target="https://dadosabertos.camara.leg.br/api/v2/deputados/4586" TargetMode="External"/><Relationship Id="rId3183" Type="http://schemas.openxmlformats.org/officeDocument/2006/relationships/hyperlink" Target="https://dadosabertos.camara.leg.br/api/v2/deputados/139323" TargetMode="External"/><Relationship Id="rId4234" Type="http://schemas.openxmlformats.org/officeDocument/2006/relationships/hyperlink" Target="https://dadosabertos.camara.leg.br/api/v2/deputados/131350" TargetMode="External"/><Relationship Id="rId1828" Type="http://schemas.openxmlformats.org/officeDocument/2006/relationships/hyperlink" Target="https://dadosabertos.camara.leg.br/api/v2/deputados/141505" TargetMode="External"/><Relationship Id="rId3250" Type="http://schemas.openxmlformats.org/officeDocument/2006/relationships/hyperlink" Target="https://dadosabertos.camara.leg.br/api/v2/deputados/139380" TargetMode="External"/><Relationship Id="rId7457" Type="http://schemas.openxmlformats.org/officeDocument/2006/relationships/hyperlink" Target="https://dadosabertos.camara.leg.br/api/v2/deputados/694" TargetMode="External"/><Relationship Id="rId171" Type="http://schemas.openxmlformats.org/officeDocument/2006/relationships/hyperlink" Target="https://dadosabertos.camara.leg.br/api/v2/deputados/220705" TargetMode="External"/><Relationship Id="rId4301" Type="http://schemas.openxmlformats.org/officeDocument/2006/relationships/hyperlink" Target="https://dadosabertos.camara.leg.br/api/v2/deputados/130910" TargetMode="External"/><Relationship Id="rId6059" Type="http://schemas.openxmlformats.org/officeDocument/2006/relationships/hyperlink" Target="https://dadosabertos.camara.leg.br/api/v2/deputados/2446" TargetMode="External"/><Relationship Id="rId7871" Type="http://schemas.openxmlformats.org/officeDocument/2006/relationships/hyperlink" Target="https://dadosabertos.camara.leg.br/api/v2/deputados/287" TargetMode="External"/><Relationship Id="rId6473" Type="http://schemas.openxmlformats.org/officeDocument/2006/relationships/hyperlink" Target="https://dadosabertos.camara.leg.br/api/v2/deputados/2087" TargetMode="External"/><Relationship Id="rId7524" Type="http://schemas.openxmlformats.org/officeDocument/2006/relationships/hyperlink" Target="https://dadosabertos.camara.leg.br/api/v2/deputados/639" TargetMode="External"/><Relationship Id="rId988" Type="http://schemas.openxmlformats.org/officeDocument/2006/relationships/hyperlink" Target="https://dadosabertos.camara.leg.br/api/v2/deputados/178903" TargetMode="External"/><Relationship Id="rId2669" Type="http://schemas.openxmlformats.org/officeDocument/2006/relationships/hyperlink" Target="https://dadosabertos.camara.leg.br/api/v2/deputados/133958" TargetMode="External"/><Relationship Id="rId5075" Type="http://schemas.openxmlformats.org/officeDocument/2006/relationships/hyperlink" Target="https://dadosabertos.camara.leg.br/api/v2/deputados/130405" TargetMode="External"/><Relationship Id="rId6126" Type="http://schemas.openxmlformats.org/officeDocument/2006/relationships/hyperlink" Target="https://dadosabertos.camara.leg.br/api/v2/deputados/2483" TargetMode="External"/><Relationship Id="rId6540" Type="http://schemas.openxmlformats.org/officeDocument/2006/relationships/hyperlink" Target="https://dadosabertos.camara.leg.br/api/v2/deputados/3839" TargetMode="External"/><Relationship Id="rId1685" Type="http://schemas.openxmlformats.org/officeDocument/2006/relationships/hyperlink" Target="https://dadosabertos.camara.leg.br/api/v2/deputados/74472" TargetMode="External"/><Relationship Id="rId2736" Type="http://schemas.openxmlformats.org/officeDocument/2006/relationships/hyperlink" Target="https://dadosabertos.camara.leg.br/api/v2/deputados/133917" TargetMode="External"/><Relationship Id="rId4091" Type="http://schemas.openxmlformats.org/officeDocument/2006/relationships/hyperlink" Target="https://dadosabertos.camara.leg.br/api/v2/deputados/131212" TargetMode="External"/><Relationship Id="rId5142" Type="http://schemas.openxmlformats.org/officeDocument/2006/relationships/hyperlink" Target="https://dadosabertos.camara.leg.br/api/v2/deputados/130314" TargetMode="External"/><Relationship Id="rId708" Type="http://schemas.openxmlformats.org/officeDocument/2006/relationships/hyperlink" Target="https://dadosabertos.camara.leg.br/api/v2/deputados/141401" TargetMode="External"/><Relationship Id="rId1338" Type="http://schemas.openxmlformats.org/officeDocument/2006/relationships/hyperlink" Target="https://dadosabertos.camara.leg.br/api/v2/deputados/160579" TargetMode="External"/><Relationship Id="rId1405" Type="http://schemas.openxmlformats.org/officeDocument/2006/relationships/hyperlink" Target="https://dadosabertos.camara.leg.br/api/v2/deputados/118384" TargetMode="External"/><Relationship Id="rId1752" Type="http://schemas.openxmlformats.org/officeDocument/2006/relationships/hyperlink" Target="https://dadosabertos.camara.leg.br/api/v2/deputados/74658" TargetMode="External"/><Relationship Id="rId2803" Type="http://schemas.openxmlformats.org/officeDocument/2006/relationships/hyperlink" Target="https://dadosabertos.camara.leg.br/api/v2/deputados/73747" TargetMode="External"/><Relationship Id="rId5959" Type="http://schemas.openxmlformats.org/officeDocument/2006/relationships/hyperlink" Target="https://dadosabertos.camara.leg.br/api/v2/deputados/2568" TargetMode="External"/><Relationship Id="rId7381" Type="http://schemas.openxmlformats.org/officeDocument/2006/relationships/hyperlink" Target="https://dadosabertos.camara.leg.br/api/v2/deputados/852" TargetMode="External"/><Relationship Id="rId44" Type="http://schemas.openxmlformats.org/officeDocument/2006/relationships/hyperlink" Target="https://dadosabertos.camara.leg.br/api/v2/deputados/220632" TargetMode="External"/><Relationship Id="rId4975" Type="http://schemas.openxmlformats.org/officeDocument/2006/relationships/hyperlink" Target="https://dadosabertos.camara.leg.br/api/v2/deputados/130441" TargetMode="External"/><Relationship Id="rId7034" Type="http://schemas.openxmlformats.org/officeDocument/2006/relationships/hyperlink" Target="https://dadosabertos.camara.leg.br/api/v2/deputados/1076" TargetMode="External"/><Relationship Id="rId498" Type="http://schemas.openxmlformats.org/officeDocument/2006/relationships/hyperlink" Target="https://dadosabertos.camara.leg.br/api/v2/deputados/220706" TargetMode="External"/><Relationship Id="rId2179" Type="http://schemas.openxmlformats.org/officeDocument/2006/relationships/hyperlink" Target="https://dadosabertos.camara.leg.br/api/v2/deputados/74524" TargetMode="External"/><Relationship Id="rId3577" Type="http://schemas.openxmlformats.org/officeDocument/2006/relationships/hyperlink" Target="https://dadosabertos.camara.leg.br/api/v2/deputados/131632" TargetMode="External"/><Relationship Id="rId3991" Type="http://schemas.openxmlformats.org/officeDocument/2006/relationships/hyperlink" Target="https://dadosabertos.camara.leg.br/api/v2/deputados/131477" TargetMode="External"/><Relationship Id="rId4628" Type="http://schemas.openxmlformats.org/officeDocument/2006/relationships/hyperlink" Target="https://dadosabertos.camara.leg.br/api/v2/deputados/130789" TargetMode="External"/><Relationship Id="rId2593" Type="http://schemas.openxmlformats.org/officeDocument/2006/relationships/hyperlink" Target="https://dadosabertos.camara.leg.br/api/v2/deputados/74636" TargetMode="External"/><Relationship Id="rId3644" Type="http://schemas.openxmlformats.org/officeDocument/2006/relationships/hyperlink" Target="https://dadosabertos.camara.leg.br/api/v2/deputados/131695" TargetMode="External"/><Relationship Id="rId6050" Type="http://schemas.openxmlformats.org/officeDocument/2006/relationships/hyperlink" Target="https://dadosabertos.camara.leg.br/api/v2/deputados/2383" TargetMode="External"/><Relationship Id="rId7101" Type="http://schemas.openxmlformats.org/officeDocument/2006/relationships/hyperlink" Target="https://dadosabertos.camara.leg.br/api/v2/deputados/917" TargetMode="External"/><Relationship Id="rId565" Type="http://schemas.openxmlformats.org/officeDocument/2006/relationships/hyperlink" Target="https://dadosabertos.camara.leg.br/api/v2/deputados/204362" TargetMode="External"/><Relationship Id="rId1195" Type="http://schemas.openxmlformats.org/officeDocument/2006/relationships/hyperlink" Target="https://dadosabertos.camara.leg.br/api/v2/deputados/178880" TargetMode="External"/><Relationship Id="rId2246" Type="http://schemas.openxmlformats.org/officeDocument/2006/relationships/hyperlink" Target="https://dadosabertos.camara.leg.br/api/v2/deputados/73896" TargetMode="External"/><Relationship Id="rId2660" Type="http://schemas.openxmlformats.org/officeDocument/2006/relationships/hyperlink" Target="https://dadosabertos.camara.leg.br/api/v2/deputados/73957" TargetMode="External"/><Relationship Id="rId3711" Type="http://schemas.openxmlformats.org/officeDocument/2006/relationships/hyperlink" Target="https://dadosabertos.camara.leg.br/api/v2/deputados/131771" TargetMode="External"/><Relationship Id="rId6867" Type="http://schemas.openxmlformats.org/officeDocument/2006/relationships/hyperlink" Target="https://dadosabertos.camara.leg.br/api/v2/deputados/1205" TargetMode="External"/><Relationship Id="rId7918" Type="http://schemas.openxmlformats.org/officeDocument/2006/relationships/hyperlink" Target="https://dadosabertos.camara.leg.br/api/v2/deputados/262" TargetMode="External"/><Relationship Id="rId218" Type="http://schemas.openxmlformats.org/officeDocument/2006/relationships/hyperlink" Target="https://dadosabertos.camara.leg.br/api/v2/deputados/178854" TargetMode="External"/><Relationship Id="rId632" Type="http://schemas.openxmlformats.org/officeDocument/2006/relationships/hyperlink" Target="https://www.instagram.com/thiagodejoaldo" TargetMode="External"/><Relationship Id="rId1262" Type="http://schemas.openxmlformats.org/officeDocument/2006/relationships/hyperlink" Target="https://dadosabertos.camara.leg.br/api/v2/deputados/160652" TargetMode="External"/><Relationship Id="rId2313" Type="http://schemas.openxmlformats.org/officeDocument/2006/relationships/hyperlink" Target="https://dadosabertos.camara.leg.br/api/v2/deputados/74687" TargetMode="External"/><Relationship Id="rId5469" Type="http://schemas.openxmlformats.org/officeDocument/2006/relationships/hyperlink" Target="https://dadosabertos.camara.leg.br/api/v2/deputados/2572" TargetMode="External"/><Relationship Id="rId4485" Type="http://schemas.openxmlformats.org/officeDocument/2006/relationships/hyperlink" Target="https://dadosabertos.camara.leg.br/api/v2/deputados/131099" TargetMode="External"/><Relationship Id="rId5536" Type="http://schemas.openxmlformats.org/officeDocument/2006/relationships/hyperlink" Target="https://dadosabertos.camara.leg.br/api/v2/deputados/4848" TargetMode="External"/><Relationship Id="rId5883" Type="http://schemas.openxmlformats.org/officeDocument/2006/relationships/hyperlink" Target="https://dadosabertos.camara.leg.br/api/v2/deputados/4422" TargetMode="External"/><Relationship Id="rId6934" Type="http://schemas.openxmlformats.org/officeDocument/2006/relationships/hyperlink" Target="https://dadosabertos.camara.leg.br/api/v2/deputados/1241" TargetMode="External"/><Relationship Id="rId3087" Type="http://schemas.openxmlformats.org/officeDocument/2006/relationships/hyperlink" Target="https://dadosabertos.camara.leg.br/api/v2/deputados/139241" TargetMode="External"/><Relationship Id="rId4138" Type="http://schemas.openxmlformats.org/officeDocument/2006/relationships/hyperlink" Target="https://dadosabertos.camara.leg.br/api/v2/deputados/131263" TargetMode="External"/><Relationship Id="rId5950" Type="http://schemas.openxmlformats.org/officeDocument/2006/relationships/hyperlink" Target="https://dadosabertos.camara.leg.br/api/v2/deputados/2420" TargetMode="External"/><Relationship Id="rId4552" Type="http://schemas.openxmlformats.org/officeDocument/2006/relationships/hyperlink" Target="https://dadosabertos.camara.leg.br/api/v2/deputados/130720" TargetMode="External"/><Relationship Id="rId5603" Type="http://schemas.openxmlformats.org/officeDocument/2006/relationships/hyperlink" Target="https://dadosabertos.camara.leg.br/api/v2/deputados/4583" TargetMode="External"/><Relationship Id="rId3154" Type="http://schemas.openxmlformats.org/officeDocument/2006/relationships/hyperlink" Target="https://dadosabertos.camara.leg.br/api/v2/deputados/139297" TargetMode="External"/><Relationship Id="rId4205" Type="http://schemas.openxmlformats.org/officeDocument/2006/relationships/hyperlink" Target="https://dadosabertos.camara.leg.br/api/v2/deputados/1681" TargetMode="External"/><Relationship Id="rId7775" Type="http://schemas.openxmlformats.org/officeDocument/2006/relationships/hyperlink" Target="https://dadosabertos.camara.leg.br/api/v2/deputados/353" TargetMode="External"/><Relationship Id="rId2170" Type="http://schemas.openxmlformats.org/officeDocument/2006/relationships/hyperlink" Target="https://dadosabertos.camara.leg.br/api/v2/deputados/74481" TargetMode="External"/><Relationship Id="rId3221" Type="http://schemas.openxmlformats.org/officeDocument/2006/relationships/hyperlink" Target="https://dadosabertos.camara.leg.br/api/v2/deputados/139355" TargetMode="External"/><Relationship Id="rId6377" Type="http://schemas.openxmlformats.org/officeDocument/2006/relationships/hyperlink" Target="https://dadosabertos.camara.leg.br/api/v2/deputados/1956" TargetMode="External"/><Relationship Id="rId6791" Type="http://schemas.openxmlformats.org/officeDocument/2006/relationships/hyperlink" Target="https://dadosabertos.camara.leg.br/api/v2/deputados/1555" TargetMode="External"/><Relationship Id="rId7428" Type="http://schemas.openxmlformats.org/officeDocument/2006/relationships/hyperlink" Target="https://dadosabertos.camara.leg.br/api/v2/deputados/258" TargetMode="External"/><Relationship Id="rId7842" Type="http://schemas.openxmlformats.org/officeDocument/2006/relationships/hyperlink" Target="https://dadosabertos.camara.leg.br/api/v2/deputados/284" TargetMode="External"/><Relationship Id="rId8" Type="http://schemas.openxmlformats.org/officeDocument/2006/relationships/hyperlink" Target="https://dadosabertos.camara.leg.br/api/v2/deputados/74646" TargetMode="External"/><Relationship Id="rId142" Type="http://schemas.openxmlformats.org/officeDocument/2006/relationships/hyperlink" Target="https://dadosabertos.camara.leg.br/api/v2/deputados/220571" TargetMode="External"/><Relationship Id="rId2987" Type="http://schemas.openxmlformats.org/officeDocument/2006/relationships/hyperlink" Target="https://dadosabertos.camara.leg.br/api/v2/deputados/139153" TargetMode="External"/><Relationship Id="rId5393" Type="http://schemas.openxmlformats.org/officeDocument/2006/relationships/hyperlink" Target="https://dadosabertos.camara.leg.br/api/v2/deputados/130255" TargetMode="External"/><Relationship Id="rId6444" Type="http://schemas.openxmlformats.org/officeDocument/2006/relationships/hyperlink" Target="https://dadosabertos.camara.leg.br/api/v2/deputados/3773" TargetMode="External"/><Relationship Id="rId959" Type="http://schemas.openxmlformats.org/officeDocument/2006/relationships/hyperlink" Target="https://dadosabertos.camara.leg.br/api/v2/deputados/219568" TargetMode="External"/><Relationship Id="rId1589" Type="http://schemas.openxmlformats.org/officeDocument/2006/relationships/hyperlink" Target="https://dadosabertos.camara.leg.br/api/v2/deputados/174314" TargetMode="External"/><Relationship Id="rId5046" Type="http://schemas.openxmlformats.org/officeDocument/2006/relationships/hyperlink" Target="https://dadosabertos.camara.leg.br/api/v2/deputados/3118" TargetMode="External"/><Relationship Id="rId5460" Type="http://schemas.openxmlformats.org/officeDocument/2006/relationships/hyperlink" Target="https://dadosabertos.camara.leg.br/api/v2/deputados/4809" TargetMode="External"/><Relationship Id="rId6511" Type="http://schemas.openxmlformats.org/officeDocument/2006/relationships/hyperlink" Target="https://dadosabertos.camara.leg.br/api/v2/deputados/2004" TargetMode="External"/><Relationship Id="rId4062" Type="http://schemas.openxmlformats.org/officeDocument/2006/relationships/hyperlink" Target="https://dadosabertos.camara.leg.br/api/v2/deputados/131198" TargetMode="External"/><Relationship Id="rId5113" Type="http://schemas.openxmlformats.org/officeDocument/2006/relationships/hyperlink" Target="https://dadosabertos.camara.leg.br/api/v2/deputados/2998" TargetMode="External"/><Relationship Id="rId1656" Type="http://schemas.openxmlformats.org/officeDocument/2006/relationships/hyperlink" Target="https://dadosabertos.camara.leg.br/api/v2/deputados/168253" TargetMode="External"/><Relationship Id="rId2707" Type="http://schemas.openxmlformats.org/officeDocument/2006/relationships/hyperlink" Target="https://dadosabertos.camara.leg.br/api/v2/deputados/133877" TargetMode="External"/><Relationship Id="rId1309" Type="http://schemas.openxmlformats.org/officeDocument/2006/relationships/hyperlink" Target="https://dadosabertos.camara.leg.br/api/v2/deputados/92355" TargetMode="External"/><Relationship Id="rId1723" Type="http://schemas.openxmlformats.org/officeDocument/2006/relationships/hyperlink" Target="https://dadosabertos.camara.leg.br/api/v2/deputados/74579" TargetMode="External"/><Relationship Id="rId4879" Type="http://schemas.openxmlformats.org/officeDocument/2006/relationships/hyperlink" Target="https://dadosabertos.camara.leg.br/api/v2/deputados/130618" TargetMode="External"/><Relationship Id="rId7285" Type="http://schemas.openxmlformats.org/officeDocument/2006/relationships/hyperlink" Target="https://dadosabertos.camara.leg.br/api/v2/deputados/782" TargetMode="External"/><Relationship Id="rId15" Type="http://schemas.openxmlformats.org/officeDocument/2006/relationships/hyperlink" Target="https://dadosabertos.camara.leg.br/api/v2/deputados/73579" TargetMode="External"/><Relationship Id="rId3895" Type="http://schemas.openxmlformats.org/officeDocument/2006/relationships/hyperlink" Target="https://dadosabertos.camara.leg.br/api/v2/deputados/131607" TargetMode="External"/><Relationship Id="rId4946" Type="http://schemas.openxmlformats.org/officeDocument/2006/relationships/hyperlink" Target="https://dadosabertos.camara.leg.br/api/v2/deputados/130417" TargetMode="External"/><Relationship Id="rId7352" Type="http://schemas.openxmlformats.org/officeDocument/2006/relationships/hyperlink" Target="https://dadosabertos.camara.leg.br/api/v2/deputados/855" TargetMode="External"/><Relationship Id="rId2497" Type="http://schemas.openxmlformats.org/officeDocument/2006/relationships/hyperlink" Target="https://dadosabertos.camara.leg.br/api/v2/deputados/74138" TargetMode="External"/><Relationship Id="rId3548" Type="http://schemas.openxmlformats.org/officeDocument/2006/relationships/hyperlink" Target="https://dadosabertos.camara.leg.br/api/v2/deputados/131990" TargetMode="External"/><Relationship Id="rId7005" Type="http://schemas.openxmlformats.org/officeDocument/2006/relationships/hyperlink" Target="https://dadosabertos.camara.leg.br/api/v2/deputados/918" TargetMode="External"/><Relationship Id="rId469" Type="http://schemas.openxmlformats.org/officeDocument/2006/relationships/hyperlink" Target="https://dadosabertos.camara.leg.br/api/v2/deputados/171786" TargetMode="External"/><Relationship Id="rId883" Type="http://schemas.openxmlformats.org/officeDocument/2006/relationships/hyperlink" Target="https://dadosabertos.camara.leg.br/api/v2/deputados/204363" TargetMode="External"/><Relationship Id="rId1099" Type="http://schemas.openxmlformats.org/officeDocument/2006/relationships/hyperlink" Target="https://dadosabertos.camara.leg.br/api/v2/deputados/129037" TargetMode="External"/><Relationship Id="rId2564" Type="http://schemas.openxmlformats.org/officeDocument/2006/relationships/hyperlink" Target="https://dadosabertos.camara.leg.br/api/v2/deputados/73878" TargetMode="External"/><Relationship Id="rId3615" Type="http://schemas.openxmlformats.org/officeDocument/2006/relationships/hyperlink" Target="https://dadosabertos.camara.leg.br/api/v2/deputados/131671" TargetMode="External"/><Relationship Id="rId3962" Type="http://schemas.openxmlformats.org/officeDocument/2006/relationships/hyperlink" Target="https://dadosabertos.camara.leg.br/api/v2/deputados/131473" TargetMode="External"/><Relationship Id="rId6021" Type="http://schemas.openxmlformats.org/officeDocument/2006/relationships/hyperlink" Target="https://dadosabertos.camara.leg.br/api/v2/deputados/2515" TargetMode="External"/><Relationship Id="rId536" Type="http://schemas.openxmlformats.org/officeDocument/2006/relationships/hyperlink" Target="https://dadosabertos.camara.leg.br/api/v2/deputados/73486" TargetMode="External"/><Relationship Id="rId1166" Type="http://schemas.openxmlformats.org/officeDocument/2006/relationships/hyperlink" Target="https://dadosabertos.camara.leg.br/api/v2/deputados/81366" TargetMode="External"/><Relationship Id="rId2217" Type="http://schemas.openxmlformats.org/officeDocument/2006/relationships/hyperlink" Target="https://dadosabertos.camara.leg.br/api/v2/deputados/73585" TargetMode="External"/><Relationship Id="rId950" Type="http://schemas.openxmlformats.org/officeDocument/2006/relationships/hyperlink" Target="https://dadosabertos.camara.leg.br/api/v2/deputados/177282" TargetMode="External"/><Relationship Id="rId1580" Type="http://schemas.openxmlformats.org/officeDocument/2006/relationships/hyperlink" Target="https://dadosabertos.camara.leg.br/api/v2/deputados/160670" TargetMode="External"/><Relationship Id="rId2631" Type="http://schemas.openxmlformats.org/officeDocument/2006/relationships/hyperlink" Target="https://dadosabertos.camara.leg.br/api/v2/deputados/74234" TargetMode="External"/><Relationship Id="rId4389" Type="http://schemas.openxmlformats.org/officeDocument/2006/relationships/hyperlink" Target="https://dadosabertos.camara.leg.br/api/v2/deputados/130986" TargetMode="External"/><Relationship Id="rId5787" Type="http://schemas.openxmlformats.org/officeDocument/2006/relationships/hyperlink" Target="https://dadosabertos.camara.leg.br/api/v2/deputados/130180" TargetMode="External"/><Relationship Id="rId6838" Type="http://schemas.openxmlformats.org/officeDocument/2006/relationships/hyperlink" Target="https://dadosabertos.camara.leg.br/api/v2/deputados/1247" TargetMode="External"/><Relationship Id="rId603" Type="http://schemas.openxmlformats.org/officeDocument/2006/relationships/hyperlink" Target="https://dadosabertos.camara.leg.br/api/v2/deputados/160621" TargetMode="External"/><Relationship Id="rId1233" Type="http://schemas.openxmlformats.org/officeDocument/2006/relationships/hyperlink" Target="https://dadosabertos.camara.leg.br/api/v2/deputados/193982" TargetMode="External"/><Relationship Id="rId5854" Type="http://schemas.openxmlformats.org/officeDocument/2006/relationships/hyperlink" Target="https://dadosabertos.camara.leg.br/api/v2/deputados/4433" TargetMode="External"/><Relationship Id="rId6905" Type="http://schemas.openxmlformats.org/officeDocument/2006/relationships/hyperlink" Target="https://dadosabertos.camara.leg.br/api/v2/deputados/1032" TargetMode="External"/><Relationship Id="rId1300" Type="http://schemas.openxmlformats.org/officeDocument/2006/relationships/hyperlink" Target="https://dadosabertos.camara.leg.br/api/v2/deputados/160617" TargetMode="External"/><Relationship Id="rId4456" Type="http://schemas.openxmlformats.org/officeDocument/2006/relationships/hyperlink" Target="https://dadosabertos.camara.leg.br/api/v2/deputados/131071" TargetMode="External"/><Relationship Id="rId4870" Type="http://schemas.openxmlformats.org/officeDocument/2006/relationships/hyperlink" Target="https://dadosabertos.camara.leg.br/api/v2/deputados/130643" TargetMode="External"/><Relationship Id="rId5507" Type="http://schemas.openxmlformats.org/officeDocument/2006/relationships/hyperlink" Target="https://dadosabertos.camara.leg.br/api/v2/deputados/2846" TargetMode="External"/><Relationship Id="rId5921" Type="http://schemas.openxmlformats.org/officeDocument/2006/relationships/hyperlink" Target="https://dadosabertos.camara.leg.br/api/v2/deputados/4341" TargetMode="External"/><Relationship Id="rId3058" Type="http://schemas.openxmlformats.org/officeDocument/2006/relationships/hyperlink" Target="https://dadosabertos.camara.leg.br/api/v2/deputados/1512" TargetMode="External"/><Relationship Id="rId3472" Type="http://schemas.openxmlformats.org/officeDocument/2006/relationships/hyperlink" Target="https://dadosabertos.camara.leg.br/api/v2/deputados/132089" TargetMode="External"/><Relationship Id="rId4109" Type="http://schemas.openxmlformats.org/officeDocument/2006/relationships/hyperlink" Target="https://dadosabertos.camara.leg.br/api/v2/deputados/131237" TargetMode="External"/><Relationship Id="rId4523" Type="http://schemas.openxmlformats.org/officeDocument/2006/relationships/hyperlink" Target="https://dadosabertos.camara.leg.br/api/v2/deputados/131126" TargetMode="External"/><Relationship Id="rId7679" Type="http://schemas.openxmlformats.org/officeDocument/2006/relationships/hyperlink" Target="https://dadosabertos.camara.leg.br/api/v2/deputados/396" TargetMode="External"/><Relationship Id="rId393" Type="http://schemas.openxmlformats.org/officeDocument/2006/relationships/hyperlink" Target="https://dadosabertos.camara.leg.br/api/v2/deputados/74478" TargetMode="External"/><Relationship Id="rId2074" Type="http://schemas.openxmlformats.org/officeDocument/2006/relationships/hyperlink" Target="https://dadosabertos.camara.leg.br/api/v2/deputados/74164" TargetMode="External"/><Relationship Id="rId3125" Type="http://schemas.openxmlformats.org/officeDocument/2006/relationships/hyperlink" Target="https://dadosabertos.camara.leg.br/api/v2/deputados/139274" TargetMode="External"/><Relationship Id="rId6695" Type="http://schemas.openxmlformats.org/officeDocument/2006/relationships/hyperlink" Target="https://dadosabertos.camara.leg.br/api/v2/deputados/1733" TargetMode="External"/><Relationship Id="rId7746" Type="http://schemas.openxmlformats.org/officeDocument/2006/relationships/hyperlink" Target="https://dadosabertos.camara.leg.br/api/v2/deputados/414" TargetMode="External"/><Relationship Id="rId460" Type="http://schemas.openxmlformats.org/officeDocument/2006/relationships/hyperlink" Target="https://dadosabertos.camara.leg.br/api/v2/deputados/220550" TargetMode="External"/><Relationship Id="rId1090" Type="http://schemas.openxmlformats.org/officeDocument/2006/relationships/hyperlink" Target="https://dadosabertos.camara.leg.br/api/v2/deputados/160676" TargetMode="External"/><Relationship Id="rId2141" Type="http://schemas.openxmlformats.org/officeDocument/2006/relationships/hyperlink" Target="https://dadosabertos.camara.leg.br/api/v2/deputados/73948" TargetMode="External"/><Relationship Id="rId5297" Type="http://schemas.openxmlformats.org/officeDocument/2006/relationships/hyperlink" Target="https://dadosabertos.camara.leg.br/api/v2/deputados/130379" TargetMode="External"/><Relationship Id="rId6348" Type="http://schemas.openxmlformats.org/officeDocument/2006/relationships/hyperlink" Target="https://dadosabertos.camara.leg.br/api/v2/deputados/130102" TargetMode="External"/><Relationship Id="rId113" Type="http://schemas.openxmlformats.org/officeDocument/2006/relationships/hyperlink" Target="https://dadosabertos.camara.leg.br/api/v2/deputados/73441" TargetMode="External"/><Relationship Id="rId6762" Type="http://schemas.openxmlformats.org/officeDocument/2006/relationships/hyperlink" Target="https://dadosabertos.camara.leg.br/api/v2/deputados/1680" TargetMode="External"/><Relationship Id="rId7813" Type="http://schemas.openxmlformats.org/officeDocument/2006/relationships/hyperlink" Target="https://dadosabertos.camara.leg.br/api/v2/deputados/365" TargetMode="External"/><Relationship Id="rId2958" Type="http://schemas.openxmlformats.org/officeDocument/2006/relationships/hyperlink" Target="https://dadosabertos.camara.leg.br/api/v2/deputados/1514" TargetMode="External"/><Relationship Id="rId5017" Type="http://schemas.openxmlformats.org/officeDocument/2006/relationships/hyperlink" Target="https://dadosabertos.camara.leg.br/api/v2/deputados/3099" TargetMode="External"/><Relationship Id="rId5364" Type="http://schemas.openxmlformats.org/officeDocument/2006/relationships/hyperlink" Target="https://dadosabertos.camara.leg.br/api/v2/deputados/2914" TargetMode="External"/><Relationship Id="rId6415" Type="http://schemas.openxmlformats.org/officeDocument/2006/relationships/hyperlink" Target="https://dadosabertos.camara.leg.br/api/v2/deputados/2229" TargetMode="External"/><Relationship Id="rId1974" Type="http://schemas.openxmlformats.org/officeDocument/2006/relationships/hyperlink" Target="https://dadosabertos.camara.leg.br/api/v2/deputados/74343" TargetMode="External"/><Relationship Id="rId4380" Type="http://schemas.openxmlformats.org/officeDocument/2006/relationships/hyperlink" Target="https://dadosabertos.camara.leg.br/api/v2/deputados/131134" TargetMode="External"/><Relationship Id="rId5431" Type="http://schemas.openxmlformats.org/officeDocument/2006/relationships/hyperlink" Target="https://dadosabertos.camara.leg.br/api/v2/deputados/130261" TargetMode="External"/><Relationship Id="rId1627" Type="http://schemas.openxmlformats.org/officeDocument/2006/relationships/hyperlink" Target="https://dadosabertos.camara.leg.br/api/v2/deputados/141539" TargetMode="External"/><Relationship Id="rId4033" Type="http://schemas.openxmlformats.org/officeDocument/2006/relationships/hyperlink" Target="https://dadosabertos.camara.leg.br/api/v2/deputados/131223" TargetMode="External"/><Relationship Id="rId7189" Type="http://schemas.openxmlformats.org/officeDocument/2006/relationships/hyperlink" Target="https://dadosabertos.camara.leg.br/api/v2/deputados/993" TargetMode="External"/><Relationship Id="rId3799" Type="http://schemas.openxmlformats.org/officeDocument/2006/relationships/hyperlink" Target="https://dadosabertos.camara.leg.br/api/v2/deputados/131525" TargetMode="External"/><Relationship Id="rId4100" Type="http://schemas.openxmlformats.org/officeDocument/2006/relationships/hyperlink" Target="https://dadosabertos.camara.leg.br/api/v2/deputados/131225" TargetMode="External"/><Relationship Id="rId7256" Type="http://schemas.openxmlformats.org/officeDocument/2006/relationships/hyperlink" Target="https://dadosabertos.camara.leg.br/api/v2/deputados/789" TargetMode="External"/><Relationship Id="rId7670" Type="http://schemas.openxmlformats.org/officeDocument/2006/relationships/hyperlink" Target="https://dadosabertos.camara.leg.br/api/v2/deputados/210" TargetMode="External"/><Relationship Id="rId6272" Type="http://schemas.openxmlformats.org/officeDocument/2006/relationships/hyperlink" Target="https://dadosabertos.camara.leg.br/api/v2/deputados/2031" TargetMode="External"/><Relationship Id="rId7323" Type="http://schemas.openxmlformats.org/officeDocument/2006/relationships/hyperlink" Target="https://dadosabertos.camara.leg.br/api/v2/deputados/875" TargetMode="External"/><Relationship Id="rId3866" Type="http://schemas.openxmlformats.org/officeDocument/2006/relationships/hyperlink" Target="https://dadosabertos.camara.leg.br/api/v2/deputados/131597" TargetMode="External"/><Relationship Id="rId4917" Type="http://schemas.openxmlformats.org/officeDocument/2006/relationships/hyperlink" Target="https://dadosabertos.camara.leg.br/api/v2/deputados/130390" TargetMode="External"/><Relationship Id="rId787" Type="http://schemas.openxmlformats.org/officeDocument/2006/relationships/hyperlink" Target="https://dadosabertos.camara.leg.br/api/v2/deputados/73460" TargetMode="External"/><Relationship Id="rId2468" Type="http://schemas.openxmlformats.org/officeDocument/2006/relationships/hyperlink" Target="https://dadosabertos.camara.leg.br/api/v2/deputados/73439" TargetMode="External"/><Relationship Id="rId2882" Type="http://schemas.openxmlformats.org/officeDocument/2006/relationships/hyperlink" Target="https://dadosabertos.camara.leg.br/api/v2/deputados/73843" TargetMode="External"/><Relationship Id="rId3519" Type="http://schemas.openxmlformats.org/officeDocument/2006/relationships/hyperlink" Target="https://dadosabertos.camara.leg.br/api/v2/deputados/132071" TargetMode="External"/><Relationship Id="rId3933" Type="http://schemas.openxmlformats.org/officeDocument/2006/relationships/hyperlink" Target="https://dadosabertos.camara.leg.br/api/v2/deputados/131410" TargetMode="External"/><Relationship Id="rId854" Type="http://schemas.openxmlformats.org/officeDocument/2006/relationships/hyperlink" Target="https://twitter.com/marciolabre" TargetMode="External"/><Relationship Id="rId1484" Type="http://schemas.openxmlformats.org/officeDocument/2006/relationships/hyperlink" Target="https://dadosabertos.camara.leg.br/api/v2/deputados/74049" TargetMode="External"/><Relationship Id="rId2535" Type="http://schemas.openxmlformats.org/officeDocument/2006/relationships/hyperlink" Target="https://dadosabertos.camara.leg.br/api/v2/deputados/73774" TargetMode="External"/><Relationship Id="rId507" Type="http://schemas.openxmlformats.org/officeDocument/2006/relationships/hyperlink" Target="https://dadosabertos.camara.leg.br/api/v2/deputados/74095" TargetMode="External"/><Relationship Id="rId921" Type="http://schemas.openxmlformats.org/officeDocument/2006/relationships/hyperlink" Target="https://dadosabertos.camara.leg.br/api/v2/deputados/178920" TargetMode="External"/><Relationship Id="rId1137" Type="http://schemas.openxmlformats.org/officeDocument/2006/relationships/hyperlink" Target="https://dadosabertos.camara.leg.br/api/v2/deputados/160572" TargetMode="External"/><Relationship Id="rId1551" Type="http://schemas.openxmlformats.org/officeDocument/2006/relationships/hyperlink" Target="https://dadosabertos.camara.leg.br/api/v2/deputados/179386" TargetMode="External"/><Relationship Id="rId2602" Type="http://schemas.openxmlformats.org/officeDocument/2006/relationships/hyperlink" Target="https://dadosabertos.camara.leg.br/api/v2/deputados/74081" TargetMode="External"/><Relationship Id="rId5758" Type="http://schemas.openxmlformats.org/officeDocument/2006/relationships/hyperlink" Target="https://dadosabertos.camara.leg.br/api/v2/deputados/130196" TargetMode="External"/><Relationship Id="rId6809" Type="http://schemas.openxmlformats.org/officeDocument/2006/relationships/hyperlink" Target="https://dadosabertos.camara.leg.br/api/v2/deputados/4030" TargetMode="External"/><Relationship Id="rId1204" Type="http://schemas.openxmlformats.org/officeDocument/2006/relationships/hyperlink" Target="https://dadosabertos.camara.leg.br/api/v2/deputados/205297" TargetMode="External"/><Relationship Id="rId4774" Type="http://schemas.openxmlformats.org/officeDocument/2006/relationships/hyperlink" Target="https://dadosabertos.camara.leg.br/api/v2/deputados/130561" TargetMode="External"/><Relationship Id="rId5825" Type="http://schemas.openxmlformats.org/officeDocument/2006/relationships/hyperlink" Target="https://dadosabertos.camara.leg.br/api/v2/deputados/2676" TargetMode="External"/><Relationship Id="rId7180" Type="http://schemas.openxmlformats.org/officeDocument/2006/relationships/hyperlink" Target="https://dadosabertos.camara.leg.br/api/v2/deputados/1050" TargetMode="External"/><Relationship Id="rId3376" Type="http://schemas.openxmlformats.org/officeDocument/2006/relationships/hyperlink" Target="https://dadosabertos.camara.leg.br/api/v2/deputados/132012" TargetMode="External"/><Relationship Id="rId4427" Type="http://schemas.openxmlformats.org/officeDocument/2006/relationships/hyperlink" Target="https://dadosabertos.camara.leg.br/api/v2/deputados/131044" TargetMode="External"/><Relationship Id="rId297" Type="http://schemas.openxmlformats.org/officeDocument/2006/relationships/hyperlink" Target="https://dadosabertos.camara.leg.br/api/v2/deputados/204456" TargetMode="External"/><Relationship Id="rId2392" Type="http://schemas.openxmlformats.org/officeDocument/2006/relationships/hyperlink" Target="https://dadosabertos.camara.leg.br/api/v2/deputados/73488" TargetMode="External"/><Relationship Id="rId3029" Type="http://schemas.openxmlformats.org/officeDocument/2006/relationships/hyperlink" Target="https://dadosabertos.camara.leg.br/api/v2/deputados/1533" TargetMode="External"/><Relationship Id="rId3790" Type="http://schemas.openxmlformats.org/officeDocument/2006/relationships/hyperlink" Target="https://dadosabertos.camara.leg.br/api/v2/deputados/131519" TargetMode="External"/><Relationship Id="rId4841" Type="http://schemas.openxmlformats.org/officeDocument/2006/relationships/hyperlink" Target="https://dadosabertos.camara.leg.br/api/v2/deputados/130656" TargetMode="External"/><Relationship Id="rId6599" Type="http://schemas.openxmlformats.org/officeDocument/2006/relationships/hyperlink" Target="https://dadosabertos.camara.leg.br/api/v2/deputados/3910" TargetMode="External"/><Relationship Id="rId364" Type="http://schemas.openxmlformats.org/officeDocument/2006/relationships/hyperlink" Target="https://dadosabertos.camara.leg.br/api/v2/deputados/204550" TargetMode="External"/><Relationship Id="rId2045" Type="http://schemas.openxmlformats.org/officeDocument/2006/relationships/hyperlink" Target="https://dadosabertos.camara.leg.br/api/v2/deputados/74175" TargetMode="External"/><Relationship Id="rId3443" Type="http://schemas.openxmlformats.org/officeDocument/2006/relationships/hyperlink" Target="https://dadosabertos.camara.leg.br/api/v2/deputados/1784" TargetMode="External"/><Relationship Id="rId3510" Type="http://schemas.openxmlformats.org/officeDocument/2006/relationships/hyperlink" Target="https://dadosabertos.camara.leg.br/api/v2/deputados/132118" TargetMode="External"/><Relationship Id="rId6666" Type="http://schemas.openxmlformats.org/officeDocument/2006/relationships/hyperlink" Target="https://dadosabertos.camara.leg.br/api/v2/deputados/1676" TargetMode="External"/><Relationship Id="rId7717" Type="http://schemas.openxmlformats.org/officeDocument/2006/relationships/hyperlink" Target="https://dadosabertos.camara.leg.br/api/v2/deputados/417" TargetMode="External"/><Relationship Id="rId431" Type="http://schemas.openxmlformats.org/officeDocument/2006/relationships/hyperlink" Target="https://dadosabertos.camara.leg.br/api/v2/deputados/220687" TargetMode="External"/><Relationship Id="rId1061" Type="http://schemas.openxmlformats.org/officeDocument/2006/relationships/hyperlink" Target="http://www.delegadoedsonmoreira.com.br/" TargetMode="External"/><Relationship Id="rId2112" Type="http://schemas.openxmlformats.org/officeDocument/2006/relationships/hyperlink" Target="https://dadosabertos.camara.leg.br/api/v2/deputados/74791" TargetMode="External"/><Relationship Id="rId5268" Type="http://schemas.openxmlformats.org/officeDocument/2006/relationships/hyperlink" Target="https://dadosabertos.camara.leg.br/api/v2/deputados/3019" TargetMode="External"/><Relationship Id="rId5682" Type="http://schemas.openxmlformats.org/officeDocument/2006/relationships/hyperlink" Target="https://dadosabertos.camara.leg.br/api/v2/deputados/4443" TargetMode="External"/><Relationship Id="rId6319" Type="http://schemas.openxmlformats.org/officeDocument/2006/relationships/hyperlink" Target="https://dadosabertos.camara.leg.br/api/v2/deputados/2086" TargetMode="External"/><Relationship Id="rId6733" Type="http://schemas.openxmlformats.org/officeDocument/2006/relationships/hyperlink" Target="https://dadosabertos.camara.leg.br/api/v2/deputados/1746" TargetMode="External"/><Relationship Id="rId1878" Type="http://schemas.openxmlformats.org/officeDocument/2006/relationships/hyperlink" Target="https://dadosabertos.camara.leg.br/api/v2/deputados/74341" TargetMode="External"/><Relationship Id="rId2929" Type="http://schemas.openxmlformats.org/officeDocument/2006/relationships/hyperlink" Target="https://dadosabertos.camara.leg.br/api/v2/deputados/133966" TargetMode="External"/><Relationship Id="rId4284" Type="http://schemas.openxmlformats.org/officeDocument/2006/relationships/hyperlink" Target="https://dadosabertos.camara.leg.br/api/v2/deputados/130890" TargetMode="External"/><Relationship Id="rId5335" Type="http://schemas.openxmlformats.org/officeDocument/2006/relationships/hyperlink" Target="https://dadosabertos.camara.leg.br/api/v2/deputados/2696" TargetMode="External"/><Relationship Id="rId4351" Type="http://schemas.openxmlformats.org/officeDocument/2006/relationships/hyperlink" Target="https://dadosabertos.camara.leg.br/api/v2/deputados/130953" TargetMode="External"/><Relationship Id="rId5402" Type="http://schemas.openxmlformats.org/officeDocument/2006/relationships/hyperlink" Target="https://dadosabertos.camara.leg.br/api/v2/deputados/130258" TargetMode="External"/><Relationship Id="rId6800" Type="http://schemas.openxmlformats.org/officeDocument/2006/relationships/hyperlink" Target="https://dadosabertos.camara.leg.br/api/v2/deputados/1754" TargetMode="External"/><Relationship Id="rId1945" Type="http://schemas.openxmlformats.org/officeDocument/2006/relationships/hyperlink" Target="https://dadosabertos.camara.leg.br/api/v2/deputados/74342" TargetMode="External"/><Relationship Id="rId4004" Type="http://schemas.openxmlformats.org/officeDocument/2006/relationships/hyperlink" Target="https://dadosabertos.camara.leg.br/api/v2/deputados/131434" TargetMode="External"/><Relationship Id="rId3020" Type="http://schemas.openxmlformats.org/officeDocument/2006/relationships/hyperlink" Target="https://dadosabertos.camara.leg.br/api/v2/deputados/139184" TargetMode="External"/><Relationship Id="rId6176" Type="http://schemas.openxmlformats.org/officeDocument/2006/relationships/hyperlink" Target="https://dadosabertos.camara.leg.br/api/v2/deputados/130137" TargetMode="External"/><Relationship Id="rId7227" Type="http://schemas.openxmlformats.org/officeDocument/2006/relationships/hyperlink" Target="https://dadosabertos.camara.leg.br/api/v2/deputados/1006" TargetMode="External"/><Relationship Id="rId7574" Type="http://schemas.openxmlformats.org/officeDocument/2006/relationships/hyperlink" Target="https://dadosabertos.camara.leg.br/api/v2/deputados/571" TargetMode="External"/><Relationship Id="rId6590" Type="http://schemas.openxmlformats.org/officeDocument/2006/relationships/hyperlink" Target="https://dadosabertos.camara.leg.br/api/v2/deputados/1614" TargetMode="External"/><Relationship Id="rId7641" Type="http://schemas.openxmlformats.org/officeDocument/2006/relationships/hyperlink" Target="https://dadosabertos.camara.leg.br/api/v2/deputados/495" TargetMode="External"/><Relationship Id="rId2786" Type="http://schemas.openxmlformats.org/officeDocument/2006/relationships/hyperlink" Target="https://dadosabertos.camara.leg.br/api/v2/deputados/133959" TargetMode="External"/><Relationship Id="rId3837" Type="http://schemas.openxmlformats.org/officeDocument/2006/relationships/hyperlink" Target="https://dadosabertos.camara.leg.br/api/v2/deputados/131562" TargetMode="External"/><Relationship Id="rId5192" Type="http://schemas.openxmlformats.org/officeDocument/2006/relationships/hyperlink" Target="https://dadosabertos.camara.leg.br/api/v2/deputados/3022" TargetMode="External"/><Relationship Id="rId6243" Type="http://schemas.openxmlformats.org/officeDocument/2006/relationships/hyperlink" Target="https://dadosabertos.camara.leg.br/api/v2/deputados/2344" TargetMode="External"/><Relationship Id="rId758" Type="http://schemas.openxmlformats.org/officeDocument/2006/relationships/hyperlink" Target="https://dadosabertos.camara.leg.br/api/v2/deputados/211866" TargetMode="External"/><Relationship Id="rId1388" Type="http://schemas.openxmlformats.org/officeDocument/2006/relationships/hyperlink" Target="https://dadosabertos.camara.leg.br/api/v2/deputados/160634" TargetMode="External"/><Relationship Id="rId2439" Type="http://schemas.openxmlformats.org/officeDocument/2006/relationships/hyperlink" Target="https://dadosabertos.camara.leg.br/api/v2/deputados/73679" TargetMode="External"/><Relationship Id="rId2853" Type="http://schemas.openxmlformats.org/officeDocument/2006/relationships/hyperlink" Target="https://dadosabertos.camara.leg.br/api/v2/deputados/133963" TargetMode="External"/><Relationship Id="rId3904" Type="http://schemas.openxmlformats.org/officeDocument/2006/relationships/hyperlink" Target="https://dadosabertos.camara.leg.br/api/v2/deputados/131389" TargetMode="External"/><Relationship Id="rId6310" Type="http://schemas.openxmlformats.org/officeDocument/2006/relationships/hyperlink" Target="https://dadosabertos.camara.leg.br/api/v2/deputados/2282" TargetMode="External"/><Relationship Id="rId94" Type="http://schemas.openxmlformats.org/officeDocument/2006/relationships/hyperlink" Target="https://dadosabertos.camara.leg.br/api/v2/deputados/229106" TargetMode="External"/><Relationship Id="rId825" Type="http://schemas.openxmlformats.org/officeDocument/2006/relationships/hyperlink" Target="https://dadosabertos.camara.leg.br/api/v2/deputados/204547" TargetMode="External"/><Relationship Id="rId1455" Type="http://schemas.openxmlformats.org/officeDocument/2006/relationships/hyperlink" Target="https://dadosabertos.camara.leg.br/api/v2/deputados/141446" TargetMode="External"/><Relationship Id="rId2506" Type="http://schemas.openxmlformats.org/officeDocument/2006/relationships/hyperlink" Target="https://dadosabertos.camara.leg.br/api/v2/deputados/74293" TargetMode="External"/><Relationship Id="rId1108" Type="http://schemas.openxmlformats.org/officeDocument/2006/relationships/hyperlink" Target="https://dadosabertos.camara.leg.br/api/v2/deputados/205298" TargetMode="External"/><Relationship Id="rId2920" Type="http://schemas.openxmlformats.org/officeDocument/2006/relationships/hyperlink" Target="https://dadosabertos.camara.leg.br/api/v2/deputados/133986" TargetMode="External"/><Relationship Id="rId4678" Type="http://schemas.openxmlformats.org/officeDocument/2006/relationships/hyperlink" Target="https://dadosabertos.camara.leg.br/api/v2/deputados/130844" TargetMode="External"/><Relationship Id="rId7084" Type="http://schemas.openxmlformats.org/officeDocument/2006/relationships/hyperlink" Target="https://dadosabertos.camara.leg.br/api/v2/deputados/1082" TargetMode="External"/><Relationship Id="rId1522" Type="http://schemas.openxmlformats.org/officeDocument/2006/relationships/hyperlink" Target="https://dadosabertos.camara.leg.br/api/v2/deputados/141486" TargetMode="External"/><Relationship Id="rId5729" Type="http://schemas.openxmlformats.org/officeDocument/2006/relationships/hyperlink" Target="https://dadosabertos.camara.leg.br/api/v2/deputados/130215" TargetMode="External"/><Relationship Id="rId7151" Type="http://schemas.openxmlformats.org/officeDocument/2006/relationships/hyperlink" Target="https://dadosabertos.camara.leg.br/api/v2/deputados/1005" TargetMode="External"/><Relationship Id="rId3694" Type="http://schemas.openxmlformats.org/officeDocument/2006/relationships/hyperlink" Target="https://dadosabertos.camara.leg.br/api/v2/deputados/131725" TargetMode="External"/><Relationship Id="rId4745" Type="http://schemas.openxmlformats.org/officeDocument/2006/relationships/hyperlink" Target="https://dadosabertos.camara.leg.br/api/v2/deputados/130698" TargetMode="External"/><Relationship Id="rId2296" Type="http://schemas.openxmlformats.org/officeDocument/2006/relationships/hyperlink" Target="https://dadosabertos.camara.leg.br/api/v2/deputados/74412" TargetMode="External"/><Relationship Id="rId3347" Type="http://schemas.openxmlformats.org/officeDocument/2006/relationships/hyperlink" Target="https://dadosabertos.camara.leg.br/api/v2/deputados/131903" TargetMode="External"/><Relationship Id="rId3761" Type="http://schemas.openxmlformats.org/officeDocument/2006/relationships/hyperlink" Target="https://dadosabertos.camara.leg.br/api/v2/deputados/131811" TargetMode="External"/><Relationship Id="rId4812" Type="http://schemas.openxmlformats.org/officeDocument/2006/relationships/hyperlink" Target="https://dadosabertos.camara.leg.br/api/v2/deputados/130597" TargetMode="External"/><Relationship Id="rId7968" Type="http://schemas.openxmlformats.org/officeDocument/2006/relationships/hyperlink" Target="https://dadosabertos.camara.leg.br/api/v2/deputados/176" TargetMode="External"/><Relationship Id="rId268" Type="http://schemas.openxmlformats.org/officeDocument/2006/relationships/hyperlink" Target="https://dadosabertos.camara.leg.br/api/v2/deputados/220702" TargetMode="External"/><Relationship Id="rId682" Type="http://schemas.openxmlformats.org/officeDocument/2006/relationships/hyperlink" Target="https://dadosabertos.camara.leg.br/api/v2/deputados/204544" TargetMode="External"/><Relationship Id="rId2363" Type="http://schemas.openxmlformats.org/officeDocument/2006/relationships/hyperlink" Target="https://dadosabertos.camara.leg.br/api/v2/deputados/74303" TargetMode="External"/><Relationship Id="rId3414" Type="http://schemas.openxmlformats.org/officeDocument/2006/relationships/hyperlink" Target="https://dadosabertos.camara.leg.br/api/v2/deputados/131961" TargetMode="External"/><Relationship Id="rId6984" Type="http://schemas.openxmlformats.org/officeDocument/2006/relationships/hyperlink" Target="https://dadosabertos.camara.leg.br/api/v2/deputados/1193" TargetMode="External"/><Relationship Id="rId335" Type="http://schemas.openxmlformats.org/officeDocument/2006/relationships/hyperlink" Target="https://dadosabertos.camara.leg.br/api/v2/deputados/217480" TargetMode="External"/><Relationship Id="rId2016" Type="http://schemas.openxmlformats.org/officeDocument/2006/relationships/hyperlink" Target="https://dadosabertos.camara.leg.br/api/v2/deputados/74271" TargetMode="External"/><Relationship Id="rId2430" Type="http://schemas.openxmlformats.org/officeDocument/2006/relationships/hyperlink" Target="https://dadosabertos.camara.leg.br/api/v2/deputados/74022" TargetMode="External"/><Relationship Id="rId5586" Type="http://schemas.openxmlformats.org/officeDocument/2006/relationships/hyperlink" Target="https://dadosabertos.camara.leg.br/api/v2/deputados/2821" TargetMode="External"/><Relationship Id="rId6637" Type="http://schemas.openxmlformats.org/officeDocument/2006/relationships/hyperlink" Target="https://dadosabertos.camara.leg.br/api/v2/deputados/3930" TargetMode="External"/><Relationship Id="rId402" Type="http://schemas.openxmlformats.org/officeDocument/2006/relationships/hyperlink" Target="https://dadosabertos.camara.leg.br/api/v2/deputados/204448" TargetMode="External"/><Relationship Id="rId1032" Type="http://schemas.openxmlformats.org/officeDocument/2006/relationships/hyperlink" Target="https://dadosabertos.camara.leg.br/api/v2/deputados/178853" TargetMode="External"/><Relationship Id="rId4188" Type="http://schemas.openxmlformats.org/officeDocument/2006/relationships/hyperlink" Target="https://dadosabertos.camara.leg.br/api/v2/deputados/131215" TargetMode="External"/><Relationship Id="rId5239" Type="http://schemas.openxmlformats.org/officeDocument/2006/relationships/hyperlink" Target="https://dadosabertos.camara.leg.br/api/v2/deputados/3061" TargetMode="External"/><Relationship Id="rId4255" Type="http://schemas.openxmlformats.org/officeDocument/2006/relationships/hyperlink" Target="https://dadosabertos.camara.leg.br/api/v2/deputados/3135" TargetMode="External"/><Relationship Id="rId5306" Type="http://schemas.openxmlformats.org/officeDocument/2006/relationships/hyperlink" Target="https://dadosabertos.camara.leg.br/api/v2/deputados/4649" TargetMode="External"/><Relationship Id="rId5653" Type="http://schemas.openxmlformats.org/officeDocument/2006/relationships/hyperlink" Target="https://dadosabertos.camara.leg.br/api/v2/deputados/130239" TargetMode="External"/><Relationship Id="rId6704" Type="http://schemas.openxmlformats.org/officeDocument/2006/relationships/hyperlink" Target="https://dadosabertos.camara.leg.br/api/v2/deputados/1935" TargetMode="External"/><Relationship Id="rId1849" Type="http://schemas.openxmlformats.org/officeDocument/2006/relationships/hyperlink" Target="https://dadosabertos.camara.leg.br/api/v2/deputados/73882" TargetMode="External"/><Relationship Id="rId5720" Type="http://schemas.openxmlformats.org/officeDocument/2006/relationships/hyperlink" Target="https://dadosabertos.camara.leg.br/api/v2/deputados/4509" TargetMode="External"/><Relationship Id="rId192" Type="http://schemas.openxmlformats.org/officeDocument/2006/relationships/hyperlink" Target="https://dadosabertos.camara.leg.br/api/v2/deputados/220610" TargetMode="External"/><Relationship Id="rId1916" Type="http://schemas.openxmlformats.org/officeDocument/2006/relationships/hyperlink" Target="https://dadosabertos.camara.leg.br/api/v2/deputados/73427" TargetMode="External"/><Relationship Id="rId3271" Type="http://schemas.openxmlformats.org/officeDocument/2006/relationships/hyperlink" Target="https://dadosabertos.camara.leg.br/api/v2/deputados/132123" TargetMode="External"/><Relationship Id="rId4322" Type="http://schemas.openxmlformats.org/officeDocument/2006/relationships/hyperlink" Target="https://dadosabertos.camara.leg.br/api/v2/deputados/130929" TargetMode="External"/><Relationship Id="rId7478" Type="http://schemas.openxmlformats.org/officeDocument/2006/relationships/hyperlink" Target="https://dadosabertos.camara.leg.br/api/v2/deputados/722" TargetMode="External"/><Relationship Id="rId7892" Type="http://schemas.openxmlformats.org/officeDocument/2006/relationships/hyperlink" Target="https://dadosabertos.camara.leg.br/api/v2/deputados/91" TargetMode="External"/><Relationship Id="rId6494" Type="http://schemas.openxmlformats.org/officeDocument/2006/relationships/hyperlink" Target="https://dadosabertos.camara.leg.br/api/v2/deputados/3792" TargetMode="External"/><Relationship Id="rId7545" Type="http://schemas.openxmlformats.org/officeDocument/2006/relationships/hyperlink" Target="https://dadosabertos.camara.leg.br/api/v2/deputados/350" TargetMode="External"/><Relationship Id="rId5096" Type="http://schemas.openxmlformats.org/officeDocument/2006/relationships/hyperlink" Target="https://dadosabertos.camara.leg.br/api/v2/deputados/130292" TargetMode="External"/><Relationship Id="rId6147" Type="http://schemas.openxmlformats.org/officeDocument/2006/relationships/hyperlink" Target="https://dadosabertos.camara.leg.br/api/v2/deputados/2140" TargetMode="External"/><Relationship Id="rId6561" Type="http://schemas.openxmlformats.org/officeDocument/2006/relationships/hyperlink" Target="https://dadosabertos.camara.leg.br/api/v2/deputados/1648" TargetMode="External"/><Relationship Id="rId7612" Type="http://schemas.openxmlformats.org/officeDocument/2006/relationships/hyperlink" Target="https://dadosabertos.camara.leg.br/api/v2/deputados/133" TargetMode="External"/><Relationship Id="rId5163" Type="http://schemas.openxmlformats.org/officeDocument/2006/relationships/hyperlink" Target="https://dadosabertos.camara.leg.br/api/v2/deputados/130327" TargetMode="External"/><Relationship Id="rId6214" Type="http://schemas.openxmlformats.org/officeDocument/2006/relationships/hyperlink" Target="https://dadosabertos.camara.leg.br/api/v2/deputados/3557" TargetMode="External"/><Relationship Id="rId729" Type="http://schemas.openxmlformats.org/officeDocument/2006/relationships/hyperlink" Target="https://dadosabertos.camara.leg.br/api/v2/deputados/204542" TargetMode="External"/><Relationship Id="rId1359" Type="http://schemas.openxmlformats.org/officeDocument/2006/relationships/hyperlink" Target="https://dadosabertos.camara.leg.br/api/v2/deputados/74058" TargetMode="External"/><Relationship Id="rId2757" Type="http://schemas.openxmlformats.org/officeDocument/2006/relationships/hyperlink" Target="https://dadosabertos.camara.leg.br/api/v2/deputados/133918" TargetMode="External"/><Relationship Id="rId3808" Type="http://schemas.openxmlformats.org/officeDocument/2006/relationships/hyperlink" Target="https://dadosabertos.camara.leg.br/api/v2/deputados/131532" TargetMode="External"/><Relationship Id="rId5230" Type="http://schemas.openxmlformats.org/officeDocument/2006/relationships/hyperlink" Target="https://dadosabertos.camara.leg.br/api/v2/deputados/4874" TargetMode="External"/><Relationship Id="rId1773" Type="http://schemas.openxmlformats.org/officeDocument/2006/relationships/hyperlink" Target="https://dadosabertos.camara.leg.br/api/v2/deputados/133853" TargetMode="External"/><Relationship Id="rId2824" Type="http://schemas.openxmlformats.org/officeDocument/2006/relationships/hyperlink" Target="https://dadosabertos.camara.leg.br/api/v2/deputados/133962" TargetMode="External"/><Relationship Id="rId65" Type="http://schemas.openxmlformats.org/officeDocument/2006/relationships/hyperlink" Target="https://dadosabertos.camara.leg.br/api/v2/deputados/123086" TargetMode="External"/><Relationship Id="rId1426" Type="http://schemas.openxmlformats.org/officeDocument/2006/relationships/hyperlink" Target="https://dadosabertos.camara.leg.br/api/v2/deputados/141423" TargetMode="External"/><Relationship Id="rId1840" Type="http://schemas.openxmlformats.org/officeDocument/2006/relationships/hyperlink" Target="https://dadosabertos.camara.leg.br/api/v2/deputados/141512" TargetMode="External"/><Relationship Id="rId4996" Type="http://schemas.openxmlformats.org/officeDocument/2006/relationships/hyperlink" Target="https://dadosabertos.camara.leg.br/api/v2/deputados/3120" TargetMode="External"/><Relationship Id="rId3598" Type="http://schemas.openxmlformats.org/officeDocument/2006/relationships/hyperlink" Target="https://dadosabertos.camara.leg.br/api/v2/deputados/131656" TargetMode="External"/><Relationship Id="rId4649" Type="http://schemas.openxmlformats.org/officeDocument/2006/relationships/hyperlink" Target="https://dadosabertos.camara.leg.br/api/v2/deputados/130821" TargetMode="External"/><Relationship Id="rId7055" Type="http://schemas.openxmlformats.org/officeDocument/2006/relationships/hyperlink" Target="https://dadosabertos.camara.leg.br/api/v2/deputados/916" TargetMode="External"/><Relationship Id="rId3665" Type="http://schemas.openxmlformats.org/officeDocument/2006/relationships/hyperlink" Target="https://dadosabertos.camara.leg.br/api/v2/deputados/131714" TargetMode="External"/><Relationship Id="rId4716" Type="http://schemas.openxmlformats.org/officeDocument/2006/relationships/hyperlink" Target="https://dadosabertos.camara.leg.br/api/v2/deputados/130871" TargetMode="External"/><Relationship Id="rId6071" Type="http://schemas.openxmlformats.org/officeDocument/2006/relationships/hyperlink" Target="https://dadosabertos.camara.leg.br/api/v2/deputados/2404" TargetMode="External"/><Relationship Id="rId7122" Type="http://schemas.openxmlformats.org/officeDocument/2006/relationships/hyperlink" Target="https://dadosabertos.camara.leg.br/api/v2/deputados/463" TargetMode="External"/><Relationship Id="rId586" Type="http://schemas.openxmlformats.org/officeDocument/2006/relationships/hyperlink" Target="https://dadosabertos.camara.leg.br/api/v2/deputados/160629" TargetMode="External"/><Relationship Id="rId2267" Type="http://schemas.openxmlformats.org/officeDocument/2006/relationships/hyperlink" Target="https://dadosabertos.camara.leg.br/api/v2/deputados/74684" TargetMode="External"/><Relationship Id="rId2681" Type="http://schemas.openxmlformats.org/officeDocument/2006/relationships/hyperlink" Target="https://dadosabertos.camara.leg.br/api/v2/deputados/73958" TargetMode="External"/><Relationship Id="rId3318" Type="http://schemas.openxmlformats.org/officeDocument/2006/relationships/hyperlink" Target="https://dadosabertos.camara.leg.br/api/v2/deputados/131879" TargetMode="External"/><Relationship Id="rId6888" Type="http://schemas.openxmlformats.org/officeDocument/2006/relationships/hyperlink" Target="https://dadosabertos.camara.leg.br/api/v2/deputados/1026" TargetMode="External"/><Relationship Id="rId239" Type="http://schemas.openxmlformats.org/officeDocument/2006/relationships/hyperlink" Target="https://dadosabertos.camara.leg.br/api/v2/deputados/204368" TargetMode="External"/><Relationship Id="rId653" Type="http://schemas.openxmlformats.org/officeDocument/2006/relationships/hyperlink" Target="https://www.instagram.com/weliton.prado" TargetMode="External"/><Relationship Id="rId1283" Type="http://schemas.openxmlformats.org/officeDocument/2006/relationships/hyperlink" Target="https://dadosabertos.camara.leg.br/api/v2/deputados/74762" TargetMode="External"/><Relationship Id="rId2334" Type="http://schemas.openxmlformats.org/officeDocument/2006/relationships/hyperlink" Target="https://dadosabertos.camara.leg.br/api/v2/deputados/74206" TargetMode="External"/><Relationship Id="rId3732" Type="http://schemas.openxmlformats.org/officeDocument/2006/relationships/hyperlink" Target="https://dadosabertos.camara.leg.br/api/v2/deputados/131786" TargetMode="External"/><Relationship Id="rId7939" Type="http://schemas.openxmlformats.org/officeDocument/2006/relationships/hyperlink" Target="https://dadosabertos.camara.leg.br/api/v2/deputados/124" TargetMode="External"/><Relationship Id="rId306" Type="http://schemas.openxmlformats.org/officeDocument/2006/relationships/hyperlink" Target="https://dadosabertos.camara.leg.br/api/v2/deputados/204539" TargetMode="External"/><Relationship Id="rId6955" Type="http://schemas.openxmlformats.org/officeDocument/2006/relationships/hyperlink" Target="https://dadosabertos.camara.leg.br/api/v2/deputados/1198" TargetMode="External"/><Relationship Id="rId720" Type="http://schemas.openxmlformats.org/officeDocument/2006/relationships/hyperlink" Target="https://dadosabertos.camara.leg.br/api/v2/deputados/135054" TargetMode="External"/><Relationship Id="rId1350" Type="http://schemas.openxmlformats.org/officeDocument/2006/relationships/hyperlink" Target="https://dadosabertos.camara.leg.br/api/v2/deputados/161905" TargetMode="External"/><Relationship Id="rId2401" Type="http://schemas.openxmlformats.org/officeDocument/2006/relationships/hyperlink" Target="https://dadosabertos.camara.leg.br/api/v2/deputados/74691" TargetMode="External"/><Relationship Id="rId4159" Type="http://schemas.openxmlformats.org/officeDocument/2006/relationships/hyperlink" Target="https://dadosabertos.camara.leg.br/api/v2/deputados/1688" TargetMode="External"/><Relationship Id="rId5557" Type="http://schemas.openxmlformats.org/officeDocument/2006/relationships/hyperlink" Target="https://dadosabertos.camara.leg.br/api/v2/deputados/4546" TargetMode="External"/><Relationship Id="rId5971" Type="http://schemas.openxmlformats.org/officeDocument/2006/relationships/hyperlink" Target="https://dadosabertos.camara.leg.br/api/v2/deputados/4333" TargetMode="External"/><Relationship Id="rId6608" Type="http://schemas.openxmlformats.org/officeDocument/2006/relationships/hyperlink" Target="https://dadosabertos.camara.leg.br/api/v2/deputados/3887" TargetMode="External"/><Relationship Id="rId1003" Type="http://schemas.openxmlformats.org/officeDocument/2006/relationships/hyperlink" Target="https://dadosabertos.camara.leg.br/api/v2/deputados/74213" TargetMode="External"/><Relationship Id="rId4573" Type="http://schemas.openxmlformats.org/officeDocument/2006/relationships/hyperlink" Target="https://dadosabertos.camara.leg.br/api/v2/deputados/130736" TargetMode="External"/><Relationship Id="rId5624" Type="http://schemas.openxmlformats.org/officeDocument/2006/relationships/hyperlink" Target="https://dadosabertos.camara.leg.br/api/v2/deputados/4611" TargetMode="External"/><Relationship Id="rId3175" Type="http://schemas.openxmlformats.org/officeDocument/2006/relationships/hyperlink" Target="https://dadosabertos.camara.leg.br/api/v2/deputados/139317" TargetMode="External"/><Relationship Id="rId4226" Type="http://schemas.openxmlformats.org/officeDocument/2006/relationships/hyperlink" Target="https://dadosabertos.camara.leg.br/api/v2/deputados/131345" TargetMode="External"/><Relationship Id="rId4640" Type="http://schemas.openxmlformats.org/officeDocument/2006/relationships/hyperlink" Target="https://dadosabertos.camara.leg.br/api/v2/deputados/130806" TargetMode="External"/><Relationship Id="rId7796" Type="http://schemas.openxmlformats.org/officeDocument/2006/relationships/hyperlink" Target="https://dadosabertos.camara.leg.br/api/v2/deputados/355" TargetMode="External"/><Relationship Id="rId2191" Type="http://schemas.openxmlformats.org/officeDocument/2006/relationships/hyperlink" Target="https://dadosabertos.camara.leg.br/api/v2/deputados/74248" TargetMode="External"/><Relationship Id="rId3242" Type="http://schemas.openxmlformats.org/officeDocument/2006/relationships/hyperlink" Target="https://dadosabertos.camara.leg.br/api/v2/deputados/139372" TargetMode="External"/><Relationship Id="rId6398" Type="http://schemas.openxmlformats.org/officeDocument/2006/relationships/hyperlink" Target="https://dadosabertos.camara.leg.br/api/v2/deputados/3668" TargetMode="External"/><Relationship Id="rId7449" Type="http://schemas.openxmlformats.org/officeDocument/2006/relationships/hyperlink" Target="https://dadosabertos.camara.leg.br/api/v2/deputados/431" TargetMode="External"/><Relationship Id="rId163" Type="http://schemas.openxmlformats.org/officeDocument/2006/relationships/hyperlink" Target="https://dadosabertos.camara.leg.br/api/v2/deputados/178908" TargetMode="External"/><Relationship Id="rId6465" Type="http://schemas.openxmlformats.org/officeDocument/2006/relationships/hyperlink" Target="https://dadosabertos.camara.leg.br/api/v2/deputados/2151" TargetMode="External"/><Relationship Id="rId7516" Type="http://schemas.openxmlformats.org/officeDocument/2006/relationships/hyperlink" Target="https://dadosabertos.camara.leg.br/api/v2/deputados/651" TargetMode="External"/><Relationship Id="rId7863" Type="http://schemas.openxmlformats.org/officeDocument/2006/relationships/hyperlink" Target="https://dadosabertos.camara.leg.br/api/v2/deputados/334" TargetMode="External"/><Relationship Id="rId230" Type="http://schemas.openxmlformats.org/officeDocument/2006/relationships/hyperlink" Target="http://www.erosbiondini.com/" TargetMode="External"/><Relationship Id="rId5067" Type="http://schemas.openxmlformats.org/officeDocument/2006/relationships/hyperlink" Target="https://dadosabertos.camara.leg.br/api/v2/deputados/130490" TargetMode="External"/><Relationship Id="rId6118" Type="http://schemas.openxmlformats.org/officeDocument/2006/relationships/hyperlink" Target="https://dadosabertos.camara.leg.br/api/v2/deputados/4177" TargetMode="External"/><Relationship Id="rId7930" Type="http://schemas.openxmlformats.org/officeDocument/2006/relationships/hyperlink" Target="https://dadosabertos.camara.leg.br/api/v2/deputados/1268" TargetMode="External"/><Relationship Id="rId4083" Type="http://schemas.openxmlformats.org/officeDocument/2006/relationships/hyperlink" Target="https://dadosabertos.camara.leg.br/api/v2/deputados/131182" TargetMode="External"/><Relationship Id="rId5481" Type="http://schemas.openxmlformats.org/officeDocument/2006/relationships/hyperlink" Target="https://dadosabertos.camara.leg.br/api/v2/deputados/130246" TargetMode="External"/><Relationship Id="rId6532" Type="http://schemas.openxmlformats.org/officeDocument/2006/relationships/hyperlink" Target="https://dadosabertos.camara.leg.br/api/v2/deputados/2007" TargetMode="External"/><Relationship Id="rId1677" Type="http://schemas.openxmlformats.org/officeDocument/2006/relationships/hyperlink" Target="https://dadosabertos.camara.leg.br/api/v2/deputados/159262" TargetMode="External"/><Relationship Id="rId2728" Type="http://schemas.openxmlformats.org/officeDocument/2006/relationships/hyperlink" Target="https://dadosabertos.camara.leg.br/api/v2/deputados/133952" TargetMode="External"/><Relationship Id="rId5134" Type="http://schemas.openxmlformats.org/officeDocument/2006/relationships/hyperlink" Target="https://dadosabertos.camara.leg.br/api/v2/deputados/130294" TargetMode="External"/><Relationship Id="rId1744" Type="http://schemas.openxmlformats.org/officeDocument/2006/relationships/hyperlink" Target="https://dadosabertos.camara.leg.br/api/v2/deputados/141425" TargetMode="External"/><Relationship Id="rId4150" Type="http://schemas.openxmlformats.org/officeDocument/2006/relationships/hyperlink" Target="https://dadosabertos.camara.leg.br/api/v2/deputados/131275" TargetMode="External"/><Relationship Id="rId5201" Type="http://schemas.openxmlformats.org/officeDocument/2006/relationships/hyperlink" Target="https://dadosabertos.camara.leg.br/api/v2/deputados/2983" TargetMode="External"/><Relationship Id="rId36" Type="http://schemas.openxmlformats.org/officeDocument/2006/relationships/hyperlink" Target="https://dadosabertos.camara.leg.br/api/v2/deputados/178881" TargetMode="External"/><Relationship Id="rId4967" Type="http://schemas.openxmlformats.org/officeDocument/2006/relationships/hyperlink" Target="https://dadosabertos.camara.leg.br/api/v2/deputados/130435" TargetMode="External"/><Relationship Id="rId7373" Type="http://schemas.openxmlformats.org/officeDocument/2006/relationships/hyperlink" Target="https://dadosabertos.camara.leg.br/api/v2/deputados/739" TargetMode="External"/><Relationship Id="rId1811" Type="http://schemas.openxmlformats.org/officeDocument/2006/relationships/hyperlink" Target="https://dadosabertos.camara.leg.br/api/v2/deputados/141504" TargetMode="External"/><Relationship Id="rId3569" Type="http://schemas.openxmlformats.org/officeDocument/2006/relationships/hyperlink" Target="https://dadosabertos.camara.leg.br/api/v2/deputados/132108" TargetMode="External"/><Relationship Id="rId7026" Type="http://schemas.openxmlformats.org/officeDocument/2006/relationships/hyperlink" Target="https://dadosabertos.camara.leg.br/api/v2/deputados/1274" TargetMode="External"/><Relationship Id="rId7440" Type="http://schemas.openxmlformats.org/officeDocument/2006/relationships/hyperlink" Target="https://dadosabertos.camara.leg.br/api/v2/deputados/567" TargetMode="External"/><Relationship Id="rId3983" Type="http://schemas.openxmlformats.org/officeDocument/2006/relationships/hyperlink" Target="https://dadosabertos.camara.leg.br/api/v2/deputados/131469" TargetMode="External"/><Relationship Id="rId6042" Type="http://schemas.openxmlformats.org/officeDocument/2006/relationships/hyperlink" Target="https://dadosabertos.camara.leg.br/api/v2/deputados/2478" TargetMode="External"/><Relationship Id="rId1187" Type="http://schemas.openxmlformats.org/officeDocument/2006/relationships/hyperlink" Target="https://dadosabertos.camara.leg.br/api/v2/deputados/76287" TargetMode="External"/><Relationship Id="rId2585" Type="http://schemas.openxmlformats.org/officeDocument/2006/relationships/hyperlink" Target="https://dadosabertos.camara.leg.br/api/v2/deputados/73905" TargetMode="External"/><Relationship Id="rId3636" Type="http://schemas.openxmlformats.org/officeDocument/2006/relationships/hyperlink" Target="https://dadosabertos.camara.leg.br/api/v2/deputados/131690" TargetMode="External"/><Relationship Id="rId557" Type="http://schemas.openxmlformats.org/officeDocument/2006/relationships/hyperlink" Target="https://dadosabertos.camara.leg.br/api/v2/deputados/178989" TargetMode="External"/><Relationship Id="rId971" Type="http://schemas.openxmlformats.org/officeDocument/2006/relationships/hyperlink" Target="https://dadosabertos.camara.leg.br/api/v2/deputados/204483" TargetMode="External"/><Relationship Id="rId2238" Type="http://schemas.openxmlformats.org/officeDocument/2006/relationships/hyperlink" Target="https://dadosabertos.camara.leg.br/api/v2/deputados/73894" TargetMode="External"/><Relationship Id="rId2652" Type="http://schemas.openxmlformats.org/officeDocument/2006/relationships/hyperlink" Target="https://dadosabertos.camara.leg.br/api/v2/deputados/74331" TargetMode="External"/><Relationship Id="rId3703" Type="http://schemas.openxmlformats.org/officeDocument/2006/relationships/hyperlink" Target="https://dadosabertos.camara.leg.br/api/v2/deputados/131762" TargetMode="External"/><Relationship Id="rId6859" Type="http://schemas.openxmlformats.org/officeDocument/2006/relationships/hyperlink" Target="https://dadosabertos.camara.leg.br/api/v2/deputados/1257" TargetMode="External"/><Relationship Id="rId624" Type="http://schemas.openxmlformats.org/officeDocument/2006/relationships/hyperlink" Target="https://dadosabertos.camara.leg.br/api/v2/deputados/178947" TargetMode="External"/><Relationship Id="rId1254" Type="http://schemas.openxmlformats.org/officeDocument/2006/relationships/hyperlink" Target="https://dadosabertos.camara.leg.br/api/v2/deputados/195581" TargetMode="External"/><Relationship Id="rId2305" Type="http://schemas.openxmlformats.org/officeDocument/2006/relationships/hyperlink" Target="https://dadosabertos.camara.leg.br/api/v2/deputados/73916" TargetMode="External"/><Relationship Id="rId5875" Type="http://schemas.openxmlformats.org/officeDocument/2006/relationships/hyperlink" Target="https://dadosabertos.camara.leg.br/api/v2/deputados/2567" TargetMode="External"/><Relationship Id="rId6926" Type="http://schemas.openxmlformats.org/officeDocument/2006/relationships/hyperlink" Target="https://dadosabertos.camara.leg.br/api/v2/deputados/1162" TargetMode="External"/><Relationship Id="rId1321" Type="http://schemas.openxmlformats.org/officeDocument/2006/relationships/hyperlink" Target="http://www.williamwoo.com.br/" TargetMode="External"/><Relationship Id="rId4477" Type="http://schemas.openxmlformats.org/officeDocument/2006/relationships/hyperlink" Target="https://dadosabertos.camara.leg.br/api/v2/deputados/131033" TargetMode="External"/><Relationship Id="rId4891" Type="http://schemas.openxmlformats.org/officeDocument/2006/relationships/hyperlink" Target="https://dadosabertos.camara.leg.br/api/v2/deputados/130684" TargetMode="External"/><Relationship Id="rId5528" Type="http://schemas.openxmlformats.org/officeDocument/2006/relationships/hyperlink" Target="https://dadosabertos.camara.leg.br/api/v2/deputados/2963" TargetMode="External"/><Relationship Id="rId3079" Type="http://schemas.openxmlformats.org/officeDocument/2006/relationships/hyperlink" Target="https://dadosabertos.camara.leg.br/api/v2/deputados/139234" TargetMode="External"/><Relationship Id="rId3493" Type="http://schemas.openxmlformats.org/officeDocument/2006/relationships/hyperlink" Target="https://dadosabertos.camara.leg.br/api/v2/deputados/132043" TargetMode="External"/><Relationship Id="rId4544" Type="http://schemas.openxmlformats.org/officeDocument/2006/relationships/hyperlink" Target="https://dadosabertos.camara.leg.br/api/v2/deputados/2848" TargetMode="External"/><Relationship Id="rId5942" Type="http://schemas.openxmlformats.org/officeDocument/2006/relationships/hyperlink" Target="https://dadosabertos.camara.leg.br/api/v2/deputados/2550" TargetMode="External"/><Relationship Id="rId2095" Type="http://schemas.openxmlformats.org/officeDocument/2006/relationships/hyperlink" Target="https://dadosabertos.camara.leg.br/api/v2/deputados/73499" TargetMode="External"/><Relationship Id="rId3146" Type="http://schemas.openxmlformats.org/officeDocument/2006/relationships/hyperlink" Target="https://dadosabertos.camara.leg.br/api/v2/deputados/1530" TargetMode="External"/><Relationship Id="rId481" Type="http://schemas.openxmlformats.org/officeDocument/2006/relationships/hyperlink" Target="https://dadosabertos.camara.leg.br/api/v2/deputados/204449" TargetMode="External"/><Relationship Id="rId2162" Type="http://schemas.openxmlformats.org/officeDocument/2006/relationships/hyperlink" Target="https://dadosabertos.camara.leg.br/api/v2/deputados/73566" TargetMode="External"/><Relationship Id="rId3560" Type="http://schemas.openxmlformats.org/officeDocument/2006/relationships/hyperlink" Target="https://dadosabertos.camara.leg.br/api/v2/deputados/132099" TargetMode="External"/><Relationship Id="rId4611" Type="http://schemas.openxmlformats.org/officeDocument/2006/relationships/hyperlink" Target="https://dadosabertos.camara.leg.br/api/v2/deputados/3130" TargetMode="External"/><Relationship Id="rId6369" Type="http://schemas.openxmlformats.org/officeDocument/2006/relationships/hyperlink" Target="https://dadosabertos.camara.leg.br/api/v2/deputados/130113" TargetMode="External"/><Relationship Id="rId7767" Type="http://schemas.openxmlformats.org/officeDocument/2006/relationships/hyperlink" Target="https://dadosabertos.camara.leg.br/api/v2/deputados/418" TargetMode="External"/><Relationship Id="rId134" Type="http://schemas.openxmlformats.org/officeDocument/2006/relationships/hyperlink" Target="https://dadosabertos.camara.leg.br/api/v2/deputados/220608" TargetMode="External"/><Relationship Id="rId3213" Type="http://schemas.openxmlformats.org/officeDocument/2006/relationships/hyperlink" Target="https://dadosabertos.camara.leg.br/api/v2/deputados/139347" TargetMode="External"/><Relationship Id="rId6783" Type="http://schemas.openxmlformats.org/officeDocument/2006/relationships/hyperlink" Target="https://dadosabertos.camara.leg.br/api/v2/deputados/1640" TargetMode="External"/><Relationship Id="rId7834" Type="http://schemas.openxmlformats.org/officeDocument/2006/relationships/hyperlink" Target="https://dadosabertos.camara.leg.br/api/v2/deputados/291" TargetMode="External"/><Relationship Id="rId2979" Type="http://schemas.openxmlformats.org/officeDocument/2006/relationships/hyperlink" Target="https://dadosabertos.camara.leg.br/api/v2/deputados/139147" TargetMode="External"/><Relationship Id="rId5385" Type="http://schemas.openxmlformats.org/officeDocument/2006/relationships/hyperlink" Target="https://dadosabertos.camara.leg.br/api/v2/deputados/2953" TargetMode="External"/><Relationship Id="rId6436" Type="http://schemas.openxmlformats.org/officeDocument/2006/relationships/hyperlink" Target="https://dadosabertos.camara.leg.br/api/v2/deputados/1866" TargetMode="External"/><Relationship Id="rId6850" Type="http://schemas.openxmlformats.org/officeDocument/2006/relationships/hyperlink" Target="https://dadosabertos.camara.leg.br/api/v2/deputados/1144" TargetMode="External"/><Relationship Id="rId7901" Type="http://schemas.openxmlformats.org/officeDocument/2006/relationships/hyperlink" Target="https://dadosabertos.camara.leg.br/api/v2/deputados/252" TargetMode="External"/><Relationship Id="rId201" Type="http://schemas.openxmlformats.org/officeDocument/2006/relationships/hyperlink" Target="https://dadosabertos.camara.leg.br/api/v2/deputados/204412" TargetMode="External"/><Relationship Id="rId1995" Type="http://schemas.openxmlformats.org/officeDocument/2006/relationships/hyperlink" Target="https://dadosabertos.camara.leg.br/api/v2/deputados/136377" TargetMode="External"/><Relationship Id="rId5038" Type="http://schemas.openxmlformats.org/officeDocument/2006/relationships/hyperlink" Target="https://dadosabertos.camara.leg.br/api/v2/deputados/130481" TargetMode="External"/><Relationship Id="rId5452" Type="http://schemas.openxmlformats.org/officeDocument/2006/relationships/hyperlink" Target="https://dadosabertos.camara.leg.br/api/v2/deputados/4764" TargetMode="External"/><Relationship Id="rId6503" Type="http://schemas.openxmlformats.org/officeDocument/2006/relationships/hyperlink" Target="https://dadosabertos.camara.leg.br/api/v2/deputados/3830" TargetMode="External"/><Relationship Id="rId1648" Type="http://schemas.openxmlformats.org/officeDocument/2006/relationships/hyperlink" Target="https://dadosabertos.camara.leg.br/api/v2/deputados/141557" TargetMode="External"/><Relationship Id="rId4054" Type="http://schemas.openxmlformats.org/officeDocument/2006/relationships/hyperlink" Target="https://dadosabertos.camara.leg.br/api/v2/deputados/131192" TargetMode="External"/><Relationship Id="rId5105" Type="http://schemas.openxmlformats.org/officeDocument/2006/relationships/hyperlink" Target="https://dadosabertos.camara.leg.br/api/v2/deputados/130354" TargetMode="External"/><Relationship Id="rId3070" Type="http://schemas.openxmlformats.org/officeDocument/2006/relationships/hyperlink" Target="https://dadosabertos.camara.leg.br/api/v2/deputados/139226" TargetMode="External"/><Relationship Id="rId4121" Type="http://schemas.openxmlformats.org/officeDocument/2006/relationships/hyperlink" Target="https://dadosabertos.camara.leg.br/api/v2/deputados/131247" TargetMode="External"/><Relationship Id="rId7277" Type="http://schemas.openxmlformats.org/officeDocument/2006/relationships/hyperlink" Target="https://dadosabertos.camara.leg.br/api/v2/deputados/687" TargetMode="External"/><Relationship Id="rId1715" Type="http://schemas.openxmlformats.org/officeDocument/2006/relationships/hyperlink" Target="https://dadosabertos.camara.leg.br/api/v2/deputados/141406" TargetMode="External"/><Relationship Id="rId6293" Type="http://schemas.openxmlformats.org/officeDocument/2006/relationships/hyperlink" Target="https://dadosabertos.camara.leg.br/api/v2/deputados/3571" TargetMode="External"/><Relationship Id="rId7691" Type="http://schemas.openxmlformats.org/officeDocument/2006/relationships/hyperlink" Target="https://dadosabertos.camara.leg.br/api/v2/deputados/479" TargetMode="External"/><Relationship Id="rId3887" Type="http://schemas.openxmlformats.org/officeDocument/2006/relationships/hyperlink" Target="https://dadosabertos.camara.leg.br/api/v2/deputados/131613" TargetMode="External"/><Relationship Id="rId4938" Type="http://schemas.openxmlformats.org/officeDocument/2006/relationships/hyperlink" Target="https://dadosabertos.camara.leg.br/api/v2/deputados/130408" TargetMode="External"/><Relationship Id="rId7344" Type="http://schemas.openxmlformats.org/officeDocument/2006/relationships/hyperlink" Target="https://dadosabertos.camara.leg.br/api/v2/deputados/494" TargetMode="External"/><Relationship Id="rId2489" Type="http://schemas.openxmlformats.org/officeDocument/2006/relationships/hyperlink" Target="https://dadosabertos.camara.leg.br/api/v2/deputados/74242" TargetMode="External"/><Relationship Id="rId3954" Type="http://schemas.openxmlformats.org/officeDocument/2006/relationships/hyperlink" Target="https://dadosabertos.camara.leg.br/api/v2/deputados/131433" TargetMode="External"/><Relationship Id="rId6360" Type="http://schemas.openxmlformats.org/officeDocument/2006/relationships/hyperlink" Target="https://dadosabertos.camara.leg.br/api/v2/deputados/1985" TargetMode="External"/><Relationship Id="rId7411" Type="http://schemas.openxmlformats.org/officeDocument/2006/relationships/hyperlink" Target="https://dadosabertos.camara.leg.br/api/v2/deputados/772" TargetMode="External"/><Relationship Id="rId875" Type="http://schemas.openxmlformats.org/officeDocument/2006/relationships/hyperlink" Target="https://dadosabertos.camara.leg.br/api/v2/deputados/204384" TargetMode="External"/><Relationship Id="rId2556" Type="http://schemas.openxmlformats.org/officeDocument/2006/relationships/hyperlink" Target="https://dadosabertos.camara.leg.br/api/v2/deputados/73877" TargetMode="External"/><Relationship Id="rId2970" Type="http://schemas.openxmlformats.org/officeDocument/2006/relationships/hyperlink" Target="https://dadosabertos.camara.leg.br/api/v2/deputados/139139" TargetMode="External"/><Relationship Id="rId3607" Type="http://schemas.openxmlformats.org/officeDocument/2006/relationships/hyperlink" Target="https://dadosabertos.camara.leg.br/api/v2/deputados/131721" TargetMode="External"/><Relationship Id="rId6013" Type="http://schemas.openxmlformats.org/officeDocument/2006/relationships/hyperlink" Target="https://dadosabertos.camara.leg.br/api/v2/deputados/2491" TargetMode="External"/><Relationship Id="rId528" Type="http://schemas.openxmlformats.org/officeDocument/2006/relationships/hyperlink" Target="https://dadosabertos.camara.leg.br/api/v2/deputados/122974" TargetMode="External"/><Relationship Id="rId942" Type="http://schemas.openxmlformats.org/officeDocument/2006/relationships/hyperlink" Target="https://dadosabertos.camara.leg.br/api/v2/deputados/204399" TargetMode="External"/><Relationship Id="rId1158" Type="http://schemas.openxmlformats.org/officeDocument/2006/relationships/hyperlink" Target="https://dadosabertos.camara.leg.br/api/v2/deputados/160659" TargetMode="External"/><Relationship Id="rId1572" Type="http://schemas.openxmlformats.org/officeDocument/2006/relationships/hyperlink" Target="https://dadosabertos.camara.leg.br/api/v2/deputados/73464" TargetMode="External"/><Relationship Id="rId2209" Type="http://schemas.openxmlformats.org/officeDocument/2006/relationships/hyperlink" Target="https://dadosabertos.camara.leg.br/api/v2/deputados/74834" TargetMode="External"/><Relationship Id="rId2623" Type="http://schemas.openxmlformats.org/officeDocument/2006/relationships/hyperlink" Target="https://dadosabertos.camara.leg.br/api/v2/deputados/74003" TargetMode="External"/><Relationship Id="rId5779" Type="http://schemas.openxmlformats.org/officeDocument/2006/relationships/hyperlink" Target="https://dadosabertos.camara.leg.br/api/v2/deputados/130209" TargetMode="External"/><Relationship Id="rId1225" Type="http://schemas.openxmlformats.org/officeDocument/2006/relationships/hyperlink" Target="https://dadosabertos.camara.leg.br/api/v2/deputados/160566" TargetMode="External"/><Relationship Id="rId3397" Type="http://schemas.openxmlformats.org/officeDocument/2006/relationships/hyperlink" Target="https://dadosabertos.camara.leg.br/api/v2/deputados/132114" TargetMode="External"/><Relationship Id="rId4795" Type="http://schemas.openxmlformats.org/officeDocument/2006/relationships/hyperlink" Target="https://dadosabertos.camara.leg.br/api/v2/deputados/130578" TargetMode="External"/><Relationship Id="rId5846" Type="http://schemas.openxmlformats.org/officeDocument/2006/relationships/hyperlink" Target="https://dadosabertos.camara.leg.br/api/v2/deputados/2603" TargetMode="External"/><Relationship Id="rId4448" Type="http://schemas.openxmlformats.org/officeDocument/2006/relationships/hyperlink" Target="https://dadosabertos.camara.leg.br/api/v2/deputados/131061" TargetMode="External"/><Relationship Id="rId4862" Type="http://schemas.openxmlformats.org/officeDocument/2006/relationships/hyperlink" Target="https://dadosabertos.camara.leg.br/api/v2/deputados/130668" TargetMode="External"/><Relationship Id="rId5913" Type="http://schemas.openxmlformats.org/officeDocument/2006/relationships/hyperlink" Target="https://dadosabertos.camara.leg.br/api/v2/deputados/2543" TargetMode="External"/><Relationship Id="rId3464" Type="http://schemas.openxmlformats.org/officeDocument/2006/relationships/hyperlink" Target="https://dadosabertos.camara.leg.br/api/v2/deputados/132023" TargetMode="External"/><Relationship Id="rId4515" Type="http://schemas.openxmlformats.org/officeDocument/2006/relationships/hyperlink" Target="https://dadosabertos.camara.leg.br/api/v2/deputados/131119" TargetMode="External"/><Relationship Id="rId385" Type="http://schemas.openxmlformats.org/officeDocument/2006/relationships/hyperlink" Target="https://dadosabertos.camara.leg.br/api/v2/deputados/171139" TargetMode="External"/><Relationship Id="rId2066" Type="http://schemas.openxmlformats.org/officeDocument/2006/relationships/hyperlink" Target="https://dadosabertos.camara.leg.br/api/v2/deputados/73545" TargetMode="External"/><Relationship Id="rId2480" Type="http://schemas.openxmlformats.org/officeDocument/2006/relationships/hyperlink" Target="https://dadosabertos.camara.leg.br/api/v2/deputados/74196" TargetMode="External"/><Relationship Id="rId3117" Type="http://schemas.openxmlformats.org/officeDocument/2006/relationships/hyperlink" Target="https://dadosabertos.camara.leg.br/api/v2/deputados/139267" TargetMode="External"/><Relationship Id="rId3531" Type="http://schemas.openxmlformats.org/officeDocument/2006/relationships/hyperlink" Target="https://dadosabertos.camara.leg.br/api/v2/deputados/131962" TargetMode="External"/><Relationship Id="rId6687" Type="http://schemas.openxmlformats.org/officeDocument/2006/relationships/hyperlink" Target="https://dadosabertos.camara.leg.br/api/v2/deputados/1578" TargetMode="External"/><Relationship Id="rId7738" Type="http://schemas.openxmlformats.org/officeDocument/2006/relationships/hyperlink" Target="https://dadosabertos.camara.leg.br/api/v2/deputados/432" TargetMode="External"/><Relationship Id="rId452" Type="http://schemas.openxmlformats.org/officeDocument/2006/relationships/hyperlink" Target="https://dadosabertos.camara.leg.br/api/v2/deputados/178858" TargetMode="External"/><Relationship Id="rId1082" Type="http://schemas.openxmlformats.org/officeDocument/2006/relationships/hyperlink" Target="https://dadosabertos.camara.leg.br/api/v2/deputados/146829" TargetMode="External"/><Relationship Id="rId2133" Type="http://schemas.openxmlformats.org/officeDocument/2006/relationships/hyperlink" Target="https://dadosabertos.camara.leg.br/api/v2/deputados/74281" TargetMode="External"/><Relationship Id="rId5289" Type="http://schemas.openxmlformats.org/officeDocument/2006/relationships/hyperlink" Target="https://dadosabertos.camara.leg.br/api/v2/deputados/4881" TargetMode="External"/><Relationship Id="rId6754" Type="http://schemas.openxmlformats.org/officeDocument/2006/relationships/hyperlink" Target="https://dadosabertos.camara.leg.br/api/v2/deputados/1764" TargetMode="External"/><Relationship Id="rId7805" Type="http://schemas.openxmlformats.org/officeDocument/2006/relationships/hyperlink" Target="https://dadosabertos.camara.leg.br/api/v2/deputados/225373" TargetMode="External"/><Relationship Id="rId105" Type="http://schemas.openxmlformats.org/officeDocument/2006/relationships/hyperlink" Target="https://dadosabertos.camara.leg.br/api/v2/deputados/141398" TargetMode="External"/><Relationship Id="rId2200" Type="http://schemas.openxmlformats.org/officeDocument/2006/relationships/hyperlink" Target="https://dadosabertos.camara.leg.br/api/v2/deputados/73432" TargetMode="External"/><Relationship Id="rId5356" Type="http://schemas.openxmlformats.org/officeDocument/2006/relationships/hyperlink" Target="https://dadosabertos.camara.leg.br/api/v2/deputados/2943" TargetMode="External"/><Relationship Id="rId6407" Type="http://schemas.openxmlformats.org/officeDocument/2006/relationships/hyperlink" Target="https://dadosabertos.camara.leg.br/api/v2/deputados/3688" TargetMode="External"/><Relationship Id="rId1899" Type="http://schemas.openxmlformats.org/officeDocument/2006/relationships/hyperlink" Target="https://dadosabertos.camara.leg.br/api/v2/deputados/74087" TargetMode="External"/><Relationship Id="rId4372" Type="http://schemas.openxmlformats.org/officeDocument/2006/relationships/hyperlink" Target="https://dadosabertos.camara.leg.br/api/v2/deputados/130908" TargetMode="External"/><Relationship Id="rId5009" Type="http://schemas.openxmlformats.org/officeDocument/2006/relationships/hyperlink" Target="https://dadosabertos.camara.leg.br/api/v2/deputados/130470" TargetMode="External"/><Relationship Id="rId5770" Type="http://schemas.openxmlformats.org/officeDocument/2006/relationships/hyperlink" Target="https://dadosabertos.camara.leg.br/api/v2/deputados/4506" TargetMode="External"/><Relationship Id="rId6821" Type="http://schemas.openxmlformats.org/officeDocument/2006/relationships/hyperlink" Target="https://dadosabertos.camara.leg.br/api/v2/deputados/1798" TargetMode="External"/><Relationship Id="rId1966" Type="http://schemas.openxmlformats.org/officeDocument/2006/relationships/hyperlink" Target="https://dadosabertos.camara.leg.br/api/v2/deputados/73442" TargetMode="External"/><Relationship Id="rId4025" Type="http://schemas.openxmlformats.org/officeDocument/2006/relationships/hyperlink" Target="https://dadosabertos.camara.leg.br/api/v2/deputados/3143" TargetMode="External"/><Relationship Id="rId5423" Type="http://schemas.openxmlformats.org/officeDocument/2006/relationships/hyperlink" Target="https://dadosabertos.camara.leg.br/api/v2/deputados/2686" TargetMode="External"/><Relationship Id="rId1619" Type="http://schemas.openxmlformats.org/officeDocument/2006/relationships/hyperlink" Target="https://dadosabertos.camara.leg.br/api/v2/deputados/160614" TargetMode="External"/><Relationship Id="rId7595" Type="http://schemas.openxmlformats.org/officeDocument/2006/relationships/hyperlink" Target="https://dadosabertos.camara.leg.br/api/v2/deputados/562" TargetMode="External"/><Relationship Id="rId3041" Type="http://schemas.openxmlformats.org/officeDocument/2006/relationships/hyperlink" Target="https://dadosabertos.camara.leg.br/api/v2/deputados/139201" TargetMode="External"/><Relationship Id="rId6197" Type="http://schemas.openxmlformats.org/officeDocument/2006/relationships/hyperlink" Target="https://dadosabertos.camara.leg.br/api/v2/deputados/3502" TargetMode="External"/><Relationship Id="rId7248" Type="http://schemas.openxmlformats.org/officeDocument/2006/relationships/hyperlink" Target="https://dadosabertos.camara.leg.br/api/v2/deputados/598" TargetMode="External"/><Relationship Id="rId7662" Type="http://schemas.openxmlformats.org/officeDocument/2006/relationships/hyperlink" Target="https://dadosabertos.camara.leg.br/api/v2/deputados/508" TargetMode="External"/><Relationship Id="rId3858" Type="http://schemas.openxmlformats.org/officeDocument/2006/relationships/hyperlink" Target="https://dadosabertos.camara.leg.br/api/v2/deputados/2286" TargetMode="External"/><Relationship Id="rId4909" Type="http://schemas.openxmlformats.org/officeDocument/2006/relationships/hyperlink" Target="https://dadosabertos.camara.leg.br/api/v2/deputados/130583" TargetMode="External"/><Relationship Id="rId6264" Type="http://schemas.openxmlformats.org/officeDocument/2006/relationships/hyperlink" Target="https://dadosabertos.camara.leg.br/api/v2/deputados/1983" TargetMode="External"/><Relationship Id="rId7315" Type="http://schemas.openxmlformats.org/officeDocument/2006/relationships/hyperlink" Target="https://dadosabertos.camara.leg.br/api/v2/deputados/890" TargetMode="External"/><Relationship Id="rId779" Type="http://schemas.openxmlformats.org/officeDocument/2006/relationships/hyperlink" Target="https://dadosabertos.camara.leg.br/api/v2/deputados/204527" TargetMode="External"/><Relationship Id="rId5280" Type="http://schemas.openxmlformats.org/officeDocument/2006/relationships/hyperlink" Target="https://dadosabertos.camara.leg.br/api/v2/deputados/2707" TargetMode="External"/><Relationship Id="rId6331" Type="http://schemas.openxmlformats.org/officeDocument/2006/relationships/hyperlink" Target="https://dadosabertos.camara.leg.br/api/v2/deputados/3581" TargetMode="External"/><Relationship Id="rId1476" Type="http://schemas.openxmlformats.org/officeDocument/2006/relationships/hyperlink" Target="https://dadosabertos.camara.leg.br/api/v2/deputados/141455" TargetMode="External"/><Relationship Id="rId2874" Type="http://schemas.openxmlformats.org/officeDocument/2006/relationships/hyperlink" Target="https://dadosabertos.camara.leg.br/api/v2/deputados/133956" TargetMode="External"/><Relationship Id="rId3925" Type="http://schemas.openxmlformats.org/officeDocument/2006/relationships/hyperlink" Target="https://dadosabertos.camara.leg.br/api/v2/deputados/131404" TargetMode="External"/><Relationship Id="rId846" Type="http://schemas.openxmlformats.org/officeDocument/2006/relationships/hyperlink" Target="https://dadosabertos.camara.leg.br/api/v2/deputados/205863" TargetMode="External"/><Relationship Id="rId1129" Type="http://schemas.openxmlformats.org/officeDocument/2006/relationships/hyperlink" Target="https://dadosabertos.camara.leg.br/api/v2/deputados/178856" TargetMode="External"/><Relationship Id="rId1890" Type="http://schemas.openxmlformats.org/officeDocument/2006/relationships/hyperlink" Target="https://dadosabertos.camara.leg.br/api/v2/deputados/74289" TargetMode="External"/><Relationship Id="rId2527" Type="http://schemas.openxmlformats.org/officeDocument/2006/relationships/hyperlink" Target="https://dadosabertos.camara.leg.br/api/v2/deputados/74666" TargetMode="External"/><Relationship Id="rId2941" Type="http://schemas.openxmlformats.org/officeDocument/2006/relationships/hyperlink" Target="https://dadosabertos.camara.leg.br/api/v2/deputados/133890" TargetMode="External"/><Relationship Id="rId5000" Type="http://schemas.openxmlformats.org/officeDocument/2006/relationships/hyperlink" Target="https://dadosabertos.camara.leg.br/api/v2/deputados/3081" TargetMode="External"/><Relationship Id="rId913" Type="http://schemas.openxmlformats.org/officeDocument/2006/relationships/hyperlink" Target="https://dadosabertos.camara.leg.br/api/v2/deputados/216313" TargetMode="External"/><Relationship Id="rId1543" Type="http://schemas.openxmlformats.org/officeDocument/2006/relationships/hyperlink" Target="https://dadosabertos.camara.leg.br/api/v2/deputados/74745" TargetMode="External"/><Relationship Id="rId4699" Type="http://schemas.openxmlformats.org/officeDocument/2006/relationships/hyperlink" Target="https://dadosabertos.camara.leg.br/api/v2/deputados/130855" TargetMode="External"/><Relationship Id="rId1610" Type="http://schemas.openxmlformats.org/officeDocument/2006/relationships/hyperlink" Target="https://dadosabertos.camara.leg.br/api/v2/deputados/150634" TargetMode="External"/><Relationship Id="rId4766" Type="http://schemas.openxmlformats.org/officeDocument/2006/relationships/hyperlink" Target="https://dadosabertos.camara.leg.br/api/v2/deputados/130523" TargetMode="External"/><Relationship Id="rId5817" Type="http://schemas.openxmlformats.org/officeDocument/2006/relationships/hyperlink" Target="https://dadosabertos.camara.leg.br/api/v2/deputados/130206" TargetMode="External"/><Relationship Id="rId7172" Type="http://schemas.openxmlformats.org/officeDocument/2006/relationships/hyperlink" Target="https://dadosabertos.camara.leg.br/api/v2/deputados/1059" TargetMode="External"/><Relationship Id="rId3368" Type="http://schemas.openxmlformats.org/officeDocument/2006/relationships/hyperlink" Target="https://dadosabertos.camara.leg.br/api/v2/deputados/131843" TargetMode="External"/><Relationship Id="rId3782" Type="http://schemas.openxmlformats.org/officeDocument/2006/relationships/hyperlink" Target="https://dadosabertos.camara.leg.br/api/v2/deputados/131563" TargetMode="External"/><Relationship Id="rId4419" Type="http://schemas.openxmlformats.org/officeDocument/2006/relationships/hyperlink" Target="https://dadosabertos.camara.leg.br/api/v2/deputados/131038" TargetMode="External"/><Relationship Id="rId4833" Type="http://schemas.openxmlformats.org/officeDocument/2006/relationships/hyperlink" Target="https://dadosabertos.camara.leg.br/api/v2/deputados/130628" TargetMode="External"/><Relationship Id="rId289" Type="http://schemas.openxmlformats.org/officeDocument/2006/relationships/hyperlink" Target="https://dadosabertos.camara.leg.br/api/v2/deputados/198197" TargetMode="External"/><Relationship Id="rId2384" Type="http://schemas.openxmlformats.org/officeDocument/2006/relationships/hyperlink" Target="https://dadosabertos.camara.leg.br/api/v2/deputados/74796" TargetMode="External"/><Relationship Id="rId3435" Type="http://schemas.openxmlformats.org/officeDocument/2006/relationships/hyperlink" Target="https://dadosabertos.camara.leg.br/api/v2/deputados/132115" TargetMode="External"/><Relationship Id="rId356" Type="http://schemas.openxmlformats.org/officeDocument/2006/relationships/hyperlink" Target="https://dadosabertos.camara.leg.br/api/v2/deputados/204372" TargetMode="External"/><Relationship Id="rId770" Type="http://schemas.openxmlformats.org/officeDocument/2006/relationships/hyperlink" Target="http://www.deputadoflavianomelo.com.br/" TargetMode="External"/><Relationship Id="rId2037" Type="http://schemas.openxmlformats.org/officeDocument/2006/relationships/hyperlink" Target="https://dadosabertos.camara.leg.br/api/v2/deputados/73575" TargetMode="External"/><Relationship Id="rId2451" Type="http://schemas.openxmlformats.org/officeDocument/2006/relationships/hyperlink" Target="https://dadosabertos.camara.leg.br/api/v2/deputados/73647" TargetMode="External"/><Relationship Id="rId4900" Type="http://schemas.openxmlformats.org/officeDocument/2006/relationships/hyperlink" Target="https://dadosabertos.camara.leg.br/api/v2/deputados/130689" TargetMode="External"/><Relationship Id="rId6658" Type="http://schemas.openxmlformats.org/officeDocument/2006/relationships/hyperlink" Target="https://dadosabertos.camara.leg.br/api/v2/deputados/1674" TargetMode="External"/><Relationship Id="rId423" Type="http://schemas.openxmlformats.org/officeDocument/2006/relationships/hyperlink" Target="https://dadosabertos.camara.leg.br/api/v2/deputados/204433" TargetMode="External"/><Relationship Id="rId1053" Type="http://schemas.openxmlformats.org/officeDocument/2006/relationships/hyperlink" Target="https://dadosabertos.camara.leg.br/api/v2/deputados/93472" TargetMode="External"/><Relationship Id="rId2104" Type="http://schemas.openxmlformats.org/officeDocument/2006/relationships/hyperlink" Target="https://dadosabertos.camara.leg.br/api/v2/deputados/74753" TargetMode="External"/><Relationship Id="rId3502" Type="http://schemas.openxmlformats.org/officeDocument/2006/relationships/hyperlink" Target="https://dadosabertos.camara.leg.br/api/v2/deputados/132049" TargetMode="External"/><Relationship Id="rId7709" Type="http://schemas.openxmlformats.org/officeDocument/2006/relationships/hyperlink" Target="https://dadosabertos.camara.leg.br/api/v2/deputados/37" TargetMode="External"/><Relationship Id="rId5674" Type="http://schemas.openxmlformats.org/officeDocument/2006/relationships/hyperlink" Target="https://dadosabertos.camara.leg.br/api/v2/deputados/4646" TargetMode="External"/><Relationship Id="rId6725" Type="http://schemas.openxmlformats.org/officeDocument/2006/relationships/hyperlink" Target="https://dadosabertos.camara.leg.br/api/v2/deputados/130126" TargetMode="External"/><Relationship Id="rId1120" Type="http://schemas.openxmlformats.org/officeDocument/2006/relationships/hyperlink" Target="https://dadosabertos.camara.leg.br/api/v2/deputados/74847" TargetMode="External"/><Relationship Id="rId4276" Type="http://schemas.openxmlformats.org/officeDocument/2006/relationships/hyperlink" Target="https://dadosabertos.camara.leg.br/api/v2/deputados/130883" TargetMode="External"/><Relationship Id="rId4690" Type="http://schemas.openxmlformats.org/officeDocument/2006/relationships/hyperlink" Target="https://dadosabertos.camara.leg.br/api/v2/deputados/130864" TargetMode="External"/><Relationship Id="rId5327" Type="http://schemas.openxmlformats.org/officeDocument/2006/relationships/hyperlink" Target="https://dadosabertos.camara.leg.br/api/v2/deputados/4681" TargetMode="External"/><Relationship Id="rId5741" Type="http://schemas.openxmlformats.org/officeDocument/2006/relationships/hyperlink" Target="https://dadosabertos.camara.leg.br/api/v2/deputados/2605" TargetMode="External"/><Relationship Id="rId1937" Type="http://schemas.openxmlformats.org/officeDocument/2006/relationships/hyperlink" Target="https://dadosabertos.camara.leg.br/api/v2/deputados/74194" TargetMode="External"/><Relationship Id="rId3292" Type="http://schemas.openxmlformats.org/officeDocument/2006/relationships/hyperlink" Target="https://dadosabertos.camara.leg.br/api/v2/deputados/131862" TargetMode="External"/><Relationship Id="rId4343" Type="http://schemas.openxmlformats.org/officeDocument/2006/relationships/hyperlink" Target="https://dadosabertos.camara.leg.br/api/v2/deputados/130945" TargetMode="External"/><Relationship Id="rId7499" Type="http://schemas.openxmlformats.org/officeDocument/2006/relationships/hyperlink" Target="https://dadosabertos.camara.leg.br/api/v2/deputados/573" TargetMode="External"/><Relationship Id="rId4410" Type="http://schemas.openxmlformats.org/officeDocument/2006/relationships/hyperlink" Target="https://dadosabertos.camara.leg.br/api/v2/deputados/131014" TargetMode="External"/><Relationship Id="rId7566" Type="http://schemas.openxmlformats.org/officeDocument/2006/relationships/hyperlink" Target="https://dadosabertos.camara.leg.br/api/v2/deputados/468" TargetMode="External"/><Relationship Id="rId280" Type="http://schemas.openxmlformats.org/officeDocument/2006/relationships/hyperlink" Target="https://www.instagram.com/gilvandafederal" TargetMode="External"/><Relationship Id="rId3012" Type="http://schemas.openxmlformats.org/officeDocument/2006/relationships/hyperlink" Target="https://dadosabertos.camara.leg.br/api/v2/deputados/139176" TargetMode="External"/><Relationship Id="rId6168" Type="http://schemas.openxmlformats.org/officeDocument/2006/relationships/hyperlink" Target="https://dadosabertos.camara.leg.br/api/v2/deputados/4138" TargetMode="External"/><Relationship Id="rId6582" Type="http://schemas.openxmlformats.org/officeDocument/2006/relationships/hyperlink" Target="https://dadosabertos.camara.leg.br/api/v2/deputados/3871" TargetMode="External"/><Relationship Id="rId7219" Type="http://schemas.openxmlformats.org/officeDocument/2006/relationships/hyperlink" Target="https://dadosabertos.camara.leg.br/api/v2/deputados/974" TargetMode="External"/><Relationship Id="rId7980" Type="http://schemas.openxmlformats.org/officeDocument/2006/relationships/hyperlink" Target="https://dadosabertos.camara.leg.br/api/v2/deputados/148" TargetMode="External"/><Relationship Id="rId5184" Type="http://schemas.openxmlformats.org/officeDocument/2006/relationships/hyperlink" Target="https://dadosabertos.camara.leg.br/api/v2/deputados/3027" TargetMode="External"/><Relationship Id="rId6235" Type="http://schemas.openxmlformats.org/officeDocument/2006/relationships/hyperlink" Target="https://dadosabertos.camara.leg.br/api/v2/deputados/2385" TargetMode="External"/><Relationship Id="rId7633" Type="http://schemas.openxmlformats.org/officeDocument/2006/relationships/hyperlink" Target="https://dadosabertos.camara.leg.br/api/v2/deputados/603" TargetMode="External"/><Relationship Id="rId2778" Type="http://schemas.openxmlformats.org/officeDocument/2006/relationships/hyperlink" Target="https://dadosabertos.camara.leg.br/api/v2/deputados/73953" TargetMode="External"/><Relationship Id="rId3829" Type="http://schemas.openxmlformats.org/officeDocument/2006/relationships/hyperlink" Target="https://dadosabertos.camara.leg.br/api/v2/deputados/131552" TargetMode="External"/><Relationship Id="rId7700" Type="http://schemas.openxmlformats.org/officeDocument/2006/relationships/hyperlink" Target="https://dadosabertos.camara.leg.br/api/v2/deputados/509" TargetMode="External"/><Relationship Id="rId1794" Type="http://schemas.openxmlformats.org/officeDocument/2006/relationships/hyperlink" Target="https://dadosabertos.camara.leg.br/api/v2/deputados/74274" TargetMode="External"/><Relationship Id="rId2845" Type="http://schemas.openxmlformats.org/officeDocument/2006/relationships/hyperlink" Target="https://dadosabertos.camara.leg.br/api/v2/deputados/133994" TargetMode="External"/><Relationship Id="rId5251" Type="http://schemas.openxmlformats.org/officeDocument/2006/relationships/hyperlink" Target="https://dadosabertos.camara.leg.br/api/v2/deputados/2997" TargetMode="External"/><Relationship Id="rId6302" Type="http://schemas.openxmlformats.org/officeDocument/2006/relationships/hyperlink" Target="https://dadosabertos.camara.leg.br/api/v2/deputados/3594" TargetMode="External"/><Relationship Id="rId86" Type="http://schemas.openxmlformats.org/officeDocument/2006/relationships/hyperlink" Target="https://dadosabertos.camara.leg.br/api/v2/deputados/220635" TargetMode="External"/><Relationship Id="rId817" Type="http://schemas.openxmlformats.org/officeDocument/2006/relationships/hyperlink" Target="https://dadosabertos.camara.leg.br/api/v2/deputados/73586" TargetMode="External"/><Relationship Id="rId1447" Type="http://schemas.openxmlformats.org/officeDocument/2006/relationships/hyperlink" Target="https://dadosabertos.camara.leg.br/api/v2/deputados/160537" TargetMode="External"/><Relationship Id="rId1861" Type="http://schemas.openxmlformats.org/officeDocument/2006/relationships/hyperlink" Target="https://dadosabertos.camara.leg.br/api/v2/deputados/159259" TargetMode="External"/><Relationship Id="rId2912" Type="http://schemas.openxmlformats.org/officeDocument/2006/relationships/hyperlink" Target="https://dadosabertos.camara.leg.br/api/v2/deputados/133913" TargetMode="External"/><Relationship Id="rId1514" Type="http://schemas.openxmlformats.org/officeDocument/2006/relationships/hyperlink" Target="https://dadosabertos.camara.leg.br/api/v2/deputados/160555" TargetMode="External"/><Relationship Id="rId7076" Type="http://schemas.openxmlformats.org/officeDocument/2006/relationships/hyperlink" Target="https://dadosabertos.camara.leg.br/api/v2/deputados/1118" TargetMode="External"/><Relationship Id="rId7490" Type="http://schemas.openxmlformats.org/officeDocument/2006/relationships/hyperlink" Target="https://dadosabertos.camara.leg.br/api/v2/deputados/736" TargetMode="External"/><Relationship Id="rId3686" Type="http://schemas.openxmlformats.org/officeDocument/2006/relationships/hyperlink" Target="https://dadosabertos.camara.leg.br/api/v2/deputados/131738" TargetMode="External"/><Relationship Id="rId6092" Type="http://schemas.openxmlformats.org/officeDocument/2006/relationships/hyperlink" Target="https://dadosabertos.camara.leg.br/api/v2/deputados/2459" TargetMode="External"/><Relationship Id="rId7143" Type="http://schemas.openxmlformats.org/officeDocument/2006/relationships/hyperlink" Target="https://dadosabertos.camara.leg.br/api/v2/deputados/972" TargetMode="External"/><Relationship Id="rId2288" Type="http://schemas.openxmlformats.org/officeDocument/2006/relationships/hyperlink" Target="https://dadosabertos.camara.leg.br/api/v2/deputados/73587" TargetMode="External"/><Relationship Id="rId3339" Type="http://schemas.openxmlformats.org/officeDocument/2006/relationships/hyperlink" Target="https://dadosabertos.camara.leg.br/api/v2/deputados/131896" TargetMode="External"/><Relationship Id="rId4737" Type="http://schemas.openxmlformats.org/officeDocument/2006/relationships/hyperlink" Target="https://dadosabertos.camara.leg.br/api/v2/deputados/130541" TargetMode="External"/><Relationship Id="rId7210" Type="http://schemas.openxmlformats.org/officeDocument/2006/relationships/hyperlink" Target="https://dadosabertos.camara.leg.br/api/v2/deputados/956" TargetMode="External"/><Relationship Id="rId3753" Type="http://schemas.openxmlformats.org/officeDocument/2006/relationships/hyperlink" Target="https://dadosabertos.camara.leg.br/api/v2/deputados/131805" TargetMode="External"/><Relationship Id="rId4804" Type="http://schemas.openxmlformats.org/officeDocument/2006/relationships/hyperlink" Target="https://dadosabertos.camara.leg.br/api/v2/deputados/130588" TargetMode="External"/><Relationship Id="rId674" Type="http://schemas.openxmlformats.org/officeDocument/2006/relationships/hyperlink" Target="http://www.abouanni.com.br/" TargetMode="External"/><Relationship Id="rId2355" Type="http://schemas.openxmlformats.org/officeDocument/2006/relationships/hyperlink" Target="https://dadosabertos.camara.leg.br/api/v2/deputados/73829" TargetMode="External"/><Relationship Id="rId3406" Type="http://schemas.openxmlformats.org/officeDocument/2006/relationships/hyperlink" Target="https://dadosabertos.camara.leg.br/api/v2/deputados/131947" TargetMode="External"/><Relationship Id="rId3820" Type="http://schemas.openxmlformats.org/officeDocument/2006/relationships/hyperlink" Target="https://dadosabertos.camara.leg.br/api/v2/deputados/131546" TargetMode="External"/><Relationship Id="rId6976" Type="http://schemas.openxmlformats.org/officeDocument/2006/relationships/hyperlink" Target="https://dadosabertos.camara.leg.br/api/v2/deputados/1060" TargetMode="External"/><Relationship Id="rId327" Type="http://schemas.openxmlformats.org/officeDocument/2006/relationships/hyperlink" Target="https://dadosabertos.camara.leg.br/api/v2/deputados/141458" TargetMode="External"/><Relationship Id="rId741" Type="http://schemas.openxmlformats.org/officeDocument/2006/relationships/hyperlink" Target="https://dadosabertos.camara.leg.br/api/v2/deputados/134812" TargetMode="External"/><Relationship Id="rId1371" Type="http://schemas.openxmlformats.org/officeDocument/2006/relationships/hyperlink" Target="https://dadosabertos.camara.leg.br/api/v2/deputados/74373" TargetMode="External"/><Relationship Id="rId2008" Type="http://schemas.openxmlformats.org/officeDocument/2006/relationships/hyperlink" Target="https://dadosabertos.camara.leg.br/api/v2/deputados/74294" TargetMode="External"/><Relationship Id="rId2422" Type="http://schemas.openxmlformats.org/officeDocument/2006/relationships/hyperlink" Target="https://dadosabertos.camara.leg.br/api/v2/deputados/74669" TargetMode="External"/><Relationship Id="rId5578" Type="http://schemas.openxmlformats.org/officeDocument/2006/relationships/hyperlink" Target="https://dadosabertos.camara.leg.br/api/v2/deputados/4630" TargetMode="External"/><Relationship Id="rId5992" Type="http://schemas.openxmlformats.org/officeDocument/2006/relationships/hyperlink" Target="https://dadosabertos.camara.leg.br/api/v2/deputados/4286" TargetMode="External"/><Relationship Id="rId6629" Type="http://schemas.openxmlformats.org/officeDocument/2006/relationships/hyperlink" Target="https://dadosabertos.camara.leg.br/api/v2/deputados/1708" TargetMode="External"/><Relationship Id="rId1024" Type="http://schemas.openxmlformats.org/officeDocument/2006/relationships/hyperlink" Target="https://dadosabertos.camara.leg.br/api/v2/deputados/178906" TargetMode="External"/><Relationship Id="rId4594" Type="http://schemas.openxmlformats.org/officeDocument/2006/relationships/hyperlink" Target="https://dadosabertos.camara.leg.br/api/v2/deputados/130754" TargetMode="External"/><Relationship Id="rId5645" Type="http://schemas.openxmlformats.org/officeDocument/2006/relationships/hyperlink" Target="https://dadosabertos.camara.leg.br/api/v2/deputados/4574" TargetMode="External"/><Relationship Id="rId3196" Type="http://schemas.openxmlformats.org/officeDocument/2006/relationships/hyperlink" Target="https://dadosabertos.camara.leg.br/api/v2/deputados/139332" TargetMode="External"/><Relationship Id="rId4247" Type="http://schemas.openxmlformats.org/officeDocument/2006/relationships/hyperlink" Target="https://dadosabertos.camara.leg.br/api/v2/deputados/131367" TargetMode="External"/><Relationship Id="rId4661" Type="http://schemas.openxmlformats.org/officeDocument/2006/relationships/hyperlink" Target="https://dadosabertos.camara.leg.br/api/v2/deputados/130834" TargetMode="External"/><Relationship Id="rId3263" Type="http://schemas.openxmlformats.org/officeDocument/2006/relationships/hyperlink" Target="https://dadosabertos.camara.leg.br/api/v2/deputados/131830" TargetMode="External"/><Relationship Id="rId4314" Type="http://schemas.openxmlformats.org/officeDocument/2006/relationships/hyperlink" Target="https://dadosabertos.camara.leg.br/api/v2/deputados/130925" TargetMode="External"/><Relationship Id="rId5712" Type="http://schemas.openxmlformats.org/officeDocument/2006/relationships/hyperlink" Target="https://dadosabertos.camara.leg.br/api/v2/deputados/1630" TargetMode="External"/><Relationship Id="rId184" Type="http://schemas.openxmlformats.org/officeDocument/2006/relationships/hyperlink" Target="https://dadosabertos.camara.leg.br/api/v2/deputados/227433" TargetMode="External"/><Relationship Id="rId1908" Type="http://schemas.openxmlformats.org/officeDocument/2006/relationships/hyperlink" Target="https://dadosabertos.camara.leg.br/api/v2/deputados/74218" TargetMode="External"/><Relationship Id="rId7884" Type="http://schemas.openxmlformats.org/officeDocument/2006/relationships/hyperlink" Target="https://dadosabertos.camara.leg.br/api/v2/deputados/241" TargetMode="External"/><Relationship Id="rId251" Type="http://schemas.openxmlformats.org/officeDocument/2006/relationships/hyperlink" Target="https://dadosabertos.camara.leg.br/api/v2/deputados/204445" TargetMode="External"/><Relationship Id="rId3330" Type="http://schemas.openxmlformats.org/officeDocument/2006/relationships/hyperlink" Target="https://dadosabertos.camara.leg.br/api/v2/deputados/131888" TargetMode="External"/><Relationship Id="rId5088" Type="http://schemas.openxmlformats.org/officeDocument/2006/relationships/hyperlink" Target="https://dadosabertos.camara.leg.br/api/v2/deputados/130287" TargetMode="External"/><Relationship Id="rId6139" Type="http://schemas.openxmlformats.org/officeDocument/2006/relationships/hyperlink" Target="https://dadosabertos.camara.leg.br/api/v2/deputados/4147" TargetMode="External"/><Relationship Id="rId6486" Type="http://schemas.openxmlformats.org/officeDocument/2006/relationships/hyperlink" Target="https://dadosabertos.camara.leg.br/api/v2/deputados/2114" TargetMode="External"/><Relationship Id="rId7537" Type="http://schemas.openxmlformats.org/officeDocument/2006/relationships/hyperlink" Target="https://dadosabertos.camara.leg.br/api/v2/deputados/310" TargetMode="External"/><Relationship Id="rId7951" Type="http://schemas.openxmlformats.org/officeDocument/2006/relationships/hyperlink" Target="https://dadosabertos.camara.leg.br/api/v2/deputados/156" TargetMode="External"/><Relationship Id="rId6553" Type="http://schemas.openxmlformats.org/officeDocument/2006/relationships/hyperlink" Target="https://dadosabertos.camara.leg.br/api/v2/deputados/1622" TargetMode="External"/><Relationship Id="rId7604" Type="http://schemas.openxmlformats.org/officeDocument/2006/relationships/hyperlink" Target="https://dadosabertos.camara.leg.br/api/v2/deputados/300" TargetMode="External"/><Relationship Id="rId1698" Type="http://schemas.openxmlformats.org/officeDocument/2006/relationships/hyperlink" Target="https://dadosabertos.camara.leg.br/api/v2/deputados/73469" TargetMode="External"/><Relationship Id="rId2749" Type="http://schemas.openxmlformats.org/officeDocument/2006/relationships/hyperlink" Target="https://dadosabertos.camara.leg.br/api/v2/deputados/133892" TargetMode="External"/><Relationship Id="rId5155" Type="http://schemas.openxmlformats.org/officeDocument/2006/relationships/hyperlink" Target="https://dadosabertos.camara.leg.br/api/v2/deputados/130357" TargetMode="External"/><Relationship Id="rId6206" Type="http://schemas.openxmlformats.org/officeDocument/2006/relationships/hyperlink" Target="https://dadosabertos.camara.leg.br/api/v2/deputados/2317" TargetMode="External"/><Relationship Id="rId6620" Type="http://schemas.openxmlformats.org/officeDocument/2006/relationships/hyperlink" Target="https://dadosabertos.camara.leg.br/api/v2/deputados/3919" TargetMode="External"/><Relationship Id="rId1765" Type="http://schemas.openxmlformats.org/officeDocument/2006/relationships/hyperlink" Target="https://dadosabertos.camara.leg.br/api/v2/deputados/155920" TargetMode="External"/><Relationship Id="rId4171" Type="http://schemas.openxmlformats.org/officeDocument/2006/relationships/hyperlink" Target="https://dadosabertos.camara.leg.br/api/v2/deputados/131305" TargetMode="External"/><Relationship Id="rId5222" Type="http://schemas.openxmlformats.org/officeDocument/2006/relationships/hyperlink" Target="https://dadosabertos.camara.leg.br/api/v2/deputados/3005" TargetMode="External"/><Relationship Id="rId57" Type="http://schemas.openxmlformats.org/officeDocument/2006/relationships/hyperlink" Target="https://dadosabertos.camara.leg.br/api/v2/deputados/220638" TargetMode="External"/><Relationship Id="rId1418" Type="http://schemas.openxmlformats.org/officeDocument/2006/relationships/hyperlink" Target="https://dadosabertos.camara.leg.br/api/v2/deputados/74838" TargetMode="External"/><Relationship Id="rId2816" Type="http://schemas.openxmlformats.org/officeDocument/2006/relationships/hyperlink" Target="https://dadosabertos.camara.leg.br/api/v2/deputados/73715" TargetMode="External"/><Relationship Id="rId7394" Type="http://schemas.openxmlformats.org/officeDocument/2006/relationships/hyperlink" Target="https://dadosabertos.camara.leg.br/api/v2/deputados/655" TargetMode="External"/><Relationship Id="rId1832" Type="http://schemas.openxmlformats.org/officeDocument/2006/relationships/hyperlink" Target="https://dadosabertos.camara.leg.br/api/v2/deputados/141469" TargetMode="External"/><Relationship Id="rId4988" Type="http://schemas.openxmlformats.org/officeDocument/2006/relationships/hyperlink" Target="https://dadosabertos.camara.leg.br/api/v2/deputados/3073" TargetMode="External"/><Relationship Id="rId7047" Type="http://schemas.openxmlformats.org/officeDocument/2006/relationships/hyperlink" Target="https://dadosabertos.camara.leg.br/api/v2/deputados/907" TargetMode="External"/><Relationship Id="rId6063" Type="http://schemas.openxmlformats.org/officeDocument/2006/relationships/hyperlink" Target="https://dadosabertos.camara.leg.br/api/v2/deputados/2485" TargetMode="External"/><Relationship Id="rId7461" Type="http://schemas.openxmlformats.org/officeDocument/2006/relationships/hyperlink" Target="https://dadosabertos.camara.leg.br/api/v2/deputados/718" TargetMode="External"/><Relationship Id="rId3657" Type="http://schemas.openxmlformats.org/officeDocument/2006/relationships/hyperlink" Target="https://dadosabertos.camara.leg.br/api/v2/deputados/131706" TargetMode="External"/><Relationship Id="rId4708" Type="http://schemas.openxmlformats.org/officeDocument/2006/relationships/hyperlink" Target="https://dadosabertos.camara.leg.br/api/v2/deputados/130823" TargetMode="External"/><Relationship Id="rId7114" Type="http://schemas.openxmlformats.org/officeDocument/2006/relationships/hyperlink" Target="https://dadosabertos.camara.leg.br/api/v2/deputados/1132" TargetMode="External"/><Relationship Id="rId578" Type="http://schemas.openxmlformats.org/officeDocument/2006/relationships/hyperlink" Target="https://dadosabertos.camara.leg.br/api/v2/deputados/230767" TargetMode="External"/><Relationship Id="rId992" Type="http://schemas.openxmlformats.org/officeDocument/2006/relationships/hyperlink" Target="https://dadosabertos.camara.leg.br/api/v2/deputados/178936" TargetMode="External"/><Relationship Id="rId2259" Type="http://schemas.openxmlformats.org/officeDocument/2006/relationships/hyperlink" Target="https://dadosabertos.camara.leg.br/api/v2/deputados/73917" TargetMode="External"/><Relationship Id="rId2673" Type="http://schemas.openxmlformats.org/officeDocument/2006/relationships/hyperlink" Target="https://dadosabertos.camara.leg.br/api/v2/deputados/133978" TargetMode="External"/><Relationship Id="rId3724" Type="http://schemas.openxmlformats.org/officeDocument/2006/relationships/hyperlink" Target="https://dadosabertos.camara.leg.br/api/v2/deputados/131780" TargetMode="External"/><Relationship Id="rId6130" Type="http://schemas.openxmlformats.org/officeDocument/2006/relationships/hyperlink" Target="https://dadosabertos.camara.leg.br/api/v2/deputados/2493" TargetMode="External"/><Relationship Id="rId645" Type="http://schemas.openxmlformats.org/officeDocument/2006/relationships/hyperlink" Target="https://dadosabertos.camara.leg.br/api/v2/deputados/137070" TargetMode="External"/><Relationship Id="rId1275" Type="http://schemas.openxmlformats.org/officeDocument/2006/relationships/hyperlink" Target="https://dadosabertos.camara.leg.br/api/v2/deputados/160637" TargetMode="External"/><Relationship Id="rId2326" Type="http://schemas.openxmlformats.org/officeDocument/2006/relationships/hyperlink" Target="https://dadosabertos.camara.leg.br/api/v2/deputados/74785" TargetMode="External"/><Relationship Id="rId2740" Type="http://schemas.openxmlformats.org/officeDocument/2006/relationships/hyperlink" Target="https://dadosabertos.camara.leg.br/api/v2/deputados/133844" TargetMode="External"/><Relationship Id="rId5896" Type="http://schemas.openxmlformats.org/officeDocument/2006/relationships/hyperlink" Target="https://dadosabertos.camara.leg.br/api/v2/deputados/2556" TargetMode="External"/><Relationship Id="rId6947" Type="http://schemas.openxmlformats.org/officeDocument/2006/relationships/hyperlink" Target="https://dadosabertos.camara.leg.br/api/v2/deputados/1166" TargetMode="External"/><Relationship Id="rId712" Type="http://schemas.openxmlformats.org/officeDocument/2006/relationships/hyperlink" Target="https://dadosabertos.camara.leg.br/api/v2/deputados/204370" TargetMode="External"/><Relationship Id="rId1342" Type="http://schemas.openxmlformats.org/officeDocument/2006/relationships/hyperlink" Target="https://dadosabertos.camara.leg.br/api/v2/deputados/116663" TargetMode="External"/><Relationship Id="rId4498" Type="http://schemas.openxmlformats.org/officeDocument/2006/relationships/hyperlink" Target="https://dadosabertos.camara.leg.br/api/v2/deputados/131081" TargetMode="External"/><Relationship Id="rId5549" Type="http://schemas.openxmlformats.org/officeDocument/2006/relationships/hyperlink" Target="https://dadosabertos.camara.leg.br/api/v2/deputados/4677" TargetMode="External"/><Relationship Id="rId5963" Type="http://schemas.openxmlformats.org/officeDocument/2006/relationships/hyperlink" Target="https://dadosabertos.camara.leg.br/api/v2/deputados/2274" TargetMode="External"/><Relationship Id="rId3167" Type="http://schemas.openxmlformats.org/officeDocument/2006/relationships/hyperlink" Target="https://dadosabertos.camara.leg.br/api/v2/deputados/139308" TargetMode="External"/><Relationship Id="rId4565" Type="http://schemas.openxmlformats.org/officeDocument/2006/relationships/hyperlink" Target="https://dadosabertos.camara.leg.br/api/v2/deputados/130729" TargetMode="External"/><Relationship Id="rId5616" Type="http://schemas.openxmlformats.org/officeDocument/2006/relationships/hyperlink" Target="https://dadosabertos.camara.leg.br/api/v2/deputados/2765" TargetMode="External"/><Relationship Id="rId3581" Type="http://schemas.openxmlformats.org/officeDocument/2006/relationships/hyperlink" Target="https://dadosabertos.camara.leg.br/api/v2/deputados/131636" TargetMode="External"/><Relationship Id="rId4218" Type="http://schemas.openxmlformats.org/officeDocument/2006/relationships/hyperlink" Target="https://dadosabertos.camara.leg.br/api/v2/deputados/131335" TargetMode="External"/><Relationship Id="rId4632" Type="http://schemas.openxmlformats.org/officeDocument/2006/relationships/hyperlink" Target="https://dadosabertos.camara.leg.br/api/v2/deputados/130793" TargetMode="External"/><Relationship Id="rId7788" Type="http://schemas.openxmlformats.org/officeDocument/2006/relationships/hyperlink" Target="https://dadosabertos.camara.leg.br/api/v2/deputados/66" TargetMode="External"/><Relationship Id="rId2183" Type="http://schemas.openxmlformats.org/officeDocument/2006/relationships/hyperlink" Target="https://dadosabertos.camara.leg.br/api/v2/deputados/74340" TargetMode="External"/><Relationship Id="rId3234" Type="http://schemas.openxmlformats.org/officeDocument/2006/relationships/hyperlink" Target="https://dadosabertos.camara.leg.br/api/v2/deputados/139367" TargetMode="External"/><Relationship Id="rId7855" Type="http://schemas.openxmlformats.org/officeDocument/2006/relationships/hyperlink" Target="https://dadosabertos.camara.leg.br/api/v2/deputados/160" TargetMode="External"/><Relationship Id="rId155" Type="http://schemas.openxmlformats.org/officeDocument/2006/relationships/hyperlink" Target="https://dadosabertos.camara.leg.br/api/v2/deputados/220659" TargetMode="External"/><Relationship Id="rId2250" Type="http://schemas.openxmlformats.org/officeDocument/2006/relationships/hyperlink" Target="https://dadosabertos.camara.leg.br/api/v2/deputados/74199" TargetMode="External"/><Relationship Id="rId3301" Type="http://schemas.openxmlformats.org/officeDocument/2006/relationships/hyperlink" Target="https://dadosabertos.camara.leg.br/api/v2/deputados/131867" TargetMode="External"/><Relationship Id="rId6457" Type="http://schemas.openxmlformats.org/officeDocument/2006/relationships/hyperlink" Target="https://dadosabertos.camara.leg.br/api/v2/deputados/3751" TargetMode="External"/><Relationship Id="rId6871" Type="http://schemas.openxmlformats.org/officeDocument/2006/relationships/hyperlink" Target="https://dadosabertos.camara.leg.br/api/v2/deputados/1203" TargetMode="External"/><Relationship Id="rId7508" Type="http://schemas.openxmlformats.org/officeDocument/2006/relationships/hyperlink" Target="https://dadosabertos.camara.leg.br/api/v2/deputados/771" TargetMode="External"/><Relationship Id="rId222" Type="http://schemas.openxmlformats.org/officeDocument/2006/relationships/hyperlink" Target="https://dadosabertos.camara.leg.br/api/v2/deputados/225730" TargetMode="External"/><Relationship Id="rId5059" Type="http://schemas.openxmlformats.org/officeDocument/2006/relationships/hyperlink" Target="https://dadosabertos.camara.leg.br/api/v2/deputados/3091" TargetMode="External"/><Relationship Id="rId5473" Type="http://schemas.openxmlformats.org/officeDocument/2006/relationships/hyperlink" Target="https://dadosabertos.camara.leg.br/api/v2/deputados/4766" TargetMode="External"/><Relationship Id="rId6524" Type="http://schemas.openxmlformats.org/officeDocument/2006/relationships/hyperlink" Target="https://dadosabertos.camara.leg.br/api/v2/deputados/2027" TargetMode="External"/><Relationship Id="rId7922" Type="http://schemas.openxmlformats.org/officeDocument/2006/relationships/hyperlink" Target="https://dadosabertos.camara.leg.br/api/v2/deputados/256" TargetMode="External"/><Relationship Id="rId4075" Type="http://schemas.openxmlformats.org/officeDocument/2006/relationships/hyperlink" Target="https://dadosabertos.camara.leg.br/api/v2/deputados/131202" TargetMode="External"/><Relationship Id="rId5126" Type="http://schemas.openxmlformats.org/officeDocument/2006/relationships/hyperlink" Target="https://dadosabertos.camara.leg.br/api/v2/deputados/130364" TargetMode="External"/><Relationship Id="rId1669" Type="http://schemas.openxmlformats.org/officeDocument/2006/relationships/hyperlink" Target="https://dadosabertos.camara.leg.br/api/v2/deputados/141373" TargetMode="External"/><Relationship Id="rId3091" Type="http://schemas.openxmlformats.org/officeDocument/2006/relationships/hyperlink" Target="https://dadosabertos.camara.leg.br/api/v2/deputados/1528" TargetMode="External"/><Relationship Id="rId4142" Type="http://schemas.openxmlformats.org/officeDocument/2006/relationships/hyperlink" Target="https://dadosabertos.camara.leg.br/api/v2/deputados/131273" TargetMode="External"/><Relationship Id="rId5540" Type="http://schemas.openxmlformats.org/officeDocument/2006/relationships/hyperlink" Target="https://dadosabertos.camara.leg.br/api/v2/deputados/4769" TargetMode="External"/><Relationship Id="rId7298" Type="http://schemas.openxmlformats.org/officeDocument/2006/relationships/hyperlink" Target="https://dadosabertos.camara.leg.br/api/v2/deputados/886" TargetMode="External"/><Relationship Id="rId1736" Type="http://schemas.openxmlformats.org/officeDocument/2006/relationships/hyperlink" Target="https://dadosabertos.camara.leg.br/api/v2/deputados/141420" TargetMode="External"/><Relationship Id="rId28" Type="http://schemas.openxmlformats.org/officeDocument/2006/relationships/hyperlink" Target="https://dadosabertos.camara.leg.br/api/v2/deputados/221148" TargetMode="External"/><Relationship Id="rId1803" Type="http://schemas.openxmlformats.org/officeDocument/2006/relationships/hyperlink" Target="https://dadosabertos.camara.leg.br/api/v2/deputados/159058" TargetMode="External"/><Relationship Id="rId4959" Type="http://schemas.openxmlformats.org/officeDocument/2006/relationships/hyperlink" Target="https://dadosabertos.camara.leg.br/api/v2/deputados/130488" TargetMode="External"/><Relationship Id="rId7365" Type="http://schemas.openxmlformats.org/officeDocument/2006/relationships/hyperlink" Target="https://dadosabertos.camara.leg.br/api/v2/deputados/856" TargetMode="External"/><Relationship Id="rId3975" Type="http://schemas.openxmlformats.org/officeDocument/2006/relationships/hyperlink" Target="https://dadosabertos.camara.leg.br/api/v2/deputados/131464" TargetMode="External"/><Relationship Id="rId6381" Type="http://schemas.openxmlformats.org/officeDocument/2006/relationships/hyperlink" Target="https://dadosabertos.camara.leg.br/api/v2/deputados/2039" TargetMode="External"/><Relationship Id="rId7018" Type="http://schemas.openxmlformats.org/officeDocument/2006/relationships/hyperlink" Target="https://dadosabertos.camara.leg.br/api/v2/deputados/1119" TargetMode="External"/><Relationship Id="rId7432" Type="http://schemas.openxmlformats.org/officeDocument/2006/relationships/hyperlink" Target="https://dadosabertos.camara.leg.br/api/v2/deputados/796" TargetMode="External"/><Relationship Id="rId896" Type="http://schemas.openxmlformats.org/officeDocument/2006/relationships/hyperlink" Target="https://dadosabertos.camara.leg.br/api/v2/deputados/216544" TargetMode="External"/><Relationship Id="rId2577" Type="http://schemas.openxmlformats.org/officeDocument/2006/relationships/hyperlink" Target="https://dadosabertos.camara.leg.br/api/v2/deputados/73550" TargetMode="External"/><Relationship Id="rId3628" Type="http://schemas.openxmlformats.org/officeDocument/2006/relationships/hyperlink" Target="https://dadosabertos.camara.leg.br/api/v2/deputados/131681" TargetMode="External"/><Relationship Id="rId6034" Type="http://schemas.openxmlformats.org/officeDocument/2006/relationships/hyperlink" Target="https://dadosabertos.camara.leg.br/api/v2/deputados/2474" TargetMode="External"/><Relationship Id="rId549" Type="http://schemas.openxmlformats.org/officeDocument/2006/relationships/hyperlink" Target="https://dadosabertos.camara.leg.br/api/v2/deputados/204567" TargetMode="External"/><Relationship Id="rId1179" Type="http://schemas.openxmlformats.org/officeDocument/2006/relationships/hyperlink" Target="https://dadosabertos.camara.leg.br/api/v2/deputados/178826" TargetMode="External"/><Relationship Id="rId1593" Type="http://schemas.openxmlformats.org/officeDocument/2006/relationships/hyperlink" Target="https://dadosabertos.camara.leg.br/api/v2/deputados/141465" TargetMode="External"/><Relationship Id="rId2991" Type="http://schemas.openxmlformats.org/officeDocument/2006/relationships/hyperlink" Target="https://dadosabertos.camara.leg.br/api/v2/deputados/139157" TargetMode="External"/><Relationship Id="rId5050" Type="http://schemas.openxmlformats.org/officeDocument/2006/relationships/hyperlink" Target="https://dadosabertos.camara.leg.br/api/v2/deputados/130456" TargetMode="External"/><Relationship Id="rId6101" Type="http://schemas.openxmlformats.org/officeDocument/2006/relationships/hyperlink" Target="https://dadosabertos.camara.leg.br/api/v2/deputados/2195" TargetMode="External"/><Relationship Id="rId963" Type="http://schemas.openxmlformats.org/officeDocument/2006/relationships/hyperlink" Target="https://dadosabertos.camara.leg.br/api/v2/deputados/216545" TargetMode="External"/><Relationship Id="rId1246" Type="http://schemas.openxmlformats.org/officeDocument/2006/relationships/hyperlink" Target="https://dadosabertos.camara.leg.br/api/v2/deputados/178998" TargetMode="External"/><Relationship Id="rId2644" Type="http://schemas.openxmlformats.org/officeDocument/2006/relationships/hyperlink" Target="https://dadosabertos.camara.leg.br/api/v2/deputados/74643" TargetMode="External"/><Relationship Id="rId616" Type="http://schemas.openxmlformats.org/officeDocument/2006/relationships/hyperlink" Target="https://dadosabertos.camara.leg.br/api/v2/deputados/204425" TargetMode="External"/><Relationship Id="rId1660" Type="http://schemas.openxmlformats.org/officeDocument/2006/relationships/hyperlink" Target="https://dadosabertos.camara.leg.br/api/v2/deputados/74145" TargetMode="External"/><Relationship Id="rId2711" Type="http://schemas.openxmlformats.org/officeDocument/2006/relationships/hyperlink" Target="https://dadosabertos.camara.leg.br/api/v2/deputados/133907" TargetMode="External"/><Relationship Id="rId5867" Type="http://schemas.openxmlformats.org/officeDocument/2006/relationships/hyperlink" Target="https://dadosabertos.camara.leg.br/api/v2/deputados/130163" TargetMode="External"/><Relationship Id="rId6918" Type="http://schemas.openxmlformats.org/officeDocument/2006/relationships/hyperlink" Target="https://dadosabertos.camara.leg.br/api/v2/deputados/1175" TargetMode="External"/><Relationship Id="rId1313" Type="http://schemas.openxmlformats.org/officeDocument/2006/relationships/hyperlink" Target="https://dadosabertos.camara.leg.br/api/v2/deputados/137853" TargetMode="External"/><Relationship Id="rId4469" Type="http://schemas.openxmlformats.org/officeDocument/2006/relationships/hyperlink" Target="https://dadosabertos.camara.leg.br/api/v2/deputados/131086" TargetMode="External"/><Relationship Id="rId4883" Type="http://schemas.openxmlformats.org/officeDocument/2006/relationships/hyperlink" Target="https://dadosabertos.camara.leg.br/api/v2/deputados/130534" TargetMode="External"/><Relationship Id="rId5934" Type="http://schemas.openxmlformats.org/officeDocument/2006/relationships/hyperlink" Target="https://dadosabertos.camara.leg.br/api/v2/deputados/4337" TargetMode="External"/><Relationship Id="rId3485" Type="http://schemas.openxmlformats.org/officeDocument/2006/relationships/hyperlink" Target="https://dadosabertos.camara.leg.br/api/v2/deputados/131919" TargetMode="External"/><Relationship Id="rId4536" Type="http://schemas.openxmlformats.org/officeDocument/2006/relationships/hyperlink" Target="https://dadosabertos.camara.leg.br/api/v2/deputados/131137" TargetMode="External"/><Relationship Id="rId4950" Type="http://schemas.openxmlformats.org/officeDocument/2006/relationships/hyperlink" Target="https://dadosabertos.camara.leg.br/api/v2/deputados/130478" TargetMode="External"/><Relationship Id="rId2087" Type="http://schemas.openxmlformats.org/officeDocument/2006/relationships/hyperlink" Target="https://dadosabertos.camara.leg.br/api/v2/deputados/73939" TargetMode="External"/><Relationship Id="rId3138" Type="http://schemas.openxmlformats.org/officeDocument/2006/relationships/hyperlink" Target="https://dadosabertos.camara.leg.br/api/v2/deputados/1513" TargetMode="External"/><Relationship Id="rId3552" Type="http://schemas.openxmlformats.org/officeDocument/2006/relationships/hyperlink" Target="https://dadosabertos.camara.leg.br/api/v2/deputados/132091" TargetMode="External"/><Relationship Id="rId4603" Type="http://schemas.openxmlformats.org/officeDocument/2006/relationships/hyperlink" Target="https://dadosabertos.camara.leg.br/api/v2/deputados/130764" TargetMode="External"/><Relationship Id="rId7759" Type="http://schemas.openxmlformats.org/officeDocument/2006/relationships/hyperlink" Target="https://dadosabertos.camara.leg.br/api/v2/deputados/455" TargetMode="External"/><Relationship Id="rId473" Type="http://schemas.openxmlformats.org/officeDocument/2006/relationships/hyperlink" Target="https://dadosabertos.camara.leg.br/api/v2/deputados/229225" TargetMode="External"/><Relationship Id="rId2154" Type="http://schemas.openxmlformats.org/officeDocument/2006/relationships/hyperlink" Target="https://dadosabertos.camara.leg.br/api/v2/deputados/74085" TargetMode="External"/><Relationship Id="rId3205" Type="http://schemas.openxmlformats.org/officeDocument/2006/relationships/hyperlink" Target="https://dadosabertos.camara.leg.br/api/v2/deputados/139340" TargetMode="External"/><Relationship Id="rId126" Type="http://schemas.openxmlformats.org/officeDocument/2006/relationships/hyperlink" Target="https://dadosabertos.camara.leg.br/api/v2/deputados/220594" TargetMode="External"/><Relationship Id="rId540" Type="http://schemas.openxmlformats.org/officeDocument/2006/relationships/hyperlink" Target="https://dadosabertos.camara.leg.br/api/v2/deputados/220533" TargetMode="External"/><Relationship Id="rId1170" Type="http://schemas.openxmlformats.org/officeDocument/2006/relationships/hyperlink" Target="https://dadosabertos.camara.leg.br/api/v2/deputados/73483" TargetMode="External"/><Relationship Id="rId2221" Type="http://schemas.openxmlformats.org/officeDocument/2006/relationships/hyperlink" Target="https://dadosabertos.camara.leg.br/api/v2/deputados/73443" TargetMode="External"/><Relationship Id="rId5377" Type="http://schemas.openxmlformats.org/officeDocument/2006/relationships/hyperlink" Target="https://dadosabertos.camara.leg.br/api/v2/deputados/4710" TargetMode="External"/><Relationship Id="rId6428" Type="http://schemas.openxmlformats.org/officeDocument/2006/relationships/hyperlink" Target="https://dadosabertos.camara.leg.br/api/v2/deputados/1972" TargetMode="External"/><Relationship Id="rId6775" Type="http://schemas.openxmlformats.org/officeDocument/2006/relationships/hyperlink" Target="https://dadosabertos.camara.leg.br/api/v2/deputados/130134" TargetMode="External"/><Relationship Id="rId7826" Type="http://schemas.openxmlformats.org/officeDocument/2006/relationships/hyperlink" Target="https://dadosabertos.camara.leg.br/api/v2/deputados/112" TargetMode="External"/><Relationship Id="rId5791" Type="http://schemas.openxmlformats.org/officeDocument/2006/relationships/hyperlink" Target="https://dadosabertos.camara.leg.br/api/v2/deputados/4459" TargetMode="External"/><Relationship Id="rId6842" Type="http://schemas.openxmlformats.org/officeDocument/2006/relationships/hyperlink" Target="https://dadosabertos.camara.leg.br/api/v2/deputados/988" TargetMode="External"/><Relationship Id="rId1987" Type="http://schemas.openxmlformats.org/officeDocument/2006/relationships/hyperlink" Target="https://dadosabertos.camara.leg.br/api/v2/deputados/74344" TargetMode="External"/><Relationship Id="rId4393" Type="http://schemas.openxmlformats.org/officeDocument/2006/relationships/hyperlink" Target="https://dadosabertos.camara.leg.br/api/v2/deputados/130988" TargetMode="External"/><Relationship Id="rId5444" Type="http://schemas.openxmlformats.org/officeDocument/2006/relationships/hyperlink" Target="https://dadosabertos.camara.leg.br/api/v2/deputados/4797" TargetMode="External"/><Relationship Id="rId4046" Type="http://schemas.openxmlformats.org/officeDocument/2006/relationships/hyperlink" Target="https://dadosabertos.camara.leg.br/api/v2/deputados/131184" TargetMode="External"/><Relationship Id="rId4460" Type="http://schemas.openxmlformats.org/officeDocument/2006/relationships/hyperlink" Target="https://dadosabertos.camara.leg.br/api/v2/deputados/131073" TargetMode="External"/><Relationship Id="rId5511" Type="http://schemas.openxmlformats.org/officeDocument/2006/relationships/hyperlink" Target="https://dadosabertos.camara.leg.br/api/v2/deputados/130282" TargetMode="External"/><Relationship Id="rId1707" Type="http://schemas.openxmlformats.org/officeDocument/2006/relationships/hyperlink" Target="https://dadosabertos.camara.leg.br/api/v2/deputados/73480" TargetMode="External"/><Relationship Id="rId3062" Type="http://schemas.openxmlformats.org/officeDocument/2006/relationships/hyperlink" Target="https://dadosabertos.camara.leg.br/api/v2/deputados/139219" TargetMode="External"/><Relationship Id="rId4113" Type="http://schemas.openxmlformats.org/officeDocument/2006/relationships/hyperlink" Target="https://dadosabertos.camara.leg.br/api/v2/deputados/131241" TargetMode="External"/><Relationship Id="rId7269" Type="http://schemas.openxmlformats.org/officeDocument/2006/relationships/hyperlink" Target="https://dadosabertos.camara.leg.br/api/v2/deputados/921" TargetMode="External"/><Relationship Id="rId7683" Type="http://schemas.openxmlformats.org/officeDocument/2006/relationships/hyperlink" Target="https://dadosabertos.camara.leg.br/api/v2/deputados/556" TargetMode="External"/><Relationship Id="rId6285" Type="http://schemas.openxmlformats.org/officeDocument/2006/relationships/hyperlink" Target="https://dadosabertos.camara.leg.br/api/v2/deputados/1763" TargetMode="External"/><Relationship Id="rId7336" Type="http://schemas.openxmlformats.org/officeDocument/2006/relationships/hyperlink" Target="https://dadosabertos.camara.leg.br/api/v2/deputados/894" TargetMode="External"/><Relationship Id="rId3879" Type="http://schemas.openxmlformats.org/officeDocument/2006/relationships/hyperlink" Target="https://dadosabertos.camara.leg.br/api/v2/deputados/131606" TargetMode="External"/><Relationship Id="rId6352" Type="http://schemas.openxmlformats.org/officeDocument/2006/relationships/hyperlink" Target="https://dadosabertos.camara.leg.br/api/v2/deputados/1994" TargetMode="External"/><Relationship Id="rId7750" Type="http://schemas.openxmlformats.org/officeDocument/2006/relationships/hyperlink" Target="https://dadosabertos.camara.leg.br/api/v2/deputados/435" TargetMode="External"/><Relationship Id="rId2895" Type="http://schemas.openxmlformats.org/officeDocument/2006/relationships/hyperlink" Target="https://dadosabertos.camara.leg.br/api/v2/deputados/73850" TargetMode="External"/><Relationship Id="rId3946" Type="http://schemas.openxmlformats.org/officeDocument/2006/relationships/hyperlink" Target="https://dadosabertos.camara.leg.br/api/v2/deputados/131421" TargetMode="External"/><Relationship Id="rId6005" Type="http://schemas.openxmlformats.org/officeDocument/2006/relationships/hyperlink" Target="https://dadosabertos.camara.leg.br/api/v2/deputados/2514" TargetMode="External"/><Relationship Id="rId7403" Type="http://schemas.openxmlformats.org/officeDocument/2006/relationships/hyperlink" Target="https://dadosabertos.camara.leg.br/api/v2/deputados/825" TargetMode="External"/><Relationship Id="rId867" Type="http://schemas.openxmlformats.org/officeDocument/2006/relationships/hyperlink" Target="https://dadosabertos.camara.leg.br/api/v2/deputados/141508" TargetMode="External"/><Relationship Id="rId1497" Type="http://schemas.openxmlformats.org/officeDocument/2006/relationships/hyperlink" Target="https://dadosabertos.camara.leg.br/api/v2/deputados/73540" TargetMode="External"/><Relationship Id="rId2548" Type="http://schemas.openxmlformats.org/officeDocument/2006/relationships/hyperlink" Target="https://dadosabertos.camara.leg.br/api/v2/deputados/73876" TargetMode="External"/><Relationship Id="rId2962" Type="http://schemas.openxmlformats.org/officeDocument/2006/relationships/hyperlink" Target="https://dadosabertos.camara.leg.br/api/v2/deputados/139131" TargetMode="External"/><Relationship Id="rId934" Type="http://schemas.openxmlformats.org/officeDocument/2006/relationships/hyperlink" Target="https://dadosabertos.camara.leg.br/api/v2/deputados/204357" TargetMode="External"/><Relationship Id="rId1564" Type="http://schemas.openxmlformats.org/officeDocument/2006/relationships/hyperlink" Target="https://dadosabertos.camara.leg.br/api/v2/deputados/141510" TargetMode="External"/><Relationship Id="rId2615" Type="http://schemas.openxmlformats.org/officeDocument/2006/relationships/hyperlink" Target="https://dadosabertos.camara.leg.br/api/v2/deputados/74115" TargetMode="External"/><Relationship Id="rId5021" Type="http://schemas.openxmlformats.org/officeDocument/2006/relationships/hyperlink" Target="https://dadosabertos.camara.leg.br/api/v2/deputados/3100" TargetMode="External"/><Relationship Id="rId1217" Type="http://schemas.openxmlformats.org/officeDocument/2006/relationships/hyperlink" Target="https://dadosabertos.camara.leg.br/api/v2/deputados/74862" TargetMode="External"/><Relationship Id="rId1631" Type="http://schemas.openxmlformats.org/officeDocument/2006/relationships/hyperlink" Target="https://dadosabertos.camara.leg.br/api/v2/deputados/160627" TargetMode="External"/><Relationship Id="rId4787" Type="http://schemas.openxmlformats.org/officeDocument/2006/relationships/hyperlink" Target="https://dadosabertos.camara.leg.br/api/v2/deputados/130572" TargetMode="External"/><Relationship Id="rId5838" Type="http://schemas.openxmlformats.org/officeDocument/2006/relationships/hyperlink" Target="https://dadosabertos.camara.leg.br/api/v2/deputados/2437" TargetMode="External"/><Relationship Id="rId7193" Type="http://schemas.openxmlformats.org/officeDocument/2006/relationships/hyperlink" Target="https://dadosabertos.camara.leg.br/api/v2/deputados/661" TargetMode="External"/><Relationship Id="rId3389" Type="http://schemas.openxmlformats.org/officeDocument/2006/relationships/hyperlink" Target="https://dadosabertos.camara.leg.br/api/v2/deputados/131935" TargetMode="External"/><Relationship Id="rId7260" Type="http://schemas.openxmlformats.org/officeDocument/2006/relationships/hyperlink" Target="https://dadosabertos.camara.leg.br/api/v2/deputados/997" TargetMode="External"/><Relationship Id="rId3456" Type="http://schemas.openxmlformats.org/officeDocument/2006/relationships/hyperlink" Target="https://dadosabertos.camara.leg.br/api/v2/deputados/132016" TargetMode="External"/><Relationship Id="rId4854" Type="http://schemas.openxmlformats.org/officeDocument/2006/relationships/hyperlink" Target="https://dadosabertos.camara.leg.br/api/v2/deputados/130648" TargetMode="External"/><Relationship Id="rId5905" Type="http://schemas.openxmlformats.org/officeDocument/2006/relationships/hyperlink" Target="https://dadosabertos.camara.leg.br/api/v2/deputados/2595" TargetMode="External"/><Relationship Id="rId377" Type="http://schemas.openxmlformats.org/officeDocument/2006/relationships/hyperlink" Target="https://dadosabertos.camara.leg.br/api/v2/deputados/80815" TargetMode="External"/><Relationship Id="rId2058" Type="http://schemas.openxmlformats.org/officeDocument/2006/relationships/hyperlink" Target="https://dadosabertos.camara.leg.br/api/v2/deputados/73592" TargetMode="External"/><Relationship Id="rId3109" Type="http://schemas.openxmlformats.org/officeDocument/2006/relationships/hyperlink" Target="https://dadosabertos.camara.leg.br/api/v2/deputados/139260" TargetMode="External"/><Relationship Id="rId3870" Type="http://schemas.openxmlformats.org/officeDocument/2006/relationships/hyperlink" Target="https://dadosabertos.camara.leg.br/api/v2/deputados/131599" TargetMode="External"/><Relationship Id="rId4507" Type="http://schemas.openxmlformats.org/officeDocument/2006/relationships/hyperlink" Target="https://dadosabertos.camara.leg.br/api/v2/deputados/131110" TargetMode="External"/><Relationship Id="rId4921" Type="http://schemas.openxmlformats.org/officeDocument/2006/relationships/hyperlink" Target="https://dadosabertos.camara.leg.br/api/v2/deputados/130386" TargetMode="External"/><Relationship Id="rId791" Type="http://schemas.openxmlformats.org/officeDocument/2006/relationships/hyperlink" Target="https://dadosabertos.camara.leg.br/api/v2/deputados/217036" TargetMode="External"/><Relationship Id="rId1074" Type="http://schemas.openxmlformats.org/officeDocument/2006/relationships/hyperlink" Target="https://dadosabertos.camara.leg.br/api/v2/deputados/178883" TargetMode="External"/><Relationship Id="rId2472" Type="http://schemas.openxmlformats.org/officeDocument/2006/relationships/hyperlink" Target="https://dadosabertos.camara.leg.br/api/v2/deputados/73440" TargetMode="External"/><Relationship Id="rId3523" Type="http://schemas.openxmlformats.org/officeDocument/2006/relationships/hyperlink" Target="https://dadosabertos.camara.leg.br/api/v2/deputados/132073" TargetMode="External"/><Relationship Id="rId6679" Type="http://schemas.openxmlformats.org/officeDocument/2006/relationships/hyperlink" Target="https://dadosabertos.camara.leg.br/api/v2/deputados/1912" TargetMode="External"/><Relationship Id="rId444" Type="http://schemas.openxmlformats.org/officeDocument/2006/relationships/hyperlink" Target="https://dadosabertos.camara.leg.br/api/v2/deputados/220668" TargetMode="External"/><Relationship Id="rId2125" Type="http://schemas.openxmlformats.org/officeDocument/2006/relationships/hyperlink" Target="https://dadosabertos.camara.leg.br/api/v2/deputados/73693" TargetMode="External"/><Relationship Id="rId5695" Type="http://schemas.openxmlformats.org/officeDocument/2006/relationships/hyperlink" Target="https://dadosabertos.camara.leg.br/api/v2/deputados/2261" TargetMode="External"/><Relationship Id="rId6746" Type="http://schemas.openxmlformats.org/officeDocument/2006/relationships/hyperlink" Target="https://dadosabertos.camara.leg.br/api/v2/deputados/1719" TargetMode="External"/><Relationship Id="rId511" Type="http://schemas.openxmlformats.org/officeDocument/2006/relationships/hyperlink" Target="https://dadosabertos.camara.leg.br/api/v2/deputados/220627" TargetMode="External"/><Relationship Id="rId1141" Type="http://schemas.openxmlformats.org/officeDocument/2006/relationships/hyperlink" Target="https://dadosabertos.camara.leg.br/api/v2/deputados/74140" TargetMode="External"/><Relationship Id="rId4297" Type="http://schemas.openxmlformats.org/officeDocument/2006/relationships/hyperlink" Target="https://dadosabertos.camara.leg.br/api/v2/deputados/130904" TargetMode="External"/><Relationship Id="rId5348" Type="http://schemas.openxmlformats.org/officeDocument/2006/relationships/hyperlink" Target="https://dadosabertos.camara.leg.br/api/v2/deputados/1748" TargetMode="External"/><Relationship Id="rId5762" Type="http://schemas.openxmlformats.org/officeDocument/2006/relationships/hyperlink" Target="https://dadosabertos.camara.leg.br/api/v2/deputados/4500" TargetMode="External"/><Relationship Id="rId6813" Type="http://schemas.openxmlformats.org/officeDocument/2006/relationships/hyperlink" Target="https://dadosabertos.camara.leg.br/api/v2/deputados/1605" TargetMode="External"/><Relationship Id="rId4364" Type="http://schemas.openxmlformats.org/officeDocument/2006/relationships/hyperlink" Target="https://dadosabertos.camara.leg.br/api/v2/deputados/130939" TargetMode="External"/><Relationship Id="rId5415" Type="http://schemas.openxmlformats.org/officeDocument/2006/relationships/hyperlink" Target="https://dadosabertos.camara.leg.br/api/v2/deputados/4748" TargetMode="External"/><Relationship Id="rId1958" Type="http://schemas.openxmlformats.org/officeDocument/2006/relationships/hyperlink" Target="https://dadosabertos.camara.leg.br/api/v2/deputados/74181" TargetMode="External"/><Relationship Id="rId3380" Type="http://schemas.openxmlformats.org/officeDocument/2006/relationships/hyperlink" Target="https://dadosabertos.camara.leg.br/api/v2/deputados/131928" TargetMode="External"/><Relationship Id="rId4017" Type="http://schemas.openxmlformats.org/officeDocument/2006/relationships/hyperlink" Target="https://dadosabertos.camara.leg.br/api/v2/deputados/3067" TargetMode="External"/><Relationship Id="rId4431" Type="http://schemas.openxmlformats.org/officeDocument/2006/relationships/hyperlink" Target="https://dadosabertos.camara.leg.br/api/v2/deputados/131027" TargetMode="External"/><Relationship Id="rId7587" Type="http://schemas.openxmlformats.org/officeDocument/2006/relationships/hyperlink" Target="https://dadosabertos.camara.leg.br/api/v2/deputados/419" TargetMode="External"/><Relationship Id="rId3033" Type="http://schemas.openxmlformats.org/officeDocument/2006/relationships/hyperlink" Target="https://dadosabertos.camara.leg.br/api/v2/deputados/139195" TargetMode="External"/><Relationship Id="rId6189" Type="http://schemas.openxmlformats.org/officeDocument/2006/relationships/hyperlink" Target="https://dadosabertos.camara.leg.br/api/v2/deputados/2445" TargetMode="External"/><Relationship Id="rId7654" Type="http://schemas.openxmlformats.org/officeDocument/2006/relationships/hyperlink" Target="https://dadosabertos.camara.leg.br/api/v2/deputados/481" TargetMode="External"/><Relationship Id="rId2799" Type="http://schemas.openxmlformats.org/officeDocument/2006/relationships/hyperlink" Target="https://dadosabertos.camara.leg.br/api/v2/deputados/73744" TargetMode="External"/><Relationship Id="rId3100" Type="http://schemas.openxmlformats.org/officeDocument/2006/relationships/hyperlink" Target="https://dadosabertos.camara.leg.br/api/v2/deputados/139253" TargetMode="External"/><Relationship Id="rId6256" Type="http://schemas.openxmlformats.org/officeDocument/2006/relationships/hyperlink" Target="https://dadosabertos.camara.leg.br/api/v2/deputados/2209" TargetMode="External"/><Relationship Id="rId6670" Type="http://schemas.openxmlformats.org/officeDocument/2006/relationships/hyperlink" Target="https://dadosabertos.camara.leg.br/api/v2/deputados/1850" TargetMode="External"/><Relationship Id="rId7307" Type="http://schemas.openxmlformats.org/officeDocument/2006/relationships/hyperlink" Target="https://dadosabertos.camara.leg.br/api/v2/deputados/653" TargetMode="External"/><Relationship Id="rId7721" Type="http://schemas.openxmlformats.org/officeDocument/2006/relationships/hyperlink" Target="https://dadosabertos.camara.leg.br/api/v2/deputados/337" TargetMode="External"/><Relationship Id="rId2866" Type="http://schemas.openxmlformats.org/officeDocument/2006/relationships/hyperlink" Target="https://dadosabertos.camara.leg.br/api/v2/deputados/73840" TargetMode="External"/><Relationship Id="rId3917" Type="http://schemas.openxmlformats.org/officeDocument/2006/relationships/hyperlink" Target="https://dadosabertos.camara.leg.br/api/v2/deputados/131402" TargetMode="External"/><Relationship Id="rId5272" Type="http://schemas.openxmlformats.org/officeDocument/2006/relationships/hyperlink" Target="https://dadosabertos.camara.leg.br/api/v2/deputados/3024" TargetMode="External"/><Relationship Id="rId6323" Type="http://schemas.openxmlformats.org/officeDocument/2006/relationships/hyperlink" Target="https://dadosabertos.camara.leg.br/api/v2/deputados/4440" TargetMode="External"/><Relationship Id="rId838" Type="http://schemas.openxmlformats.org/officeDocument/2006/relationships/hyperlink" Target="https://dadosabertos.camara.leg.br/api/v2/deputados/204418" TargetMode="External"/><Relationship Id="rId1468" Type="http://schemas.openxmlformats.org/officeDocument/2006/relationships/hyperlink" Target="https://dadosabertos.camara.leg.br/api/v2/deputados/74662" TargetMode="External"/><Relationship Id="rId1882" Type="http://schemas.openxmlformats.org/officeDocument/2006/relationships/hyperlink" Target="https://dadosabertos.camara.leg.br/api/v2/deputados/74211" TargetMode="External"/><Relationship Id="rId2519" Type="http://schemas.openxmlformats.org/officeDocument/2006/relationships/hyperlink" Target="https://dadosabertos.camara.leg.br/api/v2/deputados/74661" TargetMode="External"/><Relationship Id="rId1535" Type="http://schemas.openxmlformats.org/officeDocument/2006/relationships/hyperlink" Target="https://dadosabertos.camara.leg.br/api/v2/deputados/178821" TargetMode="External"/><Relationship Id="rId2933" Type="http://schemas.openxmlformats.org/officeDocument/2006/relationships/hyperlink" Target="https://dadosabertos.camara.leg.br/api/v2/deputados/73872" TargetMode="External"/><Relationship Id="rId7097" Type="http://schemas.openxmlformats.org/officeDocument/2006/relationships/hyperlink" Target="https://dadosabertos.camara.leg.br/api/v2/deputados/899" TargetMode="External"/><Relationship Id="rId905" Type="http://schemas.openxmlformats.org/officeDocument/2006/relationships/hyperlink" Target="https://dadosabertos.camara.leg.br/api/v2/deputados/204383" TargetMode="External"/><Relationship Id="rId7164" Type="http://schemas.openxmlformats.org/officeDocument/2006/relationships/hyperlink" Target="https://dadosabertos.camara.leg.br/api/v2/deputados/1277" TargetMode="External"/><Relationship Id="rId1602" Type="http://schemas.openxmlformats.org/officeDocument/2006/relationships/hyperlink" Target="https://dadosabertos.camara.leg.br/api/v2/deputados/89282" TargetMode="External"/><Relationship Id="rId4758" Type="http://schemas.openxmlformats.org/officeDocument/2006/relationships/hyperlink" Target="https://dadosabertos.camara.leg.br/api/v2/deputados/130681" TargetMode="External"/><Relationship Id="rId5809" Type="http://schemas.openxmlformats.org/officeDocument/2006/relationships/hyperlink" Target="https://dadosabertos.camara.leg.br/api/v2/deputados/4518" TargetMode="External"/><Relationship Id="rId6180" Type="http://schemas.openxmlformats.org/officeDocument/2006/relationships/hyperlink" Target="https://dadosabertos.camara.leg.br/api/v2/deputados/2367" TargetMode="External"/><Relationship Id="rId3774" Type="http://schemas.openxmlformats.org/officeDocument/2006/relationships/hyperlink" Target="https://dadosabertos.camara.leg.br/api/v2/deputados/131502" TargetMode="External"/><Relationship Id="rId4825" Type="http://schemas.openxmlformats.org/officeDocument/2006/relationships/hyperlink" Target="https://dadosabertos.camara.leg.br/api/v2/deputados/130652" TargetMode="External"/><Relationship Id="rId7231" Type="http://schemas.openxmlformats.org/officeDocument/2006/relationships/hyperlink" Target="https://dadosabertos.camara.leg.br/api/v2/deputados/760" TargetMode="External"/><Relationship Id="rId695" Type="http://schemas.openxmlformats.org/officeDocument/2006/relationships/hyperlink" Target="https://dadosabertos.camara.leg.br/api/v2/deputados/178948" TargetMode="External"/><Relationship Id="rId2376" Type="http://schemas.openxmlformats.org/officeDocument/2006/relationships/hyperlink" Target="https://dadosabertos.camara.leg.br/api/v2/deputados/73487" TargetMode="External"/><Relationship Id="rId2790" Type="http://schemas.openxmlformats.org/officeDocument/2006/relationships/hyperlink" Target="https://dadosabertos.camara.leg.br/api/v2/deputados/133862" TargetMode="External"/><Relationship Id="rId3427" Type="http://schemas.openxmlformats.org/officeDocument/2006/relationships/hyperlink" Target="https://dadosabertos.camara.leg.br/api/v2/deputados/131984" TargetMode="External"/><Relationship Id="rId3841" Type="http://schemas.openxmlformats.org/officeDocument/2006/relationships/hyperlink" Target="https://dadosabertos.camara.leg.br/api/v2/deputados/131571" TargetMode="External"/><Relationship Id="rId6997" Type="http://schemas.openxmlformats.org/officeDocument/2006/relationships/hyperlink" Target="https://dadosabertos.camara.leg.br/api/v2/deputados/1117" TargetMode="External"/><Relationship Id="rId348" Type="http://schemas.openxmlformats.org/officeDocument/2006/relationships/hyperlink" Target="https://dadosabertos.camara.leg.br/api/v2/deputados/204563" TargetMode="External"/><Relationship Id="rId762" Type="http://schemas.openxmlformats.org/officeDocument/2006/relationships/hyperlink" Target="https://dadosabertos.camara.leg.br/api/v2/deputados/141427" TargetMode="External"/><Relationship Id="rId1392" Type="http://schemas.openxmlformats.org/officeDocument/2006/relationships/hyperlink" Target="https://dadosabertos.camara.leg.br/api/v2/deputados/74230" TargetMode="External"/><Relationship Id="rId2029" Type="http://schemas.openxmlformats.org/officeDocument/2006/relationships/hyperlink" Target="https://dadosabertos.camara.leg.br/api/v2/deputados/73941" TargetMode="External"/><Relationship Id="rId2443" Type="http://schemas.openxmlformats.org/officeDocument/2006/relationships/hyperlink" Target="https://dadosabertos.camara.leg.br/api/v2/deputados/74330" TargetMode="External"/><Relationship Id="rId5599" Type="http://schemas.openxmlformats.org/officeDocument/2006/relationships/hyperlink" Target="https://dadosabertos.camara.leg.br/api/v2/deputados/4551" TargetMode="External"/><Relationship Id="rId415" Type="http://schemas.openxmlformats.org/officeDocument/2006/relationships/hyperlink" Target="https://dadosabertos.camara.leg.br/api/v2/deputados/74784" TargetMode="External"/><Relationship Id="rId1045" Type="http://schemas.openxmlformats.org/officeDocument/2006/relationships/hyperlink" Target="https://dadosabertos.camara.leg.br/api/v2/deputados/160576" TargetMode="External"/><Relationship Id="rId2510" Type="http://schemas.openxmlformats.org/officeDocument/2006/relationships/hyperlink" Target="https://dadosabertos.camara.leg.br/api/v2/deputados/74226" TargetMode="External"/><Relationship Id="rId5666" Type="http://schemas.openxmlformats.org/officeDocument/2006/relationships/hyperlink" Target="https://dadosabertos.camara.leg.br/api/v2/deputados/2766" TargetMode="External"/><Relationship Id="rId1112" Type="http://schemas.openxmlformats.org/officeDocument/2006/relationships/hyperlink" Target="https://dadosabertos.camara.leg.br/api/v2/deputados/178849" TargetMode="External"/><Relationship Id="rId4268" Type="http://schemas.openxmlformats.org/officeDocument/2006/relationships/hyperlink" Target="https://dadosabertos.camara.leg.br/api/v2/deputados/131381" TargetMode="External"/><Relationship Id="rId5319" Type="http://schemas.openxmlformats.org/officeDocument/2006/relationships/hyperlink" Target="https://dadosabertos.camara.leg.br/api/v2/deputados/2842" TargetMode="External"/><Relationship Id="rId6717" Type="http://schemas.openxmlformats.org/officeDocument/2006/relationships/hyperlink" Target="https://dadosabertos.camara.leg.br/api/v2/deputados/1737" TargetMode="External"/><Relationship Id="rId3284" Type="http://schemas.openxmlformats.org/officeDocument/2006/relationships/hyperlink" Target="https://dadosabertos.camara.leg.br/api/v2/deputados/131844" TargetMode="External"/><Relationship Id="rId4682" Type="http://schemas.openxmlformats.org/officeDocument/2006/relationships/hyperlink" Target="https://dadosabertos.camara.leg.br/api/v2/deputados/130848" TargetMode="External"/><Relationship Id="rId5733" Type="http://schemas.openxmlformats.org/officeDocument/2006/relationships/hyperlink" Target="https://dadosabertos.camara.leg.br/api/v2/deputados/2430" TargetMode="External"/><Relationship Id="rId1929" Type="http://schemas.openxmlformats.org/officeDocument/2006/relationships/hyperlink" Target="https://dadosabertos.camara.leg.br/api/v2/deputados/134115" TargetMode="External"/><Relationship Id="rId4335" Type="http://schemas.openxmlformats.org/officeDocument/2006/relationships/hyperlink" Target="https://dadosabertos.camara.leg.br/api/v2/deputados/131020" TargetMode="External"/><Relationship Id="rId5800" Type="http://schemas.openxmlformats.org/officeDocument/2006/relationships/hyperlink" Target="https://dadosabertos.camara.leg.br/api/v2/deputados/130186" TargetMode="External"/><Relationship Id="rId3351" Type="http://schemas.openxmlformats.org/officeDocument/2006/relationships/hyperlink" Target="https://dadosabertos.camara.leg.br/api/v2/deputados/131906" TargetMode="External"/><Relationship Id="rId4402" Type="http://schemas.openxmlformats.org/officeDocument/2006/relationships/hyperlink" Target="https://dadosabertos.camara.leg.br/api/v2/deputados/131001" TargetMode="External"/><Relationship Id="rId7558" Type="http://schemas.openxmlformats.org/officeDocument/2006/relationships/hyperlink" Target="https://dadosabertos.camara.leg.br/api/v2/deputados/324" TargetMode="External"/><Relationship Id="rId7972" Type="http://schemas.openxmlformats.org/officeDocument/2006/relationships/hyperlink" Target="https://dadosabertos.camara.leg.br/api/v2/deputados/165" TargetMode="External"/><Relationship Id="rId272" Type="http://schemas.openxmlformats.org/officeDocument/2006/relationships/hyperlink" Target="https://dadosabertos.camara.leg.br/api/v2/deputados/204394" TargetMode="External"/><Relationship Id="rId3004" Type="http://schemas.openxmlformats.org/officeDocument/2006/relationships/hyperlink" Target="https://dadosabertos.camara.leg.br/api/v2/deputados/139169" TargetMode="External"/><Relationship Id="rId6574" Type="http://schemas.openxmlformats.org/officeDocument/2006/relationships/hyperlink" Target="https://dadosabertos.camara.leg.br/api/v2/deputados/1702" TargetMode="External"/><Relationship Id="rId7625" Type="http://schemas.openxmlformats.org/officeDocument/2006/relationships/hyperlink" Target="https://dadosabertos.camara.leg.br/api/v2/deputados/602" TargetMode="External"/><Relationship Id="rId2020" Type="http://schemas.openxmlformats.org/officeDocument/2006/relationships/hyperlink" Target="https://dadosabertos.camara.leg.br/api/v2/deputados/74846" TargetMode="External"/><Relationship Id="rId5176" Type="http://schemas.openxmlformats.org/officeDocument/2006/relationships/hyperlink" Target="https://dadosabertos.camara.leg.br/api/v2/deputados/2988" TargetMode="External"/><Relationship Id="rId5590" Type="http://schemas.openxmlformats.org/officeDocument/2006/relationships/hyperlink" Target="https://dadosabertos.camara.leg.br/api/v2/deputados/2812" TargetMode="External"/><Relationship Id="rId6227" Type="http://schemas.openxmlformats.org/officeDocument/2006/relationships/hyperlink" Target="https://dadosabertos.camara.leg.br/api/v2/deputados/3527" TargetMode="External"/><Relationship Id="rId6641" Type="http://schemas.openxmlformats.org/officeDocument/2006/relationships/hyperlink" Target="https://dadosabertos.camara.leg.br/api/v2/deputados/1574" TargetMode="External"/><Relationship Id="rId4192" Type="http://schemas.openxmlformats.org/officeDocument/2006/relationships/hyperlink" Target="https://dadosabertos.camara.leg.br/api/v2/deputados/131167" TargetMode="External"/><Relationship Id="rId5243" Type="http://schemas.openxmlformats.org/officeDocument/2006/relationships/hyperlink" Target="https://dadosabertos.camara.leg.br/api/v2/deputados/130372" TargetMode="External"/><Relationship Id="rId1786" Type="http://schemas.openxmlformats.org/officeDocument/2006/relationships/hyperlink" Target="https://dadosabertos.camara.leg.br/api/v2/deputados/141460" TargetMode="External"/><Relationship Id="rId2837" Type="http://schemas.openxmlformats.org/officeDocument/2006/relationships/hyperlink" Target="https://dadosabertos.camara.leg.br/api/v2/deputados/133870" TargetMode="External"/><Relationship Id="rId78" Type="http://schemas.openxmlformats.org/officeDocument/2006/relationships/hyperlink" Target="https://dadosabertos.camara.leg.br/api/v2/deputados/204358" TargetMode="External"/><Relationship Id="rId809" Type="http://schemas.openxmlformats.org/officeDocument/2006/relationships/hyperlink" Target="https://dadosabertos.camara.leg.br/api/v2/deputados/214865" TargetMode="External"/><Relationship Id="rId1439" Type="http://schemas.openxmlformats.org/officeDocument/2006/relationships/hyperlink" Target="https://dadosabertos.camara.leg.br/api/v2/deputados/179383" TargetMode="External"/><Relationship Id="rId1853" Type="http://schemas.openxmlformats.org/officeDocument/2006/relationships/hyperlink" Target="https://dadosabertos.camara.leg.br/api/v2/deputados/141520" TargetMode="External"/><Relationship Id="rId2904" Type="http://schemas.openxmlformats.org/officeDocument/2006/relationships/hyperlink" Target="https://dadosabertos.camara.leg.br/api/v2/deputados/73800" TargetMode="External"/><Relationship Id="rId5310" Type="http://schemas.openxmlformats.org/officeDocument/2006/relationships/hyperlink" Target="https://dadosabertos.camara.leg.br/api/v2/deputados/2890" TargetMode="External"/><Relationship Id="rId7068" Type="http://schemas.openxmlformats.org/officeDocument/2006/relationships/hyperlink" Target="https://dadosabertos.camara.leg.br/api/v2/deputados/1081" TargetMode="External"/><Relationship Id="rId1506" Type="http://schemas.openxmlformats.org/officeDocument/2006/relationships/hyperlink" Target="https://dadosabertos.camara.leg.br/api/v2/deputados/141479" TargetMode="External"/><Relationship Id="rId1920" Type="http://schemas.openxmlformats.org/officeDocument/2006/relationships/hyperlink" Target="https://dadosabertos.camara.leg.br/api/v2/deputados/136226" TargetMode="External"/><Relationship Id="rId7482" Type="http://schemas.openxmlformats.org/officeDocument/2006/relationships/hyperlink" Target="https://dadosabertos.camara.leg.br/api/v2/deputados/686" TargetMode="External"/><Relationship Id="rId3678" Type="http://schemas.openxmlformats.org/officeDocument/2006/relationships/hyperlink" Target="https://dadosabertos.camara.leg.br/api/v2/deputados/131731" TargetMode="External"/><Relationship Id="rId4729" Type="http://schemas.openxmlformats.org/officeDocument/2006/relationships/hyperlink" Target="https://dadosabertos.camara.leg.br/api/v2/deputados/130515" TargetMode="External"/><Relationship Id="rId6084" Type="http://schemas.openxmlformats.org/officeDocument/2006/relationships/hyperlink" Target="https://dadosabertos.camara.leg.br/api/v2/deputados/130142" TargetMode="External"/><Relationship Id="rId7135" Type="http://schemas.openxmlformats.org/officeDocument/2006/relationships/hyperlink" Target="https://dadosabertos.camara.leg.br/api/v2/deputados/640" TargetMode="External"/><Relationship Id="rId599" Type="http://schemas.openxmlformats.org/officeDocument/2006/relationships/hyperlink" Target="https://dadosabertos.camara.leg.br/api/v2/deputados/204535" TargetMode="External"/><Relationship Id="rId2694" Type="http://schemas.openxmlformats.org/officeDocument/2006/relationships/hyperlink" Target="https://dadosabertos.camara.leg.br/api/v2/deputados/133961" TargetMode="External"/><Relationship Id="rId3745" Type="http://schemas.openxmlformats.org/officeDocument/2006/relationships/hyperlink" Target="https://dadosabertos.camara.leg.br/api/v2/deputados/131797" TargetMode="External"/><Relationship Id="rId6151" Type="http://schemas.openxmlformats.org/officeDocument/2006/relationships/hyperlink" Target="https://dadosabertos.camara.leg.br/api/v2/deputados/2415" TargetMode="External"/><Relationship Id="rId7202" Type="http://schemas.openxmlformats.org/officeDocument/2006/relationships/hyperlink" Target="https://dadosabertos.camara.leg.br/api/v2/deputados/348" TargetMode="External"/><Relationship Id="rId666" Type="http://schemas.openxmlformats.org/officeDocument/2006/relationships/hyperlink" Target="https://dadosabertos.camara.leg.br/api/v2/deputados/204517" TargetMode="External"/><Relationship Id="rId1296" Type="http://schemas.openxmlformats.org/officeDocument/2006/relationships/hyperlink" Target="http://simonemorgado.com.br/" TargetMode="External"/><Relationship Id="rId2347" Type="http://schemas.openxmlformats.org/officeDocument/2006/relationships/hyperlink" Target="https://dadosabertos.camara.leg.br/api/v2/deputados/74588" TargetMode="External"/><Relationship Id="rId319" Type="http://schemas.openxmlformats.org/officeDocument/2006/relationships/hyperlink" Target="https://dadosabertos.camara.leg.br/api/v2/deputados/220670" TargetMode="External"/><Relationship Id="rId1363" Type="http://schemas.openxmlformats.org/officeDocument/2006/relationships/hyperlink" Target="https://dadosabertos.camara.leg.br/api/v2/deputados/160546" TargetMode="External"/><Relationship Id="rId2761" Type="http://schemas.openxmlformats.org/officeDocument/2006/relationships/hyperlink" Target="https://dadosabertos.camara.leg.br/api/v2/deputados/73732" TargetMode="External"/><Relationship Id="rId3812" Type="http://schemas.openxmlformats.org/officeDocument/2006/relationships/hyperlink" Target="https://dadosabertos.camara.leg.br/api/v2/deputados/131535" TargetMode="External"/><Relationship Id="rId6968" Type="http://schemas.openxmlformats.org/officeDocument/2006/relationships/hyperlink" Target="https://dadosabertos.camara.leg.br/api/v2/deputados/1194" TargetMode="External"/><Relationship Id="rId733" Type="http://schemas.openxmlformats.org/officeDocument/2006/relationships/hyperlink" Target="https://dadosabertos.camara.leg.br/api/v2/deputados/204439" TargetMode="External"/><Relationship Id="rId1016" Type="http://schemas.openxmlformats.org/officeDocument/2006/relationships/hyperlink" Target="https://dadosabertos.camara.leg.br/api/v2/deputados/193165" TargetMode="External"/><Relationship Id="rId2414" Type="http://schemas.openxmlformats.org/officeDocument/2006/relationships/hyperlink" Target="https://dadosabertos.camara.leg.br/api/v2/deputados/74462" TargetMode="External"/><Relationship Id="rId5984" Type="http://schemas.openxmlformats.org/officeDocument/2006/relationships/hyperlink" Target="https://dadosabertos.camara.leg.br/api/v2/deputados/2409" TargetMode="External"/><Relationship Id="rId800" Type="http://schemas.openxmlformats.org/officeDocument/2006/relationships/hyperlink" Target="https://dadosabertos.camara.leg.br/api/v2/deputados/108338" TargetMode="External"/><Relationship Id="rId1430" Type="http://schemas.openxmlformats.org/officeDocument/2006/relationships/hyperlink" Target="https://dadosabertos.camara.leg.br/api/v2/deputados/73893" TargetMode="External"/><Relationship Id="rId4586" Type="http://schemas.openxmlformats.org/officeDocument/2006/relationships/hyperlink" Target="https://dadosabertos.camara.leg.br/api/v2/deputados/130746" TargetMode="External"/><Relationship Id="rId5637" Type="http://schemas.openxmlformats.org/officeDocument/2006/relationships/hyperlink" Target="https://dadosabertos.camara.leg.br/api/v2/deputados/4625" TargetMode="External"/><Relationship Id="rId3188" Type="http://schemas.openxmlformats.org/officeDocument/2006/relationships/hyperlink" Target="https://dadosabertos.camara.leg.br/api/v2/deputados/139328" TargetMode="External"/><Relationship Id="rId4239" Type="http://schemas.openxmlformats.org/officeDocument/2006/relationships/hyperlink" Target="https://dadosabertos.camara.leg.br/api/v2/deputados/131357" TargetMode="External"/><Relationship Id="rId4653" Type="http://schemas.openxmlformats.org/officeDocument/2006/relationships/hyperlink" Target="https://dadosabertos.camara.leg.br/api/v2/deputados/130697" TargetMode="External"/><Relationship Id="rId5704" Type="http://schemas.openxmlformats.org/officeDocument/2006/relationships/hyperlink" Target="https://dadosabertos.camara.leg.br/api/v2/deputados/2663" TargetMode="External"/><Relationship Id="rId3255" Type="http://schemas.openxmlformats.org/officeDocument/2006/relationships/hyperlink" Target="https://dadosabertos.camara.leg.br/api/v2/deputados/139384" TargetMode="External"/><Relationship Id="rId4306" Type="http://schemas.openxmlformats.org/officeDocument/2006/relationships/hyperlink" Target="https://dadosabertos.camara.leg.br/api/v2/deputados/130918" TargetMode="External"/><Relationship Id="rId4720" Type="http://schemas.openxmlformats.org/officeDocument/2006/relationships/hyperlink" Target="https://dadosabertos.camara.leg.br/api/v2/deputados/130873" TargetMode="External"/><Relationship Id="rId7876" Type="http://schemas.openxmlformats.org/officeDocument/2006/relationships/hyperlink" Target="https://dadosabertos.camara.leg.br/api/v2/deputados/319" TargetMode="External"/><Relationship Id="rId176" Type="http://schemas.openxmlformats.org/officeDocument/2006/relationships/hyperlink" Target="https://dadosabertos.camara.leg.br/api/v2/deputados/178929" TargetMode="External"/><Relationship Id="rId590" Type="http://schemas.openxmlformats.org/officeDocument/2006/relationships/hyperlink" Target="http://www.rosangelagomes.com/" TargetMode="External"/><Relationship Id="rId2271" Type="http://schemas.openxmlformats.org/officeDocument/2006/relationships/hyperlink" Target="https://dadosabertos.camara.leg.br/api/v2/deputados/74001" TargetMode="External"/><Relationship Id="rId3322" Type="http://schemas.openxmlformats.org/officeDocument/2006/relationships/hyperlink" Target="https://dadosabertos.camara.leg.br/api/v2/deputados/132122" TargetMode="External"/><Relationship Id="rId6478" Type="http://schemas.openxmlformats.org/officeDocument/2006/relationships/hyperlink" Target="https://dadosabertos.camara.leg.br/api/v2/deputados/1794" TargetMode="External"/><Relationship Id="rId7529" Type="http://schemas.openxmlformats.org/officeDocument/2006/relationships/hyperlink" Target="https://dadosabertos.camara.leg.br/api/v2/deputados/462" TargetMode="External"/><Relationship Id="rId243" Type="http://schemas.openxmlformats.org/officeDocument/2006/relationships/hyperlink" Target="https://dadosabertos.camara.leg.br/api/v2/deputados/220646" TargetMode="External"/><Relationship Id="rId5494" Type="http://schemas.openxmlformats.org/officeDocument/2006/relationships/hyperlink" Target="https://dadosabertos.camara.leg.br/api/v2/deputados/2956" TargetMode="External"/><Relationship Id="rId6892" Type="http://schemas.openxmlformats.org/officeDocument/2006/relationships/hyperlink" Target="https://dadosabertos.camara.leg.br/api/v2/deputados/1183" TargetMode="External"/><Relationship Id="rId7943" Type="http://schemas.openxmlformats.org/officeDocument/2006/relationships/hyperlink" Target="https://dadosabertos.camara.leg.br/api/v2/deputados/131" TargetMode="External"/><Relationship Id="rId310" Type="http://schemas.openxmlformats.org/officeDocument/2006/relationships/hyperlink" Target="https://dadosabertos.camara.leg.br/api/v2/deputados/160674" TargetMode="External"/><Relationship Id="rId4096" Type="http://schemas.openxmlformats.org/officeDocument/2006/relationships/hyperlink" Target="https://dadosabertos.camara.leg.br/api/v2/deputados/131219" TargetMode="External"/><Relationship Id="rId5147" Type="http://schemas.openxmlformats.org/officeDocument/2006/relationships/hyperlink" Target="https://dadosabertos.camara.leg.br/api/v2/deputados/130356" TargetMode="External"/><Relationship Id="rId6545" Type="http://schemas.openxmlformats.org/officeDocument/2006/relationships/hyperlink" Target="https://dadosabertos.camara.leg.br/api/v2/deputados/2023" TargetMode="External"/><Relationship Id="rId5561" Type="http://schemas.openxmlformats.org/officeDocument/2006/relationships/hyperlink" Target="https://dadosabertos.camara.leg.br/api/v2/deputados/2693" TargetMode="External"/><Relationship Id="rId6612" Type="http://schemas.openxmlformats.org/officeDocument/2006/relationships/hyperlink" Target="https://dadosabertos.camara.leg.br/api/v2/deputados/1839" TargetMode="External"/><Relationship Id="rId1757" Type="http://schemas.openxmlformats.org/officeDocument/2006/relationships/hyperlink" Target="https://dadosabertos.camara.leg.br/api/v2/deputados/159260" TargetMode="External"/><Relationship Id="rId2808" Type="http://schemas.openxmlformats.org/officeDocument/2006/relationships/hyperlink" Target="https://dadosabertos.camara.leg.br/api/v2/deputados/73749" TargetMode="External"/><Relationship Id="rId4163" Type="http://schemas.openxmlformats.org/officeDocument/2006/relationships/hyperlink" Target="https://dadosabertos.camara.leg.br/api/v2/deputados/131294" TargetMode="External"/><Relationship Id="rId5214" Type="http://schemas.openxmlformats.org/officeDocument/2006/relationships/hyperlink" Target="https://dadosabertos.camara.leg.br/api/v2/deputados/3028" TargetMode="External"/><Relationship Id="rId49" Type="http://schemas.openxmlformats.org/officeDocument/2006/relationships/hyperlink" Target="https://dadosabertos.camara.leg.br/api/v2/deputados/133439" TargetMode="External"/><Relationship Id="rId1824" Type="http://schemas.openxmlformats.org/officeDocument/2006/relationships/hyperlink" Target="https://dadosabertos.camara.leg.br/api/v2/deputados/115899" TargetMode="External"/><Relationship Id="rId4230" Type="http://schemas.openxmlformats.org/officeDocument/2006/relationships/hyperlink" Target="https://dadosabertos.camara.leg.br/api/v2/deputados/131352" TargetMode="External"/><Relationship Id="rId7386" Type="http://schemas.openxmlformats.org/officeDocument/2006/relationships/hyperlink" Target="https://dadosabertos.camara.leg.br/api/v2/deputados/482" TargetMode="External"/><Relationship Id="rId7039" Type="http://schemas.openxmlformats.org/officeDocument/2006/relationships/hyperlink" Target="https://dadosabertos.camara.leg.br/api/v2/deputados/884" TargetMode="External"/><Relationship Id="rId7453" Type="http://schemas.openxmlformats.org/officeDocument/2006/relationships/hyperlink" Target="https://dadosabertos.camara.leg.br/api/v2/deputados/780" TargetMode="External"/><Relationship Id="rId2598" Type="http://schemas.openxmlformats.org/officeDocument/2006/relationships/hyperlink" Target="https://dadosabertos.camara.leg.br/api/v2/deputados/74236" TargetMode="External"/><Relationship Id="rId3996" Type="http://schemas.openxmlformats.org/officeDocument/2006/relationships/hyperlink" Target="https://dadosabertos.camara.leg.br/api/v2/deputados/131482" TargetMode="External"/><Relationship Id="rId6055" Type="http://schemas.openxmlformats.org/officeDocument/2006/relationships/hyperlink" Target="https://dadosabertos.camara.leg.br/api/v2/deputados/2153" TargetMode="External"/><Relationship Id="rId7106" Type="http://schemas.openxmlformats.org/officeDocument/2006/relationships/hyperlink" Target="https://dadosabertos.camara.leg.br/api/v2/deputados/1104" TargetMode="External"/><Relationship Id="rId3649" Type="http://schemas.openxmlformats.org/officeDocument/2006/relationships/hyperlink" Target="https://dadosabertos.camara.leg.br/api/v2/deputados/131650" TargetMode="External"/><Relationship Id="rId5071" Type="http://schemas.openxmlformats.org/officeDocument/2006/relationships/hyperlink" Target="https://dadosabertos.camara.leg.br/api/v2/deputados/130493" TargetMode="External"/><Relationship Id="rId6122" Type="http://schemas.openxmlformats.org/officeDocument/2006/relationships/hyperlink" Target="https://dadosabertos.camara.leg.br/api/v2/deputados/2056" TargetMode="External"/><Relationship Id="rId7520" Type="http://schemas.openxmlformats.org/officeDocument/2006/relationships/hyperlink" Target="https://dadosabertos.camara.leg.br/api/v2/deputados/448" TargetMode="External"/><Relationship Id="rId984" Type="http://schemas.openxmlformats.org/officeDocument/2006/relationships/hyperlink" Target="https://dadosabertos.camara.leg.br/api/v2/deputados/178890" TargetMode="External"/><Relationship Id="rId2665" Type="http://schemas.openxmlformats.org/officeDocument/2006/relationships/hyperlink" Target="https://dadosabertos.camara.leg.br/api/v2/deputados/73695" TargetMode="External"/><Relationship Id="rId3716" Type="http://schemas.openxmlformats.org/officeDocument/2006/relationships/hyperlink" Target="https://dadosabertos.camara.leg.br/api/v2/deputados/131774" TargetMode="External"/><Relationship Id="rId637" Type="http://schemas.openxmlformats.org/officeDocument/2006/relationships/hyperlink" Target="https://dadosabertos.camara.leg.br/api/v2/deputados/160976" TargetMode="External"/><Relationship Id="rId1267" Type="http://schemas.openxmlformats.org/officeDocument/2006/relationships/hyperlink" Target="https://dadosabertos.camara.leg.br/api/v2/deputados/178926" TargetMode="External"/><Relationship Id="rId1681" Type="http://schemas.openxmlformats.org/officeDocument/2006/relationships/hyperlink" Target="https://dadosabertos.camara.leg.br/api/v2/deputados/73817" TargetMode="External"/><Relationship Id="rId2318" Type="http://schemas.openxmlformats.org/officeDocument/2006/relationships/hyperlink" Target="https://dadosabertos.camara.leg.br/api/v2/deputados/74339" TargetMode="External"/><Relationship Id="rId2732" Type="http://schemas.openxmlformats.org/officeDocument/2006/relationships/hyperlink" Target="https://dadosabertos.camara.leg.br/api/v2/deputados/73705" TargetMode="External"/><Relationship Id="rId5888" Type="http://schemas.openxmlformats.org/officeDocument/2006/relationships/hyperlink" Target="https://dadosabertos.camara.leg.br/api/v2/deputados/130168" TargetMode="External"/><Relationship Id="rId6939" Type="http://schemas.openxmlformats.org/officeDocument/2006/relationships/hyperlink" Target="https://dadosabertos.camara.leg.br/api/v2/deputados/822" TargetMode="External"/><Relationship Id="rId704" Type="http://schemas.openxmlformats.org/officeDocument/2006/relationships/hyperlink" Target="https://dadosabertos.camara.leg.br/api/v2/deputados/204352" TargetMode="External"/><Relationship Id="rId1334" Type="http://schemas.openxmlformats.org/officeDocument/2006/relationships/hyperlink" Target="https://dadosabertos.camara.leg.br/api/v2/deputados/160577" TargetMode="External"/><Relationship Id="rId5955" Type="http://schemas.openxmlformats.org/officeDocument/2006/relationships/hyperlink" Target="https://dadosabertos.camara.leg.br/api/v2/deputados/2513" TargetMode="External"/><Relationship Id="rId40" Type="http://schemas.openxmlformats.org/officeDocument/2006/relationships/hyperlink" Target="https://www.amaroneto.com.br/" TargetMode="External"/><Relationship Id="rId1401" Type="http://schemas.openxmlformats.org/officeDocument/2006/relationships/hyperlink" Target="https://dadosabertos.camara.leg.br/api/v2/deputados/74265" TargetMode="External"/><Relationship Id="rId4557" Type="http://schemas.openxmlformats.org/officeDocument/2006/relationships/hyperlink" Target="https://dadosabertos.camara.leg.br/api/v2/deputados/130726" TargetMode="External"/><Relationship Id="rId5608" Type="http://schemas.openxmlformats.org/officeDocument/2006/relationships/hyperlink" Target="https://dadosabertos.camara.leg.br/api/v2/deputados/2679" TargetMode="External"/><Relationship Id="rId3159" Type="http://schemas.openxmlformats.org/officeDocument/2006/relationships/hyperlink" Target="https://dadosabertos.camara.leg.br/api/v2/deputados/139301" TargetMode="External"/><Relationship Id="rId3573" Type="http://schemas.openxmlformats.org/officeDocument/2006/relationships/hyperlink" Target="https://dadosabertos.camara.leg.br/api/v2/deputados/131628" TargetMode="External"/><Relationship Id="rId4971" Type="http://schemas.openxmlformats.org/officeDocument/2006/relationships/hyperlink" Target="https://dadosabertos.camara.leg.br/api/v2/deputados/130439" TargetMode="External"/><Relationship Id="rId7030" Type="http://schemas.openxmlformats.org/officeDocument/2006/relationships/hyperlink" Target="https://dadosabertos.camara.leg.br/api/v2/deputados/1177" TargetMode="External"/><Relationship Id="rId494" Type="http://schemas.openxmlformats.org/officeDocument/2006/relationships/hyperlink" Target="https://dadosabertos.camara.leg.br/api/v2/deputados/73692" TargetMode="External"/><Relationship Id="rId2175" Type="http://schemas.openxmlformats.org/officeDocument/2006/relationships/hyperlink" Target="https://dadosabertos.camara.leg.br/api/v2/deputados/73932" TargetMode="External"/><Relationship Id="rId3226" Type="http://schemas.openxmlformats.org/officeDocument/2006/relationships/hyperlink" Target="https://dadosabertos.camara.leg.br/api/v2/deputados/139360" TargetMode="External"/><Relationship Id="rId4624" Type="http://schemas.openxmlformats.org/officeDocument/2006/relationships/hyperlink" Target="https://dadosabertos.camara.leg.br/api/v2/deputados/130787" TargetMode="External"/><Relationship Id="rId147" Type="http://schemas.openxmlformats.org/officeDocument/2006/relationships/hyperlink" Target="https://dadosabertos.camara.leg.br/api/v2/deputados/228941" TargetMode="External"/><Relationship Id="rId1191" Type="http://schemas.openxmlformats.org/officeDocument/2006/relationships/hyperlink" Target="https://dadosabertos.camara.leg.br/api/v2/deputados/160536" TargetMode="External"/><Relationship Id="rId3640" Type="http://schemas.openxmlformats.org/officeDocument/2006/relationships/hyperlink" Target="https://dadosabertos.camara.leg.br/api/v2/deputados/131651" TargetMode="External"/><Relationship Id="rId6796" Type="http://schemas.openxmlformats.org/officeDocument/2006/relationships/hyperlink" Target="https://dadosabertos.camara.leg.br/api/v2/deputados/1722" TargetMode="External"/><Relationship Id="rId7847" Type="http://schemas.openxmlformats.org/officeDocument/2006/relationships/hyperlink" Target="https://dadosabertos.camara.leg.br/api/v2/deputados/345" TargetMode="External"/><Relationship Id="rId561" Type="http://schemas.openxmlformats.org/officeDocument/2006/relationships/hyperlink" Target="https://www.instagram.com/ribamarsilvaoficial" TargetMode="External"/><Relationship Id="rId2242" Type="http://schemas.openxmlformats.org/officeDocument/2006/relationships/hyperlink" Target="https://dadosabertos.camara.leg.br/api/v2/deputados/74840" TargetMode="External"/><Relationship Id="rId5398" Type="http://schemas.openxmlformats.org/officeDocument/2006/relationships/hyperlink" Target="https://dadosabertos.camara.leg.br/api/v2/deputados/4728" TargetMode="External"/><Relationship Id="rId6449" Type="http://schemas.openxmlformats.org/officeDocument/2006/relationships/hyperlink" Target="https://dadosabertos.camara.leg.br/api/v2/deputados/3741" TargetMode="External"/><Relationship Id="rId6863" Type="http://schemas.openxmlformats.org/officeDocument/2006/relationships/hyperlink" Target="https://dadosabertos.camara.leg.br/api/v2/deputados/889" TargetMode="External"/><Relationship Id="rId7914" Type="http://schemas.openxmlformats.org/officeDocument/2006/relationships/hyperlink" Target="https://dadosabertos.camara.leg.br/api/v2/deputados/245" TargetMode="External"/><Relationship Id="rId214" Type="http://schemas.openxmlformats.org/officeDocument/2006/relationships/hyperlink" Target="https://dadosabertos.camara.leg.br/api/v2/deputados/226553" TargetMode="External"/><Relationship Id="rId5465" Type="http://schemas.openxmlformats.org/officeDocument/2006/relationships/hyperlink" Target="https://dadosabertos.camara.leg.br/api/v2/deputados/4802" TargetMode="External"/><Relationship Id="rId6516" Type="http://schemas.openxmlformats.org/officeDocument/2006/relationships/hyperlink" Target="https://dadosabertos.camara.leg.br/api/v2/deputados/2085" TargetMode="External"/><Relationship Id="rId6930" Type="http://schemas.openxmlformats.org/officeDocument/2006/relationships/hyperlink" Target="https://dadosabertos.camara.leg.br/api/v2/deputados/1220" TargetMode="External"/><Relationship Id="rId4067" Type="http://schemas.openxmlformats.org/officeDocument/2006/relationships/hyperlink" Target="https://dadosabertos.camara.leg.br/api/v2/deputados/131331" TargetMode="External"/><Relationship Id="rId4481" Type="http://schemas.openxmlformats.org/officeDocument/2006/relationships/hyperlink" Target="https://dadosabertos.camara.leg.br/api/v2/deputados/131100" TargetMode="External"/><Relationship Id="rId5118" Type="http://schemas.openxmlformats.org/officeDocument/2006/relationships/hyperlink" Target="https://dadosabertos.camara.leg.br/api/v2/deputados/4860" TargetMode="External"/><Relationship Id="rId5532" Type="http://schemas.openxmlformats.org/officeDocument/2006/relationships/hyperlink" Target="https://dadosabertos.camara.leg.br/api/v2/deputados/2928" TargetMode="External"/><Relationship Id="rId3083" Type="http://schemas.openxmlformats.org/officeDocument/2006/relationships/hyperlink" Target="https://dadosabertos.camara.leg.br/api/v2/deputados/1521" TargetMode="External"/><Relationship Id="rId4134" Type="http://schemas.openxmlformats.org/officeDocument/2006/relationships/hyperlink" Target="https://dadosabertos.camara.leg.br/api/v2/deputados/131260" TargetMode="External"/><Relationship Id="rId1728" Type="http://schemas.openxmlformats.org/officeDocument/2006/relationships/hyperlink" Target="https://dadosabertos.camara.leg.br/api/v2/deputados/73542" TargetMode="External"/><Relationship Id="rId3150" Type="http://schemas.openxmlformats.org/officeDocument/2006/relationships/hyperlink" Target="https://dadosabertos.camara.leg.br/api/v2/deputados/139293" TargetMode="External"/><Relationship Id="rId4201" Type="http://schemas.openxmlformats.org/officeDocument/2006/relationships/hyperlink" Target="https://dadosabertos.camara.leg.br/api/v2/deputados/131321" TargetMode="External"/><Relationship Id="rId7357" Type="http://schemas.openxmlformats.org/officeDocument/2006/relationships/hyperlink" Target="https://dadosabertos.camara.leg.br/api/v2/deputados/936" TargetMode="External"/><Relationship Id="rId7771" Type="http://schemas.openxmlformats.org/officeDocument/2006/relationships/hyperlink" Target="https://dadosabertos.camara.leg.br/api/v2/deputados/320" TargetMode="External"/><Relationship Id="rId3967" Type="http://schemas.openxmlformats.org/officeDocument/2006/relationships/hyperlink" Target="https://dadosabertos.camara.leg.br/api/v2/deputados/131456" TargetMode="External"/><Relationship Id="rId6373" Type="http://schemas.openxmlformats.org/officeDocument/2006/relationships/hyperlink" Target="https://dadosabertos.camara.leg.br/api/v2/deputados/3666" TargetMode="External"/><Relationship Id="rId7424" Type="http://schemas.openxmlformats.org/officeDocument/2006/relationships/hyperlink" Target="https://dadosabertos.camara.leg.br/api/v2/deputados/118" TargetMode="External"/><Relationship Id="rId4" Type="http://schemas.openxmlformats.org/officeDocument/2006/relationships/hyperlink" Target="https://dadosabertos.camara.leg.br/api/v2/deputados/221328" TargetMode="External"/><Relationship Id="rId888" Type="http://schemas.openxmlformats.org/officeDocument/2006/relationships/hyperlink" Target="https://dadosabertos.camara.leg.br/api/v2/deputados/205535" TargetMode="External"/><Relationship Id="rId2569" Type="http://schemas.openxmlformats.org/officeDocument/2006/relationships/hyperlink" Target="https://dadosabertos.camara.leg.br/api/v2/deputados/73668" TargetMode="External"/><Relationship Id="rId2983" Type="http://schemas.openxmlformats.org/officeDocument/2006/relationships/hyperlink" Target="https://dadosabertos.camara.leg.br/api/v2/deputados/139150" TargetMode="External"/><Relationship Id="rId6026" Type="http://schemas.openxmlformats.org/officeDocument/2006/relationships/hyperlink" Target="https://dadosabertos.camara.leg.br/api/v2/deputados/2265" TargetMode="External"/><Relationship Id="rId6440" Type="http://schemas.openxmlformats.org/officeDocument/2006/relationships/hyperlink" Target="https://dadosabertos.camara.leg.br/api/v2/deputados/3737" TargetMode="External"/><Relationship Id="rId955" Type="http://schemas.openxmlformats.org/officeDocument/2006/relationships/hyperlink" Target="https://dadosabertos.camara.leg.br/api/v2/deputados/204466" TargetMode="External"/><Relationship Id="rId1585" Type="http://schemas.openxmlformats.org/officeDocument/2006/relationships/hyperlink" Target="https://dadosabertos.camara.leg.br/api/v2/deputados/74047" TargetMode="External"/><Relationship Id="rId2636" Type="http://schemas.openxmlformats.org/officeDocument/2006/relationships/hyperlink" Target="https://dadosabertos.camara.leg.br/api/v2/deputados/73423" TargetMode="External"/><Relationship Id="rId5042" Type="http://schemas.openxmlformats.org/officeDocument/2006/relationships/hyperlink" Target="https://dadosabertos.camara.leg.br/api/v2/deputados/3101" TargetMode="External"/><Relationship Id="rId608" Type="http://schemas.openxmlformats.org/officeDocument/2006/relationships/hyperlink" Target="https://dadosabertos.camara.leg.br/api/v2/deputados/226837" TargetMode="External"/><Relationship Id="rId1238" Type="http://schemas.openxmlformats.org/officeDocument/2006/relationships/hyperlink" Target="https://dadosabertos.camara.leg.br/api/v2/deputados/74449" TargetMode="External"/><Relationship Id="rId1652" Type="http://schemas.openxmlformats.org/officeDocument/2006/relationships/hyperlink" Target="https://dadosabertos.camara.leg.br/api/v2/deputados/141561" TargetMode="External"/><Relationship Id="rId1305" Type="http://schemas.openxmlformats.org/officeDocument/2006/relationships/hyperlink" Target="https://dadosabertos.camara.leg.br/api/v2/deputados/113247" TargetMode="External"/><Relationship Id="rId2703" Type="http://schemas.openxmlformats.org/officeDocument/2006/relationships/hyperlink" Target="https://dadosabertos.camara.leg.br/api/v2/deputados/73639" TargetMode="External"/><Relationship Id="rId5859" Type="http://schemas.openxmlformats.org/officeDocument/2006/relationships/hyperlink" Target="https://dadosabertos.camara.leg.br/api/v2/deputados/2549" TargetMode="External"/><Relationship Id="rId7281" Type="http://schemas.openxmlformats.org/officeDocument/2006/relationships/hyperlink" Target="https://dadosabertos.camara.leg.br/api/v2/deputados/659" TargetMode="External"/><Relationship Id="rId4875" Type="http://schemas.openxmlformats.org/officeDocument/2006/relationships/hyperlink" Target="https://dadosabertos.camara.leg.br/api/v2/deputados/130676" TargetMode="External"/><Relationship Id="rId5926" Type="http://schemas.openxmlformats.org/officeDocument/2006/relationships/hyperlink" Target="https://dadosabertos.camara.leg.br/api/v2/deputados/130145" TargetMode="External"/><Relationship Id="rId11" Type="http://schemas.openxmlformats.org/officeDocument/2006/relationships/hyperlink" Target="https://dadosabertos.camara.leg.br/api/v2/deputados/178835" TargetMode="External"/><Relationship Id="rId398" Type="http://schemas.openxmlformats.org/officeDocument/2006/relationships/hyperlink" Target="https://dadosabertos.camara.leg.br/api/v2/deputados/229082" TargetMode="External"/><Relationship Id="rId2079" Type="http://schemas.openxmlformats.org/officeDocument/2006/relationships/hyperlink" Target="https://dadosabertos.camara.leg.br/api/v2/deputados/74479" TargetMode="External"/><Relationship Id="rId3477" Type="http://schemas.openxmlformats.org/officeDocument/2006/relationships/hyperlink" Target="https://dadosabertos.camara.leg.br/api/v2/deputados/132031" TargetMode="External"/><Relationship Id="rId3891" Type="http://schemas.openxmlformats.org/officeDocument/2006/relationships/hyperlink" Target="https://dadosabertos.camara.leg.br/api/v2/deputados/131617" TargetMode="External"/><Relationship Id="rId4528" Type="http://schemas.openxmlformats.org/officeDocument/2006/relationships/hyperlink" Target="https://dadosabertos.camara.leg.br/api/v2/deputados/131140" TargetMode="External"/><Relationship Id="rId4942" Type="http://schemas.openxmlformats.org/officeDocument/2006/relationships/hyperlink" Target="https://dadosabertos.camara.leg.br/api/v2/deputados/130413" TargetMode="External"/><Relationship Id="rId2493" Type="http://schemas.openxmlformats.org/officeDocument/2006/relationships/hyperlink" Target="https://dadosabertos.camara.leg.br/api/v2/deputados/74098" TargetMode="External"/><Relationship Id="rId3544" Type="http://schemas.openxmlformats.org/officeDocument/2006/relationships/hyperlink" Target="https://dadosabertos.camara.leg.br/api/v2/deputados/132085" TargetMode="External"/><Relationship Id="rId7001" Type="http://schemas.openxmlformats.org/officeDocument/2006/relationships/hyperlink" Target="https://dadosabertos.camara.leg.br/api/v2/deputados/738" TargetMode="External"/><Relationship Id="rId465" Type="http://schemas.openxmlformats.org/officeDocument/2006/relationships/hyperlink" Target="https://dadosabertos.camara.leg.br/api/v2/deputados/74428" TargetMode="External"/><Relationship Id="rId1095" Type="http://schemas.openxmlformats.org/officeDocument/2006/relationships/hyperlink" Target="http://www.franciscoflorianorj.com.br/" TargetMode="External"/><Relationship Id="rId2146" Type="http://schemas.openxmlformats.org/officeDocument/2006/relationships/hyperlink" Target="https://dadosabertos.camara.leg.br/api/v2/deputados/74403" TargetMode="External"/><Relationship Id="rId2560" Type="http://schemas.openxmlformats.org/officeDocument/2006/relationships/hyperlink" Target="https://dadosabertos.camara.leg.br/api/v2/deputados/74002" TargetMode="External"/><Relationship Id="rId3611" Type="http://schemas.openxmlformats.org/officeDocument/2006/relationships/hyperlink" Target="https://dadosabertos.camara.leg.br/api/v2/deputados/131667" TargetMode="External"/><Relationship Id="rId6767" Type="http://schemas.openxmlformats.org/officeDocument/2006/relationships/hyperlink" Target="https://dadosabertos.camara.leg.br/api/v2/deputados/1727" TargetMode="External"/><Relationship Id="rId7818" Type="http://schemas.openxmlformats.org/officeDocument/2006/relationships/hyperlink" Target="https://dadosabertos.camara.leg.br/api/v2/deputados/399" TargetMode="External"/><Relationship Id="rId118" Type="http://schemas.openxmlformats.org/officeDocument/2006/relationships/hyperlink" Target="https://dadosabertos.camara.leg.br/api/v2/deputados/204476" TargetMode="External"/><Relationship Id="rId532" Type="http://schemas.openxmlformats.org/officeDocument/2006/relationships/hyperlink" Target="https://dadosabertos.camara.leg.br/api/v2/deputados/160604" TargetMode="External"/><Relationship Id="rId1162" Type="http://schemas.openxmlformats.org/officeDocument/2006/relationships/hyperlink" Target="https://dadosabertos.camara.leg.br/api/v2/deputados/160663" TargetMode="External"/><Relationship Id="rId2213" Type="http://schemas.openxmlformats.org/officeDocument/2006/relationships/hyperlink" Target="https://dadosabertos.camara.leg.br/api/v2/deputados/74453" TargetMode="External"/><Relationship Id="rId5369" Type="http://schemas.openxmlformats.org/officeDocument/2006/relationships/hyperlink" Target="https://dadosabertos.camara.leg.br/api/v2/deputados/2958" TargetMode="External"/><Relationship Id="rId5783" Type="http://schemas.openxmlformats.org/officeDocument/2006/relationships/hyperlink" Target="https://dadosabertos.camara.leg.br/api/v2/deputados/130212" TargetMode="External"/><Relationship Id="rId4385" Type="http://schemas.openxmlformats.org/officeDocument/2006/relationships/hyperlink" Target="https://dadosabertos.camara.leg.br/api/v2/deputados/130981" TargetMode="External"/><Relationship Id="rId5436" Type="http://schemas.openxmlformats.org/officeDocument/2006/relationships/hyperlink" Target="https://dadosabertos.camara.leg.br/api/v2/deputados/4778" TargetMode="External"/><Relationship Id="rId6834" Type="http://schemas.openxmlformats.org/officeDocument/2006/relationships/hyperlink" Target="https://dadosabertos.camara.leg.br/api/v2/deputados/1085" TargetMode="External"/><Relationship Id="rId1979" Type="http://schemas.openxmlformats.org/officeDocument/2006/relationships/hyperlink" Target="https://dadosabertos.camara.leg.br/api/v2/deputados/73920" TargetMode="External"/><Relationship Id="rId4038" Type="http://schemas.openxmlformats.org/officeDocument/2006/relationships/hyperlink" Target="https://dadosabertos.camara.leg.br/api/v2/deputados/131176" TargetMode="External"/><Relationship Id="rId5850" Type="http://schemas.openxmlformats.org/officeDocument/2006/relationships/hyperlink" Target="https://dadosabertos.camara.leg.br/api/v2/deputados/130158" TargetMode="External"/><Relationship Id="rId6901" Type="http://schemas.openxmlformats.org/officeDocument/2006/relationships/hyperlink" Target="https://dadosabertos.camara.leg.br/api/v2/deputados/1228" TargetMode="External"/><Relationship Id="rId3054" Type="http://schemas.openxmlformats.org/officeDocument/2006/relationships/hyperlink" Target="https://dadosabertos.camara.leg.br/api/v2/deputados/139214" TargetMode="External"/><Relationship Id="rId4452" Type="http://schemas.openxmlformats.org/officeDocument/2006/relationships/hyperlink" Target="https://dadosabertos.camara.leg.br/api/v2/deputados/130972" TargetMode="External"/><Relationship Id="rId5503" Type="http://schemas.openxmlformats.org/officeDocument/2006/relationships/hyperlink" Target="https://dadosabertos.camara.leg.br/api/v2/deputados/4831" TargetMode="External"/><Relationship Id="rId4105" Type="http://schemas.openxmlformats.org/officeDocument/2006/relationships/hyperlink" Target="https://dadosabertos.camara.leg.br/api/v2/deputados/131230" TargetMode="External"/><Relationship Id="rId7675" Type="http://schemas.openxmlformats.org/officeDocument/2006/relationships/hyperlink" Target="https://dadosabertos.camara.leg.br/api/v2/deputados/456" TargetMode="External"/><Relationship Id="rId2070" Type="http://schemas.openxmlformats.org/officeDocument/2006/relationships/hyperlink" Target="https://dadosabertos.camara.leg.br/api/v2/deputados/74427" TargetMode="External"/><Relationship Id="rId3121" Type="http://schemas.openxmlformats.org/officeDocument/2006/relationships/hyperlink" Target="https://dadosabertos.camara.leg.br/api/v2/deputados/139270" TargetMode="External"/><Relationship Id="rId6277" Type="http://schemas.openxmlformats.org/officeDocument/2006/relationships/hyperlink" Target="https://dadosabertos.camara.leg.br/api/v2/deputados/1761" TargetMode="External"/><Relationship Id="rId6691" Type="http://schemas.openxmlformats.org/officeDocument/2006/relationships/hyperlink" Target="https://dadosabertos.camara.leg.br/api/v2/deputados/1610" TargetMode="External"/><Relationship Id="rId7328" Type="http://schemas.openxmlformats.org/officeDocument/2006/relationships/hyperlink" Target="https://dadosabertos.camara.leg.br/api/v2/deputados/905" TargetMode="External"/><Relationship Id="rId7742" Type="http://schemas.openxmlformats.org/officeDocument/2006/relationships/hyperlink" Target="https://dadosabertos.camara.leg.br/api/v2/deputados/349" TargetMode="External"/><Relationship Id="rId2887" Type="http://schemas.openxmlformats.org/officeDocument/2006/relationships/hyperlink" Target="https://dadosabertos.camara.leg.br/api/v2/deputados/73846" TargetMode="External"/><Relationship Id="rId5293" Type="http://schemas.openxmlformats.org/officeDocument/2006/relationships/hyperlink" Target="https://dadosabertos.camara.leg.br/api/v2/deputados/130366" TargetMode="External"/><Relationship Id="rId6344" Type="http://schemas.openxmlformats.org/officeDocument/2006/relationships/hyperlink" Target="https://dadosabertos.camara.leg.br/api/v2/deputados/3646" TargetMode="External"/><Relationship Id="rId859" Type="http://schemas.openxmlformats.org/officeDocument/2006/relationships/hyperlink" Target="https://dadosabertos.camara.leg.br/api/v2/deputados/171619" TargetMode="External"/><Relationship Id="rId1489" Type="http://schemas.openxmlformats.org/officeDocument/2006/relationships/hyperlink" Target="https://dadosabertos.camara.leg.br/api/v2/deputados/141461" TargetMode="External"/><Relationship Id="rId3938" Type="http://schemas.openxmlformats.org/officeDocument/2006/relationships/hyperlink" Target="https://dadosabertos.camara.leg.br/api/v2/deputados/131426" TargetMode="External"/><Relationship Id="rId5360" Type="http://schemas.openxmlformats.org/officeDocument/2006/relationships/hyperlink" Target="https://dadosabertos.camara.leg.br/api/v2/deputados/130250" TargetMode="External"/><Relationship Id="rId6411" Type="http://schemas.openxmlformats.org/officeDocument/2006/relationships/hyperlink" Target="https://dadosabertos.camara.leg.br/api/v2/deputados/1902" TargetMode="External"/><Relationship Id="rId2954" Type="http://schemas.openxmlformats.org/officeDocument/2006/relationships/hyperlink" Target="https://dadosabertos.camara.leg.br/api/v2/deputados/139124" TargetMode="External"/><Relationship Id="rId5013" Type="http://schemas.openxmlformats.org/officeDocument/2006/relationships/hyperlink" Target="https://dadosabertos.camara.leg.br/api/v2/deputados/130463" TargetMode="External"/><Relationship Id="rId926" Type="http://schemas.openxmlformats.org/officeDocument/2006/relationships/hyperlink" Target="https://dadosabertos.camara.leg.br/api/v2/deputados/204530" TargetMode="External"/><Relationship Id="rId1556" Type="http://schemas.openxmlformats.org/officeDocument/2006/relationships/hyperlink" Target="https://dadosabertos.camara.leg.br/api/v2/deputados/160644" TargetMode="External"/><Relationship Id="rId1970" Type="http://schemas.openxmlformats.org/officeDocument/2006/relationships/hyperlink" Target="https://dadosabertos.camara.leg.br/api/v2/deputados/74187" TargetMode="External"/><Relationship Id="rId2607" Type="http://schemas.openxmlformats.org/officeDocument/2006/relationships/hyperlink" Target="https://dadosabertos.camara.leg.br/api/v2/deputados/74302" TargetMode="External"/><Relationship Id="rId7185" Type="http://schemas.openxmlformats.org/officeDocument/2006/relationships/hyperlink" Target="https://dadosabertos.camara.leg.br/api/v2/deputados/923" TargetMode="External"/><Relationship Id="rId1209" Type="http://schemas.openxmlformats.org/officeDocument/2006/relationships/hyperlink" Target="https://dadosabertos.camara.leg.br/api/v2/deputados/181315" TargetMode="External"/><Relationship Id="rId1623" Type="http://schemas.openxmlformats.org/officeDocument/2006/relationships/hyperlink" Target="https://dadosabertos.camara.leg.br/api/v2/deputados/76420" TargetMode="External"/><Relationship Id="rId4779" Type="http://schemas.openxmlformats.org/officeDocument/2006/relationships/hyperlink" Target="https://dadosabertos.camara.leg.br/api/v2/deputados/130566" TargetMode="External"/><Relationship Id="rId3795" Type="http://schemas.openxmlformats.org/officeDocument/2006/relationships/hyperlink" Target="https://dadosabertos.camara.leg.br/api/v2/deputados/131522" TargetMode="External"/><Relationship Id="rId4846" Type="http://schemas.openxmlformats.org/officeDocument/2006/relationships/hyperlink" Target="https://dadosabertos.camara.leg.br/api/v2/deputados/130606" TargetMode="External"/><Relationship Id="rId7252" Type="http://schemas.openxmlformats.org/officeDocument/2006/relationships/hyperlink" Target="https://dadosabertos.camara.leg.br/api/v2/deputados/983" TargetMode="External"/><Relationship Id="rId2397" Type="http://schemas.openxmlformats.org/officeDocument/2006/relationships/hyperlink" Target="https://dadosabertos.camara.leg.br/api/v2/deputados/74307" TargetMode="External"/><Relationship Id="rId3448" Type="http://schemas.openxmlformats.org/officeDocument/2006/relationships/hyperlink" Target="https://dadosabertos.camara.leg.br/api/v2/deputados/132013" TargetMode="External"/><Relationship Id="rId3862" Type="http://schemas.openxmlformats.org/officeDocument/2006/relationships/hyperlink" Target="https://dadosabertos.camara.leg.br/api/v2/deputados/131593" TargetMode="External"/><Relationship Id="rId369" Type="http://schemas.openxmlformats.org/officeDocument/2006/relationships/hyperlink" Target="https://dadosabertos.camara.leg.br/api/v2/deputados/204536" TargetMode="External"/><Relationship Id="rId783" Type="http://schemas.openxmlformats.org/officeDocument/2006/relationships/hyperlink" Target="https://dadosabertos.camara.leg.br/api/v2/deputados/129618" TargetMode="External"/><Relationship Id="rId2464" Type="http://schemas.openxmlformats.org/officeDocument/2006/relationships/hyperlink" Target="https://dadosabertos.camara.leg.br/api/v2/deputados/73890" TargetMode="External"/><Relationship Id="rId3515" Type="http://schemas.openxmlformats.org/officeDocument/2006/relationships/hyperlink" Target="https://dadosabertos.camara.leg.br/api/v2/deputados/132067" TargetMode="External"/><Relationship Id="rId4913" Type="http://schemas.openxmlformats.org/officeDocument/2006/relationships/hyperlink" Target="https://dadosabertos.camara.leg.br/api/v2/deputados/130674" TargetMode="External"/><Relationship Id="rId436" Type="http://schemas.openxmlformats.org/officeDocument/2006/relationships/hyperlink" Target="http://www.marcobertaiolli.com.br/" TargetMode="External"/><Relationship Id="rId1066" Type="http://schemas.openxmlformats.org/officeDocument/2006/relationships/hyperlink" Target="https://dadosabertos.camara.leg.br/api/v2/deputados/178940" TargetMode="External"/><Relationship Id="rId1480" Type="http://schemas.openxmlformats.org/officeDocument/2006/relationships/hyperlink" Target="https://dadosabertos.camara.leg.br/api/v2/deputados/160574" TargetMode="External"/><Relationship Id="rId2117" Type="http://schemas.openxmlformats.org/officeDocument/2006/relationships/hyperlink" Target="https://dadosabertos.camara.leg.br/api/v2/deputados/73455" TargetMode="External"/><Relationship Id="rId850" Type="http://schemas.openxmlformats.org/officeDocument/2006/relationships/hyperlink" Target="https://dadosabertos.camara.leg.br/api/v2/deputados/118594" TargetMode="External"/><Relationship Id="rId1133" Type="http://schemas.openxmlformats.org/officeDocument/2006/relationships/hyperlink" Target="http://www.twitter.com/joaoverdade" TargetMode="External"/><Relationship Id="rId2531" Type="http://schemas.openxmlformats.org/officeDocument/2006/relationships/hyperlink" Target="https://dadosabertos.camara.leg.br/api/v2/deputados/74227" TargetMode="External"/><Relationship Id="rId4289" Type="http://schemas.openxmlformats.org/officeDocument/2006/relationships/hyperlink" Target="https://dadosabertos.camara.leg.br/api/v2/deputados/130897" TargetMode="External"/><Relationship Id="rId5687" Type="http://schemas.openxmlformats.org/officeDocument/2006/relationships/hyperlink" Target="https://dadosabertos.camara.leg.br/api/v2/deputados/2260" TargetMode="External"/><Relationship Id="rId6738" Type="http://schemas.openxmlformats.org/officeDocument/2006/relationships/hyperlink" Target="https://dadosabertos.camara.leg.br/api/v2/deputados/4020" TargetMode="External"/><Relationship Id="rId503" Type="http://schemas.openxmlformats.org/officeDocument/2006/relationships/hyperlink" Target="https://dadosabertos.camara.leg.br/api/v2/deputados/204570" TargetMode="External"/><Relationship Id="rId5754" Type="http://schemas.openxmlformats.org/officeDocument/2006/relationships/hyperlink" Target="https://dadosabertos.camara.leg.br/api/v2/deputados/4491" TargetMode="External"/><Relationship Id="rId6805" Type="http://schemas.openxmlformats.org/officeDocument/2006/relationships/hyperlink" Target="https://dadosabertos.camara.leg.br/api/v2/deputados/1652" TargetMode="External"/><Relationship Id="rId1200" Type="http://schemas.openxmlformats.org/officeDocument/2006/relationships/hyperlink" Target="https://pt-br.facebook.com/depmarcosrogerio" TargetMode="External"/><Relationship Id="rId4356" Type="http://schemas.openxmlformats.org/officeDocument/2006/relationships/hyperlink" Target="https://dadosabertos.camara.leg.br/api/v2/deputados/131005" TargetMode="External"/><Relationship Id="rId4770" Type="http://schemas.openxmlformats.org/officeDocument/2006/relationships/hyperlink" Target="https://dadosabertos.camara.leg.br/api/v2/deputados/130558" TargetMode="External"/><Relationship Id="rId5407" Type="http://schemas.openxmlformats.org/officeDocument/2006/relationships/hyperlink" Target="https://dadosabertos.camara.leg.br/api/v2/deputados/2933" TargetMode="External"/><Relationship Id="rId5821" Type="http://schemas.openxmlformats.org/officeDocument/2006/relationships/hyperlink" Target="https://dadosabertos.camara.leg.br/api/v2/deputados/4536" TargetMode="External"/><Relationship Id="rId3372" Type="http://schemas.openxmlformats.org/officeDocument/2006/relationships/hyperlink" Target="https://dadosabertos.camara.leg.br/api/v2/deputados/131923" TargetMode="External"/><Relationship Id="rId4009" Type="http://schemas.openxmlformats.org/officeDocument/2006/relationships/hyperlink" Target="https://dadosabertos.camara.leg.br/api/v2/deputados/131489" TargetMode="External"/><Relationship Id="rId4423" Type="http://schemas.openxmlformats.org/officeDocument/2006/relationships/hyperlink" Target="https://dadosabertos.camara.leg.br/api/v2/deputados/131041" TargetMode="External"/><Relationship Id="rId7579" Type="http://schemas.openxmlformats.org/officeDocument/2006/relationships/hyperlink" Target="https://dadosabertos.camara.leg.br/api/v2/deputados/503" TargetMode="External"/><Relationship Id="rId293" Type="http://schemas.openxmlformats.org/officeDocument/2006/relationships/hyperlink" Target="https://dadosabertos.camara.leg.br/api/v2/deputados/220664" TargetMode="External"/><Relationship Id="rId3025" Type="http://schemas.openxmlformats.org/officeDocument/2006/relationships/hyperlink" Target="https://dadosabertos.camara.leg.br/api/v2/deputados/139189" TargetMode="External"/><Relationship Id="rId6595" Type="http://schemas.openxmlformats.org/officeDocument/2006/relationships/hyperlink" Target="https://dadosabertos.camara.leg.br/api/v2/deputados/1841" TargetMode="External"/><Relationship Id="rId7646" Type="http://schemas.openxmlformats.org/officeDocument/2006/relationships/hyperlink" Target="https://dadosabertos.camara.leg.br/api/v2/deputados/512" TargetMode="External"/><Relationship Id="rId360" Type="http://schemas.openxmlformats.org/officeDocument/2006/relationships/hyperlink" Target="https://dadosabertos.camara.leg.br/api/v2/deputados/204520" TargetMode="External"/><Relationship Id="rId2041" Type="http://schemas.openxmlformats.org/officeDocument/2006/relationships/hyperlink" Target="https://dadosabertos.camara.leg.br/api/v2/deputados/73775" TargetMode="External"/><Relationship Id="rId5197" Type="http://schemas.openxmlformats.org/officeDocument/2006/relationships/hyperlink" Target="https://dadosabertos.camara.leg.br/api/v2/deputados/2989" TargetMode="External"/><Relationship Id="rId6248" Type="http://schemas.openxmlformats.org/officeDocument/2006/relationships/hyperlink" Target="https://dadosabertos.camara.leg.br/api/v2/deputados/3555" TargetMode="External"/><Relationship Id="rId5264" Type="http://schemas.openxmlformats.org/officeDocument/2006/relationships/hyperlink" Target="https://dadosabertos.camara.leg.br/api/v2/deputados/4900" TargetMode="External"/><Relationship Id="rId6662" Type="http://schemas.openxmlformats.org/officeDocument/2006/relationships/hyperlink" Target="https://dadosabertos.camara.leg.br/api/v2/deputados/1870" TargetMode="External"/><Relationship Id="rId7713" Type="http://schemas.openxmlformats.org/officeDocument/2006/relationships/hyperlink" Target="https://dadosabertos.camara.leg.br/api/v2/deputados/489" TargetMode="External"/><Relationship Id="rId2858" Type="http://schemas.openxmlformats.org/officeDocument/2006/relationships/hyperlink" Target="https://dadosabertos.camara.leg.br/api/v2/deputados/73839" TargetMode="External"/><Relationship Id="rId3909" Type="http://schemas.openxmlformats.org/officeDocument/2006/relationships/hyperlink" Target="https://dadosabertos.camara.leg.br/api/v2/deputados/131393" TargetMode="External"/><Relationship Id="rId6315" Type="http://schemas.openxmlformats.org/officeDocument/2006/relationships/hyperlink" Target="https://dadosabertos.camara.leg.br/api/v2/deputados/1597" TargetMode="External"/><Relationship Id="rId99" Type="http://schemas.openxmlformats.org/officeDocument/2006/relationships/hyperlink" Target="https://dadosabertos.camara.leg.br/api/v2/deputados/178962" TargetMode="External"/><Relationship Id="rId1874" Type="http://schemas.openxmlformats.org/officeDocument/2006/relationships/hyperlink" Target="https://dadosabertos.camara.leg.br/api/v2/deputados/141534" TargetMode="External"/><Relationship Id="rId2925" Type="http://schemas.openxmlformats.org/officeDocument/2006/relationships/hyperlink" Target="https://dadosabertos.camara.leg.br/api/v2/deputados/133949" TargetMode="External"/><Relationship Id="rId4280" Type="http://schemas.openxmlformats.org/officeDocument/2006/relationships/hyperlink" Target="https://dadosabertos.camara.leg.br/api/v2/deputados/130886" TargetMode="External"/><Relationship Id="rId5331" Type="http://schemas.openxmlformats.org/officeDocument/2006/relationships/hyperlink" Target="https://dadosabertos.camara.leg.br/api/v2/deputados/2844" TargetMode="External"/><Relationship Id="rId1527" Type="http://schemas.openxmlformats.org/officeDocument/2006/relationships/hyperlink" Target="https://dadosabertos.camara.leg.br/api/v2/deputados/160550" TargetMode="External"/><Relationship Id="rId1941" Type="http://schemas.openxmlformats.org/officeDocument/2006/relationships/hyperlink" Target="https://dadosabertos.camara.leg.br/api/v2/deputados/73683" TargetMode="External"/><Relationship Id="rId7089" Type="http://schemas.openxmlformats.org/officeDocument/2006/relationships/hyperlink" Target="https://dadosabertos.camara.leg.br/api/v2/deputados/1130" TargetMode="External"/><Relationship Id="rId3699" Type="http://schemas.openxmlformats.org/officeDocument/2006/relationships/hyperlink" Target="https://dadosabertos.camara.leg.br/api/v2/deputados/131758" TargetMode="External"/><Relationship Id="rId4000" Type="http://schemas.openxmlformats.org/officeDocument/2006/relationships/hyperlink" Target="https://dadosabertos.camara.leg.br/api/v2/deputados/131485" TargetMode="External"/><Relationship Id="rId7156" Type="http://schemas.openxmlformats.org/officeDocument/2006/relationships/hyperlink" Target="https://dadosabertos.camara.leg.br/api/v2/deputados/1010" TargetMode="External"/><Relationship Id="rId7570" Type="http://schemas.openxmlformats.org/officeDocument/2006/relationships/hyperlink" Target="https://dadosabertos.camara.leg.br/api/v2/deputados/477" TargetMode="External"/><Relationship Id="rId6172" Type="http://schemas.openxmlformats.org/officeDocument/2006/relationships/hyperlink" Target="https://dadosabertos.camara.leg.br/api/v2/deputados/1962" TargetMode="External"/><Relationship Id="rId7223" Type="http://schemas.openxmlformats.org/officeDocument/2006/relationships/hyperlink" Target="https://dadosabertos.camara.leg.br/api/v2/deputados/587" TargetMode="External"/><Relationship Id="rId687" Type="http://schemas.openxmlformats.org/officeDocument/2006/relationships/hyperlink" Target="https://dadosabertos.camara.leg.br/api/v2/deputados/141379" TargetMode="External"/><Relationship Id="rId2368" Type="http://schemas.openxmlformats.org/officeDocument/2006/relationships/hyperlink" Target="https://dadosabertos.camara.leg.br/api/v2/deputados/74560" TargetMode="External"/><Relationship Id="rId3766" Type="http://schemas.openxmlformats.org/officeDocument/2006/relationships/hyperlink" Target="https://dadosabertos.camara.leg.br/api/v2/deputados/131815" TargetMode="External"/><Relationship Id="rId4817" Type="http://schemas.openxmlformats.org/officeDocument/2006/relationships/hyperlink" Target="https://dadosabertos.camara.leg.br/api/v2/deputados/130608" TargetMode="External"/><Relationship Id="rId2782" Type="http://schemas.openxmlformats.org/officeDocument/2006/relationships/hyperlink" Target="https://dadosabertos.camara.leg.br/api/v2/deputados/73741" TargetMode="External"/><Relationship Id="rId3419" Type="http://schemas.openxmlformats.org/officeDocument/2006/relationships/hyperlink" Target="https://dadosabertos.camara.leg.br/api/v2/deputados/131968" TargetMode="External"/><Relationship Id="rId3833" Type="http://schemas.openxmlformats.org/officeDocument/2006/relationships/hyperlink" Target="https://dadosabertos.camara.leg.br/api/v2/deputados/131556" TargetMode="External"/><Relationship Id="rId6989" Type="http://schemas.openxmlformats.org/officeDocument/2006/relationships/hyperlink" Target="https://dadosabertos.camara.leg.br/api/v2/deputados/1197" TargetMode="External"/><Relationship Id="rId754" Type="http://schemas.openxmlformats.org/officeDocument/2006/relationships/hyperlink" Target="https://dadosabertos.camara.leg.br/api/v2/deputados/221149" TargetMode="External"/><Relationship Id="rId1384" Type="http://schemas.openxmlformats.org/officeDocument/2006/relationships/hyperlink" Target="https://dadosabertos.camara.leg.br/api/v2/deputados/165583" TargetMode="External"/><Relationship Id="rId2435" Type="http://schemas.openxmlformats.org/officeDocument/2006/relationships/hyperlink" Target="https://dadosabertos.camara.leg.br/api/v2/deputados/74831" TargetMode="External"/><Relationship Id="rId3900" Type="http://schemas.openxmlformats.org/officeDocument/2006/relationships/hyperlink" Target="https://dadosabertos.camara.leg.br/api/v2/deputados/131540" TargetMode="External"/><Relationship Id="rId90" Type="http://schemas.openxmlformats.org/officeDocument/2006/relationships/hyperlink" Target="https://dadosabertos.camara.leg.br/api/v2/deputados/204572" TargetMode="External"/><Relationship Id="rId407" Type="http://schemas.openxmlformats.org/officeDocument/2006/relationships/hyperlink" Target="https://dadosabertos.camara.leg.br/api/v2/deputados/141487" TargetMode="External"/><Relationship Id="rId821" Type="http://schemas.openxmlformats.org/officeDocument/2006/relationships/hyperlink" Target="https://dadosabertos.camara.leg.br/api/v2/deputados/204375" TargetMode="External"/><Relationship Id="rId1037" Type="http://schemas.openxmlformats.org/officeDocument/2006/relationships/hyperlink" Target="https://dadosabertos.camara.leg.br/api/v2/deputados/178958" TargetMode="External"/><Relationship Id="rId1451" Type="http://schemas.openxmlformats.org/officeDocument/2006/relationships/hyperlink" Target="https://dadosabertos.camara.leg.br/api/v2/deputados/74151" TargetMode="External"/><Relationship Id="rId2502" Type="http://schemas.openxmlformats.org/officeDocument/2006/relationships/hyperlink" Target="https://dadosabertos.camara.leg.br/api/v2/deputados/74543" TargetMode="External"/><Relationship Id="rId5658" Type="http://schemas.openxmlformats.org/officeDocument/2006/relationships/hyperlink" Target="https://dadosabertos.camara.leg.br/api/v2/deputados/2726" TargetMode="External"/><Relationship Id="rId6709" Type="http://schemas.openxmlformats.org/officeDocument/2006/relationships/hyperlink" Target="https://dadosabertos.camara.leg.br/api/v2/deputados/1862" TargetMode="External"/><Relationship Id="rId1104" Type="http://schemas.openxmlformats.org/officeDocument/2006/relationships/hyperlink" Target="https://dadosabertos.camara.leg.br/api/v2/deputados/74558" TargetMode="External"/><Relationship Id="rId4674" Type="http://schemas.openxmlformats.org/officeDocument/2006/relationships/hyperlink" Target="https://dadosabertos.camara.leg.br/api/v2/deputados/130728" TargetMode="External"/><Relationship Id="rId5725" Type="http://schemas.openxmlformats.org/officeDocument/2006/relationships/hyperlink" Target="https://dadosabertos.camara.leg.br/api/v2/deputados/4510" TargetMode="External"/><Relationship Id="rId7080" Type="http://schemas.openxmlformats.org/officeDocument/2006/relationships/hyperlink" Target="https://dadosabertos.camara.leg.br/api/v2/deputados/1092" TargetMode="External"/><Relationship Id="rId3276" Type="http://schemas.openxmlformats.org/officeDocument/2006/relationships/hyperlink" Target="https://dadosabertos.camara.leg.br/api/v2/deputados/131842" TargetMode="External"/><Relationship Id="rId3690" Type="http://schemas.openxmlformats.org/officeDocument/2006/relationships/hyperlink" Target="https://dadosabertos.camara.leg.br/api/v2/deputados/131747" TargetMode="External"/><Relationship Id="rId4327" Type="http://schemas.openxmlformats.org/officeDocument/2006/relationships/hyperlink" Target="https://dadosabertos.camara.leg.br/api/v2/deputados/130878" TargetMode="External"/><Relationship Id="rId197" Type="http://schemas.openxmlformats.org/officeDocument/2006/relationships/hyperlink" Target="https://dadosabertos.camara.leg.br/api/v2/deputados/204481" TargetMode="External"/><Relationship Id="rId2292" Type="http://schemas.openxmlformats.org/officeDocument/2006/relationships/hyperlink" Target="https://dadosabertos.camara.leg.br/api/v2/deputados/73538" TargetMode="External"/><Relationship Id="rId3343" Type="http://schemas.openxmlformats.org/officeDocument/2006/relationships/hyperlink" Target="https://dadosabertos.camara.leg.br/api/v2/deputados/131902" TargetMode="External"/><Relationship Id="rId4741" Type="http://schemas.openxmlformats.org/officeDocument/2006/relationships/hyperlink" Target="https://dadosabertos.camara.leg.br/api/v2/deputados/130508" TargetMode="External"/><Relationship Id="rId6499" Type="http://schemas.openxmlformats.org/officeDocument/2006/relationships/hyperlink" Target="https://dadosabertos.camara.leg.br/api/v2/deputados/1942" TargetMode="External"/><Relationship Id="rId7897" Type="http://schemas.openxmlformats.org/officeDocument/2006/relationships/hyperlink" Target="https://dadosabertos.camara.leg.br/api/v2/deputados/244" TargetMode="External"/><Relationship Id="rId264" Type="http://schemas.openxmlformats.org/officeDocument/2006/relationships/hyperlink" Target="https://dadosabertos.camara.leg.br/api/v2/deputados/220708" TargetMode="External"/><Relationship Id="rId7964" Type="http://schemas.openxmlformats.org/officeDocument/2006/relationships/hyperlink" Target="https://dadosabertos.camara.leg.br/api/v2/deputados/74" TargetMode="External"/><Relationship Id="rId3410" Type="http://schemas.openxmlformats.org/officeDocument/2006/relationships/hyperlink" Target="https://dadosabertos.camara.leg.br/api/v2/deputados/132126" TargetMode="External"/><Relationship Id="rId6566" Type="http://schemas.openxmlformats.org/officeDocument/2006/relationships/hyperlink" Target="https://dadosabertos.camara.leg.br/api/v2/deputados/176334" TargetMode="External"/><Relationship Id="rId6980" Type="http://schemas.openxmlformats.org/officeDocument/2006/relationships/hyperlink" Target="https://dadosabertos.camara.leg.br/api/v2/deputados/1115" TargetMode="External"/><Relationship Id="rId7617" Type="http://schemas.openxmlformats.org/officeDocument/2006/relationships/hyperlink" Target="https://dadosabertos.camara.leg.br/api/v2/deputados/609" TargetMode="External"/><Relationship Id="rId331" Type="http://schemas.openxmlformats.org/officeDocument/2006/relationships/hyperlink" Target="https://dadosabertos.camara.leg.br/api/v2/deputados/74550" TargetMode="External"/><Relationship Id="rId2012" Type="http://schemas.openxmlformats.org/officeDocument/2006/relationships/hyperlink" Target="https://dadosabertos.camara.leg.br/api/v2/deputados/74660" TargetMode="External"/><Relationship Id="rId5168" Type="http://schemas.openxmlformats.org/officeDocument/2006/relationships/hyperlink" Target="https://dadosabertos.camara.leg.br/api/v2/deputados/130333" TargetMode="External"/><Relationship Id="rId5582" Type="http://schemas.openxmlformats.org/officeDocument/2006/relationships/hyperlink" Target="https://dadosabertos.camara.leg.br/api/v2/deputados/4819" TargetMode="External"/><Relationship Id="rId6219" Type="http://schemas.openxmlformats.org/officeDocument/2006/relationships/hyperlink" Target="https://dadosabertos.camara.leg.br/api/v2/deputados/2006" TargetMode="External"/><Relationship Id="rId6633" Type="http://schemas.openxmlformats.org/officeDocument/2006/relationships/hyperlink" Target="https://dadosabertos.camara.leg.br/api/v2/deputados/1981" TargetMode="External"/><Relationship Id="rId1778" Type="http://schemas.openxmlformats.org/officeDocument/2006/relationships/hyperlink" Target="https://dadosabertos.camara.leg.br/api/v2/deputados/77701" TargetMode="External"/><Relationship Id="rId2829" Type="http://schemas.openxmlformats.org/officeDocument/2006/relationships/hyperlink" Target="https://dadosabertos.camara.leg.br/api/v2/deputados/132146" TargetMode="External"/><Relationship Id="rId4184" Type="http://schemas.openxmlformats.org/officeDocument/2006/relationships/hyperlink" Target="https://dadosabertos.camara.leg.br/api/v2/deputados/131312" TargetMode="External"/><Relationship Id="rId5235" Type="http://schemas.openxmlformats.org/officeDocument/2006/relationships/hyperlink" Target="https://dadosabertos.camara.leg.br/api/v2/deputados/130307" TargetMode="External"/><Relationship Id="rId6700" Type="http://schemas.openxmlformats.org/officeDocument/2006/relationships/hyperlink" Target="https://dadosabertos.camara.leg.br/api/v2/deputados/1793" TargetMode="External"/><Relationship Id="rId4251" Type="http://schemas.openxmlformats.org/officeDocument/2006/relationships/hyperlink" Target="https://dadosabertos.camara.leg.br/api/v2/deputados/131224" TargetMode="External"/><Relationship Id="rId5302" Type="http://schemas.openxmlformats.org/officeDocument/2006/relationships/hyperlink" Target="https://dadosabertos.camara.leg.br/api/v2/deputados/130241" TargetMode="External"/><Relationship Id="rId1845" Type="http://schemas.openxmlformats.org/officeDocument/2006/relationships/hyperlink" Target="https://dadosabertos.camara.leg.br/api/v2/deputados/154417" TargetMode="External"/><Relationship Id="rId7474" Type="http://schemas.openxmlformats.org/officeDocument/2006/relationships/hyperlink" Target="https://dadosabertos.camara.leg.br/api/v2/deputados/721" TargetMode="External"/><Relationship Id="rId1912" Type="http://schemas.openxmlformats.org/officeDocument/2006/relationships/hyperlink" Target="https://dadosabertos.camara.leg.br/api/v2/deputados/74309" TargetMode="External"/><Relationship Id="rId6076" Type="http://schemas.openxmlformats.org/officeDocument/2006/relationships/hyperlink" Target="https://dadosabertos.camara.leg.br/api/v2/deputados/1872" TargetMode="External"/><Relationship Id="rId7127" Type="http://schemas.openxmlformats.org/officeDocument/2006/relationships/hyperlink" Target="https://dadosabertos.camara.leg.br/api/v2/deputados/1003" TargetMode="External"/><Relationship Id="rId5092" Type="http://schemas.openxmlformats.org/officeDocument/2006/relationships/hyperlink" Target="https://dadosabertos.camara.leg.br/api/v2/deputados/130289" TargetMode="External"/><Relationship Id="rId6490" Type="http://schemas.openxmlformats.org/officeDocument/2006/relationships/hyperlink" Target="https://dadosabertos.camara.leg.br/api/v2/deputados/2065" TargetMode="External"/><Relationship Id="rId7541" Type="http://schemas.openxmlformats.org/officeDocument/2006/relationships/hyperlink" Target="https://dadosabertos.camara.leg.br/api/v2/deputados/584" TargetMode="External"/><Relationship Id="rId2686" Type="http://schemas.openxmlformats.org/officeDocument/2006/relationships/hyperlink" Target="https://dadosabertos.camara.leg.br/api/v2/deputados/73503" TargetMode="External"/><Relationship Id="rId3737" Type="http://schemas.openxmlformats.org/officeDocument/2006/relationships/hyperlink" Target="https://dadosabertos.camara.leg.br/api/v2/deputados/131749" TargetMode="External"/><Relationship Id="rId6143" Type="http://schemas.openxmlformats.org/officeDocument/2006/relationships/hyperlink" Target="https://dadosabertos.camara.leg.br/api/v2/deputados/2429" TargetMode="External"/><Relationship Id="rId658" Type="http://schemas.openxmlformats.org/officeDocument/2006/relationships/hyperlink" Target="https://dadosabertos.camara.leg.br/api/v2/deputados/182146" TargetMode="External"/><Relationship Id="rId1288" Type="http://schemas.openxmlformats.org/officeDocument/2006/relationships/hyperlink" Target="https://dadosabertos.camara.leg.br/api/v2/deputados/160613" TargetMode="External"/><Relationship Id="rId2339" Type="http://schemas.openxmlformats.org/officeDocument/2006/relationships/hyperlink" Target="https://dadosabertos.camara.leg.br/api/v2/deputados/74112" TargetMode="External"/><Relationship Id="rId2753" Type="http://schemas.openxmlformats.org/officeDocument/2006/relationships/hyperlink" Target="https://dadosabertos.camara.leg.br/api/v2/deputados/133865" TargetMode="External"/><Relationship Id="rId3804" Type="http://schemas.openxmlformats.org/officeDocument/2006/relationships/hyperlink" Target="https://dadosabertos.camara.leg.br/api/v2/deputados/131530" TargetMode="External"/><Relationship Id="rId6210" Type="http://schemas.openxmlformats.org/officeDocument/2006/relationships/hyperlink" Target="https://dadosabertos.camara.leg.br/api/v2/deputados/1662" TargetMode="External"/><Relationship Id="rId725" Type="http://schemas.openxmlformats.org/officeDocument/2006/relationships/hyperlink" Target="https://dadosabertos.camara.leg.br/api/v2/deputados/205548" TargetMode="External"/><Relationship Id="rId1355" Type="http://schemas.openxmlformats.org/officeDocument/2006/relationships/hyperlink" Target="https://dadosabertos.camara.leg.br/api/v2/deputados/73937" TargetMode="External"/><Relationship Id="rId2406" Type="http://schemas.openxmlformats.org/officeDocument/2006/relationships/hyperlink" Target="https://dadosabertos.camara.leg.br/api/v2/deputados/74694" TargetMode="External"/><Relationship Id="rId1008" Type="http://schemas.openxmlformats.org/officeDocument/2006/relationships/hyperlink" Target="https://dadosabertos.camara.leg.br/api/v2/deputados/74103" TargetMode="External"/><Relationship Id="rId1422" Type="http://schemas.openxmlformats.org/officeDocument/2006/relationships/hyperlink" Target="https://dadosabertos.camara.leg.br/api/v2/deputados/160647" TargetMode="External"/><Relationship Id="rId2820" Type="http://schemas.openxmlformats.org/officeDocument/2006/relationships/hyperlink" Target="https://dadosabertos.camara.leg.br/api/v2/deputados/133839" TargetMode="External"/><Relationship Id="rId4578" Type="http://schemas.openxmlformats.org/officeDocument/2006/relationships/hyperlink" Target="https://dadosabertos.camara.leg.br/api/v2/deputados/130820" TargetMode="External"/><Relationship Id="rId5976" Type="http://schemas.openxmlformats.org/officeDocument/2006/relationships/hyperlink" Target="https://dadosabertos.camara.leg.br/api/v2/deputados/2435" TargetMode="External"/><Relationship Id="rId61" Type="http://schemas.openxmlformats.org/officeDocument/2006/relationships/hyperlink" Target="https://dadosabertos.camara.leg.br/api/v2/deputados/141391" TargetMode="External"/><Relationship Id="rId4992" Type="http://schemas.openxmlformats.org/officeDocument/2006/relationships/hyperlink" Target="https://dadosabertos.camara.leg.br/api/v2/deputados/3076" TargetMode="External"/><Relationship Id="rId5629" Type="http://schemas.openxmlformats.org/officeDocument/2006/relationships/hyperlink" Target="https://dadosabertos.camara.leg.br/api/v2/deputados/4621" TargetMode="External"/><Relationship Id="rId7051" Type="http://schemas.openxmlformats.org/officeDocument/2006/relationships/hyperlink" Target="https://dadosabertos.camara.leg.br/api/v2/deputados/732" TargetMode="External"/><Relationship Id="rId2196" Type="http://schemas.openxmlformats.org/officeDocument/2006/relationships/hyperlink" Target="https://dadosabertos.camara.leg.br/api/v2/deputados/74415" TargetMode="External"/><Relationship Id="rId3594" Type="http://schemas.openxmlformats.org/officeDocument/2006/relationships/hyperlink" Target="https://dadosabertos.camara.leg.br/api/v2/deputados/131645" TargetMode="External"/><Relationship Id="rId4645" Type="http://schemas.openxmlformats.org/officeDocument/2006/relationships/hyperlink" Target="https://dadosabertos.camara.leg.br/api/v2/deputados/130814" TargetMode="External"/><Relationship Id="rId168" Type="http://schemas.openxmlformats.org/officeDocument/2006/relationships/hyperlink" Target="https://dadosabertos.camara.leg.br/api/v2/deputados/220654" TargetMode="External"/><Relationship Id="rId3247" Type="http://schemas.openxmlformats.org/officeDocument/2006/relationships/hyperlink" Target="https://dadosabertos.camara.leg.br/api/v2/deputados/139377" TargetMode="External"/><Relationship Id="rId3661" Type="http://schemas.openxmlformats.org/officeDocument/2006/relationships/hyperlink" Target="https://dadosabertos.camara.leg.br/api/v2/deputados/131709" TargetMode="External"/><Relationship Id="rId4712" Type="http://schemas.openxmlformats.org/officeDocument/2006/relationships/hyperlink" Target="https://dadosabertos.camara.leg.br/api/v2/deputados/130868" TargetMode="External"/><Relationship Id="rId7868" Type="http://schemas.openxmlformats.org/officeDocument/2006/relationships/hyperlink" Target="https://dadosabertos.camara.leg.br/api/v2/deputados/272" TargetMode="External"/><Relationship Id="rId582" Type="http://schemas.openxmlformats.org/officeDocument/2006/relationships/hyperlink" Target="https://dadosabertos.camara.leg.br/api/v2/deputados/141533" TargetMode="External"/><Relationship Id="rId2263" Type="http://schemas.openxmlformats.org/officeDocument/2006/relationships/hyperlink" Target="https://dadosabertos.camara.leg.br/api/v2/deputados/74545" TargetMode="External"/><Relationship Id="rId3314" Type="http://schemas.openxmlformats.org/officeDocument/2006/relationships/hyperlink" Target="https://dadosabertos.camara.leg.br/api/v2/deputados/132125" TargetMode="External"/><Relationship Id="rId6884" Type="http://schemas.openxmlformats.org/officeDocument/2006/relationships/hyperlink" Target="https://dadosabertos.camara.leg.br/api/v2/deputados/1025" TargetMode="External"/><Relationship Id="rId7935" Type="http://schemas.openxmlformats.org/officeDocument/2006/relationships/hyperlink" Target="https://dadosabertos.camara.leg.br/api/v2/deputados/76" TargetMode="External"/><Relationship Id="rId235" Type="http://schemas.openxmlformats.org/officeDocument/2006/relationships/hyperlink" Target="https://dadosabertos.camara.leg.br/api/v2/deputados/68720" TargetMode="External"/><Relationship Id="rId2330" Type="http://schemas.openxmlformats.org/officeDocument/2006/relationships/hyperlink" Target="https://dadosabertos.camara.leg.br/api/v2/deputados/73659" TargetMode="External"/><Relationship Id="rId5486" Type="http://schemas.openxmlformats.org/officeDocument/2006/relationships/hyperlink" Target="https://dadosabertos.camara.leg.br/api/v2/deputados/4820" TargetMode="External"/><Relationship Id="rId6537" Type="http://schemas.openxmlformats.org/officeDocument/2006/relationships/hyperlink" Target="https://dadosabertos.camara.leg.br/api/v2/deputados/1976" TargetMode="External"/><Relationship Id="rId302" Type="http://schemas.openxmlformats.org/officeDocument/2006/relationships/hyperlink" Target="https://www.instagram.com/helio.leite" TargetMode="External"/><Relationship Id="rId4088" Type="http://schemas.openxmlformats.org/officeDocument/2006/relationships/hyperlink" Target="https://dadosabertos.camara.leg.br/api/v2/deputados/131210" TargetMode="External"/><Relationship Id="rId5139" Type="http://schemas.openxmlformats.org/officeDocument/2006/relationships/hyperlink" Target="https://dadosabertos.camara.leg.br/api/v2/deputados/130311" TargetMode="External"/><Relationship Id="rId5553" Type="http://schemas.openxmlformats.org/officeDocument/2006/relationships/hyperlink" Target="https://dadosabertos.camara.leg.br/api/v2/deputados/130225" TargetMode="External"/><Relationship Id="rId6951" Type="http://schemas.openxmlformats.org/officeDocument/2006/relationships/hyperlink" Target="https://dadosabertos.camara.leg.br/api/v2/deputados/1246" TargetMode="External"/><Relationship Id="rId4155" Type="http://schemas.openxmlformats.org/officeDocument/2006/relationships/hyperlink" Target="https://dadosabertos.camara.leg.br/api/v2/deputados/131290" TargetMode="External"/><Relationship Id="rId5206" Type="http://schemas.openxmlformats.org/officeDocument/2006/relationships/hyperlink" Target="https://dadosabertos.camara.leg.br/api/v2/deputados/3137" TargetMode="External"/><Relationship Id="rId6604" Type="http://schemas.openxmlformats.org/officeDocument/2006/relationships/hyperlink" Target="https://dadosabertos.camara.leg.br/api/v2/deputados/1955" TargetMode="External"/><Relationship Id="rId1749" Type="http://schemas.openxmlformats.org/officeDocument/2006/relationships/hyperlink" Target="https://dadosabertos.camara.leg.br/api/v2/deputados/141344" TargetMode="External"/><Relationship Id="rId3171" Type="http://schemas.openxmlformats.org/officeDocument/2006/relationships/hyperlink" Target="https://dadosabertos.camara.leg.br/api/v2/deputados/139313" TargetMode="External"/><Relationship Id="rId5620" Type="http://schemas.openxmlformats.org/officeDocument/2006/relationships/hyperlink" Target="https://dadosabertos.camara.leg.br/api/v2/deputados/2798" TargetMode="External"/><Relationship Id="rId1816" Type="http://schemas.openxmlformats.org/officeDocument/2006/relationships/hyperlink" Target="https://dadosabertos.camara.leg.br/api/v2/deputados/74142" TargetMode="External"/><Relationship Id="rId4222" Type="http://schemas.openxmlformats.org/officeDocument/2006/relationships/hyperlink" Target="https://dadosabertos.camara.leg.br/api/v2/deputados/131343" TargetMode="External"/><Relationship Id="rId7378" Type="http://schemas.openxmlformats.org/officeDocument/2006/relationships/hyperlink" Target="https://dadosabertos.camara.leg.br/api/v2/deputados/859" TargetMode="External"/><Relationship Id="rId7792" Type="http://schemas.openxmlformats.org/officeDocument/2006/relationships/hyperlink" Target="https://dadosabertos.camara.leg.br/api/v2/deputados/206" TargetMode="External"/><Relationship Id="rId3988" Type="http://schemas.openxmlformats.org/officeDocument/2006/relationships/hyperlink" Target="https://dadosabertos.camara.leg.br/api/v2/deputados/131468" TargetMode="External"/><Relationship Id="rId6394" Type="http://schemas.openxmlformats.org/officeDocument/2006/relationships/hyperlink" Target="https://dadosabertos.camara.leg.br/api/v2/deputados/3702" TargetMode="External"/><Relationship Id="rId7445" Type="http://schemas.openxmlformats.org/officeDocument/2006/relationships/hyperlink" Target="https://dadosabertos.camara.leg.br/api/v2/deputados/715" TargetMode="External"/><Relationship Id="rId6047" Type="http://schemas.openxmlformats.org/officeDocument/2006/relationships/hyperlink" Target="https://dadosabertos.camara.leg.br/api/v2/deputados/2495" TargetMode="External"/><Relationship Id="rId6461" Type="http://schemas.openxmlformats.org/officeDocument/2006/relationships/hyperlink" Target="https://dadosabertos.camara.leg.br/api/v2/deputados/3755" TargetMode="External"/><Relationship Id="rId7512" Type="http://schemas.openxmlformats.org/officeDocument/2006/relationships/hyperlink" Target="https://dadosabertos.camara.leg.br/api/v2/deputados/123" TargetMode="External"/><Relationship Id="rId976" Type="http://schemas.openxmlformats.org/officeDocument/2006/relationships/hyperlink" Target="https://dadosabertos.camara.leg.br/api/v2/deputados/204463" TargetMode="External"/><Relationship Id="rId2657" Type="http://schemas.openxmlformats.org/officeDocument/2006/relationships/hyperlink" Target="https://dadosabertos.camara.leg.br/api/v2/deputados/74438" TargetMode="External"/><Relationship Id="rId5063" Type="http://schemas.openxmlformats.org/officeDocument/2006/relationships/hyperlink" Target="https://dadosabertos.camara.leg.br/api/v2/deputados/3110" TargetMode="External"/><Relationship Id="rId6114" Type="http://schemas.openxmlformats.org/officeDocument/2006/relationships/hyperlink" Target="https://dadosabertos.camara.leg.br/api/v2/deputados/2492" TargetMode="External"/><Relationship Id="rId629" Type="http://schemas.openxmlformats.org/officeDocument/2006/relationships/hyperlink" Target="https://dadosabertos.camara.leg.br/api/v2/deputados/204464" TargetMode="External"/><Relationship Id="rId1259" Type="http://schemas.openxmlformats.org/officeDocument/2006/relationships/hyperlink" Target="https://dadosabertos.camara.leg.br/api/v2/deputados/73805" TargetMode="External"/><Relationship Id="rId3708" Type="http://schemas.openxmlformats.org/officeDocument/2006/relationships/hyperlink" Target="https://dadosabertos.camara.leg.br/api/v2/deputados/131770" TargetMode="External"/><Relationship Id="rId5130" Type="http://schemas.openxmlformats.org/officeDocument/2006/relationships/hyperlink" Target="https://dadosabertos.camara.leg.br/api/v2/deputados/130303" TargetMode="External"/><Relationship Id="rId1673" Type="http://schemas.openxmlformats.org/officeDocument/2006/relationships/hyperlink" Target="https://dadosabertos.camara.leg.br/api/v2/deputados/150635" TargetMode="External"/><Relationship Id="rId2724" Type="http://schemas.openxmlformats.org/officeDocument/2006/relationships/hyperlink" Target="https://dadosabertos.camara.leg.br/api/v2/deputados/73952" TargetMode="External"/><Relationship Id="rId1326" Type="http://schemas.openxmlformats.org/officeDocument/2006/relationships/hyperlink" Target="https://dadosabertos.camara.leg.br/api/v2/deputados/73992" TargetMode="External"/><Relationship Id="rId1740" Type="http://schemas.openxmlformats.org/officeDocument/2006/relationships/hyperlink" Target="https://dadosabertos.camara.leg.br/api/v2/deputados/141424" TargetMode="External"/><Relationship Id="rId4896" Type="http://schemas.openxmlformats.org/officeDocument/2006/relationships/hyperlink" Target="https://dadosabertos.camara.leg.br/api/v2/deputados/130686" TargetMode="External"/><Relationship Id="rId5947" Type="http://schemas.openxmlformats.org/officeDocument/2006/relationships/hyperlink" Target="https://dadosabertos.camara.leg.br/api/v2/deputados/2533" TargetMode="External"/><Relationship Id="rId32" Type="http://schemas.openxmlformats.org/officeDocument/2006/relationships/hyperlink" Target="https://dadosabertos.camara.leg.br/api/v2/deputados/178927" TargetMode="External"/><Relationship Id="rId3498" Type="http://schemas.openxmlformats.org/officeDocument/2006/relationships/hyperlink" Target="https://dadosabertos.camara.leg.br/api/v2/deputados/132047" TargetMode="External"/><Relationship Id="rId4549" Type="http://schemas.openxmlformats.org/officeDocument/2006/relationships/hyperlink" Target="https://dadosabertos.camara.leg.br/api/v2/deputados/130713" TargetMode="External"/><Relationship Id="rId4963" Type="http://schemas.openxmlformats.org/officeDocument/2006/relationships/hyperlink" Target="https://dadosabertos.camara.leg.br/api/v2/deputados/130429" TargetMode="External"/><Relationship Id="rId3565" Type="http://schemas.openxmlformats.org/officeDocument/2006/relationships/hyperlink" Target="https://dadosabertos.camara.leg.br/api/v2/deputados/132104" TargetMode="External"/><Relationship Id="rId4616" Type="http://schemas.openxmlformats.org/officeDocument/2006/relationships/hyperlink" Target="https://dadosabertos.camara.leg.br/api/v2/deputados/130780" TargetMode="External"/><Relationship Id="rId7022" Type="http://schemas.openxmlformats.org/officeDocument/2006/relationships/hyperlink" Target="https://dadosabertos.camara.leg.br/api/v2/deputados/4104" TargetMode="External"/><Relationship Id="rId486" Type="http://schemas.openxmlformats.org/officeDocument/2006/relationships/hyperlink" Target="https://dadosabertos.camara.leg.br/api/v2/deputados/204479" TargetMode="External"/><Relationship Id="rId2167" Type="http://schemas.openxmlformats.org/officeDocument/2006/relationships/hyperlink" Target="https://dadosabertos.camara.leg.br/api/v2/deputados/65551" TargetMode="External"/><Relationship Id="rId2581" Type="http://schemas.openxmlformats.org/officeDocument/2006/relationships/hyperlink" Target="https://dadosabertos.camara.leg.br/api/v2/deputados/73551" TargetMode="External"/><Relationship Id="rId3218" Type="http://schemas.openxmlformats.org/officeDocument/2006/relationships/hyperlink" Target="https://dadosabertos.camara.leg.br/api/v2/deputados/139352" TargetMode="External"/><Relationship Id="rId3632" Type="http://schemas.openxmlformats.org/officeDocument/2006/relationships/hyperlink" Target="https://dadosabertos.camara.leg.br/api/v2/deputados/131686" TargetMode="External"/><Relationship Id="rId6788" Type="http://schemas.openxmlformats.org/officeDocument/2006/relationships/hyperlink" Target="https://dadosabertos.camara.leg.br/api/v2/deputados/4078" TargetMode="External"/><Relationship Id="rId139" Type="http://schemas.openxmlformats.org/officeDocument/2006/relationships/hyperlink" Target="https://dadosabertos.camara.leg.br/api/v2/deputados/74467" TargetMode="External"/><Relationship Id="rId553" Type="http://schemas.openxmlformats.org/officeDocument/2006/relationships/hyperlink" Target="https://dadosabertos.camara.leg.br/api/v2/deputados/221378" TargetMode="External"/><Relationship Id="rId1183" Type="http://schemas.openxmlformats.org/officeDocument/2006/relationships/hyperlink" Target="https://dadosabertos.camara.leg.br/api/v2/deputados/160660" TargetMode="External"/><Relationship Id="rId2234" Type="http://schemas.openxmlformats.org/officeDocument/2006/relationships/hyperlink" Target="https://dadosabertos.camara.leg.br/api/v2/deputados/73980" TargetMode="External"/><Relationship Id="rId7839" Type="http://schemas.openxmlformats.org/officeDocument/2006/relationships/hyperlink" Target="https://dadosabertos.camara.leg.br/api/v2/deputados/318" TargetMode="External"/><Relationship Id="rId206" Type="http://schemas.openxmlformats.org/officeDocument/2006/relationships/hyperlink" Target="https://dadosabertos.camara.leg.br/api/v2/deputados/220540" TargetMode="External"/><Relationship Id="rId6855" Type="http://schemas.openxmlformats.org/officeDocument/2006/relationships/hyperlink" Target="https://dadosabertos.camara.leg.br/api/v2/deputados/989" TargetMode="External"/><Relationship Id="rId7906" Type="http://schemas.openxmlformats.org/officeDocument/2006/relationships/hyperlink" Target="https://dadosabertos.camara.leg.br/api/v2/deputados/271" TargetMode="External"/><Relationship Id="rId620" Type="http://schemas.openxmlformats.org/officeDocument/2006/relationships/hyperlink" Target="https://dadosabertos.camara.leg.br/api/v2/deputados/104552" TargetMode="External"/><Relationship Id="rId1250" Type="http://schemas.openxmlformats.org/officeDocument/2006/relationships/hyperlink" Target="https://dadosabertos.camara.leg.br/api/v2/deputados/171620" TargetMode="External"/><Relationship Id="rId2301" Type="http://schemas.openxmlformats.org/officeDocument/2006/relationships/hyperlink" Target="https://dadosabertos.camara.leg.br/api/v2/deputados/74794" TargetMode="External"/><Relationship Id="rId4059" Type="http://schemas.openxmlformats.org/officeDocument/2006/relationships/hyperlink" Target="https://dadosabertos.camara.leg.br/api/v2/deputados/131214" TargetMode="External"/><Relationship Id="rId5457" Type="http://schemas.openxmlformats.org/officeDocument/2006/relationships/hyperlink" Target="https://dadosabertos.camara.leg.br/api/v2/deputados/4745" TargetMode="External"/><Relationship Id="rId5871" Type="http://schemas.openxmlformats.org/officeDocument/2006/relationships/hyperlink" Target="https://dadosabertos.camara.leg.br/api/v2/deputados/2629" TargetMode="External"/><Relationship Id="rId6508" Type="http://schemas.openxmlformats.org/officeDocument/2006/relationships/hyperlink" Target="https://dadosabertos.camara.leg.br/api/v2/deputados/3806" TargetMode="External"/><Relationship Id="rId6922" Type="http://schemas.openxmlformats.org/officeDocument/2006/relationships/hyperlink" Target="https://dadosabertos.camara.leg.br/api/v2/deputados/1189" TargetMode="External"/><Relationship Id="rId4473" Type="http://schemas.openxmlformats.org/officeDocument/2006/relationships/hyperlink" Target="https://dadosabertos.camara.leg.br/api/v2/deputados/131078" TargetMode="External"/><Relationship Id="rId5524" Type="http://schemas.openxmlformats.org/officeDocument/2006/relationships/hyperlink" Target="https://dadosabertos.camara.leg.br/api/v2/deputados/4680" TargetMode="External"/><Relationship Id="rId3075" Type="http://schemas.openxmlformats.org/officeDocument/2006/relationships/hyperlink" Target="https://dadosabertos.camara.leg.br/api/v2/deputados/86494" TargetMode="External"/><Relationship Id="rId4126" Type="http://schemas.openxmlformats.org/officeDocument/2006/relationships/hyperlink" Target="https://dadosabertos.camara.leg.br/api/v2/deputados/131252" TargetMode="External"/><Relationship Id="rId4540" Type="http://schemas.openxmlformats.org/officeDocument/2006/relationships/hyperlink" Target="https://dadosabertos.camara.leg.br/api/v2/deputados/130702" TargetMode="External"/><Relationship Id="rId7696" Type="http://schemas.openxmlformats.org/officeDocument/2006/relationships/hyperlink" Target="https://dadosabertos.camara.leg.br/api/v2/deputados/311" TargetMode="External"/><Relationship Id="rId2091" Type="http://schemas.openxmlformats.org/officeDocument/2006/relationships/hyperlink" Target="https://dadosabertos.camara.leg.br/api/v2/deputados/74034" TargetMode="External"/><Relationship Id="rId3142" Type="http://schemas.openxmlformats.org/officeDocument/2006/relationships/hyperlink" Target="https://dadosabertos.camara.leg.br/api/v2/deputados/139288" TargetMode="External"/><Relationship Id="rId6298" Type="http://schemas.openxmlformats.org/officeDocument/2006/relationships/hyperlink" Target="https://dadosabertos.camara.leg.br/api/v2/deputados/2157" TargetMode="External"/><Relationship Id="rId7349" Type="http://schemas.openxmlformats.org/officeDocument/2006/relationships/hyperlink" Target="https://dadosabertos.camara.leg.br/api/v2/deputados/827" TargetMode="External"/><Relationship Id="rId7763" Type="http://schemas.openxmlformats.org/officeDocument/2006/relationships/hyperlink" Target="https://dadosabertos.camara.leg.br/api/v2/deputados/412" TargetMode="External"/><Relationship Id="rId6365" Type="http://schemas.openxmlformats.org/officeDocument/2006/relationships/hyperlink" Target="https://dadosabertos.camara.leg.br/api/v2/deputados/3683" TargetMode="External"/><Relationship Id="rId7416" Type="http://schemas.openxmlformats.org/officeDocument/2006/relationships/hyperlink" Target="https://dadosabertos.camara.leg.br/api/v2/deputados/706" TargetMode="External"/><Relationship Id="rId130" Type="http://schemas.openxmlformats.org/officeDocument/2006/relationships/hyperlink" Target="https://dadosabertos.camara.leg.br/api/v2/deputados/204514" TargetMode="External"/><Relationship Id="rId3959" Type="http://schemas.openxmlformats.org/officeDocument/2006/relationships/hyperlink" Target="https://dadosabertos.camara.leg.br/api/v2/deputados/131449" TargetMode="External"/><Relationship Id="rId5381" Type="http://schemas.openxmlformats.org/officeDocument/2006/relationships/hyperlink" Target="https://dadosabertos.camara.leg.br/api/v2/deputados/4714" TargetMode="External"/><Relationship Id="rId6018" Type="http://schemas.openxmlformats.org/officeDocument/2006/relationships/hyperlink" Target="https://dadosabertos.camara.leg.br/api/v2/deputados/4264" TargetMode="External"/><Relationship Id="rId7830" Type="http://schemas.openxmlformats.org/officeDocument/2006/relationships/hyperlink" Target="https://dadosabertos.camara.leg.br/api/v2/deputados/261" TargetMode="External"/><Relationship Id="rId2975" Type="http://schemas.openxmlformats.org/officeDocument/2006/relationships/hyperlink" Target="https://dadosabertos.camara.leg.br/api/v2/deputados/139143" TargetMode="External"/><Relationship Id="rId5034" Type="http://schemas.openxmlformats.org/officeDocument/2006/relationships/hyperlink" Target="https://dadosabertos.camara.leg.br/api/v2/deputados/130412" TargetMode="External"/><Relationship Id="rId6432" Type="http://schemas.openxmlformats.org/officeDocument/2006/relationships/hyperlink" Target="https://dadosabertos.camara.leg.br/api/v2/deputados/3770" TargetMode="External"/><Relationship Id="rId947" Type="http://schemas.openxmlformats.org/officeDocument/2006/relationships/hyperlink" Target="https://dadosabertos.camara.leg.br/api/v2/deputados/204437" TargetMode="External"/><Relationship Id="rId1577" Type="http://schemas.openxmlformats.org/officeDocument/2006/relationships/hyperlink" Target="https://dadosabertos.camara.leg.br/api/v2/deputados/74191" TargetMode="External"/><Relationship Id="rId1991" Type="http://schemas.openxmlformats.org/officeDocument/2006/relationships/hyperlink" Target="https://dadosabertos.camara.leg.br/api/v2/deputados/74657" TargetMode="External"/><Relationship Id="rId2628" Type="http://schemas.openxmlformats.org/officeDocument/2006/relationships/hyperlink" Target="https://dadosabertos.camara.leg.br/api/v2/deputados/74413" TargetMode="External"/><Relationship Id="rId1644" Type="http://schemas.openxmlformats.org/officeDocument/2006/relationships/hyperlink" Target="https://dadosabertos.camara.leg.br/api/v2/deputados/141400" TargetMode="External"/><Relationship Id="rId4050" Type="http://schemas.openxmlformats.org/officeDocument/2006/relationships/hyperlink" Target="https://dadosabertos.camara.leg.br/api/v2/deputados/131188" TargetMode="External"/><Relationship Id="rId5101" Type="http://schemas.openxmlformats.org/officeDocument/2006/relationships/hyperlink" Target="https://dadosabertos.camara.leg.br/api/v2/deputados/130297" TargetMode="External"/><Relationship Id="rId1711" Type="http://schemas.openxmlformats.org/officeDocument/2006/relationships/hyperlink" Target="https://dadosabertos.camara.leg.br/api/v2/deputados/74000" TargetMode="External"/><Relationship Id="rId4867" Type="http://schemas.openxmlformats.org/officeDocument/2006/relationships/hyperlink" Target="https://dadosabertos.camara.leg.br/api/v2/deputados/130673" TargetMode="External"/><Relationship Id="rId7273" Type="http://schemas.openxmlformats.org/officeDocument/2006/relationships/hyperlink" Target="https://dadosabertos.camara.leg.br/api/v2/deputados/932" TargetMode="External"/><Relationship Id="rId3469" Type="http://schemas.openxmlformats.org/officeDocument/2006/relationships/hyperlink" Target="https://dadosabertos.camara.leg.br/api/v2/deputados/132025" TargetMode="External"/><Relationship Id="rId5918" Type="http://schemas.openxmlformats.org/officeDocument/2006/relationships/hyperlink" Target="https://dadosabertos.camara.leg.br/api/v2/deputados/4309" TargetMode="External"/><Relationship Id="rId7340" Type="http://schemas.openxmlformats.org/officeDocument/2006/relationships/hyperlink" Target="https://dadosabertos.camara.leg.br/api/v2/deputados/904" TargetMode="External"/><Relationship Id="rId2485" Type="http://schemas.openxmlformats.org/officeDocument/2006/relationships/hyperlink" Target="https://dadosabertos.camara.leg.br/api/v2/deputados/74539" TargetMode="External"/><Relationship Id="rId3883" Type="http://schemas.openxmlformats.org/officeDocument/2006/relationships/hyperlink" Target="https://dadosabertos.camara.leg.br/api/v2/deputados/131576" TargetMode="External"/><Relationship Id="rId4934" Type="http://schemas.openxmlformats.org/officeDocument/2006/relationships/hyperlink" Target="https://dadosabertos.camara.leg.br/api/v2/deputados/130404" TargetMode="External"/><Relationship Id="rId457" Type="http://schemas.openxmlformats.org/officeDocument/2006/relationships/hyperlink" Target="https://dadosabertos.camara.leg.br/api/v2/deputados/220661" TargetMode="External"/><Relationship Id="rId1087" Type="http://schemas.openxmlformats.org/officeDocument/2006/relationships/hyperlink" Target="https://dadosabertos.camara.leg.br/api/v2/deputados/205234" TargetMode="External"/><Relationship Id="rId2138" Type="http://schemas.openxmlformats.org/officeDocument/2006/relationships/hyperlink" Target="https://dadosabertos.camara.leg.br/api/v2/deputados/74591" TargetMode="External"/><Relationship Id="rId3536" Type="http://schemas.openxmlformats.org/officeDocument/2006/relationships/hyperlink" Target="https://dadosabertos.camara.leg.br/api/v2/deputados/131911" TargetMode="External"/><Relationship Id="rId3950" Type="http://schemas.openxmlformats.org/officeDocument/2006/relationships/hyperlink" Target="https://dadosabertos.camara.leg.br/api/v2/deputados/131425" TargetMode="External"/><Relationship Id="rId871" Type="http://schemas.openxmlformats.org/officeDocument/2006/relationships/hyperlink" Target="https://dadosabertos.camara.leg.br/api/v2/deputados/74571" TargetMode="External"/><Relationship Id="rId2552" Type="http://schemas.openxmlformats.org/officeDocument/2006/relationships/hyperlink" Target="https://dadosabertos.camara.leg.br/api/v2/deputados/73665" TargetMode="External"/><Relationship Id="rId3603" Type="http://schemas.openxmlformats.org/officeDocument/2006/relationships/hyperlink" Target="https://dadosabertos.camara.leg.br/api/v2/deputados/131661" TargetMode="External"/><Relationship Id="rId6759" Type="http://schemas.openxmlformats.org/officeDocument/2006/relationships/hyperlink" Target="https://dadosabertos.camara.leg.br/api/v2/deputados/4033" TargetMode="External"/><Relationship Id="rId524" Type="http://schemas.openxmlformats.org/officeDocument/2006/relationships/hyperlink" Target="https://dadosabertos.camara.leg.br/api/v2/deputados/141488" TargetMode="External"/><Relationship Id="rId1154" Type="http://schemas.openxmlformats.org/officeDocument/2006/relationships/hyperlink" Target="https://dadosabertos.camara.leg.br/api/v2/deputados/178885" TargetMode="External"/><Relationship Id="rId2205" Type="http://schemas.openxmlformats.org/officeDocument/2006/relationships/hyperlink" Target="https://dadosabertos.camara.leg.br/api/v2/deputados/74465" TargetMode="External"/><Relationship Id="rId5775" Type="http://schemas.openxmlformats.org/officeDocument/2006/relationships/hyperlink" Target="https://dadosabertos.camara.leg.br/api/v2/deputados/2645" TargetMode="External"/><Relationship Id="rId6826" Type="http://schemas.openxmlformats.org/officeDocument/2006/relationships/hyperlink" Target="https://dadosabertos.camara.leg.br/api/v2/deputados/1611" TargetMode="External"/><Relationship Id="rId1221" Type="http://schemas.openxmlformats.org/officeDocument/2006/relationships/hyperlink" Target="https://dadosabertos.camara.leg.br/api/v2/deputados/160567" TargetMode="External"/><Relationship Id="rId4377" Type="http://schemas.openxmlformats.org/officeDocument/2006/relationships/hyperlink" Target="https://dadosabertos.camara.leg.br/api/v2/deputados/130975" TargetMode="External"/><Relationship Id="rId4791" Type="http://schemas.openxmlformats.org/officeDocument/2006/relationships/hyperlink" Target="https://dadosabertos.camara.leg.br/api/v2/deputados/130604" TargetMode="External"/><Relationship Id="rId5428" Type="http://schemas.openxmlformats.org/officeDocument/2006/relationships/hyperlink" Target="https://dadosabertos.camara.leg.br/api/v2/deputados/130262" TargetMode="External"/><Relationship Id="rId5842" Type="http://schemas.openxmlformats.org/officeDocument/2006/relationships/hyperlink" Target="https://dadosabertos.camara.leg.br/api/v2/deputados/130153" TargetMode="External"/><Relationship Id="rId3393" Type="http://schemas.openxmlformats.org/officeDocument/2006/relationships/hyperlink" Target="https://dadosabertos.camara.leg.br/api/v2/deputados/131938" TargetMode="External"/><Relationship Id="rId4444" Type="http://schemas.openxmlformats.org/officeDocument/2006/relationships/hyperlink" Target="https://dadosabertos.camara.leg.br/api/v2/deputados/131060" TargetMode="External"/><Relationship Id="rId3046" Type="http://schemas.openxmlformats.org/officeDocument/2006/relationships/hyperlink" Target="https://dadosabertos.camara.leg.br/api/v2/deputados/139206" TargetMode="External"/><Relationship Id="rId3460" Type="http://schemas.openxmlformats.org/officeDocument/2006/relationships/hyperlink" Target="https://dadosabertos.camara.leg.br/api/v2/deputados/131835" TargetMode="External"/><Relationship Id="rId381" Type="http://schemas.openxmlformats.org/officeDocument/2006/relationships/hyperlink" Target="https://dadosabertos.camara.leg.br/api/v2/deputados/92102" TargetMode="External"/><Relationship Id="rId2062" Type="http://schemas.openxmlformats.org/officeDocument/2006/relationships/hyperlink" Target="https://dadosabertos.camara.leg.br/api/v2/deputados/74155" TargetMode="External"/><Relationship Id="rId3113" Type="http://schemas.openxmlformats.org/officeDocument/2006/relationships/hyperlink" Target="https://dadosabertos.camara.leg.br/api/v2/deputados/139263" TargetMode="External"/><Relationship Id="rId4511" Type="http://schemas.openxmlformats.org/officeDocument/2006/relationships/hyperlink" Target="https://dadosabertos.camara.leg.br/api/v2/deputados/131011" TargetMode="External"/><Relationship Id="rId6269" Type="http://schemas.openxmlformats.org/officeDocument/2006/relationships/hyperlink" Target="https://dadosabertos.camara.leg.br/api/v2/deputados/1711" TargetMode="External"/><Relationship Id="rId7667" Type="http://schemas.openxmlformats.org/officeDocument/2006/relationships/hyperlink" Target="https://dadosabertos.camara.leg.br/api/v2/deputados/379" TargetMode="External"/><Relationship Id="rId6683" Type="http://schemas.openxmlformats.org/officeDocument/2006/relationships/hyperlink" Target="https://dadosabertos.camara.leg.br/api/v2/deputados/130124" TargetMode="External"/><Relationship Id="rId7734" Type="http://schemas.openxmlformats.org/officeDocument/2006/relationships/hyperlink" Target="https://dadosabertos.camara.leg.br/api/v2/deputados/321" TargetMode="External"/><Relationship Id="rId2879" Type="http://schemas.openxmlformats.org/officeDocument/2006/relationships/hyperlink" Target="https://dadosabertos.camara.leg.br/api/v2/deputados/133932" TargetMode="External"/><Relationship Id="rId5285" Type="http://schemas.openxmlformats.org/officeDocument/2006/relationships/hyperlink" Target="https://dadosabertos.camara.leg.br/api/v2/deputados/2986" TargetMode="External"/><Relationship Id="rId6336" Type="http://schemas.openxmlformats.org/officeDocument/2006/relationships/hyperlink" Target="https://dadosabertos.camara.leg.br/api/v2/deputados/2273" TargetMode="External"/><Relationship Id="rId6750" Type="http://schemas.openxmlformats.org/officeDocument/2006/relationships/hyperlink" Target="https://dadosabertos.camara.leg.br/api/v2/deputados/3768" TargetMode="External"/><Relationship Id="rId7801" Type="http://schemas.openxmlformats.org/officeDocument/2006/relationships/hyperlink" Target="https://dadosabertos.camara.leg.br/api/v2/deputados/356" TargetMode="External"/><Relationship Id="rId101" Type="http://schemas.openxmlformats.org/officeDocument/2006/relationships/hyperlink" Target="https://www.facebook.com/carlosgaguim" TargetMode="External"/><Relationship Id="rId1895" Type="http://schemas.openxmlformats.org/officeDocument/2006/relationships/hyperlink" Target="https://dadosabertos.camara.leg.br/api/v2/deputados/73809" TargetMode="External"/><Relationship Id="rId2946" Type="http://schemas.openxmlformats.org/officeDocument/2006/relationships/hyperlink" Target="https://dadosabertos.camara.leg.br/api/v2/deputados/73812" TargetMode="External"/><Relationship Id="rId5352" Type="http://schemas.openxmlformats.org/officeDocument/2006/relationships/hyperlink" Target="https://dadosabertos.camara.leg.br/api/v2/deputados/4805" TargetMode="External"/><Relationship Id="rId6403" Type="http://schemas.openxmlformats.org/officeDocument/2006/relationships/hyperlink" Target="https://dadosabertos.camara.leg.br/api/v2/deputados/2104" TargetMode="External"/><Relationship Id="rId918" Type="http://schemas.openxmlformats.org/officeDocument/2006/relationships/hyperlink" Target="https://dadosabertos.camara.leg.br/api/v2/deputados/160655" TargetMode="External"/><Relationship Id="rId1548" Type="http://schemas.openxmlformats.org/officeDocument/2006/relationships/hyperlink" Target="https://dadosabertos.camara.leg.br/api/v2/deputados/74635" TargetMode="External"/><Relationship Id="rId5005" Type="http://schemas.openxmlformats.org/officeDocument/2006/relationships/hyperlink" Target="https://dadosabertos.camara.leg.br/api/v2/deputados/130467" TargetMode="External"/><Relationship Id="rId1962" Type="http://schemas.openxmlformats.org/officeDocument/2006/relationships/hyperlink" Target="https://dadosabertos.camara.leg.br/api/v2/deputados/74578" TargetMode="External"/><Relationship Id="rId4021" Type="http://schemas.openxmlformats.org/officeDocument/2006/relationships/hyperlink" Target="https://dadosabertos.camara.leg.br/api/v2/deputados/131154" TargetMode="External"/><Relationship Id="rId7177" Type="http://schemas.openxmlformats.org/officeDocument/2006/relationships/hyperlink" Target="https://dadosabertos.camara.leg.br/api/v2/deputados/976" TargetMode="External"/><Relationship Id="rId7591" Type="http://schemas.openxmlformats.org/officeDocument/2006/relationships/hyperlink" Target="https://dadosabertos.camara.leg.br/api/v2/deputados/581" TargetMode="External"/><Relationship Id="rId1615" Type="http://schemas.openxmlformats.org/officeDocument/2006/relationships/hyperlink" Target="https://dadosabertos.camara.leg.br/api/v2/deputados/167707" TargetMode="External"/><Relationship Id="rId6193" Type="http://schemas.openxmlformats.org/officeDocument/2006/relationships/hyperlink" Target="https://dadosabertos.camara.leg.br/api/v2/deputados/130136" TargetMode="External"/><Relationship Id="rId7244" Type="http://schemas.openxmlformats.org/officeDocument/2006/relationships/hyperlink" Target="https://dadosabertos.camara.leg.br/api/v2/deputados/952" TargetMode="External"/><Relationship Id="rId3787" Type="http://schemas.openxmlformats.org/officeDocument/2006/relationships/hyperlink" Target="https://dadosabertos.camara.leg.br/api/v2/deputados/131514" TargetMode="External"/><Relationship Id="rId4838" Type="http://schemas.openxmlformats.org/officeDocument/2006/relationships/hyperlink" Target="https://dadosabertos.camara.leg.br/api/v2/deputados/130549" TargetMode="External"/><Relationship Id="rId2389" Type="http://schemas.openxmlformats.org/officeDocument/2006/relationships/hyperlink" Target="https://dadosabertos.camara.leg.br/api/v2/deputados/74442" TargetMode="External"/><Relationship Id="rId3854" Type="http://schemas.openxmlformats.org/officeDocument/2006/relationships/hyperlink" Target="https://dadosabertos.camara.leg.br/api/v2/deputados/131586" TargetMode="External"/><Relationship Id="rId4905" Type="http://schemas.openxmlformats.org/officeDocument/2006/relationships/hyperlink" Target="https://dadosabertos.camara.leg.br/api/v2/deputados/130692" TargetMode="External"/><Relationship Id="rId6260" Type="http://schemas.openxmlformats.org/officeDocument/2006/relationships/hyperlink" Target="https://dadosabertos.camara.leg.br/api/v2/deputados/2331" TargetMode="External"/><Relationship Id="rId7311" Type="http://schemas.openxmlformats.org/officeDocument/2006/relationships/hyperlink" Target="https://dadosabertos.camara.leg.br/api/v2/deputados/901" TargetMode="External"/><Relationship Id="rId775" Type="http://schemas.openxmlformats.org/officeDocument/2006/relationships/hyperlink" Target="https://dadosabertos.camara.leg.br/api/v2/deputados/74200" TargetMode="External"/><Relationship Id="rId2456" Type="http://schemas.openxmlformats.org/officeDocument/2006/relationships/hyperlink" Target="https://dadosabertos.camara.leg.br/api/v2/deputados/74536" TargetMode="External"/><Relationship Id="rId2870" Type="http://schemas.openxmlformats.org/officeDocument/2006/relationships/hyperlink" Target="https://dadosabertos.camara.leg.br/api/v2/deputados/133869" TargetMode="External"/><Relationship Id="rId3507" Type="http://schemas.openxmlformats.org/officeDocument/2006/relationships/hyperlink" Target="https://dadosabertos.camara.leg.br/api/v2/deputados/132053" TargetMode="External"/><Relationship Id="rId3921" Type="http://schemas.openxmlformats.org/officeDocument/2006/relationships/hyperlink" Target="https://dadosabertos.camara.leg.br/api/v2/deputados/131403" TargetMode="External"/><Relationship Id="rId428" Type="http://schemas.openxmlformats.org/officeDocument/2006/relationships/hyperlink" Target="https://dadosabertos.camara.leg.br/api/v2/deputados/178983" TargetMode="External"/><Relationship Id="rId842" Type="http://schemas.openxmlformats.org/officeDocument/2006/relationships/hyperlink" Target="https://dadosabertos.camara.leg.br/api/v2/deputados/204469" TargetMode="External"/><Relationship Id="rId1058" Type="http://schemas.openxmlformats.org/officeDocument/2006/relationships/hyperlink" Target="https://dadosabertos.camara.leg.br/api/v2/deputados/141413" TargetMode="External"/><Relationship Id="rId1472" Type="http://schemas.openxmlformats.org/officeDocument/2006/relationships/hyperlink" Target="https://dadosabertos.camara.leg.br/api/v2/deputados/74162" TargetMode="External"/><Relationship Id="rId2109" Type="http://schemas.openxmlformats.org/officeDocument/2006/relationships/hyperlink" Target="https://dadosabertos.camara.leg.br/api/v2/deputados/74692" TargetMode="External"/><Relationship Id="rId2523" Type="http://schemas.openxmlformats.org/officeDocument/2006/relationships/hyperlink" Target="https://dadosabertos.camara.leg.br/api/v2/deputados/74410" TargetMode="External"/><Relationship Id="rId5679" Type="http://schemas.openxmlformats.org/officeDocument/2006/relationships/hyperlink" Target="https://dadosabertos.camara.leg.br/api/v2/deputados/4441" TargetMode="External"/><Relationship Id="rId1125" Type="http://schemas.openxmlformats.org/officeDocument/2006/relationships/hyperlink" Target="https://dadosabertos.camara.leg.br/api/v2/deputados/160573" TargetMode="External"/><Relationship Id="rId4695" Type="http://schemas.openxmlformats.org/officeDocument/2006/relationships/hyperlink" Target="https://dadosabertos.camara.leg.br/api/v2/deputados/130850" TargetMode="External"/><Relationship Id="rId3297" Type="http://schemas.openxmlformats.org/officeDocument/2006/relationships/hyperlink" Target="https://dadosabertos.camara.leg.br/api/v2/deputados/131865" TargetMode="External"/><Relationship Id="rId4348" Type="http://schemas.openxmlformats.org/officeDocument/2006/relationships/hyperlink" Target="https://dadosabertos.camara.leg.br/api/v2/deputados/130950" TargetMode="External"/><Relationship Id="rId5746" Type="http://schemas.openxmlformats.org/officeDocument/2006/relationships/hyperlink" Target="https://dadosabertos.camara.leg.br/api/v2/deputados/130189" TargetMode="External"/><Relationship Id="rId4762" Type="http://schemas.openxmlformats.org/officeDocument/2006/relationships/hyperlink" Target="https://dadosabertos.camara.leg.br/api/v2/deputados/130553" TargetMode="External"/><Relationship Id="rId5813" Type="http://schemas.openxmlformats.org/officeDocument/2006/relationships/hyperlink" Target="https://dadosabertos.camara.leg.br/api/v2/deputados/130217" TargetMode="External"/><Relationship Id="rId285" Type="http://schemas.openxmlformats.org/officeDocument/2006/relationships/hyperlink" Target="https://dadosabertos.camara.leg.br/api/v2/deputados/229333" TargetMode="External"/><Relationship Id="rId3364" Type="http://schemas.openxmlformats.org/officeDocument/2006/relationships/hyperlink" Target="https://dadosabertos.camara.leg.br/api/v2/deputados/131914" TargetMode="External"/><Relationship Id="rId4415" Type="http://schemas.openxmlformats.org/officeDocument/2006/relationships/hyperlink" Target="https://dadosabertos.camara.leg.br/api/v2/deputados/131032" TargetMode="External"/><Relationship Id="rId7985" Type="http://schemas.openxmlformats.org/officeDocument/2006/relationships/hyperlink" Target="https://dadosabertos.camara.leg.br/api/v2/deputados/100" TargetMode="External"/><Relationship Id="rId2380" Type="http://schemas.openxmlformats.org/officeDocument/2006/relationships/hyperlink" Target="https://dadosabertos.camara.leg.br/api/v2/deputados/73422" TargetMode="External"/><Relationship Id="rId3017" Type="http://schemas.openxmlformats.org/officeDocument/2006/relationships/hyperlink" Target="https://dadosabertos.camara.leg.br/api/v2/deputados/139181" TargetMode="External"/><Relationship Id="rId3431" Type="http://schemas.openxmlformats.org/officeDocument/2006/relationships/hyperlink" Target="https://dadosabertos.camara.leg.br/api/v2/deputados/131996" TargetMode="External"/><Relationship Id="rId6587" Type="http://schemas.openxmlformats.org/officeDocument/2006/relationships/hyperlink" Target="https://dadosabertos.camara.leg.br/api/v2/deputados/1894" TargetMode="External"/><Relationship Id="rId7638" Type="http://schemas.openxmlformats.org/officeDocument/2006/relationships/hyperlink" Target="https://dadosabertos.camara.leg.br/api/v2/deputados/566" TargetMode="External"/><Relationship Id="rId352" Type="http://schemas.openxmlformats.org/officeDocument/2006/relationships/hyperlink" Target="https://dadosabertos.camara.leg.br/api/v2/deputados/220640" TargetMode="External"/><Relationship Id="rId2033" Type="http://schemas.openxmlformats.org/officeDocument/2006/relationships/hyperlink" Target="https://dadosabertos.camara.leg.br/api/v2/deputados/74170" TargetMode="External"/><Relationship Id="rId5189" Type="http://schemas.openxmlformats.org/officeDocument/2006/relationships/hyperlink" Target="https://dadosabertos.camara.leg.br/api/v2/deputados/2982" TargetMode="External"/><Relationship Id="rId6654" Type="http://schemas.openxmlformats.org/officeDocument/2006/relationships/hyperlink" Target="https://dadosabertos.camara.leg.br/api/v2/deputados/1667" TargetMode="External"/><Relationship Id="rId7705" Type="http://schemas.openxmlformats.org/officeDocument/2006/relationships/hyperlink" Target="https://dadosabertos.camara.leg.br/api/v2/deputados/469" TargetMode="External"/><Relationship Id="rId1799" Type="http://schemas.openxmlformats.org/officeDocument/2006/relationships/hyperlink" Target="https://dadosabertos.camara.leg.br/api/v2/deputados/74298" TargetMode="External"/><Relationship Id="rId2100" Type="http://schemas.openxmlformats.org/officeDocument/2006/relationships/hyperlink" Target="https://dadosabertos.camara.leg.br/api/v2/deputados/74080" TargetMode="External"/><Relationship Id="rId5256" Type="http://schemas.openxmlformats.org/officeDocument/2006/relationships/hyperlink" Target="https://dadosabertos.camara.leg.br/api/v2/deputados/4894" TargetMode="External"/><Relationship Id="rId5670" Type="http://schemas.openxmlformats.org/officeDocument/2006/relationships/hyperlink" Target="https://dadosabertos.camara.leg.br/api/v2/deputados/4637" TargetMode="External"/><Relationship Id="rId6307" Type="http://schemas.openxmlformats.org/officeDocument/2006/relationships/hyperlink" Target="https://dadosabertos.camara.leg.br/api/v2/deputados/2192" TargetMode="External"/><Relationship Id="rId4272" Type="http://schemas.openxmlformats.org/officeDocument/2006/relationships/hyperlink" Target="https://dadosabertos.camara.leg.br/api/v2/deputados/131385" TargetMode="External"/><Relationship Id="rId5323" Type="http://schemas.openxmlformats.org/officeDocument/2006/relationships/hyperlink" Target="https://dadosabertos.camara.leg.br/api/v2/deputados/4674" TargetMode="External"/><Relationship Id="rId6721" Type="http://schemas.openxmlformats.org/officeDocument/2006/relationships/hyperlink" Target="https://dadosabertos.camara.leg.br/api/v2/deputados/1744" TargetMode="External"/><Relationship Id="rId1866" Type="http://schemas.openxmlformats.org/officeDocument/2006/relationships/hyperlink" Target="https://dadosabertos.camara.leg.br/api/v2/deputados/74257" TargetMode="External"/><Relationship Id="rId2917" Type="http://schemas.openxmlformats.org/officeDocument/2006/relationships/hyperlink" Target="https://dadosabertos.camara.leg.br/api/v2/deputados/133912" TargetMode="External"/><Relationship Id="rId1519" Type="http://schemas.openxmlformats.org/officeDocument/2006/relationships/hyperlink" Target="https://dadosabertos.camara.leg.br/api/v2/deputados/74133" TargetMode="External"/><Relationship Id="rId1933" Type="http://schemas.openxmlformats.org/officeDocument/2006/relationships/hyperlink" Target="https://dadosabertos.camara.leg.br/api/v2/deputados/74699" TargetMode="External"/><Relationship Id="rId6097" Type="http://schemas.openxmlformats.org/officeDocument/2006/relationships/hyperlink" Target="https://dadosabertos.camara.leg.br/api/v2/deputados/2428" TargetMode="External"/><Relationship Id="rId7495" Type="http://schemas.openxmlformats.org/officeDocument/2006/relationships/hyperlink" Target="https://dadosabertos.camara.leg.br/api/v2/deputados/646" TargetMode="External"/><Relationship Id="rId7148" Type="http://schemas.openxmlformats.org/officeDocument/2006/relationships/hyperlink" Target="https://dadosabertos.camara.leg.br/api/v2/deputados/1056" TargetMode="External"/><Relationship Id="rId7562" Type="http://schemas.openxmlformats.org/officeDocument/2006/relationships/hyperlink" Target="https://dadosabertos.camara.leg.br/api/v2/deputados/428" TargetMode="External"/><Relationship Id="rId3758" Type="http://schemas.openxmlformats.org/officeDocument/2006/relationships/hyperlink" Target="https://dadosabertos.camara.leg.br/api/v2/deputados/131821" TargetMode="External"/><Relationship Id="rId4809" Type="http://schemas.openxmlformats.org/officeDocument/2006/relationships/hyperlink" Target="https://dadosabertos.camara.leg.br/api/v2/deputados/130594" TargetMode="External"/><Relationship Id="rId6164" Type="http://schemas.openxmlformats.org/officeDocument/2006/relationships/hyperlink" Target="https://dadosabertos.camara.leg.br/api/v2/deputados/4132" TargetMode="External"/><Relationship Id="rId7215" Type="http://schemas.openxmlformats.org/officeDocument/2006/relationships/hyperlink" Target="https://dadosabertos.camara.leg.br/api/v2/deputados/973" TargetMode="External"/><Relationship Id="rId679" Type="http://schemas.openxmlformats.org/officeDocument/2006/relationships/hyperlink" Target="https://dadosabertos.camara.leg.br/api/v2/deputados/204545" TargetMode="External"/><Relationship Id="rId2774" Type="http://schemas.openxmlformats.org/officeDocument/2006/relationships/hyperlink" Target="https://dadosabertos.camara.leg.br/api/v2/deputados/73819" TargetMode="External"/><Relationship Id="rId5180" Type="http://schemas.openxmlformats.org/officeDocument/2006/relationships/hyperlink" Target="https://dadosabertos.camara.leg.br/api/v2/deputados/2981" TargetMode="External"/><Relationship Id="rId6231" Type="http://schemas.openxmlformats.org/officeDocument/2006/relationships/hyperlink" Target="https://dadosabertos.camara.leg.br/api/v2/deputados/2326" TargetMode="External"/><Relationship Id="rId746" Type="http://schemas.openxmlformats.org/officeDocument/2006/relationships/hyperlink" Target="https://dadosabertos.camara.leg.br/api/v2/deputados/204500" TargetMode="External"/><Relationship Id="rId1376" Type="http://schemas.openxmlformats.org/officeDocument/2006/relationships/hyperlink" Target="https://dadosabertos.camara.leg.br/api/v2/deputados/141396" TargetMode="External"/><Relationship Id="rId2427" Type="http://schemas.openxmlformats.org/officeDocument/2006/relationships/hyperlink" Target="https://dadosabertos.camara.leg.br/api/v2/deputados/73426" TargetMode="External"/><Relationship Id="rId3825" Type="http://schemas.openxmlformats.org/officeDocument/2006/relationships/hyperlink" Target="https://dadosabertos.camara.leg.br/api/v2/deputados/131551" TargetMode="External"/><Relationship Id="rId1029" Type="http://schemas.openxmlformats.org/officeDocument/2006/relationships/hyperlink" Target="https://dadosabertos.camara.leg.br/api/v2/deputados/178938" TargetMode="External"/><Relationship Id="rId1790" Type="http://schemas.openxmlformats.org/officeDocument/2006/relationships/hyperlink" Target="https://dadosabertos.camara.leg.br/api/v2/deputados/4927" TargetMode="External"/><Relationship Id="rId2841" Type="http://schemas.openxmlformats.org/officeDocument/2006/relationships/hyperlink" Target="https://dadosabertos.camara.leg.br/api/v2/deputados/133879" TargetMode="External"/><Relationship Id="rId5997" Type="http://schemas.openxmlformats.org/officeDocument/2006/relationships/hyperlink" Target="https://dadosabertos.camara.leg.br/api/v2/deputados/2487" TargetMode="External"/><Relationship Id="rId82" Type="http://schemas.openxmlformats.org/officeDocument/2006/relationships/hyperlink" Target="https://dadosabertos.camara.leg.br/api/v2/deputados/204388" TargetMode="External"/><Relationship Id="rId813" Type="http://schemas.openxmlformats.org/officeDocument/2006/relationships/hyperlink" Target="https://dadosabertos.camara.leg.br/api/v2/deputados/204386" TargetMode="External"/><Relationship Id="rId1443" Type="http://schemas.openxmlformats.org/officeDocument/2006/relationships/hyperlink" Target="https://dadosabertos.camara.leg.br/api/v2/deputados/178387" TargetMode="External"/><Relationship Id="rId4599" Type="http://schemas.openxmlformats.org/officeDocument/2006/relationships/hyperlink" Target="https://dadosabertos.camara.leg.br/api/v2/deputados/130759" TargetMode="External"/><Relationship Id="rId7072" Type="http://schemas.openxmlformats.org/officeDocument/2006/relationships/hyperlink" Target="https://dadosabertos.camara.leg.br/api/v2/deputados/851" TargetMode="External"/><Relationship Id="rId1510" Type="http://schemas.openxmlformats.org/officeDocument/2006/relationships/hyperlink" Target="https://dadosabertos.camara.leg.br/api/v2/deputados/73716" TargetMode="External"/><Relationship Id="rId4666" Type="http://schemas.openxmlformats.org/officeDocument/2006/relationships/hyperlink" Target="https://dadosabertos.camara.leg.br/api/v2/deputados/130716" TargetMode="External"/><Relationship Id="rId5717" Type="http://schemas.openxmlformats.org/officeDocument/2006/relationships/hyperlink" Target="https://dadosabertos.camara.leg.br/api/v2/deputados/2545" TargetMode="External"/><Relationship Id="rId3268" Type="http://schemas.openxmlformats.org/officeDocument/2006/relationships/hyperlink" Target="https://dadosabertos.camara.leg.br/api/v2/deputados/131836" TargetMode="External"/><Relationship Id="rId3682" Type="http://schemas.openxmlformats.org/officeDocument/2006/relationships/hyperlink" Target="https://dadosabertos.camara.leg.br/api/v2/deputados/131735" TargetMode="External"/><Relationship Id="rId4319" Type="http://schemas.openxmlformats.org/officeDocument/2006/relationships/hyperlink" Target="https://dadosabertos.camara.leg.br/api/v2/deputados/130928" TargetMode="External"/><Relationship Id="rId4733" Type="http://schemas.openxmlformats.org/officeDocument/2006/relationships/hyperlink" Target="https://dadosabertos.camara.leg.br/api/v2/deputados/130522" TargetMode="External"/><Relationship Id="rId7889" Type="http://schemas.openxmlformats.org/officeDocument/2006/relationships/hyperlink" Target="https://dadosabertos.camara.leg.br/api/v2/deputados/200" TargetMode="External"/><Relationship Id="rId189" Type="http://schemas.openxmlformats.org/officeDocument/2006/relationships/hyperlink" Target="https://www.instagram.com/soudrbenjamim" TargetMode="External"/><Relationship Id="rId2284" Type="http://schemas.openxmlformats.org/officeDocument/2006/relationships/hyperlink" Target="https://dadosabertos.camara.leg.br/api/v2/deputados/74685" TargetMode="External"/><Relationship Id="rId3335" Type="http://schemas.openxmlformats.org/officeDocument/2006/relationships/hyperlink" Target="https://dadosabertos.camara.leg.br/api/v2/deputados/131893" TargetMode="External"/><Relationship Id="rId256" Type="http://schemas.openxmlformats.org/officeDocument/2006/relationships/hyperlink" Target="https://dadosabertos.camara.leg.br/api/v2/deputados/160598" TargetMode="External"/><Relationship Id="rId670" Type="http://schemas.openxmlformats.org/officeDocument/2006/relationships/hyperlink" Target="https://www.facebook.com/ZezinhoBarbary" TargetMode="External"/><Relationship Id="rId2351" Type="http://schemas.openxmlformats.org/officeDocument/2006/relationships/hyperlink" Target="https://dadosabertos.camara.leg.br/api/v2/deputados/73783" TargetMode="External"/><Relationship Id="rId3402" Type="http://schemas.openxmlformats.org/officeDocument/2006/relationships/hyperlink" Target="https://dadosabertos.camara.leg.br/api/v2/deputados/131944" TargetMode="External"/><Relationship Id="rId4800" Type="http://schemas.openxmlformats.org/officeDocument/2006/relationships/hyperlink" Target="https://dadosabertos.camara.leg.br/api/v2/deputados/130582" TargetMode="External"/><Relationship Id="rId6558" Type="http://schemas.openxmlformats.org/officeDocument/2006/relationships/hyperlink" Target="https://dadosabertos.camara.leg.br/api/v2/deputados/3804" TargetMode="External"/><Relationship Id="rId7956" Type="http://schemas.openxmlformats.org/officeDocument/2006/relationships/hyperlink" Target="https://dadosabertos.camara.leg.br/api/v2/deputados/130" TargetMode="External"/><Relationship Id="rId323" Type="http://schemas.openxmlformats.org/officeDocument/2006/relationships/hyperlink" Target="https://dadosabertos.camara.leg.br/api/v2/deputados/220567" TargetMode="External"/><Relationship Id="rId2004" Type="http://schemas.openxmlformats.org/officeDocument/2006/relationships/hyperlink" Target="https://dadosabertos.camara.leg.br/api/v2/deputados/137578" TargetMode="External"/><Relationship Id="rId6972" Type="http://schemas.openxmlformats.org/officeDocument/2006/relationships/hyperlink" Target="https://dadosabertos.camara.leg.br/api/v2/deputados/955" TargetMode="External"/><Relationship Id="rId7609" Type="http://schemas.openxmlformats.org/officeDocument/2006/relationships/hyperlink" Target="https://dadosabertos.camara.leg.br/api/v2/deputados/607" TargetMode="External"/><Relationship Id="rId4176" Type="http://schemas.openxmlformats.org/officeDocument/2006/relationships/hyperlink" Target="https://dadosabertos.camara.leg.br/api/v2/deputados/131342" TargetMode="External"/><Relationship Id="rId5574" Type="http://schemas.openxmlformats.org/officeDocument/2006/relationships/hyperlink" Target="https://dadosabertos.camara.leg.br/api/v2/deputados/2347" TargetMode="External"/><Relationship Id="rId6625" Type="http://schemas.openxmlformats.org/officeDocument/2006/relationships/hyperlink" Target="https://dadosabertos.camara.leg.br/api/v2/deputados/2019" TargetMode="External"/><Relationship Id="rId1020" Type="http://schemas.openxmlformats.org/officeDocument/2006/relationships/hyperlink" Target="https://dadosabertos.camara.leg.br/api/v2/deputados/74040" TargetMode="External"/><Relationship Id="rId4590" Type="http://schemas.openxmlformats.org/officeDocument/2006/relationships/hyperlink" Target="https://dadosabertos.camara.leg.br/api/v2/deputados/130750" TargetMode="External"/><Relationship Id="rId5227" Type="http://schemas.openxmlformats.org/officeDocument/2006/relationships/hyperlink" Target="https://dadosabertos.camara.leg.br/api/v2/deputados/130363" TargetMode="External"/><Relationship Id="rId5641" Type="http://schemas.openxmlformats.org/officeDocument/2006/relationships/hyperlink" Target="https://dadosabertos.camara.leg.br/api/v2/deputados/4627" TargetMode="External"/><Relationship Id="rId1837" Type="http://schemas.openxmlformats.org/officeDocument/2006/relationships/hyperlink" Target="https://dadosabertos.camara.leg.br/api/v2/deputados/141511" TargetMode="External"/><Relationship Id="rId3192" Type="http://schemas.openxmlformats.org/officeDocument/2006/relationships/hyperlink" Target="https://dadosabertos.camara.leg.br/api/v2/deputados/1510" TargetMode="External"/><Relationship Id="rId4243" Type="http://schemas.openxmlformats.org/officeDocument/2006/relationships/hyperlink" Target="https://dadosabertos.camara.leg.br/api/v2/deputados/131361" TargetMode="External"/><Relationship Id="rId7399" Type="http://schemas.openxmlformats.org/officeDocument/2006/relationships/hyperlink" Target="https://dadosabertos.camara.leg.br/api/v2/deputados/359" TargetMode="External"/><Relationship Id="rId4310" Type="http://schemas.openxmlformats.org/officeDocument/2006/relationships/hyperlink" Target="https://dadosabertos.camara.leg.br/api/v2/deputados/130923" TargetMode="External"/><Relationship Id="rId7466" Type="http://schemas.openxmlformats.org/officeDocument/2006/relationships/hyperlink" Target="https://dadosabertos.camara.leg.br/api/v2/deputados/717" TargetMode="External"/><Relationship Id="rId7880" Type="http://schemas.openxmlformats.org/officeDocument/2006/relationships/hyperlink" Target="https://dadosabertos.camara.leg.br/api/v2/deputados/205" TargetMode="External"/><Relationship Id="rId180" Type="http://schemas.openxmlformats.org/officeDocument/2006/relationships/hyperlink" Target="https://dadosabertos.camara.leg.br/api/v2/deputados/220602" TargetMode="External"/><Relationship Id="rId1904" Type="http://schemas.openxmlformats.org/officeDocument/2006/relationships/hyperlink" Target="https://dadosabertos.camara.leg.br/api/v2/deputados/141556" TargetMode="External"/><Relationship Id="rId6068" Type="http://schemas.openxmlformats.org/officeDocument/2006/relationships/hyperlink" Target="https://dadosabertos.camara.leg.br/api/v2/deputados/2191" TargetMode="External"/><Relationship Id="rId6482" Type="http://schemas.openxmlformats.org/officeDocument/2006/relationships/hyperlink" Target="https://dadosabertos.camara.leg.br/api/v2/deputados/2089" TargetMode="External"/><Relationship Id="rId7119" Type="http://schemas.openxmlformats.org/officeDocument/2006/relationships/hyperlink" Target="https://dadosabertos.camara.leg.br/api/v2/deputados/878" TargetMode="External"/><Relationship Id="rId7533" Type="http://schemas.openxmlformats.org/officeDocument/2006/relationships/hyperlink" Target="https://dadosabertos.camara.leg.br/api/v2/deputados/649" TargetMode="External"/><Relationship Id="rId5084" Type="http://schemas.openxmlformats.org/officeDocument/2006/relationships/hyperlink" Target="https://dadosabertos.camara.leg.br/api/v2/deputados/130501" TargetMode="External"/><Relationship Id="rId6135" Type="http://schemas.openxmlformats.org/officeDocument/2006/relationships/hyperlink" Target="https://dadosabertos.camara.leg.br/api/v2/deputados/4143" TargetMode="External"/><Relationship Id="rId997" Type="http://schemas.openxmlformats.org/officeDocument/2006/relationships/hyperlink" Target="https://dadosabertos.camara.leg.br/api/v2/deputados/195143" TargetMode="External"/><Relationship Id="rId2678" Type="http://schemas.openxmlformats.org/officeDocument/2006/relationships/hyperlink" Target="https://dadosabertos.camara.leg.br/api/v2/deputados/133868" TargetMode="External"/><Relationship Id="rId3729" Type="http://schemas.openxmlformats.org/officeDocument/2006/relationships/hyperlink" Target="https://dadosabertos.camara.leg.br/api/v2/deputados/131783" TargetMode="External"/><Relationship Id="rId5151" Type="http://schemas.openxmlformats.org/officeDocument/2006/relationships/hyperlink" Target="https://dadosabertos.camara.leg.br/api/v2/deputados/130343" TargetMode="External"/><Relationship Id="rId7600" Type="http://schemas.openxmlformats.org/officeDocument/2006/relationships/hyperlink" Target="https://dadosabertos.camara.leg.br/api/v2/deputados/596" TargetMode="External"/><Relationship Id="rId1694" Type="http://schemas.openxmlformats.org/officeDocument/2006/relationships/hyperlink" Target="https://dadosabertos.camara.leg.br/api/v2/deputados/74517" TargetMode="External"/><Relationship Id="rId2745" Type="http://schemas.openxmlformats.org/officeDocument/2006/relationships/hyperlink" Target="https://dadosabertos.camara.leg.br/api/v2/deputados/65468" TargetMode="External"/><Relationship Id="rId6202" Type="http://schemas.openxmlformats.org/officeDocument/2006/relationships/hyperlink" Target="https://dadosabertos.camara.leg.br/api/v2/deputados/2371" TargetMode="External"/><Relationship Id="rId717" Type="http://schemas.openxmlformats.org/officeDocument/2006/relationships/hyperlink" Target="https://dadosabertos.camara.leg.br/api/v2/deputados/178928" TargetMode="External"/><Relationship Id="rId1347" Type="http://schemas.openxmlformats.org/officeDocument/2006/relationships/hyperlink" Target="https://dadosabertos.camara.leg.br/api/v2/deputados/174861" TargetMode="External"/><Relationship Id="rId1761" Type="http://schemas.openxmlformats.org/officeDocument/2006/relationships/hyperlink" Target="https://dadosabertos.camara.leg.br/api/v2/deputados/139212" TargetMode="External"/><Relationship Id="rId2812" Type="http://schemas.openxmlformats.org/officeDocument/2006/relationships/hyperlink" Target="https://dadosabertos.camara.leg.br/api/v2/deputados/133940" TargetMode="External"/><Relationship Id="rId5968" Type="http://schemas.openxmlformats.org/officeDocument/2006/relationships/hyperlink" Target="https://dadosabertos.camara.leg.br/api/v2/deputados/2425" TargetMode="External"/><Relationship Id="rId53" Type="http://schemas.openxmlformats.org/officeDocument/2006/relationships/hyperlink" Target="https://dadosabertos.camara.leg.br/api/v2/deputados/123756" TargetMode="External"/><Relationship Id="rId1414" Type="http://schemas.openxmlformats.org/officeDocument/2006/relationships/hyperlink" Target="https://dadosabertos.camara.leg.br/api/v2/deputados/177118" TargetMode="External"/><Relationship Id="rId4984" Type="http://schemas.openxmlformats.org/officeDocument/2006/relationships/hyperlink" Target="https://dadosabertos.camara.leg.br/api/v2/deputados/130446" TargetMode="External"/><Relationship Id="rId7390" Type="http://schemas.openxmlformats.org/officeDocument/2006/relationships/hyperlink" Target="https://dadosabertos.camara.leg.br/api/v2/deputados/853" TargetMode="External"/><Relationship Id="rId3586" Type="http://schemas.openxmlformats.org/officeDocument/2006/relationships/hyperlink" Target="https://dadosabertos.camara.leg.br/api/v2/deputados/131640" TargetMode="External"/><Relationship Id="rId4637" Type="http://schemas.openxmlformats.org/officeDocument/2006/relationships/hyperlink" Target="https://dadosabertos.camara.leg.br/api/v2/deputados/130802" TargetMode="External"/><Relationship Id="rId7043" Type="http://schemas.openxmlformats.org/officeDocument/2006/relationships/hyperlink" Target="https://dadosabertos.camara.leg.br/api/v2/deputados/1188" TargetMode="External"/><Relationship Id="rId2188" Type="http://schemas.openxmlformats.org/officeDocument/2006/relationships/hyperlink" Target="https://dadosabertos.camara.leg.br/api/v2/deputados/74697" TargetMode="External"/><Relationship Id="rId3239" Type="http://schemas.openxmlformats.org/officeDocument/2006/relationships/hyperlink" Target="https://dadosabertos.camara.leg.br/api/v2/deputados/139370" TargetMode="External"/><Relationship Id="rId7110" Type="http://schemas.openxmlformats.org/officeDocument/2006/relationships/hyperlink" Target="https://dadosabertos.camara.leg.br/api/v2/deputados/1116" TargetMode="External"/><Relationship Id="rId574" Type="http://schemas.openxmlformats.org/officeDocument/2006/relationships/hyperlink" Target="https://dadosabertos.camara.leg.br/api/v2/deputados/220613" TargetMode="External"/><Relationship Id="rId2255" Type="http://schemas.openxmlformats.org/officeDocument/2006/relationships/hyperlink" Target="https://dadosabertos.camara.leg.br/api/v2/deputados/74659" TargetMode="External"/><Relationship Id="rId3653" Type="http://schemas.openxmlformats.org/officeDocument/2006/relationships/hyperlink" Target="https://dadosabertos.camara.leg.br/api/v2/deputados/131701" TargetMode="External"/><Relationship Id="rId4704" Type="http://schemas.openxmlformats.org/officeDocument/2006/relationships/hyperlink" Target="https://dadosabertos.camara.leg.br/api/v2/deputados/130865" TargetMode="External"/><Relationship Id="rId227" Type="http://schemas.openxmlformats.org/officeDocument/2006/relationships/hyperlink" Target="https://dadosabertos.camara.leg.br/api/v2/deputados/220645" TargetMode="External"/><Relationship Id="rId3306" Type="http://schemas.openxmlformats.org/officeDocument/2006/relationships/hyperlink" Target="https://dadosabertos.camara.leg.br/api/v2/deputados/131872" TargetMode="External"/><Relationship Id="rId3720" Type="http://schemas.openxmlformats.org/officeDocument/2006/relationships/hyperlink" Target="https://dadosabertos.camara.leg.br/api/v2/deputados/131688" TargetMode="External"/><Relationship Id="rId6876" Type="http://schemas.openxmlformats.org/officeDocument/2006/relationships/hyperlink" Target="https://dadosabertos.camara.leg.br/api/v2/deputados/1039" TargetMode="External"/><Relationship Id="rId7927" Type="http://schemas.openxmlformats.org/officeDocument/2006/relationships/hyperlink" Target="https://dadosabertos.camara.leg.br/api/v2/deputados/122" TargetMode="External"/><Relationship Id="rId641" Type="http://schemas.openxmlformats.org/officeDocument/2006/relationships/hyperlink" Target="https://dadosabertos.camara.leg.br/api/v2/deputados/160610" TargetMode="External"/><Relationship Id="rId1271" Type="http://schemas.openxmlformats.org/officeDocument/2006/relationships/hyperlink" Target="https://dadosabertos.camara.leg.br/api/v2/deputados/198963" TargetMode="External"/><Relationship Id="rId2322" Type="http://schemas.openxmlformats.org/officeDocument/2006/relationships/hyperlink" Target="https://dadosabertos.camara.leg.br/api/v2/deputados/73602" TargetMode="External"/><Relationship Id="rId5478" Type="http://schemas.openxmlformats.org/officeDocument/2006/relationships/hyperlink" Target="https://dadosabertos.camara.leg.br/api/v2/deputados/4841" TargetMode="External"/><Relationship Id="rId5892" Type="http://schemas.openxmlformats.org/officeDocument/2006/relationships/hyperlink" Target="https://dadosabertos.camara.leg.br/api/v2/deputados/4431" TargetMode="External"/><Relationship Id="rId6529" Type="http://schemas.openxmlformats.org/officeDocument/2006/relationships/hyperlink" Target="https://dadosabertos.camara.leg.br/api/v2/deputados/1550" TargetMode="External"/><Relationship Id="rId6943" Type="http://schemas.openxmlformats.org/officeDocument/2006/relationships/hyperlink" Target="https://dadosabertos.camara.leg.br/api/v2/deputados/823" TargetMode="External"/><Relationship Id="rId4494" Type="http://schemas.openxmlformats.org/officeDocument/2006/relationships/hyperlink" Target="https://dadosabertos.camara.leg.br/api/v2/deputados/130884" TargetMode="External"/><Relationship Id="rId5545" Type="http://schemas.openxmlformats.org/officeDocument/2006/relationships/hyperlink" Target="https://dadosabertos.camara.leg.br/api/v2/deputados/4791" TargetMode="External"/><Relationship Id="rId3096" Type="http://schemas.openxmlformats.org/officeDocument/2006/relationships/hyperlink" Target="https://dadosabertos.camara.leg.br/api/v2/deputados/139249" TargetMode="External"/><Relationship Id="rId4147" Type="http://schemas.openxmlformats.org/officeDocument/2006/relationships/hyperlink" Target="https://dadosabertos.camara.leg.br/api/v2/deputados/131271" TargetMode="External"/><Relationship Id="rId4561" Type="http://schemas.openxmlformats.org/officeDocument/2006/relationships/hyperlink" Target="https://dadosabertos.camara.leg.br/api/v2/deputados/130766" TargetMode="External"/><Relationship Id="rId5612" Type="http://schemas.openxmlformats.org/officeDocument/2006/relationships/hyperlink" Target="https://dadosabertos.camara.leg.br/api/v2/deputados/4594" TargetMode="External"/><Relationship Id="rId3163" Type="http://schemas.openxmlformats.org/officeDocument/2006/relationships/hyperlink" Target="https://dadosabertos.camara.leg.br/api/v2/deputados/139304" TargetMode="External"/><Relationship Id="rId4214" Type="http://schemas.openxmlformats.org/officeDocument/2006/relationships/hyperlink" Target="https://dadosabertos.camara.leg.br/api/v2/deputados/131179" TargetMode="External"/><Relationship Id="rId1808" Type="http://schemas.openxmlformats.org/officeDocument/2006/relationships/hyperlink" Target="https://dadosabertos.camara.leg.br/api/v2/deputados/141481" TargetMode="External"/><Relationship Id="rId6386" Type="http://schemas.openxmlformats.org/officeDocument/2006/relationships/hyperlink" Target="https://dadosabertos.camara.leg.br/api/v2/deputados/3694" TargetMode="External"/><Relationship Id="rId7784" Type="http://schemas.openxmlformats.org/officeDocument/2006/relationships/hyperlink" Target="https://dadosabertos.camara.leg.br/api/v2/deputados/8" TargetMode="External"/><Relationship Id="rId151" Type="http://schemas.openxmlformats.org/officeDocument/2006/relationships/hyperlink" Target="https://dadosabertos.camara.leg.br/api/v2/deputados/62881" TargetMode="External"/><Relationship Id="rId3230" Type="http://schemas.openxmlformats.org/officeDocument/2006/relationships/hyperlink" Target="https://dadosabertos.camara.leg.br/api/v2/deputados/1527" TargetMode="External"/><Relationship Id="rId6039" Type="http://schemas.openxmlformats.org/officeDocument/2006/relationships/hyperlink" Target="https://dadosabertos.camara.leg.br/api/v2/deputados/2196" TargetMode="External"/><Relationship Id="rId7437" Type="http://schemas.openxmlformats.org/officeDocument/2006/relationships/hyperlink" Target="https://dadosabertos.camara.leg.br/api/v2/deputados/763" TargetMode="External"/><Relationship Id="rId7851" Type="http://schemas.openxmlformats.org/officeDocument/2006/relationships/hyperlink" Target="https://dadosabertos.camara.leg.br/api/v2/deputados/297" TargetMode="External"/><Relationship Id="rId2996" Type="http://schemas.openxmlformats.org/officeDocument/2006/relationships/hyperlink" Target="https://dadosabertos.camara.leg.br/api/v2/deputados/139161" TargetMode="External"/><Relationship Id="rId6453" Type="http://schemas.openxmlformats.org/officeDocument/2006/relationships/hyperlink" Target="https://dadosabertos.camara.leg.br/api/v2/deputados/2048" TargetMode="External"/><Relationship Id="rId7504" Type="http://schemas.openxmlformats.org/officeDocument/2006/relationships/hyperlink" Target="https://dadosabertos.camara.leg.br/api/v2/deputados/728" TargetMode="External"/><Relationship Id="rId968" Type="http://schemas.openxmlformats.org/officeDocument/2006/relationships/hyperlink" Target="https://dadosabertos.camara.leg.br/api/v2/deputados/141553" TargetMode="External"/><Relationship Id="rId1598" Type="http://schemas.openxmlformats.org/officeDocument/2006/relationships/hyperlink" Target="https://dadosabertos.camara.leg.br/api/v2/deputados/160516" TargetMode="External"/><Relationship Id="rId2649" Type="http://schemas.openxmlformats.org/officeDocument/2006/relationships/hyperlink" Target="https://dadosabertos.camara.leg.br/api/v2/deputados/74437" TargetMode="External"/><Relationship Id="rId5055" Type="http://schemas.openxmlformats.org/officeDocument/2006/relationships/hyperlink" Target="https://dadosabertos.camara.leg.br/api/v2/deputados/3079" TargetMode="External"/><Relationship Id="rId6106" Type="http://schemas.openxmlformats.org/officeDocument/2006/relationships/hyperlink" Target="https://dadosabertos.camara.leg.br/api/v2/deputados/2461" TargetMode="External"/><Relationship Id="rId6520" Type="http://schemas.openxmlformats.org/officeDocument/2006/relationships/hyperlink" Target="https://dadosabertos.camara.leg.br/api/v2/deputados/3812" TargetMode="External"/><Relationship Id="rId1665" Type="http://schemas.openxmlformats.org/officeDocument/2006/relationships/hyperlink" Target="https://dadosabertos.camara.leg.br/api/v2/deputados/73886" TargetMode="External"/><Relationship Id="rId2716" Type="http://schemas.openxmlformats.org/officeDocument/2006/relationships/hyperlink" Target="https://dadosabertos.camara.leg.br/api/v2/deputados/133995" TargetMode="External"/><Relationship Id="rId4071" Type="http://schemas.openxmlformats.org/officeDocument/2006/relationships/hyperlink" Target="https://dadosabertos.camara.leg.br/api/v2/deputados/131180" TargetMode="External"/><Relationship Id="rId5122" Type="http://schemas.openxmlformats.org/officeDocument/2006/relationships/hyperlink" Target="https://dadosabertos.camara.leg.br/api/v2/deputados/130345" TargetMode="External"/><Relationship Id="rId1318" Type="http://schemas.openxmlformats.org/officeDocument/2006/relationships/hyperlink" Target="https://dadosabertos.camara.leg.br/api/v2/deputados/160620" TargetMode="External"/><Relationship Id="rId7294" Type="http://schemas.openxmlformats.org/officeDocument/2006/relationships/hyperlink" Target="https://dadosabertos.camara.leg.br/api/v2/deputados/874" TargetMode="External"/><Relationship Id="rId1732" Type="http://schemas.openxmlformats.org/officeDocument/2006/relationships/hyperlink" Target="https://dadosabertos.camara.leg.br/api/v2/deputados/133375" TargetMode="External"/><Relationship Id="rId4888" Type="http://schemas.openxmlformats.org/officeDocument/2006/relationships/hyperlink" Target="https://dadosabertos.camara.leg.br/api/v2/deputados/130660" TargetMode="External"/><Relationship Id="rId5939" Type="http://schemas.openxmlformats.org/officeDocument/2006/relationships/hyperlink" Target="https://dadosabertos.camara.leg.br/api/v2/deputados/2531" TargetMode="External"/><Relationship Id="rId7361" Type="http://schemas.openxmlformats.org/officeDocument/2006/relationships/hyperlink" Target="https://dadosabertos.camara.leg.br/api/v2/deputados/785" TargetMode="External"/><Relationship Id="rId24" Type="http://schemas.openxmlformats.org/officeDocument/2006/relationships/hyperlink" Target="https://dadosabertos.camara.leg.br/api/v2/deputados/220542" TargetMode="External"/><Relationship Id="rId4955" Type="http://schemas.openxmlformats.org/officeDocument/2006/relationships/hyperlink" Target="https://dadosabertos.camara.leg.br/api/v2/deputados/130424" TargetMode="External"/><Relationship Id="rId7014" Type="http://schemas.openxmlformats.org/officeDocument/2006/relationships/hyperlink" Target="https://dadosabertos.camara.leg.br/api/v2/deputados/1171" TargetMode="External"/><Relationship Id="rId3557" Type="http://schemas.openxmlformats.org/officeDocument/2006/relationships/hyperlink" Target="https://dadosabertos.camara.leg.br/api/v2/deputados/132096" TargetMode="External"/><Relationship Id="rId3971" Type="http://schemas.openxmlformats.org/officeDocument/2006/relationships/hyperlink" Target="https://dadosabertos.camara.leg.br/api/v2/deputados/131460" TargetMode="External"/><Relationship Id="rId4608" Type="http://schemas.openxmlformats.org/officeDocument/2006/relationships/hyperlink" Target="https://dadosabertos.camara.leg.br/api/v2/deputados/130765" TargetMode="External"/><Relationship Id="rId478" Type="http://schemas.openxmlformats.org/officeDocument/2006/relationships/hyperlink" Target="https://dadosabertos.camara.leg.br/api/v2/deputados/204453" TargetMode="External"/><Relationship Id="rId892" Type="http://schemas.openxmlformats.org/officeDocument/2006/relationships/hyperlink" Target="https://dadosabertos.camara.leg.br/api/v2/deputados/204538" TargetMode="External"/><Relationship Id="rId2159" Type="http://schemas.openxmlformats.org/officeDocument/2006/relationships/hyperlink" Target="https://dadosabertos.camara.leg.br/api/v2/deputados/74494" TargetMode="External"/><Relationship Id="rId2573" Type="http://schemas.openxmlformats.org/officeDocument/2006/relationships/hyperlink" Target="https://dadosabertos.camara.leg.br/api/v2/deputados/73759" TargetMode="External"/><Relationship Id="rId3624" Type="http://schemas.openxmlformats.org/officeDocument/2006/relationships/hyperlink" Target="https://dadosabertos.camara.leg.br/api/v2/deputados/131648" TargetMode="External"/><Relationship Id="rId6030" Type="http://schemas.openxmlformats.org/officeDocument/2006/relationships/hyperlink" Target="https://dadosabertos.camara.leg.br/api/v2/deputados/1852" TargetMode="External"/><Relationship Id="rId545" Type="http://schemas.openxmlformats.org/officeDocument/2006/relationships/hyperlink" Target="https://dadosabertos.camara.leg.br/api/v2/deputados/220586" TargetMode="External"/><Relationship Id="rId1175" Type="http://schemas.openxmlformats.org/officeDocument/2006/relationships/hyperlink" Target="https://dadosabertos.camara.leg.br/api/v2/deputados/178955" TargetMode="External"/><Relationship Id="rId2226" Type="http://schemas.openxmlformats.org/officeDocument/2006/relationships/hyperlink" Target="https://dadosabertos.camara.leg.br/api/v2/deputados/74476" TargetMode="External"/><Relationship Id="rId2640" Type="http://schemas.openxmlformats.org/officeDocument/2006/relationships/hyperlink" Target="https://dadosabertos.camara.leg.br/api/v2/deputados/74229" TargetMode="External"/><Relationship Id="rId5796" Type="http://schemas.openxmlformats.org/officeDocument/2006/relationships/hyperlink" Target="https://dadosabertos.camara.leg.br/api/v2/deputados/130204" TargetMode="External"/><Relationship Id="rId6847" Type="http://schemas.openxmlformats.org/officeDocument/2006/relationships/hyperlink" Target="https://dadosabertos.camara.leg.br/api/v2/deputados/925" TargetMode="External"/><Relationship Id="rId612" Type="http://schemas.openxmlformats.org/officeDocument/2006/relationships/hyperlink" Target="https://dadosabertos.camara.leg.br/api/v2/deputados/74356" TargetMode="External"/><Relationship Id="rId1242" Type="http://schemas.openxmlformats.org/officeDocument/2006/relationships/hyperlink" Target="https://dadosabertos.camara.leg.br/api/v2/deputados/200153" TargetMode="External"/><Relationship Id="rId4398" Type="http://schemas.openxmlformats.org/officeDocument/2006/relationships/hyperlink" Target="https://dadosabertos.camara.leg.br/api/v2/deputados/131024" TargetMode="External"/><Relationship Id="rId5449" Type="http://schemas.openxmlformats.org/officeDocument/2006/relationships/hyperlink" Target="https://dadosabertos.camara.leg.br/api/v2/deputados/2457" TargetMode="External"/><Relationship Id="rId4465" Type="http://schemas.openxmlformats.org/officeDocument/2006/relationships/hyperlink" Target="https://dadosabertos.camara.leg.br/api/v2/deputados/131090" TargetMode="External"/><Relationship Id="rId5863" Type="http://schemas.openxmlformats.org/officeDocument/2006/relationships/hyperlink" Target="https://dadosabertos.camara.leg.br/api/v2/deputados/4403" TargetMode="External"/><Relationship Id="rId6914" Type="http://schemas.openxmlformats.org/officeDocument/2006/relationships/hyperlink" Target="https://dadosabertos.camara.leg.br/api/v2/deputados/1266" TargetMode="External"/><Relationship Id="rId3067" Type="http://schemas.openxmlformats.org/officeDocument/2006/relationships/hyperlink" Target="https://dadosabertos.camara.leg.br/api/v2/deputados/139224" TargetMode="External"/><Relationship Id="rId4118" Type="http://schemas.openxmlformats.org/officeDocument/2006/relationships/hyperlink" Target="https://dadosabertos.camara.leg.br/api/v2/deputados/131244" TargetMode="External"/><Relationship Id="rId5516" Type="http://schemas.openxmlformats.org/officeDocument/2006/relationships/hyperlink" Target="https://dadosabertos.camara.leg.br/api/v2/deputados/2830" TargetMode="External"/><Relationship Id="rId5930" Type="http://schemas.openxmlformats.org/officeDocument/2006/relationships/hyperlink" Target="https://dadosabertos.camara.leg.br/api/v2/deputados/2397" TargetMode="External"/><Relationship Id="rId3481" Type="http://schemas.openxmlformats.org/officeDocument/2006/relationships/hyperlink" Target="https://dadosabertos.camara.leg.br/api/v2/deputados/132036" TargetMode="External"/><Relationship Id="rId4532" Type="http://schemas.openxmlformats.org/officeDocument/2006/relationships/hyperlink" Target="https://dadosabertos.camara.leg.br/api/v2/deputados/131133" TargetMode="External"/><Relationship Id="rId7688" Type="http://schemas.openxmlformats.org/officeDocument/2006/relationships/hyperlink" Target="https://dadosabertos.camara.leg.br/api/v2/deputados/326" TargetMode="External"/><Relationship Id="rId2083" Type="http://schemas.openxmlformats.org/officeDocument/2006/relationships/hyperlink" Target="https://dadosabertos.camara.leg.br/api/v2/deputados/73947" TargetMode="External"/><Relationship Id="rId3134" Type="http://schemas.openxmlformats.org/officeDocument/2006/relationships/hyperlink" Target="https://dadosabertos.camara.leg.br/api/v2/deputados/139282" TargetMode="External"/><Relationship Id="rId7755" Type="http://schemas.openxmlformats.org/officeDocument/2006/relationships/hyperlink" Target="https://dadosabertos.camara.leg.br/api/v2/deputados/440" TargetMode="External"/><Relationship Id="rId2150" Type="http://schemas.openxmlformats.org/officeDocument/2006/relationships/hyperlink" Target="https://dadosabertos.camara.leg.br/api/v2/deputados/74763" TargetMode="External"/><Relationship Id="rId3201" Type="http://schemas.openxmlformats.org/officeDocument/2006/relationships/hyperlink" Target="https://dadosabertos.camara.leg.br/api/v2/deputados/139336" TargetMode="External"/><Relationship Id="rId6357" Type="http://schemas.openxmlformats.org/officeDocument/2006/relationships/hyperlink" Target="https://dadosabertos.camara.leg.br/api/v2/deputados/2242" TargetMode="External"/><Relationship Id="rId6771" Type="http://schemas.openxmlformats.org/officeDocument/2006/relationships/hyperlink" Target="https://dadosabertos.camara.leg.br/api/v2/deputados/1683" TargetMode="External"/><Relationship Id="rId7408" Type="http://schemas.openxmlformats.org/officeDocument/2006/relationships/hyperlink" Target="https://dadosabertos.camara.leg.br/api/v2/deputados/676" TargetMode="External"/><Relationship Id="rId7822" Type="http://schemas.openxmlformats.org/officeDocument/2006/relationships/hyperlink" Target="https://dadosabertos.camara.leg.br/api/v2/deputados/316" TargetMode="External"/><Relationship Id="rId122" Type="http://schemas.openxmlformats.org/officeDocument/2006/relationships/hyperlink" Target="https://dadosabertos.camara.leg.br/api/v2/deputados/141408" TargetMode="External"/><Relationship Id="rId5373" Type="http://schemas.openxmlformats.org/officeDocument/2006/relationships/hyperlink" Target="https://dadosabertos.camara.leg.br/api/v2/deputados/4707" TargetMode="External"/><Relationship Id="rId6424" Type="http://schemas.openxmlformats.org/officeDocument/2006/relationships/hyperlink" Target="https://dadosabertos.camara.leg.br/api/v2/deputados/2168" TargetMode="External"/><Relationship Id="rId1569" Type="http://schemas.openxmlformats.org/officeDocument/2006/relationships/hyperlink" Target="https://dadosabertos.camara.leg.br/api/v2/deputados/160564" TargetMode="External"/><Relationship Id="rId2967" Type="http://schemas.openxmlformats.org/officeDocument/2006/relationships/hyperlink" Target="https://dadosabertos.camara.leg.br/api/v2/deputados/139136" TargetMode="External"/><Relationship Id="rId5026" Type="http://schemas.openxmlformats.org/officeDocument/2006/relationships/hyperlink" Target="https://dadosabertos.camara.leg.br/api/v2/deputados/2631" TargetMode="External"/><Relationship Id="rId5440" Type="http://schemas.openxmlformats.org/officeDocument/2006/relationships/hyperlink" Target="https://dadosabertos.camara.leg.br/api/v2/deputados/4783" TargetMode="External"/><Relationship Id="rId939" Type="http://schemas.openxmlformats.org/officeDocument/2006/relationships/hyperlink" Target="https://dadosabertos.camara.leg.br/api/v2/deputados/178990" TargetMode="External"/><Relationship Id="rId1983" Type="http://schemas.openxmlformats.org/officeDocument/2006/relationships/hyperlink" Target="https://dadosabertos.camara.leg.br/api/v2/deputados/73827" TargetMode="External"/><Relationship Id="rId4042" Type="http://schemas.openxmlformats.org/officeDocument/2006/relationships/hyperlink" Target="https://dadosabertos.camara.leg.br/api/v2/deputados/131175" TargetMode="External"/><Relationship Id="rId7198" Type="http://schemas.openxmlformats.org/officeDocument/2006/relationships/hyperlink" Target="https://dadosabertos.camara.leg.br/api/v2/deputados/951" TargetMode="External"/><Relationship Id="rId1636" Type="http://schemas.openxmlformats.org/officeDocument/2006/relationships/hyperlink" Target="http://www.twitter.com/teresasurita" TargetMode="External"/><Relationship Id="rId1703" Type="http://schemas.openxmlformats.org/officeDocument/2006/relationships/hyperlink" Target="https://dadosabertos.camara.leg.br/api/v2/deputados/74148" TargetMode="External"/><Relationship Id="rId4859" Type="http://schemas.openxmlformats.org/officeDocument/2006/relationships/hyperlink" Target="https://dadosabertos.camara.leg.br/api/v2/deputados/130587" TargetMode="External"/><Relationship Id="rId7265" Type="http://schemas.openxmlformats.org/officeDocument/2006/relationships/hyperlink" Target="https://dadosabertos.camara.leg.br/api/v2/deputados/664" TargetMode="External"/><Relationship Id="rId3875" Type="http://schemas.openxmlformats.org/officeDocument/2006/relationships/hyperlink" Target="https://dadosabertos.camara.leg.br/api/v2/deputados/131611" TargetMode="External"/><Relationship Id="rId4926" Type="http://schemas.openxmlformats.org/officeDocument/2006/relationships/hyperlink" Target="https://dadosabertos.camara.leg.br/api/v2/deputados/130395" TargetMode="External"/><Relationship Id="rId6281" Type="http://schemas.openxmlformats.org/officeDocument/2006/relationships/hyperlink" Target="https://dadosabertos.camara.leg.br/api/v2/deputados/2237" TargetMode="External"/><Relationship Id="rId7332" Type="http://schemas.openxmlformats.org/officeDocument/2006/relationships/hyperlink" Target="https://dadosabertos.camara.leg.br/api/v2/deputados/912" TargetMode="External"/><Relationship Id="rId796" Type="http://schemas.openxmlformats.org/officeDocument/2006/relationships/hyperlink" Target="https://dadosabertos.camara.leg.br/api/v2/deputados/178959" TargetMode="External"/><Relationship Id="rId2477" Type="http://schemas.openxmlformats.org/officeDocument/2006/relationships/hyperlink" Target="https://dadosabertos.camara.leg.br/api/v2/deputados/74110" TargetMode="External"/><Relationship Id="rId3528" Type="http://schemas.openxmlformats.org/officeDocument/2006/relationships/hyperlink" Target="https://dadosabertos.camara.leg.br/api/v2/deputados/131846" TargetMode="External"/><Relationship Id="rId449" Type="http://schemas.openxmlformats.org/officeDocument/2006/relationships/hyperlink" Target="https://dadosabertos.camara.leg.br/api/v2/deputados/220637" TargetMode="External"/><Relationship Id="rId863" Type="http://schemas.openxmlformats.org/officeDocument/2006/relationships/hyperlink" Target="https://dadosabertos.camara.leg.br/api/v2/deputados/204432" TargetMode="External"/><Relationship Id="rId1079" Type="http://schemas.openxmlformats.org/officeDocument/2006/relationships/hyperlink" Target="https://dadosabertos.camara.leg.br/api/v2/deputados/178828" TargetMode="External"/><Relationship Id="rId1493" Type="http://schemas.openxmlformats.org/officeDocument/2006/relationships/hyperlink" Target="https://dadosabertos.camara.leg.br/api/v2/deputados/160661" TargetMode="External"/><Relationship Id="rId2544" Type="http://schemas.openxmlformats.org/officeDocument/2006/relationships/hyperlink" Target="https://dadosabertos.camara.leg.br/api/v2/deputados/74852" TargetMode="External"/><Relationship Id="rId2891" Type="http://schemas.openxmlformats.org/officeDocument/2006/relationships/hyperlink" Target="https://dadosabertos.camara.leg.br/api/v2/deputados/73966" TargetMode="External"/><Relationship Id="rId3942" Type="http://schemas.openxmlformats.org/officeDocument/2006/relationships/hyperlink" Target="https://dadosabertos.camara.leg.br/api/v2/deputados/131418" TargetMode="External"/><Relationship Id="rId6001" Type="http://schemas.openxmlformats.org/officeDocument/2006/relationships/hyperlink" Target="https://dadosabertos.camara.leg.br/api/v2/deputados/2497" TargetMode="External"/><Relationship Id="rId516" Type="http://schemas.openxmlformats.org/officeDocument/2006/relationships/hyperlink" Target="https://dadosabertos.camara.leg.br/api/v2/deputados/160517" TargetMode="External"/><Relationship Id="rId1146" Type="http://schemas.openxmlformats.org/officeDocument/2006/relationships/hyperlink" Target="https://dadosabertos.camara.leg.br/api/v2/deputados/160607" TargetMode="External"/><Relationship Id="rId930" Type="http://schemas.openxmlformats.org/officeDocument/2006/relationships/hyperlink" Target="https://dadosabertos.camara.leg.br/api/v2/deputados/160651" TargetMode="External"/><Relationship Id="rId1560" Type="http://schemas.openxmlformats.org/officeDocument/2006/relationships/hyperlink" Target="http://www.moreiramendes.com.br/" TargetMode="External"/><Relationship Id="rId2611" Type="http://schemas.openxmlformats.org/officeDocument/2006/relationships/hyperlink" Target="https://dadosabertos.camara.leg.br/api/v2/deputados/74228" TargetMode="External"/><Relationship Id="rId5767" Type="http://schemas.openxmlformats.org/officeDocument/2006/relationships/hyperlink" Target="https://dadosabertos.camara.leg.br/api/v2/deputados/130200" TargetMode="External"/><Relationship Id="rId6818" Type="http://schemas.openxmlformats.org/officeDocument/2006/relationships/hyperlink" Target="https://dadosabertos.camara.leg.br/api/v2/deputados/1756" TargetMode="External"/><Relationship Id="rId1213" Type="http://schemas.openxmlformats.org/officeDocument/2006/relationships/hyperlink" Target="https://dadosabertos.camara.leg.br/api/v2/deputados/124411" TargetMode="External"/><Relationship Id="rId4369" Type="http://schemas.openxmlformats.org/officeDocument/2006/relationships/hyperlink" Target="https://dadosabertos.camara.leg.br/api/v2/deputados/130965" TargetMode="External"/><Relationship Id="rId4783" Type="http://schemas.openxmlformats.org/officeDocument/2006/relationships/hyperlink" Target="https://dadosabertos.camara.leg.br/api/v2/deputados/130569" TargetMode="External"/><Relationship Id="rId5834" Type="http://schemas.openxmlformats.org/officeDocument/2006/relationships/hyperlink" Target="https://dadosabertos.camara.leg.br/api/v2/deputados/2589" TargetMode="External"/><Relationship Id="rId3385" Type="http://schemas.openxmlformats.org/officeDocument/2006/relationships/hyperlink" Target="https://dadosabertos.camara.leg.br/api/v2/deputados/131932" TargetMode="External"/><Relationship Id="rId4436" Type="http://schemas.openxmlformats.org/officeDocument/2006/relationships/hyperlink" Target="https://dadosabertos.camara.leg.br/api/v2/deputados/131054" TargetMode="External"/><Relationship Id="rId4850" Type="http://schemas.openxmlformats.org/officeDocument/2006/relationships/hyperlink" Target="https://dadosabertos.camara.leg.br/api/v2/deputados/130663" TargetMode="External"/><Relationship Id="rId5901" Type="http://schemas.openxmlformats.org/officeDocument/2006/relationships/hyperlink" Target="https://dadosabertos.camara.leg.br/api/v2/deputados/130154" TargetMode="External"/><Relationship Id="rId3038" Type="http://schemas.openxmlformats.org/officeDocument/2006/relationships/hyperlink" Target="https://dadosabertos.camara.leg.br/api/v2/deputados/1518" TargetMode="External"/><Relationship Id="rId3452" Type="http://schemas.openxmlformats.org/officeDocument/2006/relationships/hyperlink" Target="https://dadosabertos.camara.leg.br/api/v2/deputados/132014" TargetMode="External"/><Relationship Id="rId4503" Type="http://schemas.openxmlformats.org/officeDocument/2006/relationships/hyperlink" Target="https://dadosabertos.camara.leg.br/api/v2/deputados/131109" TargetMode="External"/><Relationship Id="rId7659" Type="http://schemas.openxmlformats.org/officeDocument/2006/relationships/hyperlink" Target="https://dadosabertos.camara.leg.br/api/v2/deputados/513" TargetMode="External"/><Relationship Id="rId373" Type="http://schemas.openxmlformats.org/officeDocument/2006/relationships/hyperlink" Target="https://dadosabertos.camara.leg.br/api/v2/deputados/178832" TargetMode="External"/><Relationship Id="rId2054" Type="http://schemas.openxmlformats.org/officeDocument/2006/relationships/hyperlink" Target="https://dadosabertos.camara.leg.br/api/v2/deputados/74276" TargetMode="External"/><Relationship Id="rId3105" Type="http://schemas.openxmlformats.org/officeDocument/2006/relationships/hyperlink" Target="https://dadosabertos.camara.leg.br/api/v2/deputados/132143" TargetMode="External"/><Relationship Id="rId6675" Type="http://schemas.openxmlformats.org/officeDocument/2006/relationships/hyperlink" Target="https://dadosabertos.camara.leg.br/api/v2/deputados/3946" TargetMode="External"/><Relationship Id="rId440" Type="http://schemas.openxmlformats.org/officeDocument/2006/relationships/hyperlink" Target="https://dadosabertos.camara.leg.br/api/v2/deputados/204506" TargetMode="External"/><Relationship Id="rId1070" Type="http://schemas.openxmlformats.org/officeDocument/2006/relationships/hyperlink" Target="https://dadosabertos.camara.leg.br/api/v2/deputados/73793" TargetMode="External"/><Relationship Id="rId2121" Type="http://schemas.openxmlformats.org/officeDocument/2006/relationships/hyperlink" Target="https://dadosabertos.camara.leg.br/api/v2/deputados/74792" TargetMode="External"/><Relationship Id="rId5277" Type="http://schemas.openxmlformats.org/officeDocument/2006/relationships/hyperlink" Target="https://dadosabertos.camara.leg.br/api/v2/deputados/3042" TargetMode="External"/><Relationship Id="rId6328" Type="http://schemas.openxmlformats.org/officeDocument/2006/relationships/hyperlink" Target="https://dadosabertos.camara.leg.br/api/v2/deputados/3632" TargetMode="External"/><Relationship Id="rId7726" Type="http://schemas.openxmlformats.org/officeDocument/2006/relationships/hyperlink" Target="https://dadosabertos.camara.leg.br/api/v2/deputados/225" TargetMode="External"/><Relationship Id="rId5691" Type="http://schemas.openxmlformats.org/officeDocument/2006/relationships/hyperlink" Target="https://dadosabertos.camara.leg.br/api/v2/deputados/4455" TargetMode="External"/><Relationship Id="rId6742" Type="http://schemas.openxmlformats.org/officeDocument/2006/relationships/hyperlink" Target="https://dadosabertos.camara.leg.br/api/v2/deputados/4076" TargetMode="External"/><Relationship Id="rId1887" Type="http://schemas.openxmlformats.org/officeDocument/2006/relationships/hyperlink" Target="https://dadosabertos.camara.leg.br/api/v2/deputados/141546" TargetMode="External"/><Relationship Id="rId2938" Type="http://schemas.openxmlformats.org/officeDocument/2006/relationships/hyperlink" Target="https://dadosabertos.camara.leg.br/api/v2/deputados/133960" TargetMode="External"/><Relationship Id="rId4293" Type="http://schemas.openxmlformats.org/officeDocument/2006/relationships/hyperlink" Target="https://dadosabertos.camara.leg.br/api/v2/deputados/131012" TargetMode="External"/><Relationship Id="rId5344" Type="http://schemas.openxmlformats.org/officeDocument/2006/relationships/hyperlink" Target="https://dadosabertos.camara.leg.br/api/v2/deputados/4695" TargetMode="External"/><Relationship Id="rId1954" Type="http://schemas.openxmlformats.org/officeDocument/2006/relationships/hyperlink" Target="https://dadosabertos.camara.leg.br/api/v2/deputados/73825" TargetMode="External"/><Relationship Id="rId4360" Type="http://schemas.openxmlformats.org/officeDocument/2006/relationships/hyperlink" Target="https://dadosabertos.camara.leg.br/api/v2/deputados/130961" TargetMode="External"/><Relationship Id="rId5411" Type="http://schemas.openxmlformats.org/officeDocument/2006/relationships/hyperlink" Target="https://dadosabertos.camara.leg.br/api/v2/deputados/2725" TargetMode="External"/><Relationship Id="rId1607" Type="http://schemas.openxmlformats.org/officeDocument/2006/relationships/hyperlink" Target="https://dadosabertos.camara.leg.br/api/v2/deputados/169553" TargetMode="External"/><Relationship Id="rId4013" Type="http://schemas.openxmlformats.org/officeDocument/2006/relationships/hyperlink" Target="https://dadosabertos.camara.leg.br/api/v2/deputados/131146" TargetMode="External"/><Relationship Id="rId7169" Type="http://schemas.openxmlformats.org/officeDocument/2006/relationships/hyperlink" Target="https://dadosabertos.camara.leg.br/api/v2/deputados/814" TargetMode="External"/><Relationship Id="rId7583" Type="http://schemas.openxmlformats.org/officeDocument/2006/relationships/hyperlink" Target="https://dadosabertos.camara.leg.br/api/v2/deputados/521" TargetMode="External"/><Relationship Id="rId3779" Type="http://schemas.openxmlformats.org/officeDocument/2006/relationships/hyperlink" Target="https://dadosabertos.camara.leg.br/api/v2/deputados/131508" TargetMode="External"/><Relationship Id="rId6185" Type="http://schemas.openxmlformats.org/officeDocument/2006/relationships/hyperlink" Target="https://dadosabertos.camara.leg.br/api/v2/deputados/2421" TargetMode="External"/><Relationship Id="rId7236" Type="http://schemas.openxmlformats.org/officeDocument/2006/relationships/hyperlink" Target="https://dadosabertos.camara.leg.br/api/v2/deputados/965" TargetMode="External"/><Relationship Id="rId7650" Type="http://schemas.openxmlformats.org/officeDocument/2006/relationships/hyperlink" Target="https://dadosabertos.camara.leg.br/api/v2/deputados/558" TargetMode="External"/><Relationship Id="rId6252" Type="http://schemas.openxmlformats.org/officeDocument/2006/relationships/hyperlink" Target="https://dadosabertos.camara.leg.br/api/v2/deputados/1734" TargetMode="External"/><Relationship Id="rId7303" Type="http://schemas.openxmlformats.org/officeDocument/2006/relationships/hyperlink" Target="https://dadosabertos.camara.leg.br/api/v2/deputados/820" TargetMode="External"/><Relationship Id="rId1397" Type="http://schemas.openxmlformats.org/officeDocument/2006/relationships/hyperlink" Target="https://dadosabertos.camara.leg.br/api/v2/deputados/160606" TargetMode="External"/><Relationship Id="rId2795" Type="http://schemas.openxmlformats.org/officeDocument/2006/relationships/hyperlink" Target="https://dadosabertos.camara.leg.br/api/v2/deputados/133881" TargetMode="External"/><Relationship Id="rId3846" Type="http://schemas.openxmlformats.org/officeDocument/2006/relationships/hyperlink" Target="https://dadosabertos.camara.leg.br/api/v2/deputados/131580" TargetMode="External"/><Relationship Id="rId767" Type="http://schemas.openxmlformats.org/officeDocument/2006/relationships/hyperlink" Target="https://dadosabertos.camara.leg.br/api/v2/deputados/204354" TargetMode="External"/><Relationship Id="rId2448" Type="http://schemas.openxmlformats.org/officeDocument/2006/relationships/hyperlink" Target="https://dadosabertos.camara.leg.br/api/v2/deputados/74649" TargetMode="External"/><Relationship Id="rId2862" Type="http://schemas.openxmlformats.org/officeDocument/2006/relationships/hyperlink" Target="https://dadosabertos.camara.leg.br/api/v2/deputados/73818" TargetMode="External"/><Relationship Id="rId3913" Type="http://schemas.openxmlformats.org/officeDocument/2006/relationships/hyperlink" Target="https://dadosabertos.camara.leg.br/api/v2/deputados/131399" TargetMode="External"/><Relationship Id="rId834" Type="http://schemas.openxmlformats.org/officeDocument/2006/relationships/hyperlink" Target="https://dadosabertos.camara.leg.br/api/v2/deputados/204381" TargetMode="External"/><Relationship Id="rId1464" Type="http://schemas.openxmlformats.org/officeDocument/2006/relationships/hyperlink" Target="https://dadosabertos.camara.leg.br/api/v2/deputados/68731" TargetMode="External"/><Relationship Id="rId2515" Type="http://schemas.openxmlformats.org/officeDocument/2006/relationships/hyperlink" Target="https://dadosabertos.camara.leg.br/api/v2/deputados/73530" TargetMode="External"/><Relationship Id="rId901" Type="http://schemas.openxmlformats.org/officeDocument/2006/relationships/hyperlink" Target="https://dadosabertos.camara.leg.br/api/v2/deputados/178844" TargetMode="External"/><Relationship Id="rId1117" Type="http://schemas.openxmlformats.org/officeDocument/2006/relationships/hyperlink" Target="https://dadosabertos.camara.leg.br/api/v2/deputados/4931" TargetMode="External"/><Relationship Id="rId1531" Type="http://schemas.openxmlformats.org/officeDocument/2006/relationships/hyperlink" Target="https://dadosabertos.camara.leg.br/api/v2/deputados/74456" TargetMode="External"/><Relationship Id="rId4687" Type="http://schemas.openxmlformats.org/officeDocument/2006/relationships/hyperlink" Target="https://dadosabertos.camara.leg.br/api/v2/deputados/130862" TargetMode="External"/><Relationship Id="rId5738" Type="http://schemas.openxmlformats.org/officeDocument/2006/relationships/hyperlink" Target="https://dadosabertos.camara.leg.br/api/v2/deputados/2642" TargetMode="External"/><Relationship Id="rId7093" Type="http://schemas.openxmlformats.org/officeDocument/2006/relationships/hyperlink" Target="https://dadosabertos.camara.leg.br/api/v2/deputados/1084" TargetMode="External"/><Relationship Id="rId3289" Type="http://schemas.openxmlformats.org/officeDocument/2006/relationships/hyperlink" Target="https://dadosabertos.camara.leg.br/api/v2/deputados/131859" TargetMode="External"/><Relationship Id="rId4754" Type="http://schemas.openxmlformats.org/officeDocument/2006/relationships/hyperlink" Target="https://dadosabertos.camara.leg.br/api/v2/deputados/130550" TargetMode="External"/><Relationship Id="rId7160" Type="http://schemas.openxmlformats.org/officeDocument/2006/relationships/hyperlink" Target="https://dadosabertos.camara.leg.br/api/v2/deputados/708" TargetMode="External"/><Relationship Id="rId3356" Type="http://schemas.openxmlformats.org/officeDocument/2006/relationships/hyperlink" Target="https://dadosabertos.camara.leg.br/api/v2/deputados/131910" TargetMode="External"/><Relationship Id="rId4407" Type="http://schemas.openxmlformats.org/officeDocument/2006/relationships/hyperlink" Target="https://dadosabertos.camara.leg.br/api/v2/deputados/131009" TargetMode="External"/><Relationship Id="rId5805" Type="http://schemas.openxmlformats.org/officeDocument/2006/relationships/hyperlink" Target="https://dadosabertos.camara.leg.br/api/v2/deputados/130178" TargetMode="External"/><Relationship Id="rId277" Type="http://schemas.openxmlformats.org/officeDocument/2006/relationships/hyperlink" Target="https://www.instagram.com/gilsondaniel1919" TargetMode="External"/><Relationship Id="rId3009" Type="http://schemas.openxmlformats.org/officeDocument/2006/relationships/hyperlink" Target="https://dadosabertos.camara.leg.br/api/v2/deputados/132144" TargetMode="External"/><Relationship Id="rId3770" Type="http://schemas.openxmlformats.org/officeDocument/2006/relationships/hyperlink" Target="https://dadosabertos.camara.leg.br/api/v2/deputados/131497" TargetMode="External"/><Relationship Id="rId4821" Type="http://schemas.openxmlformats.org/officeDocument/2006/relationships/hyperlink" Target="https://dadosabertos.camara.leg.br/api/v2/deputados/130614" TargetMode="External"/><Relationship Id="rId7977" Type="http://schemas.openxmlformats.org/officeDocument/2006/relationships/hyperlink" Target="https://dadosabertos.camara.leg.br/api/v2/deputados/146" TargetMode="External"/><Relationship Id="rId344" Type="http://schemas.openxmlformats.org/officeDocument/2006/relationships/hyperlink" Target="https://dadosabertos.camara.leg.br/api/v2/deputados/74554" TargetMode="External"/><Relationship Id="rId691" Type="http://schemas.openxmlformats.org/officeDocument/2006/relationships/hyperlink" Target="https://dadosabertos.camara.leg.br/api/v2/deputados/159237" TargetMode="External"/><Relationship Id="rId2025" Type="http://schemas.openxmlformats.org/officeDocument/2006/relationships/hyperlink" Target="https://dadosabertos.camara.leg.br/api/v2/deputados/74272" TargetMode="External"/><Relationship Id="rId2372" Type="http://schemas.openxmlformats.org/officeDocument/2006/relationships/hyperlink" Target="https://dadosabertos.camara.leg.br/api/v2/deputados/74674" TargetMode="External"/><Relationship Id="rId3423" Type="http://schemas.openxmlformats.org/officeDocument/2006/relationships/hyperlink" Target="https://dadosabertos.camara.leg.br/api/v2/deputados/131973" TargetMode="External"/><Relationship Id="rId6579" Type="http://schemas.openxmlformats.org/officeDocument/2006/relationships/hyperlink" Target="https://dadosabertos.camara.leg.br/api/v2/deputados/3136" TargetMode="External"/><Relationship Id="rId6993" Type="http://schemas.openxmlformats.org/officeDocument/2006/relationships/hyperlink" Target="https://dadosabertos.camara.leg.br/api/v2/deputados/1102" TargetMode="External"/><Relationship Id="rId5595" Type="http://schemas.openxmlformats.org/officeDocument/2006/relationships/hyperlink" Target="https://dadosabertos.camara.leg.br/api/v2/deputados/2813" TargetMode="External"/><Relationship Id="rId6646" Type="http://schemas.openxmlformats.org/officeDocument/2006/relationships/hyperlink" Target="https://dadosabertos.camara.leg.br/api/v2/deputados/1840" TargetMode="External"/><Relationship Id="rId411" Type="http://schemas.openxmlformats.org/officeDocument/2006/relationships/hyperlink" Target="https://dadosabertos.camara.leg.br/api/v2/deputados/204455" TargetMode="External"/><Relationship Id="rId1041" Type="http://schemas.openxmlformats.org/officeDocument/2006/relationships/hyperlink" Target="https://dadosabertos.camara.leg.br/api/v2/deputados/74651" TargetMode="External"/><Relationship Id="rId4197" Type="http://schemas.openxmlformats.org/officeDocument/2006/relationships/hyperlink" Target="https://dadosabertos.camara.leg.br/api/v2/deputados/131286" TargetMode="External"/><Relationship Id="rId5248" Type="http://schemas.openxmlformats.org/officeDocument/2006/relationships/hyperlink" Target="https://dadosabertos.camara.leg.br/api/v2/deputados/3062" TargetMode="External"/><Relationship Id="rId5662" Type="http://schemas.openxmlformats.org/officeDocument/2006/relationships/hyperlink" Target="https://dadosabertos.camara.leg.br/api/v2/deputados/4565" TargetMode="External"/><Relationship Id="rId6713" Type="http://schemas.openxmlformats.org/officeDocument/2006/relationships/hyperlink" Target="https://dadosabertos.camara.leg.br/api/v2/deputados/1626" TargetMode="External"/><Relationship Id="rId1858" Type="http://schemas.openxmlformats.org/officeDocument/2006/relationships/hyperlink" Target="https://dadosabertos.camara.leg.br/api/v2/deputados/73673" TargetMode="External"/><Relationship Id="rId4264" Type="http://schemas.openxmlformats.org/officeDocument/2006/relationships/hyperlink" Target="https://dadosabertos.camara.leg.br/api/v2/deputados/131378" TargetMode="External"/><Relationship Id="rId5315" Type="http://schemas.openxmlformats.org/officeDocument/2006/relationships/hyperlink" Target="https://dadosabertos.camara.leg.br/api/v2/deputados/4660" TargetMode="External"/><Relationship Id="rId2909" Type="http://schemas.openxmlformats.org/officeDocument/2006/relationships/hyperlink" Target="https://dadosabertos.camara.leg.br/api/v2/deputados/133926" TargetMode="External"/><Relationship Id="rId3280" Type="http://schemas.openxmlformats.org/officeDocument/2006/relationships/hyperlink" Target="https://dadosabertos.camara.leg.br/api/v2/deputados/131845" TargetMode="External"/><Relationship Id="rId4331" Type="http://schemas.openxmlformats.org/officeDocument/2006/relationships/hyperlink" Target="https://dadosabertos.camara.leg.br/api/v2/deputados/130937" TargetMode="External"/><Relationship Id="rId7487" Type="http://schemas.openxmlformats.org/officeDocument/2006/relationships/hyperlink" Target="https://dadosabertos.camara.leg.br/api/v2/deputados/766" TargetMode="External"/><Relationship Id="rId1925" Type="http://schemas.openxmlformats.org/officeDocument/2006/relationships/hyperlink" Target="https://dadosabertos.camara.leg.br/api/v2/deputados/74036" TargetMode="External"/><Relationship Id="rId6089" Type="http://schemas.openxmlformats.org/officeDocument/2006/relationships/hyperlink" Target="https://dadosabertos.camara.leg.br/api/v2/deputados/4173" TargetMode="External"/><Relationship Id="rId6156" Type="http://schemas.openxmlformats.org/officeDocument/2006/relationships/hyperlink" Target="https://dadosabertos.camara.leg.br/api/v2/deputados/2365" TargetMode="External"/><Relationship Id="rId7554" Type="http://schemas.openxmlformats.org/officeDocument/2006/relationships/hyperlink" Target="https://dadosabertos.camara.leg.br/api/v2/deputados/531" TargetMode="External"/><Relationship Id="rId2699" Type="http://schemas.openxmlformats.org/officeDocument/2006/relationships/hyperlink" Target="https://dadosabertos.camara.leg.br/api/v2/deputados/73641" TargetMode="External"/><Relationship Id="rId3000" Type="http://schemas.openxmlformats.org/officeDocument/2006/relationships/hyperlink" Target="https://dadosabertos.camara.leg.br/api/v2/deputados/139165" TargetMode="External"/><Relationship Id="rId6570" Type="http://schemas.openxmlformats.org/officeDocument/2006/relationships/hyperlink" Target="https://dadosabertos.camara.leg.br/api/v2/deputados/1710" TargetMode="External"/><Relationship Id="rId7207" Type="http://schemas.openxmlformats.org/officeDocument/2006/relationships/hyperlink" Target="https://dadosabertos.camara.leg.br/api/v2/deputados/1019" TargetMode="External"/><Relationship Id="rId7621" Type="http://schemas.openxmlformats.org/officeDocument/2006/relationships/hyperlink" Target="https://dadosabertos.camara.leg.br/api/v2/deputados/586" TargetMode="External"/><Relationship Id="rId2766" Type="http://schemas.openxmlformats.org/officeDocument/2006/relationships/hyperlink" Target="https://dadosabertos.camara.leg.br/api/v2/deputados/133979" TargetMode="External"/><Relationship Id="rId3817" Type="http://schemas.openxmlformats.org/officeDocument/2006/relationships/hyperlink" Target="https://dadosabertos.camara.leg.br/api/v2/deputados/131543" TargetMode="External"/><Relationship Id="rId5172" Type="http://schemas.openxmlformats.org/officeDocument/2006/relationships/hyperlink" Target="https://dadosabertos.camara.leg.br/api/v2/deputados/130337" TargetMode="External"/><Relationship Id="rId6223" Type="http://schemas.openxmlformats.org/officeDocument/2006/relationships/hyperlink" Target="https://dadosabertos.camara.leg.br/api/v2/deputados/2387" TargetMode="External"/><Relationship Id="rId738" Type="http://schemas.openxmlformats.org/officeDocument/2006/relationships/hyperlink" Target="https://dadosabertos.camara.leg.br/api/v2/deputados/204562" TargetMode="External"/><Relationship Id="rId1368" Type="http://schemas.openxmlformats.org/officeDocument/2006/relationships/hyperlink" Target="https://dadosabertos.camara.leg.br/api/v2/deputados/109152" TargetMode="External"/><Relationship Id="rId1782" Type="http://schemas.openxmlformats.org/officeDocument/2006/relationships/hyperlink" Target="https://dadosabertos.camara.leg.br/api/v2/deputados/74549" TargetMode="External"/><Relationship Id="rId2419" Type="http://schemas.openxmlformats.org/officeDocument/2006/relationships/hyperlink" Target="https://dadosabertos.camara.leg.br/api/v2/deputados/74769" TargetMode="External"/><Relationship Id="rId2833" Type="http://schemas.openxmlformats.org/officeDocument/2006/relationships/hyperlink" Target="https://dadosabertos.camara.leg.br/api/v2/deputados/73754" TargetMode="External"/><Relationship Id="rId5989" Type="http://schemas.openxmlformats.org/officeDocument/2006/relationships/hyperlink" Target="https://dadosabertos.camara.leg.br/api/v2/deputados/4378" TargetMode="External"/><Relationship Id="rId74" Type="http://schemas.openxmlformats.org/officeDocument/2006/relationships/hyperlink" Target="https://dadosabertos.camara.leg.br/api/v2/deputados/220605" TargetMode="External"/><Relationship Id="rId805" Type="http://schemas.openxmlformats.org/officeDocument/2006/relationships/hyperlink" Target="https://dadosabertos.camara.leg.br/api/v2/deputados/74366" TargetMode="External"/><Relationship Id="rId1435" Type="http://schemas.openxmlformats.org/officeDocument/2006/relationships/hyperlink" Target="https://dadosabertos.camara.leg.br/api/v2/deputados/74037" TargetMode="External"/><Relationship Id="rId2900" Type="http://schemas.openxmlformats.org/officeDocument/2006/relationships/hyperlink" Target="https://dadosabertos.camara.leg.br/api/v2/deputados/133896" TargetMode="External"/><Relationship Id="rId7064" Type="http://schemas.openxmlformats.org/officeDocument/2006/relationships/hyperlink" Target="https://dadosabertos.camara.leg.br/api/v2/deputados/1113" TargetMode="External"/><Relationship Id="rId1502" Type="http://schemas.openxmlformats.org/officeDocument/2006/relationships/hyperlink" Target="https://dadosabertos.camara.leg.br/api/v2/deputados/160519" TargetMode="External"/><Relationship Id="rId4658" Type="http://schemas.openxmlformats.org/officeDocument/2006/relationships/hyperlink" Target="https://dadosabertos.camara.leg.br/api/v2/deputados/130755" TargetMode="External"/><Relationship Id="rId5709" Type="http://schemas.openxmlformats.org/officeDocument/2006/relationships/hyperlink" Target="https://dadosabertos.camara.leg.br/api/v2/deputados/130175" TargetMode="External"/><Relationship Id="rId6080" Type="http://schemas.openxmlformats.org/officeDocument/2006/relationships/hyperlink" Target="https://dadosabertos.camara.leg.br/api/v2/deputados/1593" TargetMode="External"/><Relationship Id="rId7131" Type="http://schemas.openxmlformats.org/officeDocument/2006/relationships/hyperlink" Target="https://dadosabertos.camara.leg.br/api/v2/deputados/1048" TargetMode="External"/><Relationship Id="rId3674" Type="http://schemas.openxmlformats.org/officeDocument/2006/relationships/hyperlink" Target="https://dadosabertos.camara.leg.br/api/v2/deputados/131824" TargetMode="External"/><Relationship Id="rId4725" Type="http://schemas.openxmlformats.org/officeDocument/2006/relationships/hyperlink" Target="https://dadosabertos.camara.leg.br/api/v2/deputados/130509" TargetMode="External"/><Relationship Id="rId595" Type="http://schemas.openxmlformats.org/officeDocument/2006/relationships/hyperlink" Target="https://dadosabertos.camara.leg.br/api/v2/deputados/74371" TargetMode="External"/><Relationship Id="rId2276" Type="http://schemas.openxmlformats.org/officeDocument/2006/relationships/hyperlink" Target="https://dadosabertos.camara.leg.br/api/v2/deputados/73918" TargetMode="External"/><Relationship Id="rId2690" Type="http://schemas.openxmlformats.org/officeDocument/2006/relationships/hyperlink" Target="https://dadosabertos.camara.leg.br/api/v2/deputados/133942" TargetMode="External"/><Relationship Id="rId3327" Type="http://schemas.openxmlformats.org/officeDocument/2006/relationships/hyperlink" Target="https://dadosabertos.camara.leg.br/api/v2/deputados/131885" TargetMode="External"/><Relationship Id="rId3741" Type="http://schemas.openxmlformats.org/officeDocument/2006/relationships/hyperlink" Target="https://dadosabertos.camara.leg.br/api/v2/deputados/131794" TargetMode="External"/><Relationship Id="rId6897" Type="http://schemas.openxmlformats.org/officeDocument/2006/relationships/hyperlink" Target="https://dadosabertos.camara.leg.br/api/v2/deputados/1264" TargetMode="External"/><Relationship Id="rId7948" Type="http://schemas.openxmlformats.org/officeDocument/2006/relationships/hyperlink" Target="https://dadosabertos.camara.leg.br/api/v2/deputados/109" TargetMode="External"/><Relationship Id="rId248" Type="http://schemas.openxmlformats.org/officeDocument/2006/relationships/hyperlink" Target="https://dadosabertos.camara.leg.br/api/v2/deputados/204407" TargetMode="External"/><Relationship Id="rId662" Type="http://schemas.openxmlformats.org/officeDocument/2006/relationships/hyperlink" Target="https://dadosabertos.camara.leg.br/api/v2/deputados/220536" TargetMode="External"/><Relationship Id="rId1292" Type="http://schemas.openxmlformats.org/officeDocument/2006/relationships/hyperlink" Target="https://dadosabertos.camara.leg.br/api/v2/deputados/73560" TargetMode="External"/><Relationship Id="rId2343" Type="http://schemas.openxmlformats.org/officeDocument/2006/relationships/hyperlink" Target="https://dadosabertos.camara.leg.br/api/v2/deputados/73906" TargetMode="External"/><Relationship Id="rId5499" Type="http://schemas.openxmlformats.org/officeDocument/2006/relationships/hyperlink" Target="https://dadosabertos.camara.leg.br/api/v2/deputados/4789" TargetMode="External"/><Relationship Id="rId6964" Type="http://schemas.openxmlformats.org/officeDocument/2006/relationships/hyperlink" Target="https://dadosabertos.camara.leg.br/api/v2/deputados/1213" TargetMode="External"/><Relationship Id="rId315" Type="http://schemas.openxmlformats.org/officeDocument/2006/relationships/hyperlink" Target="https://dadosabertos.camara.leg.br/api/v2/deputados/204436" TargetMode="External"/><Relationship Id="rId2410" Type="http://schemas.openxmlformats.org/officeDocument/2006/relationships/hyperlink" Target="https://dadosabertos.camara.leg.br/api/v2/deputados/74576" TargetMode="External"/><Relationship Id="rId5566" Type="http://schemas.openxmlformats.org/officeDocument/2006/relationships/hyperlink" Target="https://dadosabertos.camara.leg.br/api/v2/deputados/2809" TargetMode="External"/><Relationship Id="rId6617" Type="http://schemas.openxmlformats.org/officeDocument/2006/relationships/hyperlink" Target="https://dadosabertos.camara.leg.br/api/v2/deputados/1691" TargetMode="External"/><Relationship Id="rId1012" Type="http://schemas.openxmlformats.org/officeDocument/2006/relationships/hyperlink" Target="https://dadosabertos.camara.leg.br/api/v2/deputados/74833" TargetMode="External"/><Relationship Id="rId4168" Type="http://schemas.openxmlformats.org/officeDocument/2006/relationships/hyperlink" Target="https://dadosabertos.camara.leg.br/api/v2/deputados/131177" TargetMode="External"/><Relationship Id="rId5219" Type="http://schemas.openxmlformats.org/officeDocument/2006/relationships/hyperlink" Target="https://dadosabertos.camara.leg.br/api/v2/deputados/2975" TargetMode="External"/><Relationship Id="rId5980" Type="http://schemas.openxmlformats.org/officeDocument/2006/relationships/hyperlink" Target="https://dadosabertos.camara.leg.br/api/v2/deputados/2527" TargetMode="External"/><Relationship Id="rId3184" Type="http://schemas.openxmlformats.org/officeDocument/2006/relationships/hyperlink" Target="https://dadosabertos.camara.leg.br/api/v2/deputados/139324" TargetMode="External"/><Relationship Id="rId4235" Type="http://schemas.openxmlformats.org/officeDocument/2006/relationships/hyperlink" Target="https://dadosabertos.camara.leg.br/api/v2/deputados/131351" TargetMode="External"/><Relationship Id="rId4582" Type="http://schemas.openxmlformats.org/officeDocument/2006/relationships/hyperlink" Target="https://dadosabertos.camara.leg.br/api/v2/deputados/130743" TargetMode="External"/><Relationship Id="rId5633" Type="http://schemas.openxmlformats.org/officeDocument/2006/relationships/hyperlink" Target="https://dadosabertos.camara.leg.br/api/v2/deputados/4591" TargetMode="External"/><Relationship Id="rId1829" Type="http://schemas.openxmlformats.org/officeDocument/2006/relationships/hyperlink" Target="https://dadosabertos.camara.leg.br/api/v2/deputados/147653" TargetMode="External"/><Relationship Id="rId5700" Type="http://schemas.openxmlformats.org/officeDocument/2006/relationships/hyperlink" Target="https://dadosabertos.camara.leg.br/api/v2/deputados/4462" TargetMode="External"/><Relationship Id="rId3251" Type="http://schemas.openxmlformats.org/officeDocument/2006/relationships/hyperlink" Target="https://dadosabertos.camara.leg.br/api/v2/deputados/139381" TargetMode="External"/><Relationship Id="rId4302" Type="http://schemas.openxmlformats.org/officeDocument/2006/relationships/hyperlink" Target="https://dadosabertos.camara.leg.br/api/v2/deputados/130913" TargetMode="External"/><Relationship Id="rId7458" Type="http://schemas.openxmlformats.org/officeDocument/2006/relationships/hyperlink" Target="https://dadosabertos.camara.leg.br/api/v2/deputados/742" TargetMode="External"/><Relationship Id="rId7872" Type="http://schemas.openxmlformats.org/officeDocument/2006/relationships/hyperlink" Target="https://dadosabertos.camara.leg.br/api/v2/deputados/288" TargetMode="External"/><Relationship Id="rId172" Type="http://schemas.openxmlformats.org/officeDocument/2006/relationships/hyperlink" Target="https://dadosabertos.camara.leg.br/api/v2/deputados/220553" TargetMode="External"/><Relationship Id="rId6474" Type="http://schemas.openxmlformats.org/officeDocument/2006/relationships/hyperlink" Target="https://dadosabertos.camara.leg.br/api/v2/deputados/1560" TargetMode="External"/><Relationship Id="rId7525" Type="http://schemas.openxmlformats.org/officeDocument/2006/relationships/hyperlink" Target="https://dadosabertos.camara.leg.br/api/v2/deputados/672" TargetMode="External"/><Relationship Id="rId989" Type="http://schemas.openxmlformats.org/officeDocument/2006/relationships/hyperlink" Target="https://dadosabertos.camara.leg.br/api/v2/deputados/160582" TargetMode="External"/><Relationship Id="rId5076" Type="http://schemas.openxmlformats.org/officeDocument/2006/relationships/hyperlink" Target="https://dadosabertos.camara.leg.br/api/v2/deputados/3122" TargetMode="External"/><Relationship Id="rId5490" Type="http://schemas.openxmlformats.org/officeDocument/2006/relationships/hyperlink" Target="https://dadosabertos.camara.leg.br/api/v2/deputados/4776" TargetMode="External"/><Relationship Id="rId6127" Type="http://schemas.openxmlformats.org/officeDocument/2006/relationships/hyperlink" Target="https://dadosabertos.camara.leg.br/api/v2/deputados/2246" TargetMode="External"/><Relationship Id="rId6541" Type="http://schemas.openxmlformats.org/officeDocument/2006/relationships/hyperlink" Target="https://dadosabertos.camara.leg.br/api/v2/deputados/1572" TargetMode="External"/><Relationship Id="rId1686" Type="http://schemas.openxmlformats.org/officeDocument/2006/relationships/hyperlink" Target="https://dadosabertos.camara.leg.br/api/v2/deputados/73993" TargetMode="External"/><Relationship Id="rId4092" Type="http://schemas.openxmlformats.org/officeDocument/2006/relationships/hyperlink" Target="https://dadosabertos.camara.leg.br/api/v2/deputados/131216" TargetMode="External"/><Relationship Id="rId5143" Type="http://schemas.openxmlformats.org/officeDocument/2006/relationships/hyperlink" Target="https://dadosabertos.camara.leg.br/api/v2/deputados/130315" TargetMode="External"/><Relationship Id="rId1339" Type="http://schemas.openxmlformats.org/officeDocument/2006/relationships/hyperlink" Target="https://dadosabertos.camara.leg.br/api/v2/deputados/74830" TargetMode="External"/><Relationship Id="rId2737" Type="http://schemas.openxmlformats.org/officeDocument/2006/relationships/hyperlink" Target="https://dadosabertos.camara.leg.br/api/v2/deputados/73727" TargetMode="External"/><Relationship Id="rId5210" Type="http://schemas.openxmlformats.org/officeDocument/2006/relationships/hyperlink" Target="https://dadosabertos.camara.leg.br/api/v2/deputados/3057" TargetMode="External"/><Relationship Id="rId709" Type="http://schemas.openxmlformats.org/officeDocument/2006/relationships/hyperlink" Target="https://dadosabertos.camara.leg.br/api/v2/deputados/204499" TargetMode="External"/><Relationship Id="rId1753" Type="http://schemas.openxmlformats.org/officeDocument/2006/relationships/hyperlink" Target="https://dadosabertos.camara.leg.br/api/v2/deputados/74841" TargetMode="External"/><Relationship Id="rId2804" Type="http://schemas.openxmlformats.org/officeDocument/2006/relationships/hyperlink" Target="https://dadosabertos.camara.leg.br/api/v2/deputados/133854" TargetMode="External"/><Relationship Id="rId45" Type="http://schemas.openxmlformats.org/officeDocument/2006/relationships/hyperlink" Target="https://dadosabertos.camara.leg.br/api/v2/deputados/178831" TargetMode="External"/><Relationship Id="rId1406" Type="http://schemas.openxmlformats.org/officeDocument/2006/relationships/hyperlink" Target="https://dadosabertos.camara.leg.br/api/v2/deputados/170489" TargetMode="External"/><Relationship Id="rId1820" Type="http://schemas.openxmlformats.org/officeDocument/2006/relationships/hyperlink" Target="https://dadosabertos.camara.leg.br/api/v2/deputados/141495" TargetMode="External"/><Relationship Id="rId4976" Type="http://schemas.openxmlformats.org/officeDocument/2006/relationships/hyperlink" Target="https://dadosabertos.camara.leg.br/api/v2/deputados/130402" TargetMode="External"/><Relationship Id="rId7382" Type="http://schemas.openxmlformats.org/officeDocument/2006/relationships/hyperlink" Target="https://dadosabertos.camara.leg.br/api/v2/deputados/636" TargetMode="External"/><Relationship Id="rId3578" Type="http://schemas.openxmlformats.org/officeDocument/2006/relationships/hyperlink" Target="https://dadosabertos.camara.leg.br/api/v2/deputados/131633" TargetMode="External"/><Relationship Id="rId3992" Type="http://schemas.openxmlformats.org/officeDocument/2006/relationships/hyperlink" Target="https://dadosabertos.camara.leg.br/api/v2/deputados/131478" TargetMode="External"/><Relationship Id="rId4629" Type="http://schemas.openxmlformats.org/officeDocument/2006/relationships/hyperlink" Target="https://dadosabertos.camara.leg.br/api/v2/deputados/130790" TargetMode="External"/><Relationship Id="rId7035" Type="http://schemas.openxmlformats.org/officeDocument/2006/relationships/hyperlink" Target="https://dadosabertos.camara.leg.br/api/v2/deputados/1152" TargetMode="External"/><Relationship Id="rId499" Type="http://schemas.openxmlformats.org/officeDocument/2006/relationships/hyperlink" Target="https://dadosabertos.camara.leg.br/api/v2/deputados/160556" TargetMode="External"/><Relationship Id="rId2594" Type="http://schemas.openxmlformats.org/officeDocument/2006/relationships/hyperlink" Target="https://dadosabertos.camara.leg.br/api/v2/deputados/73881" TargetMode="External"/><Relationship Id="rId3645" Type="http://schemas.openxmlformats.org/officeDocument/2006/relationships/hyperlink" Target="https://dadosabertos.camara.leg.br/api/v2/deputados/131782" TargetMode="External"/><Relationship Id="rId6051" Type="http://schemas.openxmlformats.org/officeDocument/2006/relationships/hyperlink" Target="https://dadosabertos.camara.leg.br/api/v2/deputados/4299" TargetMode="External"/><Relationship Id="rId7102" Type="http://schemas.openxmlformats.org/officeDocument/2006/relationships/hyperlink" Target="https://dadosabertos.camara.leg.br/api/v2/deputados/876" TargetMode="External"/><Relationship Id="rId566" Type="http://schemas.openxmlformats.org/officeDocument/2006/relationships/hyperlink" Target="https://dadosabertos.camara.leg.br/api/v2/deputados/220694" TargetMode="External"/><Relationship Id="rId1196" Type="http://schemas.openxmlformats.org/officeDocument/2006/relationships/hyperlink" Target="https://dadosabertos.camara.leg.br/api/v2/deputados/74634" TargetMode="External"/><Relationship Id="rId2247" Type="http://schemas.openxmlformats.org/officeDocument/2006/relationships/hyperlink" Target="https://dadosabertos.camara.leg.br/api/v2/deputados/73990" TargetMode="External"/><Relationship Id="rId219" Type="http://schemas.openxmlformats.org/officeDocument/2006/relationships/hyperlink" Target="https://dadosabertos.camara.leg.br/api/v2/deputados/218086" TargetMode="External"/><Relationship Id="rId633" Type="http://schemas.openxmlformats.org/officeDocument/2006/relationships/hyperlink" Target="https://dadosabertos.camara.leg.br/api/v2/deputados/220597" TargetMode="External"/><Relationship Id="rId980" Type="http://schemas.openxmlformats.org/officeDocument/2006/relationships/hyperlink" Target="https://dadosabertos.camara.leg.br/api/v2/deputados/178923" TargetMode="External"/><Relationship Id="rId1263" Type="http://schemas.openxmlformats.org/officeDocument/2006/relationships/hyperlink" Target="https://dadosabertos.camara.leg.br/api/v2/deputados/91208" TargetMode="External"/><Relationship Id="rId2314" Type="http://schemas.openxmlformats.org/officeDocument/2006/relationships/hyperlink" Target="https://dadosabertos.camara.leg.br/api/v2/deputados/74775" TargetMode="External"/><Relationship Id="rId2661" Type="http://schemas.openxmlformats.org/officeDocument/2006/relationships/hyperlink" Target="https://dadosabertos.camara.leg.br/api/v2/deputados/73694" TargetMode="External"/><Relationship Id="rId3712" Type="http://schemas.openxmlformats.org/officeDocument/2006/relationships/hyperlink" Target="https://dadosabertos.camara.leg.br/api/v2/deputados/131696" TargetMode="External"/><Relationship Id="rId6868" Type="http://schemas.openxmlformats.org/officeDocument/2006/relationships/hyperlink" Target="https://dadosabertos.camara.leg.br/api/v2/deputados/1066" TargetMode="External"/><Relationship Id="rId7919" Type="http://schemas.openxmlformats.org/officeDocument/2006/relationships/hyperlink" Target="https://dadosabertos.camara.leg.br/api/v2/deputados/203" TargetMode="External"/><Relationship Id="rId5884" Type="http://schemas.openxmlformats.org/officeDocument/2006/relationships/hyperlink" Target="https://dadosabertos.camara.leg.br/api/v2/deputados/130167" TargetMode="External"/><Relationship Id="rId6935" Type="http://schemas.openxmlformats.org/officeDocument/2006/relationships/hyperlink" Target="https://dadosabertos.camara.leg.br/api/v2/deputados/1227" TargetMode="External"/><Relationship Id="rId700" Type="http://schemas.openxmlformats.org/officeDocument/2006/relationships/hyperlink" Target="https://dadosabertos.camara.leg.br/api/v2/deputados/204551" TargetMode="External"/><Relationship Id="rId1330" Type="http://schemas.openxmlformats.org/officeDocument/2006/relationships/hyperlink" Target="https://dadosabertos.camara.leg.br/api/v2/deputados/141463" TargetMode="External"/><Relationship Id="rId3088" Type="http://schemas.openxmlformats.org/officeDocument/2006/relationships/hyperlink" Target="https://dadosabertos.camara.leg.br/api/v2/deputados/139242" TargetMode="External"/><Relationship Id="rId4486" Type="http://schemas.openxmlformats.org/officeDocument/2006/relationships/hyperlink" Target="https://dadosabertos.camara.leg.br/api/v2/deputados/131102" TargetMode="External"/><Relationship Id="rId5537" Type="http://schemas.openxmlformats.org/officeDocument/2006/relationships/hyperlink" Target="https://dadosabertos.camara.leg.br/api/v2/deputados/2708" TargetMode="External"/><Relationship Id="rId5951" Type="http://schemas.openxmlformats.org/officeDocument/2006/relationships/hyperlink" Target="https://dadosabertos.camara.leg.br/api/v2/deputados/2401" TargetMode="External"/><Relationship Id="rId4139" Type="http://schemas.openxmlformats.org/officeDocument/2006/relationships/hyperlink" Target="https://dadosabertos.camara.leg.br/api/v2/deputados/131264" TargetMode="External"/><Relationship Id="rId4553" Type="http://schemas.openxmlformats.org/officeDocument/2006/relationships/hyperlink" Target="https://dadosabertos.camara.leg.br/api/v2/deputados/130721" TargetMode="External"/><Relationship Id="rId5604" Type="http://schemas.openxmlformats.org/officeDocument/2006/relationships/hyperlink" Target="https://dadosabertos.camara.leg.br/api/v2/deputados/2753" TargetMode="External"/><Relationship Id="rId3155" Type="http://schemas.openxmlformats.org/officeDocument/2006/relationships/hyperlink" Target="https://dadosabertos.camara.leg.br/api/v2/deputados/139298" TargetMode="External"/><Relationship Id="rId4206" Type="http://schemas.openxmlformats.org/officeDocument/2006/relationships/hyperlink" Target="https://dadosabertos.camara.leg.br/api/v2/deputados/131174" TargetMode="External"/><Relationship Id="rId4620" Type="http://schemas.openxmlformats.org/officeDocument/2006/relationships/hyperlink" Target="https://dadosabertos.camara.leg.br/api/v2/deputados/130783" TargetMode="External"/><Relationship Id="rId7776" Type="http://schemas.openxmlformats.org/officeDocument/2006/relationships/hyperlink" Target="https://dadosabertos.camara.leg.br/api/v2/deputados/226" TargetMode="External"/><Relationship Id="rId490" Type="http://schemas.openxmlformats.org/officeDocument/2006/relationships/hyperlink" Target="https://www.facebook.com/nittinhovitale" TargetMode="External"/><Relationship Id="rId2171" Type="http://schemas.openxmlformats.org/officeDocument/2006/relationships/hyperlink" Target="https://dadosabertos.camara.leg.br/api/v2/deputados/73991" TargetMode="External"/><Relationship Id="rId3222" Type="http://schemas.openxmlformats.org/officeDocument/2006/relationships/hyperlink" Target="https://dadosabertos.camara.leg.br/api/v2/deputados/139356" TargetMode="External"/><Relationship Id="rId6378" Type="http://schemas.openxmlformats.org/officeDocument/2006/relationships/hyperlink" Target="https://dadosabertos.camara.leg.br/api/v2/deputados/3672" TargetMode="External"/><Relationship Id="rId7429" Type="http://schemas.openxmlformats.org/officeDocument/2006/relationships/hyperlink" Target="https://dadosabertos.camara.leg.br/api/v2/deputados/703" TargetMode="External"/><Relationship Id="rId143" Type="http://schemas.openxmlformats.org/officeDocument/2006/relationships/hyperlink" Target="https://www.instagram.com/daniel.agrobom" TargetMode="External"/><Relationship Id="rId5394" Type="http://schemas.openxmlformats.org/officeDocument/2006/relationships/hyperlink" Target="https://dadosabertos.camara.leg.br/api/v2/deputados/4782" TargetMode="External"/><Relationship Id="rId6445" Type="http://schemas.openxmlformats.org/officeDocument/2006/relationships/hyperlink" Target="https://dadosabertos.camara.leg.br/api/v2/deputados/2170" TargetMode="External"/><Relationship Id="rId6792" Type="http://schemas.openxmlformats.org/officeDocument/2006/relationships/hyperlink" Target="https://dadosabertos.camara.leg.br/api/v2/deputados/4073" TargetMode="External"/><Relationship Id="rId7843" Type="http://schemas.openxmlformats.org/officeDocument/2006/relationships/hyperlink" Target="https://dadosabertos.camara.leg.br/api/v2/deputados/234" TargetMode="External"/><Relationship Id="rId9" Type="http://schemas.openxmlformats.org/officeDocument/2006/relationships/hyperlink" Target="https://dadosabertos.camara.leg.br/api/v2/deputados/160508" TargetMode="External"/><Relationship Id="rId210" Type="http://schemas.openxmlformats.org/officeDocument/2006/relationships/hyperlink" Target="https://dadosabertos.camara.leg.br/api/v2/deputados/141421" TargetMode="External"/><Relationship Id="rId2988" Type="http://schemas.openxmlformats.org/officeDocument/2006/relationships/hyperlink" Target="https://dadosabertos.camara.leg.br/api/v2/deputados/139154" TargetMode="External"/><Relationship Id="rId5047" Type="http://schemas.openxmlformats.org/officeDocument/2006/relationships/hyperlink" Target="https://dadosabertos.camara.leg.br/api/v2/deputados/3121" TargetMode="External"/><Relationship Id="rId7910" Type="http://schemas.openxmlformats.org/officeDocument/2006/relationships/hyperlink" Target="https://dadosabertos.camara.leg.br/api/v2/deputados/52" TargetMode="External"/><Relationship Id="rId5461" Type="http://schemas.openxmlformats.org/officeDocument/2006/relationships/hyperlink" Target="https://dadosabertos.camara.leg.br/api/v2/deputados/130276" TargetMode="External"/><Relationship Id="rId6512" Type="http://schemas.openxmlformats.org/officeDocument/2006/relationships/hyperlink" Target="https://dadosabertos.camara.leg.br/api/v2/deputados/3803" TargetMode="External"/><Relationship Id="rId1657" Type="http://schemas.openxmlformats.org/officeDocument/2006/relationships/hyperlink" Target="https://dadosabertos.camara.leg.br/api/v2/deputados/152607" TargetMode="External"/><Relationship Id="rId2708" Type="http://schemas.openxmlformats.org/officeDocument/2006/relationships/hyperlink" Target="https://dadosabertos.camara.leg.br/api/v2/deputados/133971" TargetMode="External"/><Relationship Id="rId4063" Type="http://schemas.openxmlformats.org/officeDocument/2006/relationships/hyperlink" Target="https://dadosabertos.camara.leg.br/api/v2/deputados/131166" TargetMode="External"/><Relationship Id="rId5114" Type="http://schemas.openxmlformats.org/officeDocument/2006/relationships/hyperlink" Target="https://dadosabertos.camara.leg.br/api/v2/deputados/3043" TargetMode="External"/><Relationship Id="rId1724" Type="http://schemas.openxmlformats.org/officeDocument/2006/relationships/hyperlink" Target="https://dadosabertos.camara.leg.br/api/v2/deputados/159263" TargetMode="External"/><Relationship Id="rId4130" Type="http://schemas.openxmlformats.org/officeDocument/2006/relationships/hyperlink" Target="https://dadosabertos.camara.leg.br/api/v2/deputados/131257" TargetMode="External"/><Relationship Id="rId7286" Type="http://schemas.openxmlformats.org/officeDocument/2006/relationships/hyperlink" Target="https://dadosabertos.camara.leg.br/api/v2/deputados/4498" TargetMode="External"/><Relationship Id="rId16" Type="http://schemas.openxmlformats.org/officeDocument/2006/relationships/hyperlink" Target="https://www.facebook.com/deputadoalbertofraga" TargetMode="External"/><Relationship Id="rId3896" Type="http://schemas.openxmlformats.org/officeDocument/2006/relationships/hyperlink" Target="https://dadosabertos.camara.leg.br/api/v2/deputados/131621" TargetMode="External"/><Relationship Id="rId7353" Type="http://schemas.openxmlformats.org/officeDocument/2006/relationships/hyperlink" Target="https://dadosabertos.camara.leg.br/api/v2/deputados/828" TargetMode="External"/><Relationship Id="rId2498" Type="http://schemas.openxmlformats.org/officeDocument/2006/relationships/hyperlink" Target="https://dadosabertos.camara.leg.br/api/v2/deputados/74116" TargetMode="External"/><Relationship Id="rId3549" Type="http://schemas.openxmlformats.org/officeDocument/2006/relationships/hyperlink" Target="https://dadosabertos.camara.leg.br/api/v2/deputados/132088" TargetMode="External"/><Relationship Id="rId4947" Type="http://schemas.openxmlformats.org/officeDocument/2006/relationships/hyperlink" Target="https://dadosabertos.camara.leg.br/api/v2/deputados/130419" TargetMode="External"/><Relationship Id="rId7006" Type="http://schemas.openxmlformats.org/officeDocument/2006/relationships/hyperlink" Target="https://dadosabertos.camara.leg.br/api/v2/deputados/1055" TargetMode="External"/><Relationship Id="rId7420" Type="http://schemas.openxmlformats.org/officeDocument/2006/relationships/hyperlink" Target="https://dadosabertos.camara.leg.br/api/v2/deputados/808" TargetMode="External"/><Relationship Id="rId3963" Type="http://schemas.openxmlformats.org/officeDocument/2006/relationships/hyperlink" Target="https://dadosabertos.camara.leg.br/api/v2/deputados/131452" TargetMode="External"/><Relationship Id="rId6022" Type="http://schemas.openxmlformats.org/officeDocument/2006/relationships/hyperlink" Target="https://dadosabertos.camara.leg.br/api/v2/deputados/4267" TargetMode="External"/><Relationship Id="rId884" Type="http://schemas.openxmlformats.org/officeDocument/2006/relationships/hyperlink" Target="https://dadosabertos.camara.leg.br/api/v2/deputados/73463" TargetMode="External"/><Relationship Id="rId2565" Type="http://schemas.openxmlformats.org/officeDocument/2006/relationships/hyperlink" Target="https://dadosabertos.camara.leg.br/api/v2/deputados/74135" TargetMode="External"/><Relationship Id="rId3616" Type="http://schemas.openxmlformats.org/officeDocument/2006/relationships/hyperlink" Target="https://dadosabertos.camara.leg.br/api/v2/deputados/131804" TargetMode="External"/><Relationship Id="rId537" Type="http://schemas.openxmlformats.org/officeDocument/2006/relationships/hyperlink" Target="https://dadosabertos.camara.leg.br/api/v2/deputados/160601" TargetMode="External"/><Relationship Id="rId951" Type="http://schemas.openxmlformats.org/officeDocument/2006/relationships/hyperlink" Target="https://dadosabertos.camara.leg.br/api/v2/deputados/178922" TargetMode="External"/><Relationship Id="rId1167" Type="http://schemas.openxmlformats.org/officeDocument/2006/relationships/hyperlink" Target="https://dadosabertos.camara.leg.br/api/v2/deputados/160628" TargetMode="External"/><Relationship Id="rId1581" Type="http://schemas.openxmlformats.org/officeDocument/2006/relationships/hyperlink" Target="https://dadosabertos.camara.leg.br/api/v2/deputados/73883" TargetMode="External"/><Relationship Id="rId2218" Type="http://schemas.openxmlformats.org/officeDocument/2006/relationships/hyperlink" Target="https://dadosabertos.camara.leg.br/api/v2/deputados/74677" TargetMode="External"/><Relationship Id="rId2632" Type="http://schemas.openxmlformats.org/officeDocument/2006/relationships/hyperlink" Target="https://dadosabertos.camara.leg.br/api/v2/deputados/73650" TargetMode="External"/><Relationship Id="rId5788" Type="http://schemas.openxmlformats.org/officeDocument/2006/relationships/hyperlink" Target="https://dadosabertos.camara.leg.br/api/v2/deputados/2382" TargetMode="External"/><Relationship Id="rId6839" Type="http://schemas.openxmlformats.org/officeDocument/2006/relationships/hyperlink" Target="https://dadosabertos.camara.leg.br/api/v2/deputados/1142" TargetMode="External"/><Relationship Id="rId604" Type="http://schemas.openxmlformats.org/officeDocument/2006/relationships/hyperlink" Target="https://dadosabertos.camara.leg.br/api/v2/deputados/204387" TargetMode="External"/><Relationship Id="rId1234" Type="http://schemas.openxmlformats.org/officeDocument/2006/relationships/hyperlink" Target="https://dadosabertos.camara.leg.br/api/v2/deputados/74017" TargetMode="External"/><Relationship Id="rId5855" Type="http://schemas.openxmlformats.org/officeDocument/2006/relationships/hyperlink" Target="https://dadosabertos.camara.leg.br/api/v2/deputados/2510" TargetMode="External"/><Relationship Id="rId6906" Type="http://schemas.openxmlformats.org/officeDocument/2006/relationships/hyperlink" Target="https://dadosabertos.camara.leg.br/api/v2/deputados/1114" TargetMode="External"/><Relationship Id="rId1301" Type="http://schemas.openxmlformats.org/officeDocument/2006/relationships/hyperlink" Target="https://dadosabertos.camara.leg.br/api/v2/deputados/160611" TargetMode="External"/><Relationship Id="rId4457" Type="http://schemas.openxmlformats.org/officeDocument/2006/relationships/hyperlink" Target="https://dadosabertos.camara.leg.br/api/v2/deputados/131072" TargetMode="External"/><Relationship Id="rId5508" Type="http://schemas.openxmlformats.org/officeDocument/2006/relationships/hyperlink" Target="https://dadosabertos.camara.leg.br/api/v2/deputados/130280" TargetMode="External"/><Relationship Id="rId3059" Type="http://schemas.openxmlformats.org/officeDocument/2006/relationships/hyperlink" Target="https://dadosabertos.camara.leg.br/api/v2/deputados/139217" TargetMode="External"/><Relationship Id="rId3473" Type="http://schemas.openxmlformats.org/officeDocument/2006/relationships/hyperlink" Target="https://dadosabertos.camara.leg.br/api/v2/deputados/132027" TargetMode="External"/><Relationship Id="rId4524" Type="http://schemas.openxmlformats.org/officeDocument/2006/relationships/hyperlink" Target="https://dadosabertos.camara.leg.br/api/v2/deputados/131127" TargetMode="External"/><Relationship Id="rId4871" Type="http://schemas.openxmlformats.org/officeDocument/2006/relationships/hyperlink" Target="https://dadosabertos.camara.leg.br/api/v2/deputados/130642" TargetMode="External"/><Relationship Id="rId5922" Type="http://schemas.openxmlformats.org/officeDocument/2006/relationships/hyperlink" Target="https://dadosabertos.camara.leg.br/api/v2/deputados/2271" TargetMode="External"/><Relationship Id="rId394" Type="http://schemas.openxmlformats.org/officeDocument/2006/relationships/hyperlink" Target="https://dadosabertos.camara.leg.br/api/v2/deputados/178931" TargetMode="External"/><Relationship Id="rId2075" Type="http://schemas.openxmlformats.org/officeDocument/2006/relationships/hyperlink" Target="https://dadosabertos.camara.leg.br/api/v2/deputados/74157" TargetMode="External"/><Relationship Id="rId3126" Type="http://schemas.openxmlformats.org/officeDocument/2006/relationships/hyperlink" Target="https://dadosabertos.camara.leg.br/api/v2/deputados/139275" TargetMode="External"/><Relationship Id="rId1091" Type="http://schemas.openxmlformats.org/officeDocument/2006/relationships/hyperlink" Target="https://dadosabertos.camara.leg.br/api/v2/deputados/178978" TargetMode="External"/><Relationship Id="rId3540" Type="http://schemas.openxmlformats.org/officeDocument/2006/relationships/hyperlink" Target="https://dadosabertos.camara.leg.br/api/v2/deputados/132082" TargetMode="External"/><Relationship Id="rId5298" Type="http://schemas.openxmlformats.org/officeDocument/2006/relationships/hyperlink" Target="https://dadosabertos.camara.leg.br/api/v2/deputados/130381" TargetMode="External"/><Relationship Id="rId6696" Type="http://schemas.openxmlformats.org/officeDocument/2006/relationships/hyperlink" Target="https://dadosabertos.camara.leg.br/api/v2/deputados/1933" TargetMode="External"/><Relationship Id="rId7747" Type="http://schemas.openxmlformats.org/officeDocument/2006/relationships/hyperlink" Target="https://dadosabertos.camara.leg.br/api/v2/deputados/116" TargetMode="External"/><Relationship Id="rId114" Type="http://schemas.openxmlformats.org/officeDocument/2006/relationships/hyperlink" Target="https://dadosabertos.camara.leg.br/api/v2/deputados/204496" TargetMode="External"/><Relationship Id="rId461" Type="http://schemas.openxmlformats.org/officeDocument/2006/relationships/hyperlink" Target="https://dadosabertos.camara.leg.br/api/v2/deputados/220647" TargetMode="External"/><Relationship Id="rId2142" Type="http://schemas.openxmlformats.org/officeDocument/2006/relationships/hyperlink" Target="https://dadosabertos.camara.leg.br/api/v2/deputados/74592" TargetMode="External"/><Relationship Id="rId6349" Type="http://schemas.openxmlformats.org/officeDocument/2006/relationships/hyperlink" Target="https://dadosabertos.camara.leg.br/api/v2/deputados/2030" TargetMode="External"/><Relationship Id="rId6763" Type="http://schemas.openxmlformats.org/officeDocument/2006/relationships/hyperlink" Target="https://dadosabertos.camara.leg.br/api/v2/deputados/1720" TargetMode="External"/><Relationship Id="rId7814" Type="http://schemas.openxmlformats.org/officeDocument/2006/relationships/hyperlink" Target="https://dadosabertos.camara.leg.br/api/v2/deputados/277" TargetMode="External"/><Relationship Id="rId2959" Type="http://schemas.openxmlformats.org/officeDocument/2006/relationships/hyperlink" Target="https://dadosabertos.camara.leg.br/api/v2/deputados/139128" TargetMode="External"/><Relationship Id="rId5365" Type="http://schemas.openxmlformats.org/officeDocument/2006/relationships/hyperlink" Target="https://dadosabertos.camara.leg.br/api/v2/deputados/130251" TargetMode="External"/><Relationship Id="rId6416" Type="http://schemas.openxmlformats.org/officeDocument/2006/relationships/hyperlink" Target="https://dadosabertos.camara.leg.br/api/v2/deputados/2148" TargetMode="External"/><Relationship Id="rId6830" Type="http://schemas.openxmlformats.org/officeDocument/2006/relationships/hyperlink" Target="https://dadosabertos.camara.leg.br/api/v2/deputados/1775" TargetMode="External"/><Relationship Id="rId4381" Type="http://schemas.openxmlformats.org/officeDocument/2006/relationships/hyperlink" Target="https://dadosabertos.camara.leg.br/api/v2/deputados/130892" TargetMode="External"/><Relationship Id="rId5018" Type="http://schemas.openxmlformats.org/officeDocument/2006/relationships/hyperlink" Target="https://dadosabertos.camara.leg.br/api/v2/deputados/3117" TargetMode="External"/><Relationship Id="rId5432" Type="http://schemas.openxmlformats.org/officeDocument/2006/relationships/hyperlink" Target="https://dadosabertos.camara.leg.br/api/v2/deputados/130263" TargetMode="External"/><Relationship Id="rId1628" Type="http://schemas.openxmlformats.org/officeDocument/2006/relationships/hyperlink" Target="https://dadosabertos.camara.leg.br/api/v2/deputados/74533" TargetMode="External"/><Relationship Id="rId1975" Type="http://schemas.openxmlformats.org/officeDocument/2006/relationships/hyperlink" Target="https://dadosabertos.camara.leg.br/api/v2/deputados/74705" TargetMode="External"/><Relationship Id="rId4034" Type="http://schemas.openxmlformats.org/officeDocument/2006/relationships/hyperlink" Target="https://dadosabertos.camara.leg.br/api/v2/deputados/3144" TargetMode="External"/><Relationship Id="rId3050" Type="http://schemas.openxmlformats.org/officeDocument/2006/relationships/hyperlink" Target="https://dadosabertos.camara.leg.br/api/v2/deputados/139210" TargetMode="External"/><Relationship Id="rId4101" Type="http://schemas.openxmlformats.org/officeDocument/2006/relationships/hyperlink" Target="https://dadosabertos.camara.leg.br/api/v2/deputados/131227" TargetMode="External"/><Relationship Id="rId7257" Type="http://schemas.openxmlformats.org/officeDocument/2006/relationships/hyperlink" Target="https://dadosabertos.camara.leg.br/api/v2/deputados/788" TargetMode="External"/><Relationship Id="rId7671" Type="http://schemas.openxmlformats.org/officeDocument/2006/relationships/hyperlink" Target="https://dadosabertos.camara.leg.br/api/v2/deputados/395" TargetMode="External"/><Relationship Id="rId3867" Type="http://schemas.openxmlformats.org/officeDocument/2006/relationships/hyperlink" Target="https://dadosabertos.camara.leg.br/api/v2/deputados/131598" TargetMode="External"/><Relationship Id="rId4918" Type="http://schemas.openxmlformats.org/officeDocument/2006/relationships/hyperlink" Target="https://dadosabertos.camara.leg.br/api/v2/deputados/130388" TargetMode="External"/><Relationship Id="rId6273" Type="http://schemas.openxmlformats.org/officeDocument/2006/relationships/hyperlink" Target="https://dadosabertos.camara.leg.br/api/v2/deputados/130106" TargetMode="External"/><Relationship Id="rId7324" Type="http://schemas.openxmlformats.org/officeDocument/2006/relationships/hyperlink" Target="https://dadosabertos.camara.leg.br/api/v2/deputados/883" TargetMode="External"/><Relationship Id="rId788" Type="http://schemas.openxmlformats.org/officeDocument/2006/relationships/hyperlink" Target="https://dadosabertos.camara.leg.br/api/v2/deputados/204465" TargetMode="External"/><Relationship Id="rId2469" Type="http://schemas.openxmlformats.org/officeDocument/2006/relationships/hyperlink" Target="https://dadosabertos.camara.leg.br/api/v2/deputados/74406" TargetMode="External"/><Relationship Id="rId2883" Type="http://schemas.openxmlformats.org/officeDocument/2006/relationships/hyperlink" Target="https://dadosabertos.camara.leg.br/api/v2/deputados/133943" TargetMode="External"/><Relationship Id="rId3934" Type="http://schemas.openxmlformats.org/officeDocument/2006/relationships/hyperlink" Target="https://dadosabertos.camara.leg.br/api/v2/deputados/131411" TargetMode="External"/><Relationship Id="rId6340" Type="http://schemas.openxmlformats.org/officeDocument/2006/relationships/hyperlink" Target="https://dadosabertos.camara.leg.br/api/v2/deputados/2314" TargetMode="External"/><Relationship Id="rId855" Type="http://schemas.openxmlformats.org/officeDocument/2006/relationships/hyperlink" Target="https://dadosabertos.camara.leg.br/api/v2/deputados/160542" TargetMode="External"/><Relationship Id="rId1485" Type="http://schemas.openxmlformats.org/officeDocument/2006/relationships/hyperlink" Target="https://dadosabertos.camara.leg.br/api/v2/deputados/74120" TargetMode="External"/><Relationship Id="rId2536" Type="http://schemas.openxmlformats.org/officeDocument/2006/relationships/hyperlink" Target="https://dadosabertos.camara.leg.br/api/v2/deputados/74182" TargetMode="External"/><Relationship Id="rId508" Type="http://schemas.openxmlformats.org/officeDocument/2006/relationships/hyperlink" Target="http://www.twitter.com/pauderney" TargetMode="External"/><Relationship Id="rId922" Type="http://schemas.openxmlformats.org/officeDocument/2006/relationships/hyperlink" Target="https://dadosabertos.camara.leg.br/api/v2/deputados/152610" TargetMode="External"/><Relationship Id="rId1138" Type="http://schemas.openxmlformats.org/officeDocument/2006/relationships/hyperlink" Target="https://dadosabertos.camara.leg.br/api/v2/deputados/73535" TargetMode="External"/><Relationship Id="rId1552" Type="http://schemas.openxmlformats.org/officeDocument/2006/relationships/hyperlink" Target="https://dadosabertos.camara.leg.br/api/v2/deputados/74045" TargetMode="External"/><Relationship Id="rId2603" Type="http://schemas.openxmlformats.org/officeDocument/2006/relationships/hyperlink" Target="https://dadosabertos.camara.leg.br/api/v2/deputados/73670" TargetMode="External"/><Relationship Id="rId2950" Type="http://schemas.openxmlformats.org/officeDocument/2006/relationships/hyperlink" Target="https://dadosabertos.camara.leg.br/api/v2/deputados/73863" TargetMode="External"/><Relationship Id="rId5759" Type="http://schemas.openxmlformats.org/officeDocument/2006/relationships/hyperlink" Target="https://dadosabertos.camara.leg.br/api/v2/deputados/2681" TargetMode="External"/><Relationship Id="rId1205" Type="http://schemas.openxmlformats.org/officeDocument/2006/relationships/hyperlink" Target="https://dadosabertos.camara.leg.br/api/v2/deputados/64960" TargetMode="External"/><Relationship Id="rId7181" Type="http://schemas.openxmlformats.org/officeDocument/2006/relationships/hyperlink" Target="https://dadosabertos.camara.leg.br/api/v2/deputados/644" TargetMode="External"/><Relationship Id="rId3377" Type="http://schemas.openxmlformats.org/officeDocument/2006/relationships/hyperlink" Target="https://dadosabertos.camara.leg.br/api/v2/deputados/132140" TargetMode="External"/><Relationship Id="rId4775" Type="http://schemas.openxmlformats.org/officeDocument/2006/relationships/hyperlink" Target="https://dadosabertos.camara.leg.br/api/v2/deputados/130598" TargetMode="External"/><Relationship Id="rId5826" Type="http://schemas.openxmlformats.org/officeDocument/2006/relationships/hyperlink" Target="https://dadosabertos.camara.leg.br/api/v2/deputados/130188" TargetMode="External"/><Relationship Id="rId298" Type="http://schemas.openxmlformats.org/officeDocument/2006/relationships/hyperlink" Target="https://dadosabertos.camara.leg.br/api/v2/deputados/178964" TargetMode="External"/><Relationship Id="rId3791" Type="http://schemas.openxmlformats.org/officeDocument/2006/relationships/hyperlink" Target="https://dadosabertos.camara.leg.br/api/v2/deputados/131674" TargetMode="External"/><Relationship Id="rId4428" Type="http://schemas.openxmlformats.org/officeDocument/2006/relationships/hyperlink" Target="https://dadosabertos.camara.leg.br/api/v2/deputados/131046" TargetMode="External"/><Relationship Id="rId4842" Type="http://schemas.openxmlformats.org/officeDocument/2006/relationships/hyperlink" Target="https://dadosabertos.camara.leg.br/api/v2/deputados/130634" TargetMode="External"/><Relationship Id="rId2393" Type="http://schemas.openxmlformats.org/officeDocument/2006/relationships/hyperlink" Target="https://dadosabertos.camara.leg.br/api/v2/deputados/74523" TargetMode="External"/><Relationship Id="rId3444" Type="http://schemas.openxmlformats.org/officeDocument/2006/relationships/hyperlink" Target="https://dadosabertos.camara.leg.br/api/v2/deputados/132007" TargetMode="External"/><Relationship Id="rId365" Type="http://schemas.openxmlformats.org/officeDocument/2006/relationships/hyperlink" Target="https://dadosabertos.camara.leg.br/api/v2/deputados/178886" TargetMode="External"/><Relationship Id="rId2046" Type="http://schemas.openxmlformats.org/officeDocument/2006/relationships/hyperlink" Target="https://dadosabertos.camara.leg.br/api/v2/deputados/73901" TargetMode="External"/><Relationship Id="rId2460" Type="http://schemas.openxmlformats.org/officeDocument/2006/relationships/hyperlink" Target="https://dadosabertos.camara.leg.br/api/v2/deputados/74322" TargetMode="External"/><Relationship Id="rId3511" Type="http://schemas.openxmlformats.org/officeDocument/2006/relationships/hyperlink" Target="https://dadosabertos.camara.leg.br/api/v2/deputados/132060" TargetMode="External"/><Relationship Id="rId6667" Type="http://schemas.openxmlformats.org/officeDocument/2006/relationships/hyperlink" Target="https://dadosabertos.camara.leg.br/api/v2/deputados/1790" TargetMode="External"/><Relationship Id="rId7718" Type="http://schemas.openxmlformats.org/officeDocument/2006/relationships/hyperlink" Target="https://dadosabertos.camara.leg.br/api/v2/deputados/519" TargetMode="External"/><Relationship Id="rId432" Type="http://schemas.openxmlformats.org/officeDocument/2006/relationships/hyperlink" Target="https://dadosabertos.camara.leg.br/api/v2/deputados/81055" TargetMode="External"/><Relationship Id="rId1062" Type="http://schemas.openxmlformats.org/officeDocument/2006/relationships/hyperlink" Target="https://dadosabertos.camara.leg.br/api/v2/deputados/160646" TargetMode="External"/><Relationship Id="rId2113" Type="http://schemas.openxmlformats.org/officeDocument/2006/relationships/hyperlink" Target="https://dadosabertos.camara.leg.br/api/v2/deputados/74448" TargetMode="External"/><Relationship Id="rId5269" Type="http://schemas.openxmlformats.org/officeDocument/2006/relationships/hyperlink" Target="https://dadosabertos.camara.leg.br/api/v2/deputados/4903" TargetMode="External"/><Relationship Id="rId5683" Type="http://schemas.openxmlformats.org/officeDocument/2006/relationships/hyperlink" Target="https://dadosabertos.camara.leg.br/api/v2/deputados/2649" TargetMode="External"/><Relationship Id="rId6734" Type="http://schemas.openxmlformats.org/officeDocument/2006/relationships/hyperlink" Target="https://dadosabertos.camara.leg.br/api/v2/deputados/1661" TargetMode="External"/><Relationship Id="rId4285" Type="http://schemas.openxmlformats.org/officeDocument/2006/relationships/hyperlink" Target="https://dadosabertos.camara.leg.br/api/v2/deputados/130891" TargetMode="External"/><Relationship Id="rId5336" Type="http://schemas.openxmlformats.org/officeDocument/2006/relationships/hyperlink" Target="https://dadosabertos.camara.leg.br/api/v2/deputados/130247" TargetMode="External"/><Relationship Id="rId1879" Type="http://schemas.openxmlformats.org/officeDocument/2006/relationships/hyperlink" Target="https://dadosabertos.camara.leg.br/api/v2/deputados/160520" TargetMode="External"/><Relationship Id="rId5750" Type="http://schemas.openxmlformats.org/officeDocument/2006/relationships/hyperlink" Target="https://dadosabertos.camara.leg.br/api/v2/deputados/4490" TargetMode="External"/><Relationship Id="rId6801" Type="http://schemas.openxmlformats.org/officeDocument/2006/relationships/hyperlink" Target="https://dadosabertos.camara.leg.br/api/v2/deputados/1585" TargetMode="External"/><Relationship Id="rId1946" Type="http://schemas.openxmlformats.org/officeDocument/2006/relationships/hyperlink" Target="https://dadosabertos.camara.leg.br/api/v2/deputados/73663" TargetMode="External"/><Relationship Id="rId4005" Type="http://schemas.openxmlformats.org/officeDocument/2006/relationships/hyperlink" Target="https://dadosabertos.camara.leg.br/api/v2/deputados/131486" TargetMode="External"/><Relationship Id="rId4352" Type="http://schemas.openxmlformats.org/officeDocument/2006/relationships/hyperlink" Target="https://dadosabertos.camara.leg.br/api/v2/deputados/130954" TargetMode="External"/><Relationship Id="rId5403" Type="http://schemas.openxmlformats.org/officeDocument/2006/relationships/hyperlink" Target="https://dadosabertos.camara.leg.br/api/v2/deputados/4727" TargetMode="External"/><Relationship Id="rId7575" Type="http://schemas.openxmlformats.org/officeDocument/2006/relationships/hyperlink" Target="https://dadosabertos.camara.leg.br/api/v2/deputados/604" TargetMode="External"/><Relationship Id="rId3021" Type="http://schemas.openxmlformats.org/officeDocument/2006/relationships/hyperlink" Target="https://dadosabertos.camara.leg.br/api/v2/deputados/1539" TargetMode="External"/><Relationship Id="rId6177" Type="http://schemas.openxmlformats.org/officeDocument/2006/relationships/hyperlink" Target="https://dadosabertos.camara.leg.br/api/v2/deputados/4156" TargetMode="External"/><Relationship Id="rId6591" Type="http://schemas.openxmlformats.org/officeDocument/2006/relationships/hyperlink" Target="https://dadosabertos.camara.leg.br/api/v2/deputados/1973" TargetMode="External"/><Relationship Id="rId7228" Type="http://schemas.openxmlformats.org/officeDocument/2006/relationships/hyperlink" Target="https://dadosabertos.camara.leg.br/api/v2/deputados/1023" TargetMode="External"/><Relationship Id="rId7642" Type="http://schemas.openxmlformats.org/officeDocument/2006/relationships/hyperlink" Target="https://dadosabertos.camara.leg.br/api/v2/deputados/492" TargetMode="External"/><Relationship Id="rId2787" Type="http://schemas.openxmlformats.org/officeDocument/2006/relationships/hyperlink" Target="https://dadosabertos.camara.leg.br/api/v2/deputados/73742" TargetMode="External"/><Relationship Id="rId3838" Type="http://schemas.openxmlformats.org/officeDocument/2006/relationships/hyperlink" Target="https://dadosabertos.camara.leg.br/api/v2/deputados/131567" TargetMode="External"/><Relationship Id="rId5193" Type="http://schemas.openxmlformats.org/officeDocument/2006/relationships/hyperlink" Target="https://dadosabertos.camara.leg.br/api/v2/deputados/2793" TargetMode="External"/><Relationship Id="rId6244" Type="http://schemas.openxmlformats.org/officeDocument/2006/relationships/hyperlink" Target="https://dadosabertos.camara.leg.br/api/v2/deputados/3552" TargetMode="External"/><Relationship Id="rId759" Type="http://schemas.openxmlformats.org/officeDocument/2006/relationships/hyperlink" Target="https://dadosabertos.camara.leg.br/api/v2/deputados/219920" TargetMode="External"/><Relationship Id="rId1389" Type="http://schemas.openxmlformats.org/officeDocument/2006/relationships/hyperlink" Target="https://dadosabertos.camara.leg.br/api/v2/deputados/160580" TargetMode="External"/><Relationship Id="rId5260" Type="http://schemas.openxmlformats.org/officeDocument/2006/relationships/hyperlink" Target="https://dadosabertos.camara.leg.br/api/v2/deputados/130348" TargetMode="External"/><Relationship Id="rId6311" Type="http://schemas.openxmlformats.org/officeDocument/2006/relationships/hyperlink" Target="https://dadosabertos.camara.leg.br/api/v2/deputados/3605" TargetMode="External"/><Relationship Id="rId2854" Type="http://schemas.openxmlformats.org/officeDocument/2006/relationships/hyperlink" Target="https://dadosabertos.camara.leg.br/api/v2/deputados/133889" TargetMode="External"/><Relationship Id="rId3905" Type="http://schemas.openxmlformats.org/officeDocument/2006/relationships/hyperlink" Target="https://dadosabertos.camara.leg.br/api/v2/deputados/131390" TargetMode="External"/><Relationship Id="rId95" Type="http://schemas.openxmlformats.org/officeDocument/2006/relationships/hyperlink" Target="https://dadosabertos.camara.leg.br/api/v2/deputados/213762" TargetMode="External"/><Relationship Id="rId826" Type="http://schemas.openxmlformats.org/officeDocument/2006/relationships/hyperlink" Target="https://dadosabertos.camara.leg.br/api/v2/deputados/74254" TargetMode="External"/><Relationship Id="rId1109" Type="http://schemas.openxmlformats.org/officeDocument/2006/relationships/hyperlink" Target="https://dadosabertos.camara.leg.br/api/v2/deputados/97707" TargetMode="External"/><Relationship Id="rId1456" Type="http://schemas.openxmlformats.org/officeDocument/2006/relationships/hyperlink" Target="https://dadosabertos.camara.leg.br/api/v2/deputados/173802" TargetMode="External"/><Relationship Id="rId1870" Type="http://schemas.openxmlformats.org/officeDocument/2006/relationships/hyperlink" Target="https://dadosabertos.camara.leg.br/api/v2/deputados/74433" TargetMode="External"/><Relationship Id="rId2507" Type="http://schemas.openxmlformats.org/officeDocument/2006/relationships/hyperlink" Target="https://dadosabertos.camara.leg.br/api/v2/deputados/74223" TargetMode="External"/><Relationship Id="rId2921" Type="http://schemas.openxmlformats.org/officeDocument/2006/relationships/hyperlink" Target="https://dadosabertos.camara.leg.br/api/v2/deputados/133948" TargetMode="External"/><Relationship Id="rId7085" Type="http://schemas.openxmlformats.org/officeDocument/2006/relationships/hyperlink" Target="https://dadosabertos.camara.leg.br/api/v2/deputados/1977" TargetMode="External"/><Relationship Id="rId1523" Type="http://schemas.openxmlformats.org/officeDocument/2006/relationships/hyperlink" Target="https://dadosabertos.camara.leg.br/api/v2/deputados/171618" TargetMode="External"/><Relationship Id="rId4679" Type="http://schemas.openxmlformats.org/officeDocument/2006/relationships/hyperlink" Target="https://dadosabertos.camara.leg.br/api/v2/deputados/130845" TargetMode="External"/><Relationship Id="rId3695" Type="http://schemas.openxmlformats.org/officeDocument/2006/relationships/hyperlink" Target="https://dadosabertos.camara.leg.br/api/v2/deputados/131755" TargetMode="External"/><Relationship Id="rId4746" Type="http://schemas.openxmlformats.org/officeDocument/2006/relationships/hyperlink" Target="https://dadosabertos.camara.leg.br/api/v2/deputados/130539" TargetMode="External"/><Relationship Id="rId7152" Type="http://schemas.openxmlformats.org/officeDocument/2006/relationships/hyperlink" Target="https://dadosabertos.camara.leg.br/api/v2/deputados/791" TargetMode="External"/><Relationship Id="rId2297" Type="http://schemas.openxmlformats.org/officeDocument/2006/relationships/hyperlink" Target="https://dadosabertos.camara.leg.br/api/v2/deputados/73541" TargetMode="External"/><Relationship Id="rId3348" Type="http://schemas.openxmlformats.org/officeDocument/2006/relationships/hyperlink" Target="https://dadosabertos.camara.leg.br/api/v2/deputados/131904" TargetMode="External"/><Relationship Id="rId3762" Type="http://schemas.openxmlformats.org/officeDocument/2006/relationships/hyperlink" Target="https://dadosabertos.camara.leg.br/api/v2/deputados/131702" TargetMode="External"/><Relationship Id="rId4813" Type="http://schemas.openxmlformats.org/officeDocument/2006/relationships/hyperlink" Target="https://dadosabertos.camara.leg.br/api/v2/deputados/130601" TargetMode="External"/><Relationship Id="rId7969" Type="http://schemas.openxmlformats.org/officeDocument/2006/relationships/hyperlink" Target="https://dadosabertos.camara.leg.br/api/v2/deputados/169" TargetMode="External"/><Relationship Id="rId269" Type="http://schemas.openxmlformats.org/officeDocument/2006/relationships/hyperlink" Target="https://dadosabertos.camara.leg.br/api/v2/deputados/74374" TargetMode="External"/><Relationship Id="rId683" Type="http://schemas.openxmlformats.org/officeDocument/2006/relationships/hyperlink" Target="https://dadosabertos.camara.leg.br/api/v2/deputados/178833" TargetMode="External"/><Relationship Id="rId2364" Type="http://schemas.openxmlformats.org/officeDocument/2006/relationships/hyperlink" Target="https://dadosabertos.camara.leg.br/api/v2/deputados/74638" TargetMode="External"/><Relationship Id="rId3415" Type="http://schemas.openxmlformats.org/officeDocument/2006/relationships/hyperlink" Target="https://dadosabertos.camara.leg.br/api/v2/deputados/131963" TargetMode="External"/><Relationship Id="rId336" Type="http://schemas.openxmlformats.org/officeDocument/2006/relationships/hyperlink" Target="https://dadosabertos.camara.leg.br/api/v2/deputados/205550" TargetMode="External"/><Relationship Id="rId1380" Type="http://schemas.openxmlformats.org/officeDocument/2006/relationships/hyperlink" Target="https://dadosabertos.camara.leg.br/api/v2/deputados/74290" TargetMode="External"/><Relationship Id="rId2017" Type="http://schemas.openxmlformats.org/officeDocument/2006/relationships/hyperlink" Target="https://dadosabertos.camara.leg.br/api/v2/deputados/74295" TargetMode="External"/><Relationship Id="rId5587" Type="http://schemas.openxmlformats.org/officeDocument/2006/relationships/hyperlink" Target="https://dadosabertos.camara.leg.br/api/v2/deputados/2811" TargetMode="External"/><Relationship Id="rId6985" Type="http://schemas.openxmlformats.org/officeDocument/2006/relationships/hyperlink" Target="https://dadosabertos.camara.leg.br/api/v2/deputados/849" TargetMode="External"/><Relationship Id="rId403" Type="http://schemas.openxmlformats.org/officeDocument/2006/relationships/hyperlink" Target="https://dadosabertos.camara.leg.br/api/v2/deputados/141485" TargetMode="External"/><Relationship Id="rId750" Type="http://schemas.openxmlformats.org/officeDocument/2006/relationships/hyperlink" Target="https://dadosabertos.camara.leg.br/api/v2/deputados/154919" TargetMode="External"/><Relationship Id="rId1033" Type="http://schemas.openxmlformats.org/officeDocument/2006/relationships/hyperlink" Target="https://dadosabertos.camara.leg.br/api/v2/deputados/178891" TargetMode="External"/><Relationship Id="rId2431" Type="http://schemas.openxmlformats.org/officeDocument/2006/relationships/hyperlink" Target="https://dadosabertos.camara.leg.br/api/v2/deputados/74532" TargetMode="External"/><Relationship Id="rId4189" Type="http://schemas.openxmlformats.org/officeDocument/2006/relationships/hyperlink" Target="https://dadosabertos.camara.leg.br/api/v2/deputados/131285" TargetMode="External"/><Relationship Id="rId6638" Type="http://schemas.openxmlformats.org/officeDocument/2006/relationships/hyperlink" Target="https://dadosabertos.camara.leg.br/api/v2/deputados/3897" TargetMode="External"/><Relationship Id="rId5654" Type="http://schemas.openxmlformats.org/officeDocument/2006/relationships/hyperlink" Target="https://dadosabertos.camara.leg.br/api/v2/deputados/4602" TargetMode="External"/><Relationship Id="rId6705" Type="http://schemas.openxmlformats.org/officeDocument/2006/relationships/hyperlink" Target="https://dadosabertos.camara.leg.br/api/v2/deputados/1861" TargetMode="External"/><Relationship Id="rId1100" Type="http://schemas.openxmlformats.org/officeDocument/2006/relationships/hyperlink" Target="http://www.twitter.com/gguimaraespt" TargetMode="External"/><Relationship Id="rId4256" Type="http://schemas.openxmlformats.org/officeDocument/2006/relationships/hyperlink" Target="https://dadosabertos.camara.leg.br/api/v2/deputados/131372" TargetMode="External"/><Relationship Id="rId4463" Type="http://schemas.openxmlformats.org/officeDocument/2006/relationships/hyperlink" Target="https://dadosabertos.camara.leg.br/api/v2/deputados/131077" TargetMode="External"/><Relationship Id="rId4670" Type="http://schemas.openxmlformats.org/officeDocument/2006/relationships/hyperlink" Target="https://dadosabertos.camara.leg.br/api/v2/deputados/130838" TargetMode="External"/><Relationship Id="rId5307" Type="http://schemas.openxmlformats.org/officeDocument/2006/relationships/hyperlink" Target="https://dadosabertos.camara.leg.br/api/v2/deputados/2944" TargetMode="External"/><Relationship Id="rId5514" Type="http://schemas.openxmlformats.org/officeDocument/2006/relationships/hyperlink" Target="https://dadosabertos.camara.leg.br/api/v2/deputados/2960" TargetMode="External"/><Relationship Id="rId5721" Type="http://schemas.openxmlformats.org/officeDocument/2006/relationships/hyperlink" Target="https://dadosabertos.camara.leg.br/api/v2/deputados/4470" TargetMode="External"/><Relationship Id="rId1917" Type="http://schemas.openxmlformats.org/officeDocument/2006/relationships/hyperlink" Target="https://dadosabertos.camara.leg.br/api/v2/deputados/73979" TargetMode="External"/><Relationship Id="rId3065" Type="http://schemas.openxmlformats.org/officeDocument/2006/relationships/hyperlink" Target="https://dadosabertos.camara.leg.br/api/v2/deputados/139222" TargetMode="External"/><Relationship Id="rId3272" Type="http://schemas.openxmlformats.org/officeDocument/2006/relationships/hyperlink" Target="https://dadosabertos.camara.leg.br/api/v2/deputados/131839" TargetMode="External"/><Relationship Id="rId4116" Type="http://schemas.openxmlformats.org/officeDocument/2006/relationships/hyperlink" Target="https://dadosabertos.camara.leg.br/api/v2/deputados/131300" TargetMode="External"/><Relationship Id="rId4323" Type="http://schemas.openxmlformats.org/officeDocument/2006/relationships/hyperlink" Target="https://dadosabertos.camara.leg.br/api/v2/deputados/130902" TargetMode="External"/><Relationship Id="rId4530" Type="http://schemas.openxmlformats.org/officeDocument/2006/relationships/hyperlink" Target="https://dadosabertos.camara.leg.br/api/v2/deputados/131130" TargetMode="External"/><Relationship Id="rId7479" Type="http://schemas.openxmlformats.org/officeDocument/2006/relationships/hyperlink" Target="https://dadosabertos.camara.leg.br/api/v2/deputados/761" TargetMode="External"/><Relationship Id="rId7686" Type="http://schemas.openxmlformats.org/officeDocument/2006/relationships/hyperlink" Target="https://dadosabertos.camara.leg.br/api/v2/deputados/90" TargetMode="External"/><Relationship Id="rId7893" Type="http://schemas.openxmlformats.org/officeDocument/2006/relationships/hyperlink" Target="https://dadosabertos.camara.leg.br/api/v2/deputados/243" TargetMode="External"/><Relationship Id="rId193" Type="http://schemas.openxmlformats.org/officeDocument/2006/relationships/hyperlink" Target="https://dadosabertos.camara.leg.br/api/v2/deputados/220688" TargetMode="External"/><Relationship Id="rId2081" Type="http://schemas.openxmlformats.org/officeDocument/2006/relationships/hyperlink" Target="https://dadosabertos.camara.leg.br/api/v2/deputados/74485" TargetMode="External"/><Relationship Id="rId3132" Type="http://schemas.openxmlformats.org/officeDocument/2006/relationships/hyperlink" Target="https://dadosabertos.camara.leg.br/api/v2/deputados/139281" TargetMode="External"/><Relationship Id="rId6288" Type="http://schemas.openxmlformats.org/officeDocument/2006/relationships/hyperlink" Target="https://dadosabertos.camara.leg.br/api/v2/deputados/2137" TargetMode="External"/><Relationship Id="rId6495" Type="http://schemas.openxmlformats.org/officeDocument/2006/relationships/hyperlink" Target="https://dadosabertos.camara.leg.br/api/v2/deputados/130109" TargetMode="External"/><Relationship Id="rId7339" Type="http://schemas.openxmlformats.org/officeDocument/2006/relationships/hyperlink" Target="https://dadosabertos.camara.leg.br/api/v2/deputados/727" TargetMode="External"/><Relationship Id="rId7546" Type="http://schemas.openxmlformats.org/officeDocument/2006/relationships/hyperlink" Target="https://dadosabertos.camara.leg.br/api/v2/deputados/673" TargetMode="External"/><Relationship Id="rId7753" Type="http://schemas.openxmlformats.org/officeDocument/2006/relationships/hyperlink" Target="https://dadosabertos.camara.leg.br/api/v2/deputados/328" TargetMode="External"/><Relationship Id="rId260" Type="http://schemas.openxmlformats.org/officeDocument/2006/relationships/hyperlink" Target="https://dadosabertos.camara.leg.br/api/v2/deputados/220551" TargetMode="External"/><Relationship Id="rId5097" Type="http://schemas.openxmlformats.org/officeDocument/2006/relationships/hyperlink" Target="https://dadosabertos.camara.leg.br/api/v2/deputados/130293" TargetMode="External"/><Relationship Id="rId6148" Type="http://schemas.openxmlformats.org/officeDocument/2006/relationships/hyperlink" Target="https://dadosabertos.camara.leg.br/api/v2/deputados/2281" TargetMode="External"/><Relationship Id="rId6355" Type="http://schemas.openxmlformats.org/officeDocument/2006/relationships/hyperlink" Target="https://dadosabertos.camara.leg.br/api/v2/deputados/1875" TargetMode="External"/><Relationship Id="rId7406" Type="http://schemas.openxmlformats.org/officeDocument/2006/relationships/hyperlink" Target="https://dadosabertos.camara.leg.br/api/v2/deputados/804" TargetMode="External"/><Relationship Id="rId7960" Type="http://schemas.openxmlformats.org/officeDocument/2006/relationships/hyperlink" Target="https://dadosabertos.camara.leg.br/api/v2/deputados/141" TargetMode="External"/><Relationship Id="rId120" Type="http://schemas.openxmlformats.org/officeDocument/2006/relationships/hyperlink" Target="https://dadosabertos.camara.leg.br/api/v2/deputados/220665" TargetMode="External"/><Relationship Id="rId2898" Type="http://schemas.openxmlformats.org/officeDocument/2006/relationships/hyperlink" Target="https://dadosabertos.camara.leg.br/api/v2/deputados/73635" TargetMode="External"/><Relationship Id="rId3949" Type="http://schemas.openxmlformats.org/officeDocument/2006/relationships/hyperlink" Target="https://dadosabertos.camara.leg.br/api/v2/deputados/131424" TargetMode="External"/><Relationship Id="rId5164" Type="http://schemas.openxmlformats.org/officeDocument/2006/relationships/hyperlink" Target="https://dadosabertos.camara.leg.br/api/v2/deputados/130328" TargetMode="External"/><Relationship Id="rId6008" Type="http://schemas.openxmlformats.org/officeDocument/2006/relationships/hyperlink" Target="https://dadosabertos.camara.leg.br/api/v2/deputados/4249" TargetMode="External"/><Relationship Id="rId6215" Type="http://schemas.openxmlformats.org/officeDocument/2006/relationships/hyperlink" Target="https://dadosabertos.camara.leg.br/api/v2/deputados/130119" TargetMode="External"/><Relationship Id="rId6562" Type="http://schemas.openxmlformats.org/officeDocument/2006/relationships/hyperlink" Target="https://dadosabertos.camara.leg.br/api/v2/deputados/1698" TargetMode="External"/><Relationship Id="rId7613" Type="http://schemas.openxmlformats.org/officeDocument/2006/relationships/hyperlink" Target="https://dadosabertos.camara.leg.br/api/v2/deputados/422" TargetMode="External"/><Relationship Id="rId7820" Type="http://schemas.openxmlformats.org/officeDocument/2006/relationships/hyperlink" Target="https://dadosabertos.camara.leg.br/api/v2/deputados/315" TargetMode="External"/><Relationship Id="rId2758" Type="http://schemas.openxmlformats.org/officeDocument/2006/relationships/hyperlink" Target="https://dadosabertos.camara.leg.br/api/v2/deputados/133970" TargetMode="External"/><Relationship Id="rId2965" Type="http://schemas.openxmlformats.org/officeDocument/2006/relationships/hyperlink" Target="https://dadosabertos.camara.leg.br/api/v2/deputados/139134" TargetMode="External"/><Relationship Id="rId3809" Type="http://schemas.openxmlformats.org/officeDocument/2006/relationships/hyperlink" Target="https://dadosabertos.camara.leg.br/api/v2/deputados/131616" TargetMode="External"/><Relationship Id="rId5024" Type="http://schemas.openxmlformats.org/officeDocument/2006/relationships/hyperlink" Target="https://dadosabertos.camara.leg.br/api/v2/deputados/4918" TargetMode="External"/><Relationship Id="rId5371" Type="http://schemas.openxmlformats.org/officeDocument/2006/relationships/hyperlink" Target="https://dadosabertos.camara.leg.br/api/v2/deputados/2915" TargetMode="External"/><Relationship Id="rId6422" Type="http://schemas.openxmlformats.org/officeDocument/2006/relationships/hyperlink" Target="https://dadosabertos.camara.leg.br/api/v2/deputados/2167" TargetMode="External"/><Relationship Id="rId937" Type="http://schemas.openxmlformats.org/officeDocument/2006/relationships/hyperlink" Target="https://dadosabertos.camara.leg.br/api/v2/deputados/73466" TargetMode="External"/><Relationship Id="rId1567" Type="http://schemas.openxmlformats.org/officeDocument/2006/relationships/hyperlink" Target="https://dadosabertos.camara.leg.br/api/v2/deputados/160657" TargetMode="External"/><Relationship Id="rId1774" Type="http://schemas.openxmlformats.org/officeDocument/2006/relationships/hyperlink" Target="https://dadosabertos.camara.leg.br/api/v2/deputados/141451" TargetMode="External"/><Relationship Id="rId1981" Type="http://schemas.openxmlformats.org/officeDocument/2006/relationships/hyperlink" Target="https://dadosabertos.camara.leg.br/api/v2/deputados/74266" TargetMode="External"/><Relationship Id="rId2618" Type="http://schemas.openxmlformats.org/officeDocument/2006/relationships/hyperlink" Target="https://dadosabertos.camara.leg.br/api/v2/deputados/74757" TargetMode="External"/><Relationship Id="rId2825" Type="http://schemas.openxmlformats.org/officeDocument/2006/relationships/hyperlink" Target="https://dadosabertos.camara.leg.br/api/v2/deputados/73756" TargetMode="External"/><Relationship Id="rId4180" Type="http://schemas.openxmlformats.org/officeDocument/2006/relationships/hyperlink" Target="https://dadosabertos.camara.leg.br/api/v2/deputados/131283" TargetMode="External"/><Relationship Id="rId5231" Type="http://schemas.openxmlformats.org/officeDocument/2006/relationships/hyperlink" Target="https://dadosabertos.camara.leg.br/api/v2/deputados/2596" TargetMode="External"/><Relationship Id="rId66" Type="http://schemas.openxmlformats.org/officeDocument/2006/relationships/hyperlink" Target="https://dadosabertos.camara.leg.br/api/v2/deputados/160665" TargetMode="External"/><Relationship Id="rId1427" Type="http://schemas.openxmlformats.org/officeDocument/2006/relationships/hyperlink" Target="https://dadosabertos.camara.leg.br/api/v2/deputados/73892" TargetMode="External"/><Relationship Id="rId1634" Type="http://schemas.openxmlformats.org/officeDocument/2006/relationships/hyperlink" Target="https://dadosabertos.camara.leg.br/api/v2/deputados/169711" TargetMode="External"/><Relationship Id="rId1841" Type="http://schemas.openxmlformats.org/officeDocument/2006/relationships/hyperlink" Target="https://dadosabertos.camara.leg.br/api/v2/deputados/74365" TargetMode="External"/><Relationship Id="rId4040" Type="http://schemas.openxmlformats.org/officeDocument/2006/relationships/hyperlink" Target="https://dadosabertos.camara.leg.br/api/v2/deputados/131172" TargetMode="External"/><Relationship Id="rId4997" Type="http://schemas.openxmlformats.org/officeDocument/2006/relationships/hyperlink" Target="https://dadosabertos.camara.leg.br/api/v2/deputados/3078" TargetMode="External"/><Relationship Id="rId7196" Type="http://schemas.openxmlformats.org/officeDocument/2006/relationships/hyperlink" Target="https://dadosabertos.camara.leg.br/api/v2/deputados/1015" TargetMode="External"/><Relationship Id="rId3599" Type="http://schemas.openxmlformats.org/officeDocument/2006/relationships/hyperlink" Target="https://dadosabertos.camara.leg.br/api/v2/deputados/131658" TargetMode="External"/><Relationship Id="rId4857" Type="http://schemas.openxmlformats.org/officeDocument/2006/relationships/hyperlink" Target="https://dadosabertos.camara.leg.br/api/v2/deputados/130665" TargetMode="External"/><Relationship Id="rId7056" Type="http://schemas.openxmlformats.org/officeDocument/2006/relationships/hyperlink" Target="https://dadosabertos.camara.leg.br/api/v2/deputados/1133" TargetMode="External"/><Relationship Id="rId7263" Type="http://schemas.openxmlformats.org/officeDocument/2006/relationships/hyperlink" Target="https://dadosabertos.camara.leg.br/api/v2/deputados/928" TargetMode="External"/><Relationship Id="rId7470" Type="http://schemas.openxmlformats.org/officeDocument/2006/relationships/hyperlink" Target="https://dadosabertos.camara.leg.br/api/v2/deputados/620" TargetMode="External"/><Relationship Id="rId1701" Type="http://schemas.openxmlformats.org/officeDocument/2006/relationships/hyperlink" Target="https://dadosabertos.camara.leg.br/api/v2/deputados/141397" TargetMode="External"/><Relationship Id="rId3459" Type="http://schemas.openxmlformats.org/officeDocument/2006/relationships/hyperlink" Target="https://dadosabertos.camara.leg.br/api/v2/deputados/132059" TargetMode="External"/><Relationship Id="rId3666" Type="http://schemas.openxmlformats.org/officeDocument/2006/relationships/hyperlink" Target="https://dadosabertos.camara.leg.br/api/v2/deputados/131720" TargetMode="External"/><Relationship Id="rId5908" Type="http://schemas.openxmlformats.org/officeDocument/2006/relationships/hyperlink" Target="https://dadosabertos.camara.leg.br/api/v2/deputados/130159" TargetMode="External"/><Relationship Id="rId6072" Type="http://schemas.openxmlformats.org/officeDocument/2006/relationships/hyperlink" Target="https://dadosabertos.camara.leg.br/api/v2/deputados/2136" TargetMode="External"/><Relationship Id="rId7123" Type="http://schemas.openxmlformats.org/officeDocument/2006/relationships/hyperlink" Target="https://dadosabertos.camara.leg.br/api/v2/deputados/1064" TargetMode="External"/><Relationship Id="rId7330" Type="http://schemas.openxmlformats.org/officeDocument/2006/relationships/hyperlink" Target="https://dadosabertos.camara.leg.br/api/v2/deputados/903" TargetMode="External"/><Relationship Id="rId587" Type="http://schemas.openxmlformats.org/officeDocument/2006/relationships/hyperlink" Target="https://dadosabertos.camara.leg.br/api/v2/deputados/163321" TargetMode="External"/><Relationship Id="rId2268" Type="http://schemas.openxmlformats.org/officeDocument/2006/relationships/hyperlink" Target="https://dadosabertos.camara.leg.br/api/v2/deputados/74443" TargetMode="External"/><Relationship Id="rId3319" Type="http://schemas.openxmlformats.org/officeDocument/2006/relationships/hyperlink" Target="https://dadosabertos.camara.leg.br/api/v2/deputados/131924" TargetMode="External"/><Relationship Id="rId3873" Type="http://schemas.openxmlformats.org/officeDocument/2006/relationships/hyperlink" Target="https://dadosabertos.camara.leg.br/api/v2/deputados/131602" TargetMode="External"/><Relationship Id="rId4717" Type="http://schemas.openxmlformats.org/officeDocument/2006/relationships/hyperlink" Target="https://dadosabertos.camara.leg.br/api/v2/deputados/130872" TargetMode="External"/><Relationship Id="rId4924" Type="http://schemas.openxmlformats.org/officeDocument/2006/relationships/hyperlink" Target="https://dadosabertos.camara.leg.br/api/v2/deputados/130394" TargetMode="External"/><Relationship Id="rId447" Type="http://schemas.openxmlformats.org/officeDocument/2006/relationships/hyperlink" Target="http://www.mariarosas.com.br/" TargetMode="External"/><Relationship Id="rId794" Type="http://schemas.openxmlformats.org/officeDocument/2006/relationships/hyperlink" Target="http://www.herculanopassos.com.br/" TargetMode="External"/><Relationship Id="rId1077" Type="http://schemas.openxmlformats.org/officeDocument/2006/relationships/hyperlink" Target="https://dadosabertos.camara.leg.br/api/v2/deputados/160649" TargetMode="External"/><Relationship Id="rId2128" Type="http://schemas.openxmlformats.org/officeDocument/2006/relationships/hyperlink" Target="https://dadosabertos.camara.leg.br/api/v2/deputados/74557" TargetMode="External"/><Relationship Id="rId2475" Type="http://schemas.openxmlformats.org/officeDocument/2006/relationships/hyperlink" Target="https://dadosabertos.camara.leg.br/api/v2/deputados/74836" TargetMode="External"/><Relationship Id="rId2682" Type="http://schemas.openxmlformats.org/officeDocument/2006/relationships/hyperlink" Target="https://dadosabertos.camara.leg.br/api/v2/deputados/133902" TargetMode="External"/><Relationship Id="rId3526" Type="http://schemas.openxmlformats.org/officeDocument/2006/relationships/hyperlink" Target="https://dadosabertos.camara.leg.br/api/v2/deputados/132075" TargetMode="External"/><Relationship Id="rId3733" Type="http://schemas.openxmlformats.org/officeDocument/2006/relationships/hyperlink" Target="https://dadosabertos.camara.leg.br/api/v2/deputados/131787" TargetMode="External"/><Relationship Id="rId3940" Type="http://schemas.openxmlformats.org/officeDocument/2006/relationships/hyperlink" Target="https://dadosabertos.camara.leg.br/api/v2/deputados/131443" TargetMode="External"/><Relationship Id="rId6889" Type="http://schemas.openxmlformats.org/officeDocument/2006/relationships/hyperlink" Target="https://dadosabertos.camara.leg.br/api/v2/deputados/1218" TargetMode="External"/><Relationship Id="rId654" Type="http://schemas.openxmlformats.org/officeDocument/2006/relationships/hyperlink" Target="https://dadosabertos.camara.leg.br/api/v2/deputados/74043" TargetMode="External"/><Relationship Id="rId861" Type="http://schemas.openxmlformats.org/officeDocument/2006/relationships/hyperlink" Target="https://dadosabertos.camara.leg.br/api/v2/deputados/178956" TargetMode="External"/><Relationship Id="rId1284" Type="http://schemas.openxmlformats.org/officeDocument/2006/relationships/hyperlink" Target="https://dadosabertos.camara.leg.br/api/v2/deputados/74210" TargetMode="External"/><Relationship Id="rId1491" Type="http://schemas.openxmlformats.org/officeDocument/2006/relationships/hyperlink" Target="https://dadosabertos.camara.leg.br/api/v2/deputados/73569" TargetMode="External"/><Relationship Id="rId2335" Type="http://schemas.openxmlformats.org/officeDocument/2006/relationships/hyperlink" Target="https://dadosabertos.camara.leg.br/api/v2/deputados/74673" TargetMode="External"/><Relationship Id="rId2542" Type="http://schemas.openxmlformats.org/officeDocument/2006/relationships/hyperlink" Target="https://dadosabertos.camara.leg.br/api/v2/deputados/74411" TargetMode="External"/><Relationship Id="rId3800" Type="http://schemas.openxmlformats.org/officeDocument/2006/relationships/hyperlink" Target="https://dadosabertos.camara.leg.br/api/v2/deputados/131526" TargetMode="External"/><Relationship Id="rId5698" Type="http://schemas.openxmlformats.org/officeDocument/2006/relationships/hyperlink" Target="https://dadosabertos.camara.leg.br/api/v2/deputados/4523" TargetMode="External"/><Relationship Id="rId6749" Type="http://schemas.openxmlformats.org/officeDocument/2006/relationships/hyperlink" Target="https://dadosabertos.camara.leg.br/api/v2/deputados/130132" TargetMode="External"/><Relationship Id="rId6956" Type="http://schemas.openxmlformats.org/officeDocument/2006/relationships/hyperlink" Target="https://dadosabertos.camara.leg.br/api/v2/deputados/1588" TargetMode="External"/><Relationship Id="rId307" Type="http://schemas.openxmlformats.org/officeDocument/2006/relationships/hyperlink" Target="https://dadosabertos.camara.leg.br/api/v2/deputados/100689" TargetMode="External"/><Relationship Id="rId514" Type="http://schemas.openxmlformats.org/officeDocument/2006/relationships/hyperlink" Target="https://dadosabertos.camara.leg.br/api/v2/deputados/178860" TargetMode="External"/><Relationship Id="rId721" Type="http://schemas.openxmlformats.org/officeDocument/2006/relationships/hyperlink" Target="https://dadosabertos.camara.leg.br/api/v2/deputados/178916" TargetMode="External"/><Relationship Id="rId1144" Type="http://schemas.openxmlformats.org/officeDocument/2006/relationships/hyperlink" Target="https://dadosabertos.camara.leg.br/api/v2/deputados/74395" TargetMode="External"/><Relationship Id="rId1351" Type="http://schemas.openxmlformats.org/officeDocument/2006/relationships/hyperlink" Target="https://dadosabertos.camara.leg.br/api/v2/deputados/141378" TargetMode="External"/><Relationship Id="rId2402" Type="http://schemas.openxmlformats.org/officeDocument/2006/relationships/hyperlink" Target="https://dadosabertos.camara.leg.br/api/v2/deputados/74348" TargetMode="External"/><Relationship Id="rId5558" Type="http://schemas.openxmlformats.org/officeDocument/2006/relationships/hyperlink" Target="https://dadosabertos.camara.leg.br/api/v2/deputados/2689" TargetMode="External"/><Relationship Id="rId5765" Type="http://schemas.openxmlformats.org/officeDocument/2006/relationships/hyperlink" Target="https://dadosabertos.camara.leg.br/api/v2/deputados/130199" TargetMode="External"/><Relationship Id="rId5972" Type="http://schemas.openxmlformats.org/officeDocument/2006/relationships/hyperlink" Target="https://dadosabertos.camara.leg.br/api/v2/deputados/4310" TargetMode="External"/><Relationship Id="rId6609" Type="http://schemas.openxmlformats.org/officeDocument/2006/relationships/hyperlink" Target="https://dadosabertos.camara.leg.br/api/v2/deputados/1581" TargetMode="External"/><Relationship Id="rId6816" Type="http://schemas.openxmlformats.org/officeDocument/2006/relationships/hyperlink" Target="https://dadosabertos.camara.leg.br/api/v2/deputados/1717" TargetMode="External"/><Relationship Id="rId1004" Type="http://schemas.openxmlformats.org/officeDocument/2006/relationships/hyperlink" Target="https://dadosabertos.camara.leg.br/api/v2/deputados/141383" TargetMode="External"/><Relationship Id="rId1211" Type="http://schemas.openxmlformats.org/officeDocument/2006/relationships/hyperlink" Target="https://dadosabertos.camara.leg.br/api/v2/deputados/73588" TargetMode="External"/><Relationship Id="rId4367" Type="http://schemas.openxmlformats.org/officeDocument/2006/relationships/hyperlink" Target="https://dadosabertos.camara.leg.br/api/v2/deputados/131145" TargetMode="External"/><Relationship Id="rId4574" Type="http://schemas.openxmlformats.org/officeDocument/2006/relationships/hyperlink" Target="https://dadosabertos.camara.leg.br/api/v2/deputados/130737" TargetMode="External"/><Relationship Id="rId4781" Type="http://schemas.openxmlformats.org/officeDocument/2006/relationships/hyperlink" Target="https://dadosabertos.camara.leg.br/api/v2/deputados/130567" TargetMode="External"/><Relationship Id="rId5418" Type="http://schemas.openxmlformats.org/officeDocument/2006/relationships/hyperlink" Target="https://dadosabertos.camara.leg.br/api/v2/deputados/4751" TargetMode="External"/><Relationship Id="rId5625" Type="http://schemas.openxmlformats.org/officeDocument/2006/relationships/hyperlink" Target="https://dadosabertos.camara.leg.br/api/v2/deputados/4613" TargetMode="External"/><Relationship Id="rId5832" Type="http://schemas.openxmlformats.org/officeDocument/2006/relationships/hyperlink" Target="https://dadosabertos.camara.leg.br/api/v2/deputados/2646" TargetMode="External"/><Relationship Id="rId3176" Type="http://schemas.openxmlformats.org/officeDocument/2006/relationships/hyperlink" Target="https://dadosabertos.camara.leg.br/api/v2/deputados/65519" TargetMode="External"/><Relationship Id="rId3383" Type="http://schemas.openxmlformats.org/officeDocument/2006/relationships/hyperlink" Target="https://dadosabertos.camara.leg.br/api/v2/deputados/131930" TargetMode="External"/><Relationship Id="rId3590" Type="http://schemas.openxmlformats.org/officeDocument/2006/relationships/hyperlink" Target="https://dadosabertos.camara.leg.br/api/v2/deputados/131819" TargetMode="External"/><Relationship Id="rId4227" Type="http://schemas.openxmlformats.org/officeDocument/2006/relationships/hyperlink" Target="https://dadosabertos.camara.leg.br/api/v2/deputados/131339" TargetMode="External"/><Relationship Id="rId4434" Type="http://schemas.openxmlformats.org/officeDocument/2006/relationships/hyperlink" Target="https://dadosabertos.camara.leg.br/api/v2/deputados/131052" TargetMode="External"/><Relationship Id="rId7797" Type="http://schemas.openxmlformats.org/officeDocument/2006/relationships/hyperlink" Target="https://dadosabertos.camara.leg.br/api/v2/deputados/389" TargetMode="External"/><Relationship Id="rId2192" Type="http://schemas.openxmlformats.org/officeDocument/2006/relationships/hyperlink" Target="https://dadosabertos.camara.leg.br/api/v2/deputados/73686" TargetMode="External"/><Relationship Id="rId3036" Type="http://schemas.openxmlformats.org/officeDocument/2006/relationships/hyperlink" Target="https://dadosabertos.camara.leg.br/api/v2/deputados/139197" TargetMode="External"/><Relationship Id="rId3243" Type="http://schemas.openxmlformats.org/officeDocument/2006/relationships/hyperlink" Target="https://dadosabertos.camara.leg.br/api/v2/deputados/139373" TargetMode="External"/><Relationship Id="rId4641" Type="http://schemas.openxmlformats.org/officeDocument/2006/relationships/hyperlink" Target="https://dadosabertos.camara.leg.br/api/v2/deputados/130808" TargetMode="External"/><Relationship Id="rId6399" Type="http://schemas.openxmlformats.org/officeDocument/2006/relationships/hyperlink" Target="https://dadosabertos.camara.leg.br/api/v2/deputados/1796" TargetMode="External"/><Relationship Id="rId164" Type="http://schemas.openxmlformats.org/officeDocument/2006/relationships/hyperlink" Target="https://dadosabertos.camara.leg.br/api/v2/deputados/220583" TargetMode="External"/><Relationship Id="rId371" Type="http://schemas.openxmlformats.org/officeDocument/2006/relationships/hyperlink" Target="https://dadosabertos.camara.leg.br/api/v2/deputados/74856" TargetMode="External"/><Relationship Id="rId2052" Type="http://schemas.openxmlformats.org/officeDocument/2006/relationships/hyperlink" Target="https://dadosabertos.camara.leg.br/api/v2/deputados/74520" TargetMode="External"/><Relationship Id="rId3450" Type="http://schemas.openxmlformats.org/officeDocument/2006/relationships/hyperlink" Target="https://dadosabertos.camara.leg.br/api/v2/deputados/132008" TargetMode="External"/><Relationship Id="rId4501" Type="http://schemas.openxmlformats.org/officeDocument/2006/relationships/hyperlink" Target="https://dadosabertos.camara.leg.br/api/v2/deputados/131111" TargetMode="External"/><Relationship Id="rId6259" Type="http://schemas.openxmlformats.org/officeDocument/2006/relationships/hyperlink" Target="https://dadosabertos.camara.leg.br/api/v2/deputados/2308" TargetMode="External"/><Relationship Id="rId7657" Type="http://schemas.openxmlformats.org/officeDocument/2006/relationships/hyperlink" Target="https://dadosabertos.camara.leg.br/api/v2/deputados/371" TargetMode="External"/><Relationship Id="rId7864" Type="http://schemas.openxmlformats.org/officeDocument/2006/relationships/hyperlink" Target="https://dadosabertos.camara.leg.br/api/v2/deputados/53" TargetMode="External"/><Relationship Id="rId3103" Type="http://schemas.openxmlformats.org/officeDocument/2006/relationships/hyperlink" Target="https://dadosabertos.camara.leg.br/api/v2/deputados/139256" TargetMode="External"/><Relationship Id="rId3310" Type="http://schemas.openxmlformats.org/officeDocument/2006/relationships/hyperlink" Target="https://dadosabertos.camara.leg.br/api/v2/deputados/131874" TargetMode="External"/><Relationship Id="rId5068" Type="http://schemas.openxmlformats.org/officeDocument/2006/relationships/hyperlink" Target="https://dadosabertos.camara.leg.br/api/v2/deputados/130491" TargetMode="External"/><Relationship Id="rId6466" Type="http://schemas.openxmlformats.org/officeDocument/2006/relationships/hyperlink" Target="https://dadosabertos.camara.leg.br/api/v2/deputados/2037" TargetMode="External"/><Relationship Id="rId6673" Type="http://schemas.openxmlformats.org/officeDocument/2006/relationships/hyperlink" Target="https://dadosabertos.camara.leg.br/api/v2/deputados/3964" TargetMode="External"/><Relationship Id="rId6880" Type="http://schemas.openxmlformats.org/officeDocument/2006/relationships/hyperlink" Target="https://dadosabertos.camara.leg.br/api/v2/deputados/943" TargetMode="External"/><Relationship Id="rId7517" Type="http://schemas.openxmlformats.org/officeDocument/2006/relationships/hyperlink" Target="https://dadosabertos.camara.leg.br/api/v2/deputados/647" TargetMode="External"/><Relationship Id="rId7724" Type="http://schemas.openxmlformats.org/officeDocument/2006/relationships/hyperlink" Target="https://dadosabertos.camara.leg.br/api/v2/deputados/517" TargetMode="External"/><Relationship Id="rId7931" Type="http://schemas.openxmlformats.org/officeDocument/2006/relationships/hyperlink" Target="https://dadosabertos.camara.leg.br/api/v2/deputados/246" TargetMode="External"/><Relationship Id="rId231" Type="http://schemas.openxmlformats.org/officeDocument/2006/relationships/hyperlink" Target="https://dadosabertos.camara.leg.br/api/v2/deputados/204482" TargetMode="External"/><Relationship Id="rId2869" Type="http://schemas.openxmlformats.org/officeDocument/2006/relationships/hyperlink" Target="https://dadosabertos.camara.leg.br/api/v2/deputados/133883" TargetMode="External"/><Relationship Id="rId5275" Type="http://schemas.openxmlformats.org/officeDocument/2006/relationships/hyperlink" Target="https://dadosabertos.camara.leg.br/api/v2/deputados/2659" TargetMode="External"/><Relationship Id="rId5482" Type="http://schemas.openxmlformats.org/officeDocument/2006/relationships/hyperlink" Target="https://dadosabertos.camara.leg.br/api/v2/deputados/4816" TargetMode="External"/><Relationship Id="rId6119" Type="http://schemas.openxmlformats.org/officeDocument/2006/relationships/hyperlink" Target="https://dadosabertos.camara.leg.br/api/v2/deputados/4228" TargetMode="External"/><Relationship Id="rId6326" Type="http://schemas.openxmlformats.org/officeDocument/2006/relationships/hyperlink" Target="https://dadosabertos.camara.leg.br/api/v2/deputados/3627" TargetMode="External"/><Relationship Id="rId6533" Type="http://schemas.openxmlformats.org/officeDocument/2006/relationships/hyperlink" Target="https://dadosabertos.camara.leg.br/api/v2/deputados/3824" TargetMode="External"/><Relationship Id="rId6740" Type="http://schemas.openxmlformats.org/officeDocument/2006/relationships/hyperlink" Target="https://dadosabertos.camara.leg.br/api/v2/deputados/130129" TargetMode="External"/><Relationship Id="rId1678" Type="http://schemas.openxmlformats.org/officeDocument/2006/relationships/hyperlink" Target="https://dadosabertos.camara.leg.br/api/v2/deputados/73492" TargetMode="External"/><Relationship Id="rId1885" Type="http://schemas.openxmlformats.org/officeDocument/2006/relationships/hyperlink" Target="https://dadosabertos.camara.leg.br/api/v2/deputados/141545" TargetMode="External"/><Relationship Id="rId2729" Type="http://schemas.openxmlformats.org/officeDocument/2006/relationships/hyperlink" Target="https://dadosabertos.camara.leg.br/api/v2/deputados/133983" TargetMode="External"/><Relationship Id="rId2936" Type="http://schemas.openxmlformats.org/officeDocument/2006/relationships/hyperlink" Target="https://dadosabertos.camara.leg.br/api/v2/deputados/133951" TargetMode="External"/><Relationship Id="rId4084" Type="http://schemas.openxmlformats.org/officeDocument/2006/relationships/hyperlink" Target="https://dadosabertos.camara.leg.br/api/v2/deputados/131209" TargetMode="External"/><Relationship Id="rId4291" Type="http://schemas.openxmlformats.org/officeDocument/2006/relationships/hyperlink" Target="https://dadosabertos.camara.leg.br/api/v2/deputados/130898" TargetMode="External"/><Relationship Id="rId5135" Type="http://schemas.openxmlformats.org/officeDocument/2006/relationships/hyperlink" Target="https://dadosabertos.camara.leg.br/api/v2/deputados/130371" TargetMode="External"/><Relationship Id="rId5342" Type="http://schemas.openxmlformats.org/officeDocument/2006/relationships/hyperlink" Target="https://dadosabertos.camara.leg.br/api/v2/deputados/4668" TargetMode="External"/><Relationship Id="rId6600" Type="http://schemas.openxmlformats.org/officeDocument/2006/relationships/hyperlink" Target="https://dadosabertos.camara.leg.br/api/v2/deputados/3896" TargetMode="External"/><Relationship Id="rId908" Type="http://schemas.openxmlformats.org/officeDocument/2006/relationships/hyperlink" Target="https://dadosabertos.camara.leg.br/api/v2/deputados/160639" TargetMode="External"/><Relationship Id="rId1538" Type="http://schemas.openxmlformats.org/officeDocument/2006/relationships/hyperlink" Target="http://twitter.com/marceloguima" TargetMode="External"/><Relationship Id="rId4151" Type="http://schemas.openxmlformats.org/officeDocument/2006/relationships/hyperlink" Target="https://dadosabertos.camara.leg.br/api/v2/deputados/131289" TargetMode="External"/><Relationship Id="rId5202" Type="http://schemas.openxmlformats.org/officeDocument/2006/relationships/hyperlink" Target="https://dadosabertos.camara.leg.br/api/v2/deputados/3016" TargetMode="External"/><Relationship Id="rId1745" Type="http://schemas.openxmlformats.org/officeDocument/2006/relationships/hyperlink" Target="https://dadosabertos.camara.leg.br/api/v2/deputados/141426" TargetMode="External"/><Relationship Id="rId1952" Type="http://schemas.openxmlformats.org/officeDocument/2006/relationships/hyperlink" Target="https://dadosabertos.camara.leg.br/api/v2/deputados/141331" TargetMode="External"/><Relationship Id="rId4011" Type="http://schemas.openxmlformats.org/officeDocument/2006/relationships/hyperlink" Target="https://dadosabertos.camara.leg.br/api/v2/deputados/131492" TargetMode="External"/><Relationship Id="rId7167" Type="http://schemas.openxmlformats.org/officeDocument/2006/relationships/hyperlink" Target="https://dadosabertos.camara.leg.br/api/v2/deputados/940" TargetMode="External"/><Relationship Id="rId7374" Type="http://schemas.openxmlformats.org/officeDocument/2006/relationships/hyperlink" Target="https://dadosabertos.camara.leg.br/api/v2/deputados/488" TargetMode="External"/><Relationship Id="rId37" Type="http://schemas.openxmlformats.org/officeDocument/2006/relationships/hyperlink" Target="https://dadosabertos.camara.leg.br/api/v2/deputados/220596" TargetMode="External"/><Relationship Id="rId1605" Type="http://schemas.openxmlformats.org/officeDocument/2006/relationships/hyperlink" Target="https://dadosabertos.camara.leg.br/api/v2/deputados/175212" TargetMode="External"/><Relationship Id="rId1812" Type="http://schemas.openxmlformats.org/officeDocument/2006/relationships/hyperlink" Target="https://dadosabertos.camara.leg.br/api/v2/deputados/81512" TargetMode="External"/><Relationship Id="rId4968" Type="http://schemas.openxmlformats.org/officeDocument/2006/relationships/hyperlink" Target="https://dadosabertos.camara.leg.br/api/v2/deputados/130331" TargetMode="External"/><Relationship Id="rId6183" Type="http://schemas.openxmlformats.org/officeDocument/2006/relationships/hyperlink" Target="https://dadosabertos.camara.leg.br/api/v2/deputados/4158" TargetMode="External"/><Relationship Id="rId7027" Type="http://schemas.openxmlformats.org/officeDocument/2006/relationships/hyperlink" Target="https://dadosabertos.camara.leg.br/api/v2/deputados/1164" TargetMode="External"/><Relationship Id="rId7234" Type="http://schemas.openxmlformats.org/officeDocument/2006/relationships/hyperlink" Target="https://dadosabertos.camara.leg.br/api/v2/deputados/922" TargetMode="External"/><Relationship Id="rId7581" Type="http://schemas.openxmlformats.org/officeDocument/2006/relationships/hyperlink" Target="https://dadosabertos.camara.leg.br/api/v2/deputados/589" TargetMode="External"/><Relationship Id="rId3777" Type="http://schemas.openxmlformats.org/officeDocument/2006/relationships/hyperlink" Target="https://dadosabertos.camara.leg.br/api/v2/deputados/131506" TargetMode="External"/><Relationship Id="rId3984" Type="http://schemas.openxmlformats.org/officeDocument/2006/relationships/hyperlink" Target="https://dadosabertos.camara.leg.br/api/v2/deputados/131472" TargetMode="External"/><Relationship Id="rId4828" Type="http://schemas.openxmlformats.org/officeDocument/2006/relationships/hyperlink" Target="https://dadosabertos.camara.leg.br/api/v2/deputados/130619" TargetMode="External"/><Relationship Id="rId6390" Type="http://schemas.openxmlformats.org/officeDocument/2006/relationships/hyperlink" Target="https://dadosabertos.camara.leg.br/api/v2/deputados/2125" TargetMode="External"/><Relationship Id="rId7441" Type="http://schemas.openxmlformats.org/officeDocument/2006/relationships/hyperlink" Target="https://dadosabertos.camara.leg.br/api/v2/deputados/740" TargetMode="External"/><Relationship Id="rId698" Type="http://schemas.openxmlformats.org/officeDocument/2006/relationships/hyperlink" Target="https://dadosabertos.camara.leg.br/api/v2/deputados/204561" TargetMode="External"/><Relationship Id="rId2379" Type="http://schemas.openxmlformats.org/officeDocument/2006/relationships/hyperlink" Target="https://dadosabertos.camara.leg.br/api/v2/deputados/74221" TargetMode="External"/><Relationship Id="rId2586" Type="http://schemas.openxmlformats.org/officeDocument/2006/relationships/hyperlink" Target="https://dadosabertos.camara.leg.br/api/v2/deputados/73880" TargetMode="External"/><Relationship Id="rId2793" Type="http://schemas.openxmlformats.org/officeDocument/2006/relationships/hyperlink" Target="https://dadosabertos.camara.leg.br/api/v2/deputados/73962" TargetMode="External"/><Relationship Id="rId3637" Type="http://schemas.openxmlformats.org/officeDocument/2006/relationships/hyperlink" Target="https://dadosabertos.camara.leg.br/api/v2/deputados/131761" TargetMode="External"/><Relationship Id="rId3844" Type="http://schemas.openxmlformats.org/officeDocument/2006/relationships/hyperlink" Target="https://dadosabertos.camara.leg.br/api/v2/deputados/131578" TargetMode="External"/><Relationship Id="rId6043" Type="http://schemas.openxmlformats.org/officeDocument/2006/relationships/hyperlink" Target="https://dadosabertos.camara.leg.br/api/v2/deputados/2376" TargetMode="External"/><Relationship Id="rId6250" Type="http://schemas.openxmlformats.org/officeDocument/2006/relationships/hyperlink" Target="https://dadosabertos.camara.leg.br/api/v2/deputados/2319" TargetMode="External"/><Relationship Id="rId7301" Type="http://schemas.openxmlformats.org/officeDocument/2006/relationships/hyperlink" Target="https://dadosabertos.camara.leg.br/api/v2/deputados/872" TargetMode="External"/><Relationship Id="rId558" Type="http://schemas.openxmlformats.org/officeDocument/2006/relationships/hyperlink" Target="https://dadosabertos.camara.leg.br/api/v2/deputados/153423" TargetMode="External"/><Relationship Id="rId765" Type="http://schemas.openxmlformats.org/officeDocument/2006/relationships/hyperlink" Target="https://dadosabertos.camara.leg.br/api/v2/deputados/204371" TargetMode="External"/><Relationship Id="rId972" Type="http://schemas.openxmlformats.org/officeDocument/2006/relationships/hyperlink" Target="https://dadosabertos.camara.leg.br/api/v2/deputados/204478" TargetMode="External"/><Relationship Id="rId1188" Type="http://schemas.openxmlformats.org/officeDocument/2006/relationships/hyperlink" Target="https://dadosabertos.camara.leg.br/api/v2/deputados/74278" TargetMode="External"/><Relationship Id="rId1395" Type="http://schemas.openxmlformats.org/officeDocument/2006/relationships/hyperlink" Target="https://dadosabertos.camara.leg.br/api/v2/deputados/141502" TargetMode="External"/><Relationship Id="rId2239" Type="http://schemas.openxmlformats.org/officeDocument/2006/relationships/hyperlink" Target="https://dadosabertos.camara.leg.br/api/v2/deputados/74541" TargetMode="External"/><Relationship Id="rId2446" Type="http://schemas.openxmlformats.org/officeDocument/2006/relationships/hyperlink" Target="https://dadosabertos.camara.leg.br/api/v2/deputados/73766" TargetMode="External"/><Relationship Id="rId2653" Type="http://schemas.openxmlformats.org/officeDocument/2006/relationships/hyperlink" Target="https://dadosabertos.camara.leg.br/api/v2/deputados/74132" TargetMode="External"/><Relationship Id="rId2860" Type="http://schemas.openxmlformats.org/officeDocument/2006/relationships/hyperlink" Target="https://dadosabertos.camara.leg.br/api/v2/deputados/73797" TargetMode="External"/><Relationship Id="rId3704" Type="http://schemas.openxmlformats.org/officeDocument/2006/relationships/hyperlink" Target="https://dadosabertos.camara.leg.br/api/v2/deputados/131825" TargetMode="External"/><Relationship Id="rId6110" Type="http://schemas.openxmlformats.org/officeDocument/2006/relationships/hyperlink" Target="https://dadosabertos.camara.leg.br/api/v2/deputados/4233" TargetMode="External"/><Relationship Id="rId418" Type="http://schemas.openxmlformats.org/officeDocument/2006/relationships/hyperlink" Target="https://dadosabertos.camara.leg.br/api/v2/deputados/220669" TargetMode="External"/><Relationship Id="rId625" Type="http://schemas.openxmlformats.org/officeDocument/2006/relationships/hyperlink" Target="https://dadosabertos.camara.leg.br/api/v2/deputados/92776" TargetMode="External"/><Relationship Id="rId832" Type="http://schemas.openxmlformats.org/officeDocument/2006/relationships/hyperlink" Target="http://www.lucasgonzalez.com.br/" TargetMode="External"/><Relationship Id="rId1048" Type="http://schemas.openxmlformats.org/officeDocument/2006/relationships/hyperlink" Target="https://dadosabertos.camara.leg.br/api/v2/deputados/141440" TargetMode="External"/><Relationship Id="rId1255" Type="http://schemas.openxmlformats.org/officeDocument/2006/relationships/hyperlink" Target="https://dadosabertos.camara.leg.br/api/v2/deputados/141472" TargetMode="External"/><Relationship Id="rId1462" Type="http://schemas.openxmlformats.org/officeDocument/2006/relationships/hyperlink" Target="https://dadosabertos.camara.leg.br/api/v2/deputados/73940" TargetMode="External"/><Relationship Id="rId2306" Type="http://schemas.openxmlformats.org/officeDocument/2006/relationships/hyperlink" Target="https://dadosabertos.camara.leg.br/api/v2/deputados/73688" TargetMode="External"/><Relationship Id="rId2513" Type="http://schemas.openxmlformats.org/officeDocument/2006/relationships/hyperlink" Target="https://dadosabertos.camara.leg.br/api/v2/deputados/68676" TargetMode="External"/><Relationship Id="rId3911" Type="http://schemas.openxmlformats.org/officeDocument/2006/relationships/hyperlink" Target="https://dadosabertos.camara.leg.br/api/v2/deputados/131394" TargetMode="External"/><Relationship Id="rId5669" Type="http://schemas.openxmlformats.org/officeDocument/2006/relationships/hyperlink" Target="https://dadosabertos.camara.leg.br/api/v2/deputados/4643" TargetMode="External"/><Relationship Id="rId5876" Type="http://schemas.openxmlformats.org/officeDocument/2006/relationships/hyperlink" Target="https://dadosabertos.camara.leg.br/api/v2/deputados/4415" TargetMode="External"/><Relationship Id="rId1115" Type="http://schemas.openxmlformats.org/officeDocument/2006/relationships/hyperlink" Target="https://dadosabertos.camara.leg.br/api/v2/deputados/81232" TargetMode="External"/><Relationship Id="rId1322" Type="http://schemas.openxmlformats.org/officeDocument/2006/relationships/hyperlink" Target="https://dadosabertos.camara.leg.br/api/v2/deputados/193066" TargetMode="External"/><Relationship Id="rId2720" Type="http://schemas.openxmlformats.org/officeDocument/2006/relationships/hyperlink" Target="https://dadosabertos.camara.leg.br/api/v2/deputados/133900" TargetMode="External"/><Relationship Id="rId4478" Type="http://schemas.openxmlformats.org/officeDocument/2006/relationships/hyperlink" Target="https://dadosabertos.camara.leg.br/api/v2/deputados/131122" TargetMode="External"/><Relationship Id="rId5529" Type="http://schemas.openxmlformats.org/officeDocument/2006/relationships/hyperlink" Target="https://dadosabertos.camara.leg.br/api/v2/deputados/1864" TargetMode="External"/><Relationship Id="rId6927" Type="http://schemas.openxmlformats.org/officeDocument/2006/relationships/hyperlink" Target="https://dadosabertos.camara.leg.br/api/v2/deputados/1163" TargetMode="External"/><Relationship Id="rId7091" Type="http://schemas.openxmlformats.org/officeDocument/2006/relationships/hyperlink" Target="https://dadosabertos.camara.leg.br/api/v2/deputados/744" TargetMode="External"/><Relationship Id="rId3287" Type="http://schemas.openxmlformats.org/officeDocument/2006/relationships/hyperlink" Target="https://dadosabertos.camara.leg.br/api/v2/deputados/131851" TargetMode="External"/><Relationship Id="rId4338" Type="http://schemas.openxmlformats.org/officeDocument/2006/relationships/hyperlink" Target="https://dadosabertos.camara.leg.br/api/v2/deputados/130935" TargetMode="External"/><Relationship Id="rId4685" Type="http://schemas.openxmlformats.org/officeDocument/2006/relationships/hyperlink" Target="https://dadosabertos.camara.leg.br/api/v2/deputados/130859" TargetMode="External"/><Relationship Id="rId4892" Type="http://schemas.openxmlformats.org/officeDocument/2006/relationships/hyperlink" Target="https://dadosabertos.camara.leg.br/api/v2/deputados/130670" TargetMode="External"/><Relationship Id="rId5736" Type="http://schemas.openxmlformats.org/officeDocument/2006/relationships/hyperlink" Target="https://dadosabertos.camara.leg.br/api/v2/deputados/2161" TargetMode="External"/><Relationship Id="rId5943" Type="http://schemas.openxmlformats.org/officeDocument/2006/relationships/hyperlink" Target="https://dadosabertos.camara.leg.br/api/v2/deputados/4328" TargetMode="External"/><Relationship Id="rId2096" Type="http://schemas.openxmlformats.org/officeDocument/2006/relationships/hyperlink" Target="https://dadosabertos.camara.leg.br/api/v2/deputados/74225" TargetMode="External"/><Relationship Id="rId3494" Type="http://schemas.openxmlformats.org/officeDocument/2006/relationships/hyperlink" Target="https://dadosabertos.camara.leg.br/api/v2/deputados/131955" TargetMode="External"/><Relationship Id="rId4545" Type="http://schemas.openxmlformats.org/officeDocument/2006/relationships/hyperlink" Target="https://dadosabertos.camara.leg.br/api/v2/deputados/130708" TargetMode="External"/><Relationship Id="rId4752" Type="http://schemas.openxmlformats.org/officeDocument/2006/relationships/hyperlink" Target="https://dadosabertos.camara.leg.br/api/v2/deputados/130602" TargetMode="External"/><Relationship Id="rId5803" Type="http://schemas.openxmlformats.org/officeDocument/2006/relationships/hyperlink" Target="https://dadosabertos.camara.leg.br/api/v2/deputados/2658" TargetMode="External"/><Relationship Id="rId3147" Type="http://schemas.openxmlformats.org/officeDocument/2006/relationships/hyperlink" Target="https://dadosabertos.camara.leg.br/api/v2/deputados/139292" TargetMode="External"/><Relationship Id="rId3354" Type="http://schemas.openxmlformats.org/officeDocument/2006/relationships/hyperlink" Target="https://dadosabertos.camara.leg.br/api/v2/deputados/131916" TargetMode="External"/><Relationship Id="rId3561" Type="http://schemas.openxmlformats.org/officeDocument/2006/relationships/hyperlink" Target="https://dadosabertos.camara.leg.br/api/v2/deputados/132100" TargetMode="External"/><Relationship Id="rId4405" Type="http://schemas.openxmlformats.org/officeDocument/2006/relationships/hyperlink" Target="https://dadosabertos.camara.leg.br/api/v2/deputados/130998" TargetMode="External"/><Relationship Id="rId4612" Type="http://schemas.openxmlformats.org/officeDocument/2006/relationships/hyperlink" Target="https://dadosabertos.camara.leg.br/api/v2/deputados/130775" TargetMode="External"/><Relationship Id="rId7768" Type="http://schemas.openxmlformats.org/officeDocument/2006/relationships/hyperlink" Target="https://dadosabertos.camara.leg.br/api/v2/deputados/404" TargetMode="External"/><Relationship Id="rId7975" Type="http://schemas.openxmlformats.org/officeDocument/2006/relationships/hyperlink" Target="https://dadosabertos.camara.leg.br/api/v2/deputados/128" TargetMode="External"/><Relationship Id="rId275" Type="http://schemas.openxmlformats.org/officeDocument/2006/relationships/hyperlink" Target="https://dadosabertos.camara.leg.br/api/v2/deputados/74270" TargetMode="External"/><Relationship Id="rId482" Type="http://schemas.openxmlformats.org/officeDocument/2006/relationships/hyperlink" Target="https://dadosabertos.camara.leg.br/api/v2/deputados/220622" TargetMode="External"/><Relationship Id="rId2163" Type="http://schemas.openxmlformats.org/officeDocument/2006/relationships/hyperlink" Target="https://dadosabertos.camara.leg.br/api/v2/deputados/137759" TargetMode="External"/><Relationship Id="rId2370" Type="http://schemas.openxmlformats.org/officeDocument/2006/relationships/hyperlink" Target="https://dadosabertos.camara.leg.br/api/v2/deputados/73475" TargetMode="External"/><Relationship Id="rId3007" Type="http://schemas.openxmlformats.org/officeDocument/2006/relationships/hyperlink" Target="https://dadosabertos.camara.leg.br/api/v2/deputados/139172" TargetMode="External"/><Relationship Id="rId3214" Type="http://schemas.openxmlformats.org/officeDocument/2006/relationships/hyperlink" Target="https://dadosabertos.camara.leg.br/api/v2/deputados/139348" TargetMode="External"/><Relationship Id="rId3421" Type="http://schemas.openxmlformats.org/officeDocument/2006/relationships/hyperlink" Target="https://dadosabertos.camara.leg.br/api/v2/deputados/131970" TargetMode="External"/><Relationship Id="rId6577" Type="http://schemas.openxmlformats.org/officeDocument/2006/relationships/hyperlink" Target="https://dadosabertos.camara.leg.br/api/v2/deputados/2057" TargetMode="External"/><Relationship Id="rId6784" Type="http://schemas.openxmlformats.org/officeDocument/2006/relationships/hyperlink" Target="https://dadosabertos.camara.leg.br/api/v2/deputados/1692" TargetMode="External"/><Relationship Id="rId6991" Type="http://schemas.openxmlformats.org/officeDocument/2006/relationships/hyperlink" Target="https://dadosabertos.camara.leg.br/api/v2/deputados/1208" TargetMode="External"/><Relationship Id="rId7628" Type="http://schemas.openxmlformats.org/officeDocument/2006/relationships/hyperlink" Target="https://dadosabertos.camara.leg.br/api/v2/deputados/294" TargetMode="External"/><Relationship Id="rId7835" Type="http://schemas.openxmlformats.org/officeDocument/2006/relationships/hyperlink" Target="https://dadosabertos.camara.leg.br/api/v2/deputados/301" TargetMode="External"/><Relationship Id="rId135" Type="http://schemas.openxmlformats.org/officeDocument/2006/relationships/hyperlink" Target="https://dadosabertos.camara.leg.br/api/v2/deputados/204355" TargetMode="External"/><Relationship Id="rId342" Type="http://schemas.openxmlformats.org/officeDocument/2006/relationships/hyperlink" Target="https://dadosabertos.camara.leg.br/api/v2/deputados/204391" TargetMode="External"/><Relationship Id="rId2023" Type="http://schemas.openxmlformats.org/officeDocument/2006/relationships/hyperlink" Target="https://dadosabertos.camara.leg.br/api/v2/deputados/74153" TargetMode="External"/><Relationship Id="rId2230" Type="http://schemas.openxmlformats.org/officeDocument/2006/relationships/hyperlink" Target="https://dadosabertos.camara.leg.br/api/v2/deputados/74682" TargetMode="External"/><Relationship Id="rId5179" Type="http://schemas.openxmlformats.org/officeDocument/2006/relationships/hyperlink" Target="https://dadosabertos.camara.leg.br/api/v2/deputados/2973" TargetMode="External"/><Relationship Id="rId5386" Type="http://schemas.openxmlformats.org/officeDocument/2006/relationships/hyperlink" Target="https://dadosabertos.camara.leg.br/api/v2/deputados/2954" TargetMode="External"/><Relationship Id="rId5593" Type="http://schemas.openxmlformats.org/officeDocument/2006/relationships/hyperlink" Target="https://dadosabertos.camara.leg.br/api/v2/deputados/2728" TargetMode="External"/><Relationship Id="rId6437" Type="http://schemas.openxmlformats.org/officeDocument/2006/relationships/hyperlink" Target="https://dadosabertos.camara.leg.br/api/v2/deputados/3734" TargetMode="External"/><Relationship Id="rId6644" Type="http://schemas.openxmlformats.org/officeDocument/2006/relationships/hyperlink" Target="https://dadosabertos.camara.leg.br/api/v2/deputados/1596" TargetMode="External"/><Relationship Id="rId202" Type="http://schemas.openxmlformats.org/officeDocument/2006/relationships/hyperlink" Target="https://dadosabertos.camara.leg.br/api/v2/deputados/220674" TargetMode="External"/><Relationship Id="rId4195" Type="http://schemas.openxmlformats.org/officeDocument/2006/relationships/hyperlink" Target="https://dadosabertos.camara.leg.br/api/v2/deputados/131317" TargetMode="External"/><Relationship Id="rId5039" Type="http://schemas.openxmlformats.org/officeDocument/2006/relationships/hyperlink" Target="https://dadosabertos.camara.leg.br/api/v2/deputados/130482" TargetMode="External"/><Relationship Id="rId5246" Type="http://schemas.openxmlformats.org/officeDocument/2006/relationships/hyperlink" Target="https://dadosabertos.camara.leg.br/api/v2/deputados/3017" TargetMode="External"/><Relationship Id="rId5453" Type="http://schemas.openxmlformats.org/officeDocument/2006/relationships/hyperlink" Target="https://dadosabertos.camara.leg.br/api/v2/deputados/2910" TargetMode="External"/><Relationship Id="rId6504" Type="http://schemas.openxmlformats.org/officeDocument/2006/relationships/hyperlink" Target="https://dadosabertos.camara.leg.br/api/v2/deputados/130111" TargetMode="External"/><Relationship Id="rId6851" Type="http://schemas.openxmlformats.org/officeDocument/2006/relationships/hyperlink" Target="https://dadosabertos.camara.leg.br/api/v2/deputados/1235" TargetMode="External"/><Relationship Id="rId7902" Type="http://schemas.openxmlformats.org/officeDocument/2006/relationships/hyperlink" Target="https://dadosabertos.camara.leg.br/api/v2/deputados/253" TargetMode="External"/><Relationship Id="rId1789" Type="http://schemas.openxmlformats.org/officeDocument/2006/relationships/hyperlink" Target="https://dadosabertos.camara.leg.br/api/v2/deputados/74552" TargetMode="External"/><Relationship Id="rId1996" Type="http://schemas.openxmlformats.org/officeDocument/2006/relationships/hyperlink" Target="https://dadosabertos.camara.leg.br/api/v2/deputados/74487" TargetMode="External"/><Relationship Id="rId4055" Type="http://schemas.openxmlformats.org/officeDocument/2006/relationships/hyperlink" Target="https://dadosabertos.camara.leg.br/api/v2/deputados/131193" TargetMode="External"/><Relationship Id="rId4262" Type="http://schemas.openxmlformats.org/officeDocument/2006/relationships/hyperlink" Target="https://dadosabertos.camara.leg.br/api/v2/deputados/131377" TargetMode="External"/><Relationship Id="rId5106" Type="http://schemas.openxmlformats.org/officeDocument/2006/relationships/hyperlink" Target="https://dadosabertos.camara.leg.br/api/v2/deputados/130302" TargetMode="External"/><Relationship Id="rId5660" Type="http://schemas.openxmlformats.org/officeDocument/2006/relationships/hyperlink" Target="https://dadosabertos.camara.leg.br/api/v2/deputados/130238" TargetMode="External"/><Relationship Id="rId6711" Type="http://schemas.openxmlformats.org/officeDocument/2006/relationships/hyperlink" Target="https://dadosabertos.camara.leg.br/api/v2/deputados/3940" TargetMode="External"/><Relationship Id="rId1649" Type="http://schemas.openxmlformats.org/officeDocument/2006/relationships/hyperlink" Target="https://dadosabertos.camara.leg.br/api/v2/deputados/74284" TargetMode="External"/><Relationship Id="rId1856" Type="http://schemas.openxmlformats.org/officeDocument/2006/relationships/hyperlink" Target="https://dadosabertos.camara.leg.br/api/v2/deputados/74082" TargetMode="External"/><Relationship Id="rId2907" Type="http://schemas.openxmlformats.org/officeDocument/2006/relationships/hyperlink" Target="https://dadosabertos.camara.leg.br/api/v2/deputados/73803" TargetMode="External"/><Relationship Id="rId3071" Type="http://schemas.openxmlformats.org/officeDocument/2006/relationships/hyperlink" Target="https://dadosabertos.camara.leg.br/api/v2/deputados/139227" TargetMode="External"/><Relationship Id="rId5313" Type="http://schemas.openxmlformats.org/officeDocument/2006/relationships/hyperlink" Target="https://dadosabertos.camara.leg.br/api/v2/deputados/2938" TargetMode="External"/><Relationship Id="rId5520" Type="http://schemas.openxmlformats.org/officeDocument/2006/relationships/hyperlink" Target="https://dadosabertos.camara.leg.br/api/v2/deputados/4750" TargetMode="External"/><Relationship Id="rId7278" Type="http://schemas.openxmlformats.org/officeDocument/2006/relationships/hyperlink" Target="https://dadosabertos.camara.leg.br/api/v2/deputados/898" TargetMode="External"/><Relationship Id="rId1509" Type="http://schemas.openxmlformats.org/officeDocument/2006/relationships/hyperlink" Target="https://dadosabertos.camara.leg.br/api/v2/deputados/179385" TargetMode="External"/><Relationship Id="rId1716" Type="http://schemas.openxmlformats.org/officeDocument/2006/relationships/hyperlink" Target="https://dadosabertos.camara.leg.br/api/v2/deputados/74313" TargetMode="External"/><Relationship Id="rId1923" Type="http://schemas.openxmlformats.org/officeDocument/2006/relationships/hyperlink" Target="https://dadosabertos.camara.leg.br/api/v2/deputados/74167" TargetMode="External"/><Relationship Id="rId4122" Type="http://schemas.openxmlformats.org/officeDocument/2006/relationships/hyperlink" Target="https://dadosabertos.camara.leg.br/api/v2/deputados/131246" TargetMode="External"/><Relationship Id="rId7485" Type="http://schemas.openxmlformats.org/officeDocument/2006/relationships/hyperlink" Target="https://dadosabertos.camara.leg.br/api/v2/deputados/935" TargetMode="External"/><Relationship Id="rId7692" Type="http://schemas.openxmlformats.org/officeDocument/2006/relationships/hyperlink" Target="https://dadosabertos.camara.leg.br/api/v2/deputados/502" TargetMode="External"/><Relationship Id="rId3888" Type="http://schemas.openxmlformats.org/officeDocument/2006/relationships/hyperlink" Target="https://dadosabertos.camara.leg.br/api/v2/deputados/131627" TargetMode="External"/><Relationship Id="rId4939" Type="http://schemas.openxmlformats.org/officeDocument/2006/relationships/hyperlink" Target="https://dadosabertos.camara.leg.br/api/v2/deputados/2285" TargetMode="External"/><Relationship Id="rId6087" Type="http://schemas.openxmlformats.org/officeDocument/2006/relationships/hyperlink" Target="https://dadosabertos.camara.leg.br/api/v2/deputados/4203" TargetMode="External"/><Relationship Id="rId6294" Type="http://schemas.openxmlformats.org/officeDocument/2006/relationships/hyperlink" Target="https://dadosabertos.camara.leg.br/api/v2/deputados/2263" TargetMode="External"/><Relationship Id="rId7138" Type="http://schemas.openxmlformats.org/officeDocument/2006/relationships/hyperlink" Target="https://dadosabertos.camara.leg.br/api/v2/deputados/806" TargetMode="External"/><Relationship Id="rId7345" Type="http://schemas.openxmlformats.org/officeDocument/2006/relationships/hyperlink" Target="https://dadosabertos.camara.leg.br/api/v2/deputados/896" TargetMode="External"/><Relationship Id="rId7552" Type="http://schemas.openxmlformats.org/officeDocument/2006/relationships/hyperlink" Target="https://dadosabertos.camara.leg.br/api/v2/deputados/675" TargetMode="External"/><Relationship Id="rId2697" Type="http://schemas.openxmlformats.org/officeDocument/2006/relationships/hyperlink" Target="https://dadosabertos.camara.leg.br/api/v2/deputados/133910" TargetMode="External"/><Relationship Id="rId3748" Type="http://schemas.openxmlformats.org/officeDocument/2006/relationships/hyperlink" Target="https://dadosabertos.camara.leg.br/api/v2/deputados/131800" TargetMode="External"/><Relationship Id="rId6154" Type="http://schemas.openxmlformats.org/officeDocument/2006/relationships/hyperlink" Target="https://dadosabertos.camara.leg.br/api/v2/deputados/4122" TargetMode="External"/><Relationship Id="rId6361" Type="http://schemas.openxmlformats.org/officeDocument/2006/relationships/hyperlink" Target="https://dadosabertos.camara.leg.br/api/v2/deputados/3657" TargetMode="External"/><Relationship Id="rId7205" Type="http://schemas.openxmlformats.org/officeDocument/2006/relationships/hyperlink" Target="https://dadosabertos.camara.leg.br/api/v2/deputados/1018" TargetMode="External"/><Relationship Id="rId7412" Type="http://schemas.openxmlformats.org/officeDocument/2006/relationships/hyperlink" Target="https://dadosabertos.camara.leg.br/api/v2/deputados/809" TargetMode="External"/><Relationship Id="rId669" Type="http://schemas.openxmlformats.org/officeDocument/2006/relationships/hyperlink" Target="https://dadosabertos.camara.leg.br/api/v2/deputados/220592" TargetMode="External"/><Relationship Id="rId876" Type="http://schemas.openxmlformats.org/officeDocument/2006/relationships/hyperlink" Target="https://dadosabertos.camara.leg.br/api/v2/deputados/214445" TargetMode="External"/><Relationship Id="rId1299" Type="http://schemas.openxmlformats.org/officeDocument/2006/relationships/hyperlink" Target="https://dadosabertos.camara.leg.br/api/v2/deputados/178898" TargetMode="External"/><Relationship Id="rId2557" Type="http://schemas.openxmlformats.org/officeDocument/2006/relationships/hyperlink" Target="https://dadosabertos.camara.leg.br/api/v2/deputados/74743" TargetMode="External"/><Relationship Id="rId3608" Type="http://schemas.openxmlformats.org/officeDocument/2006/relationships/hyperlink" Target="https://dadosabertos.camara.leg.br/api/v2/deputados/131664" TargetMode="External"/><Relationship Id="rId3955" Type="http://schemas.openxmlformats.org/officeDocument/2006/relationships/hyperlink" Target="https://dadosabertos.camara.leg.br/api/v2/deputados/131435" TargetMode="External"/><Relationship Id="rId5170" Type="http://schemas.openxmlformats.org/officeDocument/2006/relationships/hyperlink" Target="https://dadosabertos.camara.leg.br/api/v2/deputados/130373" TargetMode="External"/><Relationship Id="rId6014" Type="http://schemas.openxmlformats.org/officeDocument/2006/relationships/hyperlink" Target="https://dadosabertos.camara.leg.br/api/v2/deputados/4256" TargetMode="External"/><Relationship Id="rId6221" Type="http://schemas.openxmlformats.org/officeDocument/2006/relationships/hyperlink" Target="https://dadosabertos.camara.leg.br/api/v2/deputados/130104" TargetMode="External"/><Relationship Id="rId529" Type="http://schemas.openxmlformats.org/officeDocument/2006/relationships/hyperlink" Target="https://dadosabertos.camara.leg.br/api/v2/deputados/204395" TargetMode="External"/><Relationship Id="rId736" Type="http://schemas.openxmlformats.org/officeDocument/2006/relationships/hyperlink" Target="https://dadosabertos.camara.leg.br/api/v2/deputados/204434" TargetMode="External"/><Relationship Id="rId1159" Type="http://schemas.openxmlformats.org/officeDocument/2006/relationships/hyperlink" Target="https://dadosabertos.camara.leg.br/api/v2/deputados/178894" TargetMode="External"/><Relationship Id="rId1366" Type="http://schemas.openxmlformats.org/officeDocument/2006/relationships/hyperlink" Target="https://dadosabertos.camara.leg.br/api/v2/deputados/160680" TargetMode="External"/><Relationship Id="rId2417" Type="http://schemas.openxmlformats.org/officeDocument/2006/relationships/hyperlink" Target="https://dadosabertos.camara.leg.br/api/v2/deputados/73598" TargetMode="External"/><Relationship Id="rId2764" Type="http://schemas.openxmlformats.org/officeDocument/2006/relationships/hyperlink" Target="https://dadosabertos.camara.leg.br/api/v2/deputados/133925" TargetMode="External"/><Relationship Id="rId2971" Type="http://schemas.openxmlformats.org/officeDocument/2006/relationships/hyperlink" Target="https://dadosabertos.camara.leg.br/api/v2/deputados/139140" TargetMode="External"/><Relationship Id="rId3815" Type="http://schemas.openxmlformats.org/officeDocument/2006/relationships/hyperlink" Target="https://dadosabertos.camara.leg.br/api/v2/deputados/131541" TargetMode="External"/><Relationship Id="rId5030" Type="http://schemas.openxmlformats.org/officeDocument/2006/relationships/hyperlink" Target="https://dadosabertos.camara.leg.br/api/v2/deputados/130416" TargetMode="External"/><Relationship Id="rId943" Type="http://schemas.openxmlformats.org/officeDocument/2006/relationships/hyperlink" Target="https://dadosabertos.camara.leg.br/api/v2/deputados/178921" TargetMode="External"/><Relationship Id="rId1019" Type="http://schemas.openxmlformats.org/officeDocument/2006/relationships/hyperlink" Target="https://dadosabertos.camara.leg.br/api/v2/deputados/74535" TargetMode="External"/><Relationship Id="rId1573" Type="http://schemas.openxmlformats.org/officeDocument/2006/relationships/hyperlink" Target="https://dadosabertos.camara.leg.br/api/v2/deputados/160563" TargetMode="External"/><Relationship Id="rId1780" Type="http://schemas.openxmlformats.org/officeDocument/2006/relationships/hyperlink" Target="https://dadosabertos.camara.leg.br/api/v2/deputados/74547" TargetMode="External"/><Relationship Id="rId2624" Type="http://schemas.openxmlformats.org/officeDocument/2006/relationships/hyperlink" Target="https://dadosabertos.camara.leg.br/api/v2/deputados/74012" TargetMode="External"/><Relationship Id="rId2831" Type="http://schemas.openxmlformats.org/officeDocument/2006/relationships/hyperlink" Target="https://dadosabertos.camara.leg.br/api/v2/deputados/133931" TargetMode="External"/><Relationship Id="rId5987" Type="http://schemas.openxmlformats.org/officeDocument/2006/relationships/hyperlink" Target="https://dadosabertos.camara.leg.br/api/v2/deputados/4376" TargetMode="External"/><Relationship Id="rId72" Type="http://schemas.openxmlformats.org/officeDocument/2006/relationships/hyperlink" Target="https://dadosabertos.camara.leg.br/api/v2/deputados/178975" TargetMode="External"/><Relationship Id="rId803" Type="http://schemas.openxmlformats.org/officeDocument/2006/relationships/hyperlink" Target="https://dadosabertos.camara.leg.br/api/v2/deputados/204435" TargetMode="External"/><Relationship Id="rId1226" Type="http://schemas.openxmlformats.org/officeDocument/2006/relationships/hyperlink" Target="https://dadosabertos.camara.leg.br/api/v2/deputados/74751" TargetMode="External"/><Relationship Id="rId1433" Type="http://schemas.openxmlformats.org/officeDocument/2006/relationships/hyperlink" Target="https://dadosabertos.camara.leg.br/api/v2/deputados/74345" TargetMode="External"/><Relationship Id="rId1640" Type="http://schemas.openxmlformats.org/officeDocument/2006/relationships/hyperlink" Target="https://dadosabertos.camara.leg.br/api/v2/deputados/169868" TargetMode="External"/><Relationship Id="rId4589" Type="http://schemas.openxmlformats.org/officeDocument/2006/relationships/hyperlink" Target="https://dadosabertos.camara.leg.br/api/v2/deputados/130749" TargetMode="External"/><Relationship Id="rId4796" Type="http://schemas.openxmlformats.org/officeDocument/2006/relationships/hyperlink" Target="https://dadosabertos.camara.leg.br/api/v2/deputados/130580" TargetMode="External"/><Relationship Id="rId5847" Type="http://schemas.openxmlformats.org/officeDocument/2006/relationships/hyperlink" Target="https://dadosabertos.camara.leg.br/api/v2/deputados/130166" TargetMode="External"/><Relationship Id="rId1500" Type="http://schemas.openxmlformats.org/officeDocument/2006/relationships/hyperlink" Target="https://dadosabertos.camara.leg.br/api/v2/deputados/74297" TargetMode="External"/><Relationship Id="rId3398" Type="http://schemas.openxmlformats.org/officeDocument/2006/relationships/hyperlink" Target="https://dadosabertos.camara.leg.br/api/v2/deputados/131882" TargetMode="External"/><Relationship Id="rId4449" Type="http://schemas.openxmlformats.org/officeDocument/2006/relationships/hyperlink" Target="https://dadosabertos.camara.leg.br/api/v2/deputados/131066" TargetMode="External"/><Relationship Id="rId4656" Type="http://schemas.openxmlformats.org/officeDocument/2006/relationships/hyperlink" Target="https://dadosabertos.camara.leg.br/api/v2/deputados/130714" TargetMode="External"/><Relationship Id="rId4863" Type="http://schemas.openxmlformats.org/officeDocument/2006/relationships/hyperlink" Target="https://dadosabertos.camara.leg.br/api/v2/deputados/130671" TargetMode="External"/><Relationship Id="rId5707" Type="http://schemas.openxmlformats.org/officeDocument/2006/relationships/hyperlink" Target="https://dadosabertos.camara.leg.br/api/v2/deputados/130182" TargetMode="External"/><Relationship Id="rId5914" Type="http://schemas.openxmlformats.org/officeDocument/2006/relationships/hyperlink" Target="https://dadosabertos.camara.leg.br/api/v2/deputados/4306" TargetMode="External"/><Relationship Id="rId7062" Type="http://schemas.openxmlformats.org/officeDocument/2006/relationships/hyperlink" Target="https://dadosabertos.camara.leg.br/api/v2/deputados/1089" TargetMode="External"/><Relationship Id="rId3258" Type="http://schemas.openxmlformats.org/officeDocument/2006/relationships/hyperlink" Target="https://dadosabertos.camara.leg.br/api/v2/deputados/139387" TargetMode="External"/><Relationship Id="rId3465" Type="http://schemas.openxmlformats.org/officeDocument/2006/relationships/hyperlink" Target="https://dadosabertos.camara.leg.br/api/v2/deputados/132022" TargetMode="External"/><Relationship Id="rId3672" Type="http://schemas.openxmlformats.org/officeDocument/2006/relationships/hyperlink" Target="https://dadosabertos.camara.leg.br/api/v2/deputados/131722" TargetMode="External"/><Relationship Id="rId4309" Type="http://schemas.openxmlformats.org/officeDocument/2006/relationships/hyperlink" Target="https://dadosabertos.camara.leg.br/api/v2/deputados/130922" TargetMode="External"/><Relationship Id="rId4516" Type="http://schemas.openxmlformats.org/officeDocument/2006/relationships/hyperlink" Target="https://dadosabertos.camara.leg.br/api/v2/deputados/131120" TargetMode="External"/><Relationship Id="rId4723" Type="http://schemas.openxmlformats.org/officeDocument/2006/relationships/hyperlink" Target="https://dadosabertos.camara.leg.br/api/v2/deputados/130506" TargetMode="External"/><Relationship Id="rId7879" Type="http://schemas.openxmlformats.org/officeDocument/2006/relationships/hyperlink" Target="https://dadosabertos.camara.leg.br/api/v2/deputados/65" TargetMode="External"/><Relationship Id="rId179" Type="http://schemas.openxmlformats.org/officeDocument/2006/relationships/hyperlink" Target="https://dadosabertos.camara.leg.br/api/v2/deputados/160599" TargetMode="External"/><Relationship Id="rId386" Type="http://schemas.openxmlformats.org/officeDocument/2006/relationships/hyperlink" Target="https://dadosabertos.camara.leg.br/api/v2/deputados/220662" TargetMode="External"/><Relationship Id="rId593" Type="http://schemas.openxmlformats.org/officeDocument/2006/relationships/hyperlink" Target="https://www.instagram.com/rosangelareis.mg" TargetMode="External"/><Relationship Id="rId2067" Type="http://schemas.openxmlformats.org/officeDocument/2006/relationships/hyperlink" Target="https://dadosabertos.camara.leg.br/api/v2/deputados/73546" TargetMode="External"/><Relationship Id="rId2274" Type="http://schemas.openxmlformats.org/officeDocument/2006/relationships/hyperlink" Target="https://dadosabertos.camara.leg.br/api/v2/deputados/74548" TargetMode="External"/><Relationship Id="rId2481" Type="http://schemas.openxmlformats.org/officeDocument/2006/relationships/hyperlink" Target="https://dadosabertos.camara.leg.br/api/v2/deputados/74011" TargetMode="External"/><Relationship Id="rId3118" Type="http://schemas.openxmlformats.org/officeDocument/2006/relationships/hyperlink" Target="https://dadosabertos.camara.leg.br/api/v2/deputados/139268" TargetMode="External"/><Relationship Id="rId3325" Type="http://schemas.openxmlformats.org/officeDocument/2006/relationships/hyperlink" Target="https://dadosabertos.camara.leg.br/api/v2/deputados/131883" TargetMode="External"/><Relationship Id="rId3532" Type="http://schemas.openxmlformats.org/officeDocument/2006/relationships/hyperlink" Target="https://dadosabertos.camara.leg.br/api/v2/deputados/132079" TargetMode="External"/><Relationship Id="rId4930" Type="http://schemas.openxmlformats.org/officeDocument/2006/relationships/hyperlink" Target="https://dadosabertos.camara.leg.br/api/v2/deputados/130398" TargetMode="External"/><Relationship Id="rId6688" Type="http://schemas.openxmlformats.org/officeDocument/2006/relationships/hyperlink" Target="https://dadosabertos.camara.leg.br/api/v2/deputados/130125" TargetMode="External"/><Relationship Id="rId7739" Type="http://schemas.openxmlformats.org/officeDocument/2006/relationships/hyperlink" Target="https://dadosabertos.camara.leg.br/api/v2/deputados/269" TargetMode="External"/><Relationship Id="rId246" Type="http://schemas.openxmlformats.org/officeDocument/2006/relationships/hyperlink" Target="https://dadosabertos.camara.leg.br/api/v2/deputados/227370" TargetMode="External"/><Relationship Id="rId453" Type="http://schemas.openxmlformats.org/officeDocument/2006/relationships/hyperlink" Target="https://www.instagram.com/marionegromontejr" TargetMode="External"/><Relationship Id="rId660" Type="http://schemas.openxmlformats.org/officeDocument/2006/relationships/hyperlink" Target="https://dadosabertos.camara.leg.br/api/v2/deputados/220660" TargetMode="External"/><Relationship Id="rId1083" Type="http://schemas.openxmlformats.org/officeDocument/2006/relationships/hyperlink" Target="https://dadosabertos.camara.leg.br/api/v2/deputados/178877" TargetMode="External"/><Relationship Id="rId1290" Type="http://schemas.openxmlformats.org/officeDocument/2006/relationships/hyperlink" Target="https://dadosabertos.camara.leg.br/api/v2/deputados/187008" TargetMode="External"/><Relationship Id="rId2134" Type="http://schemas.openxmlformats.org/officeDocument/2006/relationships/hyperlink" Target="https://dadosabertos.camara.leg.br/api/v2/deputados/73420" TargetMode="External"/><Relationship Id="rId2341" Type="http://schemas.openxmlformats.org/officeDocument/2006/relationships/hyperlink" Target="https://dadosabertos.camara.leg.br/api/v2/deputados/74789" TargetMode="External"/><Relationship Id="rId5497" Type="http://schemas.openxmlformats.org/officeDocument/2006/relationships/hyperlink" Target="https://dadosabertos.camara.leg.br/api/v2/deputados/4732" TargetMode="External"/><Relationship Id="rId6548" Type="http://schemas.openxmlformats.org/officeDocument/2006/relationships/hyperlink" Target="https://dadosabertos.camara.leg.br/api/v2/deputados/1851" TargetMode="External"/><Relationship Id="rId6895" Type="http://schemas.openxmlformats.org/officeDocument/2006/relationships/hyperlink" Target="https://dadosabertos.camara.leg.br/api/v2/deputados/992" TargetMode="External"/><Relationship Id="rId7946" Type="http://schemas.openxmlformats.org/officeDocument/2006/relationships/hyperlink" Target="https://dadosabertos.camara.leg.br/api/v2/deputados/152" TargetMode="External"/><Relationship Id="rId106" Type="http://schemas.openxmlformats.org/officeDocument/2006/relationships/hyperlink" Target="https://dadosabertos.camara.leg.br/api/v2/deputados/164360" TargetMode="External"/><Relationship Id="rId313" Type="http://schemas.openxmlformats.org/officeDocument/2006/relationships/hyperlink" Target="https://dadosabertos.camara.leg.br/api/v2/deputados/204508" TargetMode="External"/><Relationship Id="rId1150" Type="http://schemas.openxmlformats.org/officeDocument/2006/relationships/hyperlink" Target="https://dadosabertos.camara.leg.br/api/v2/deputados/178851" TargetMode="External"/><Relationship Id="rId4099" Type="http://schemas.openxmlformats.org/officeDocument/2006/relationships/hyperlink" Target="https://dadosabertos.camara.leg.br/api/v2/deputados/131222" TargetMode="External"/><Relationship Id="rId5357" Type="http://schemas.openxmlformats.org/officeDocument/2006/relationships/hyperlink" Target="https://dadosabertos.camara.leg.br/api/v2/deputados/2838" TargetMode="External"/><Relationship Id="rId6755" Type="http://schemas.openxmlformats.org/officeDocument/2006/relationships/hyperlink" Target="https://dadosabertos.camara.leg.br/api/v2/deputados/1675" TargetMode="External"/><Relationship Id="rId6962" Type="http://schemas.openxmlformats.org/officeDocument/2006/relationships/hyperlink" Target="https://dadosabertos.camara.leg.br/api/v2/deputados/909" TargetMode="External"/><Relationship Id="rId7806" Type="http://schemas.openxmlformats.org/officeDocument/2006/relationships/hyperlink" Target="https://dadosabertos.camara.leg.br/api/v2/deputados/162" TargetMode="External"/><Relationship Id="rId520" Type="http://schemas.openxmlformats.org/officeDocument/2006/relationships/hyperlink" Target="https://dadosabertos.camara.leg.br/api/v2/deputados/220685" TargetMode="External"/><Relationship Id="rId2201" Type="http://schemas.openxmlformats.org/officeDocument/2006/relationships/hyperlink" Target="https://dadosabertos.camara.leg.br/api/v2/deputados/73681" TargetMode="External"/><Relationship Id="rId5564" Type="http://schemas.openxmlformats.org/officeDocument/2006/relationships/hyperlink" Target="https://dadosabertos.camara.leg.br/api/v2/deputados/2791" TargetMode="External"/><Relationship Id="rId5771" Type="http://schemas.openxmlformats.org/officeDocument/2006/relationships/hyperlink" Target="https://dadosabertos.camara.leg.br/api/v2/deputados/130205" TargetMode="External"/><Relationship Id="rId6408" Type="http://schemas.openxmlformats.org/officeDocument/2006/relationships/hyperlink" Target="https://dadosabertos.camara.leg.br/api/v2/deputados/1960" TargetMode="External"/><Relationship Id="rId6615" Type="http://schemas.openxmlformats.org/officeDocument/2006/relationships/hyperlink" Target="https://dadosabertos.camara.leg.br/api/v2/deputados/1975" TargetMode="External"/><Relationship Id="rId6822" Type="http://schemas.openxmlformats.org/officeDocument/2006/relationships/hyperlink" Target="https://dadosabertos.camara.leg.br/api/v2/deputados/1718" TargetMode="External"/><Relationship Id="rId1010" Type="http://schemas.openxmlformats.org/officeDocument/2006/relationships/hyperlink" Target="https://dadosabertos.camara.leg.br/api/v2/deputados/160602" TargetMode="External"/><Relationship Id="rId1967" Type="http://schemas.openxmlformats.org/officeDocument/2006/relationships/hyperlink" Target="https://dadosabertos.camara.leg.br/api/v2/deputados/74538" TargetMode="External"/><Relationship Id="rId4166" Type="http://schemas.openxmlformats.org/officeDocument/2006/relationships/hyperlink" Target="https://dadosabertos.camara.leg.br/api/v2/deputados/131296" TargetMode="External"/><Relationship Id="rId4373" Type="http://schemas.openxmlformats.org/officeDocument/2006/relationships/hyperlink" Target="https://dadosabertos.camara.leg.br/api/v2/deputados/130993" TargetMode="External"/><Relationship Id="rId4580" Type="http://schemas.openxmlformats.org/officeDocument/2006/relationships/hyperlink" Target="https://dadosabertos.camara.leg.br/api/v2/deputados/130809" TargetMode="External"/><Relationship Id="rId5217" Type="http://schemas.openxmlformats.org/officeDocument/2006/relationships/hyperlink" Target="https://dadosabertos.camara.leg.br/api/v2/deputados/130362" TargetMode="External"/><Relationship Id="rId5424" Type="http://schemas.openxmlformats.org/officeDocument/2006/relationships/hyperlink" Target="https://dadosabertos.camara.leg.br/api/v2/deputados/4785" TargetMode="External"/><Relationship Id="rId5631" Type="http://schemas.openxmlformats.org/officeDocument/2006/relationships/hyperlink" Target="https://dadosabertos.camara.leg.br/api/v2/deputados/2799" TargetMode="External"/><Relationship Id="rId4026" Type="http://schemas.openxmlformats.org/officeDocument/2006/relationships/hyperlink" Target="https://dadosabertos.camara.leg.br/api/v2/deputados/131158" TargetMode="External"/><Relationship Id="rId4440" Type="http://schemas.openxmlformats.org/officeDocument/2006/relationships/hyperlink" Target="https://dadosabertos.camara.leg.br/api/v2/deputados/131059" TargetMode="External"/><Relationship Id="rId7596" Type="http://schemas.openxmlformats.org/officeDocument/2006/relationships/hyperlink" Target="https://dadosabertos.camara.leg.br/api/v2/deputados/552" TargetMode="External"/><Relationship Id="rId3042" Type="http://schemas.openxmlformats.org/officeDocument/2006/relationships/hyperlink" Target="https://dadosabertos.camara.leg.br/api/v2/deputados/139202" TargetMode="External"/><Relationship Id="rId6198" Type="http://schemas.openxmlformats.org/officeDocument/2006/relationships/hyperlink" Target="https://dadosabertos.camara.leg.br/api/v2/deputados/2316" TargetMode="External"/><Relationship Id="rId7249" Type="http://schemas.openxmlformats.org/officeDocument/2006/relationships/hyperlink" Target="https://dadosabertos.camara.leg.br/api/v2/deputados/969" TargetMode="External"/><Relationship Id="rId7663" Type="http://schemas.openxmlformats.org/officeDocument/2006/relationships/hyperlink" Target="https://dadosabertos.camara.leg.br/api/v2/deputados/538" TargetMode="External"/><Relationship Id="rId6265" Type="http://schemas.openxmlformats.org/officeDocument/2006/relationships/hyperlink" Target="https://dadosabertos.camara.leg.br/api/v2/deputados/2339" TargetMode="External"/><Relationship Id="rId7316" Type="http://schemas.openxmlformats.org/officeDocument/2006/relationships/hyperlink" Target="https://dadosabertos.camara.leg.br/api/v2/deputados/777" TargetMode="External"/><Relationship Id="rId3859" Type="http://schemas.openxmlformats.org/officeDocument/2006/relationships/hyperlink" Target="https://dadosabertos.camara.leg.br/api/v2/deputados/131590" TargetMode="External"/><Relationship Id="rId5281" Type="http://schemas.openxmlformats.org/officeDocument/2006/relationships/hyperlink" Target="https://dadosabertos.camara.leg.br/api/v2/deputados/4909" TargetMode="External"/><Relationship Id="rId7730" Type="http://schemas.openxmlformats.org/officeDocument/2006/relationships/hyperlink" Target="https://dadosabertos.camara.leg.br/api/v2/deputados/459" TargetMode="External"/><Relationship Id="rId2875" Type="http://schemas.openxmlformats.org/officeDocument/2006/relationships/hyperlink" Target="https://dadosabertos.camara.leg.br/api/v2/deputados/133944" TargetMode="External"/><Relationship Id="rId3926" Type="http://schemas.openxmlformats.org/officeDocument/2006/relationships/hyperlink" Target="https://dadosabertos.camara.leg.br/api/v2/deputados/131495" TargetMode="External"/><Relationship Id="rId6332" Type="http://schemas.openxmlformats.org/officeDocument/2006/relationships/hyperlink" Target="https://dadosabertos.camara.leg.br/api/v2/deputados/3635" TargetMode="External"/><Relationship Id="rId847" Type="http://schemas.openxmlformats.org/officeDocument/2006/relationships/hyperlink" Target="https://dadosabertos.camara.leg.br/api/v2/deputados/76874" TargetMode="External"/><Relationship Id="rId1477" Type="http://schemas.openxmlformats.org/officeDocument/2006/relationships/hyperlink" Target="https://dadosabertos.camara.leg.br/api/v2/deputados/160675" TargetMode="External"/><Relationship Id="rId1891" Type="http://schemas.openxmlformats.org/officeDocument/2006/relationships/hyperlink" Target="https://dadosabertos.camara.leg.br/api/v2/deputados/73561" TargetMode="External"/><Relationship Id="rId2528" Type="http://schemas.openxmlformats.org/officeDocument/2006/relationships/hyperlink" Target="https://dadosabertos.camara.leg.br/api/v2/deputados/73899" TargetMode="External"/><Relationship Id="rId2942" Type="http://schemas.openxmlformats.org/officeDocument/2006/relationships/hyperlink" Target="https://dadosabertos.camara.leg.br/api/v2/deputados/73810" TargetMode="External"/><Relationship Id="rId914" Type="http://schemas.openxmlformats.org/officeDocument/2006/relationships/hyperlink" Target="https://dadosabertos.camara.leg.br/api/v2/deputados/141523" TargetMode="External"/><Relationship Id="rId1544" Type="http://schemas.openxmlformats.org/officeDocument/2006/relationships/hyperlink" Target="https://dadosabertos.camara.leg.br/api/v2/deputados/176794" TargetMode="External"/><Relationship Id="rId5001" Type="http://schemas.openxmlformats.org/officeDocument/2006/relationships/hyperlink" Target="https://dadosabertos.camara.leg.br/api/v2/deputados/130458" TargetMode="External"/><Relationship Id="rId1611" Type="http://schemas.openxmlformats.org/officeDocument/2006/relationships/hyperlink" Target="https://dadosabertos.camara.leg.br/api/v2/deputados/161903" TargetMode="External"/><Relationship Id="rId4767" Type="http://schemas.openxmlformats.org/officeDocument/2006/relationships/hyperlink" Target="https://dadosabertos.camara.leg.br/api/v2/deputados/130551" TargetMode="External"/><Relationship Id="rId5818" Type="http://schemas.openxmlformats.org/officeDocument/2006/relationships/hyperlink" Target="https://dadosabertos.camara.leg.br/api/v2/deputados/130192" TargetMode="External"/><Relationship Id="rId7173" Type="http://schemas.openxmlformats.org/officeDocument/2006/relationships/hyperlink" Target="https://dadosabertos.camara.leg.br/api/v2/deputados/961" TargetMode="External"/><Relationship Id="rId3369" Type="http://schemas.openxmlformats.org/officeDocument/2006/relationships/hyperlink" Target="https://dadosabertos.camara.leg.br/api/v2/deputados/131975" TargetMode="External"/><Relationship Id="rId7240" Type="http://schemas.openxmlformats.org/officeDocument/2006/relationships/hyperlink" Target="https://dadosabertos.camara.leg.br/api/v2/deputados/941" TargetMode="External"/><Relationship Id="rId2385" Type="http://schemas.openxmlformats.org/officeDocument/2006/relationships/hyperlink" Target="https://dadosabertos.camara.leg.br/api/v2/deputados/73467" TargetMode="External"/><Relationship Id="rId3783" Type="http://schemas.openxmlformats.org/officeDocument/2006/relationships/hyperlink" Target="https://dadosabertos.camara.leg.br/api/v2/deputados/131503" TargetMode="External"/><Relationship Id="rId4834" Type="http://schemas.openxmlformats.org/officeDocument/2006/relationships/hyperlink" Target="https://dadosabertos.camara.leg.br/api/v2/deputados/130629" TargetMode="External"/><Relationship Id="rId357" Type="http://schemas.openxmlformats.org/officeDocument/2006/relationships/hyperlink" Target="https://dadosabertos.camara.leg.br/api/v2/deputados/74253" TargetMode="External"/><Relationship Id="rId2038" Type="http://schemas.openxmlformats.org/officeDocument/2006/relationships/hyperlink" Target="https://dadosabertos.camara.leg.br/api/v2/deputados/74568" TargetMode="External"/><Relationship Id="rId3436" Type="http://schemas.openxmlformats.org/officeDocument/2006/relationships/hyperlink" Target="https://dadosabertos.camara.leg.br/api/v2/deputados/132000" TargetMode="External"/><Relationship Id="rId3850" Type="http://schemas.openxmlformats.org/officeDocument/2006/relationships/hyperlink" Target="https://dadosabertos.camara.leg.br/api/v2/deputados/131584" TargetMode="External"/><Relationship Id="rId4901" Type="http://schemas.openxmlformats.org/officeDocument/2006/relationships/hyperlink" Target="https://dadosabertos.camara.leg.br/api/v2/deputados/130579" TargetMode="External"/><Relationship Id="rId771" Type="http://schemas.openxmlformats.org/officeDocument/2006/relationships/hyperlink" Target="https://dadosabertos.camara.leg.br/api/v2/deputados/204447" TargetMode="External"/><Relationship Id="rId2452" Type="http://schemas.openxmlformats.org/officeDocument/2006/relationships/hyperlink" Target="https://dadosabertos.camara.leg.br/api/v2/deputados/74320" TargetMode="External"/><Relationship Id="rId3503" Type="http://schemas.openxmlformats.org/officeDocument/2006/relationships/hyperlink" Target="https://dadosabertos.camara.leg.br/api/v2/deputados/132006" TargetMode="External"/><Relationship Id="rId6659" Type="http://schemas.openxmlformats.org/officeDocument/2006/relationships/hyperlink" Target="https://dadosabertos.camara.leg.br/api/v2/deputados/3953" TargetMode="External"/><Relationship Id="rId424" Type="http://schemas.openxmlformats.org/officeDocument/2006/relationships/hyperlink" Target="https://dadosabertos.camara.leg.br/api/v2/deputados/220599" TargetMode="External"/><Relationship Id="rId1054" Type="http://schemas.openxmlformats.org/officeDocument/2006/relationships/hyperlink" Target="https://dadosabertos.camara.leg.br/api/v2/deputados/178892" TargetMode="External"/><Relationship Id="rId2105" Type="http://schemas.openxmlformats.org/officeDocument/2006/relationships/hyperlink" Target="https://dadosabertos.camara.leg.br/api/v2/deputados/74444" TargetMode="External"/><Relationship Id="rId5675" Type="http://schemas.openxmlformats.org/officeDocument/2006/relationships/hyperlink" Target="https://dadosabertos.camara.leg.br/api/v2/deputados/2805" TargetMode="External"/><Relationship Id="rId6726" Type="http://schemas.openxmlformats.org/officeDocument/2006/relationships/hyperlink" Target="https://dadosabertos.camara.leg.br/api/v2/deputados/1762" TargetMode="External"/><Relationship Id="rId1121" Type="http://schemas.openxmlformats.org/officeDocument/2006/relationships/hyperlink" Target="https://dadosabertos.camara.leg.br/api/v2/deputados/73926" TargetMode="External"/><Relationship Id="rId4277" Type="http://schemas.openxmlformats.org/officeDocument/2006/relationships/hyperlink" Target="https://dadosabertos.camara.leg.br/api/v2/deputados/130885" TargetMode="External"/><Relationship Id="rId4691" Type="http://schemas.openxmlformats.org/officeDocument/2006/relationships/hyperlink" Target="https://dadosabertos.camara.leg.br/api/v2/deputados/130876" TargetMode="External"/><Relationship Id="rId5328" Type="http://schemas.openxmlformats.org/officeDocument/2006/relationships/hyperlink" Target="https://dadosabertos.camara.leg.br/api/v2/deputados/2694" TargetMode="External"/><Relationship Id="rId5742" Type="http://schemas.openxmlformats.org/officeDocument/2006/relationships/hyperlink" Target="https://dadosabertos.camara.leg.br/api/v2/deputados/2670" TargetMode="External"/><Relationship Id="rId3293" Type="http://schemas.openxmlformats.org/officeDocument/2006/relationships/hyperlink" Target="https://dadosabertos.camara.leg.br/api/v2/deputados/131863" TargetMode="External"/><Relationship Id="rId4344" Type="http://schemas.openxmlformats.org/officeDocument/2006/relationships/hyperlink" Target="https://dadosabertos.camara.leg.br/api/v2/deputados/130946" TargetMode="External"/><Relationship Id="rId1938" Type="http://schemas.openxmlformats.org/officeDocument/2006/relationships/hyperlink" Target="https://dadosabertos.camara.leg.br/api/v2/deputados/73927" TargetMode="External"/><Relationship Id="rId3360" Type="http://schemas.openxmlformats.org/officeDocument/2006/relationships/hyperlink" Target="https://dadosabertos.camara.leg.br/api/v2/deputados/131913" TargetMode="External"/><Relationship Id="rId7567" Type="http://schemas.openxmlformats.org/officeDocument/2006/relationships/hyperlink" Target="https://dadosabertos.camara.leg.br/api/v2/deputados/593" TargetMode="External"/><Relationship Id="rId281" Type="http://schemas.openxmlformats.org/officeDocument/2006/relationships/hyperlink" Target="https://dadosabertos.camara.leg.br/api/v2/deputados/220531" TargetMode="External"/><Relationship Id="rId3013" Type="http://schemas.openxmlformats.org/officeDocument/2006/relationships/hyperlink" Target="https://dadosabertos.camara.leg.br/api/v2/deputados/139177" TargetMode="External"/><Relationship Id="rId4411" Type="http://schemas.openxmlformats.org/officeDocument/2006/relationships/hyperlink" Target="https://dadosabertos.camara.leg.br/api/v2/deputados/131015" TargetMode="External"/><Relationship Id="rId6169" Type="http://schemas.openxmlformats.org/officeDocument/2006/relationships/hyperlink" Target="https://dadosabertos.camara.leg.br/api/v2/deputados/2062" TargetMode="External"/><Relationship Id="rId7981" Type="http://schemas.openxmlformats.org/officeDocument/2006/relationships/hyperlink" Target="https://dadosabertos.camara.leg.br/api/v2/deputados/135" TargetMode="External"/><Relationship Id="rId6583" Type="http://schemas.openxmlformats.org/officeDocument/2006/relationships/hyperlink" Target="https://dadosabertos.camara.leg.br/api/v2/deputados/1845" TargetMode="External"/><Relationship Id="rId7634" Type="http://schemas.openxmlformats.org/officeDocument/2006/relationships/hyperlink" Target="https://dadosabertos.camara.leg.br/api/v2/deputados/614" TargetMode="External"/><Relationship Id="rId2779" Type="http://schemas.openxmlformats.org/officeDocument/2006/relationships/hyperlink" Target="https://dadosabertos.camara.leg.br/api/v2/deputados/73740" TargetMode="External"/><Relationship Id="rId5185" Type="http://schemas.openxmlformats.org/officeDocument/2006/relationships/hyperlink" Target="https://dadosabertos.camara.leg.br/api/v2/deputados/3021" TargetMode="External"/><Relationship Id="rId6236" Type="http://schemas.openxmlformats.org/officeDocument/2006/relationships/hyperlink" Target="https://dadosabertos.camara.leg.br/api/v2/deputados/1752" TargetMode="External"/><Relationship Id="rId6650" Type="http://schemas.openxmlformats.org/officeDocument/2006/relationships/hyperlink" Target="https://dadosabertos.camara.leg.br/api/v2/deputados/1563" TargetMode="External"/><Relationship Id="rId7701" Type="http://schemas.openxmlformats.org/officeDocument/2006/relationships/hyperlink" Target="https://dadosabertos.camara.leg.br/api/v2/deputados/138" TargetMode="External"/><Relationship Id="rId1795" Type="http://schemas.openxmlformats.org/officeDocument/2006/relationships/hyperlink" Target="https://dadosabertos.camara.leg.br/api/v2/deputados/141466" TargetMode="External"/><Relationship Id="rId2846" Type="http://schemas.openxmlformats.org/officeDocument/2006/relationships/hyperlink" Target="https://dadosabertos.camara.leg.br/api/v2/deputados/65459" TargetMode="External"/><Relationship Id="rId5252" Type="http://schemas.openxmlformats.org/officeDocument/2006/relationships/hyperlink" Target="https://dadosabertos.camara.leg.br/api/v2/deputados/4890" TargetMode="External"/><Relationship Id="rId6303" Type="http://schemas.openxmlformats.org/officeDocument/2006/relationships/hyperlink" Target="https://dadosabertos.camara.leg.br/api/v2/deputados/2022" TargetMode="External"/><Relationship Id="rId87" Type="http://schemas.openxmlformats.org/officeDocument/2006/relationships/hyperlink" Target="https://dadosabertos.camara.leg.br/api/v2/deputados/220574" TargetMode="External"/><Relationship Id="rId818" Type="http://schemas.openxmlformats.org/officeDocument/2006/relationships/hyperlink" Target="https://dadosabertos.camara.leg.br/api/v2/deputados/151208" TargetMode="External"/><Relationship Id="rId1448" Type="http://schemas.openxmlformats.org/officeDocument/2006/relationships/hyperlink" Target="https://dadosabertos.camara.leg.br/api/v2/deputados/165429" TargetMode="External"/><Relationship Id="rId1862" Type="http://schemas.openxmlformats.org/officeDocument/2006/relationships/hyperlink" Target="https://dadosabertos.camara.leg.br/api/v2/deputados/74590" TargetMode="External"/><Relationship Id="rId2913" Type="http://schemas.openxmlformats.org/officeDocument/2006/relationships/hyperlink" Target="https://dadosabertos.camara.leg.br/api/v2/deputados/73871" TargetMode="External"/><Relationship Id="rId7077" Type="http://schemas.openxmlformats.org/officeDocument/2006/relationships/hyperlink" Target="https://dadosabertos.camara.leg.br/api/v2/deputados/1125" TargetMode="External"/><Relationship Id="rId7491" Type="http://schemas.openxmlformats.org/officeDocument/2006/relationships/hyperlink" Target="https://dadosabertos.camara.leg.br/api/v2/deputados/466" TargetMode="External"/><Relationship Id="rId1515" Type="http://schemas.openxmlformats.org/officeDocument/2006/relationships/hyperlink" Target="https://dadosabertos.camara.leg.br/api/v2/deputados/73474" TargetMode="External"/><Relationship Id="rId6093" Type="http://schemas.openxmlformats.org/officeDocument/2006/relationships/hyperlink" Target="https://dadosabertos.camara.leg.br/api/v2/deputados/4199" TargetMode="External"/><Relationship Id="rId7144" Type="http://schemas.openxmlformats.org/officeDocument/2006/relationships/hyperlink" Target="https://dadosabertos.camara.leg.br/api/v2/deputados/733" TargetMode="External"/><Relationship Id="rId3687" Type="http://schemas.openxmlformats.org/officeDocument/2006/relationships/hyperlink" Target="https://dadosabertos.camara.leg.br/api/v2/deputados/131744" TargetMode="External"/><Relationship Id="rId4738" Type="http://schemas.openxmlformats.org/officeDocument/2006/relationships/hyperlink" Target="https://dadosabertos.camara.leg.br/api/v2/deputados/130542" TargetMode="External"/><Relationship Id="rId2289" Type="http://schemas.openxmlformats.org/officeDocument/2006/relationships/hyperlink" Target="https://dadosabertos.camara.leg.br/api/v2/deputados/74446" TargetMode="External"/><Relationship Id="rId3754" Type="http://schemas.openxmlformats.org/officeDocument/2006/relationships/hyperlink" Target="https://dadosabertos.camara.leg.br/api/v2/deputados/131806" TargetMode="External"/><Relationship Id="rId4805" Type="http://schemas.openxmlformats.org/officeDocument/2006/relationships/hyperlink" Target="https://dadosabertos.camara.leg.br/api/v2/deputados/130590" TargetMode="External"/><Relationship Id="rId6160" Type="http://schemas.openxmlformats.org/officeDocument/2006/relationships/hyperlink" Target="https://dadosabertos.camara.leg.br/api/v2/deputados/1800" TargetMode="External"/><Relationship Id="rId7211" Type="http://schemas.openxmlformats.org/officeDocument/2006/relationships/hyperlink" Target="https://dadosabertos.camara.leg.br/api/v2/deputados/1021" TargetMode="External"/><Relationship Id="rId675" Type="http://schemas.openxmlformats.org/officeDocument/2006/relationships/hyperlink" Target="https://dadosabertos.camara.leg.br/api/v2/deputados/141372" TargetMode="External"/><Relationship Id="rId2356" Type="http://schemas.openxmlformats.org/officeDocument/2006/relationships/hyperlink" Target="https://dadosabertos.camara.leg.br/api/v2/deputados/74192" TargetMode="External"/><Relationship Id="rId2770" Type="http://schemas.openxmlformats.org/officeDocument/2006/relationships/hyperlink" Target="https://dadosabertos.camara.leg.br/api/v2/deputados/73972" TargetMode="External"/><Relationship Id="rId3407" Type="http://schemas.openxmlformats.org/officeDocument/2006/relationships/hyperlink" Target="https://dadosabertos.camara.leg.br/api/v2/deputados/131950" TargetMode="External"/><Relationship Id="rId3821" Type="http://schemas.openxmlformats.org/officeDocument/2006/relationships/hyperlink" Target="https://dadosabertos.camara.leg.br/api/v2/deputados/131568" TargetMode="External"/><Relationship Id="rId6977" Type="http://schemas.openxmlformats.org/officeDocument/2006/relationships/hyperlink" Target="https://dadosabertos.camara.leg.br/api/v2/deputados/1204" TargetMode="External"/><Relationship Id="rId328" Type="http://schemas.openxmlformats.org/officeDocument/2006/relationships/hyperlink" Target="https://www.instagram.com/joaobacelaroficial" TargetMode="External"/><Relationship Id="rId742" Type="http://schemas.openxmlformats.org/officeDocument/2006/relationships/hyperlink" Target="https://dadosabertos.camara.leg.br/api/v2/deputados/204421" TargetMode="External"/><Relationship Id="rId1372" Type="http://schemas.openxmlformats.org/officeDocument/2006/relationships/hyperlink" Target="https://dadosabertos.camara.leg.br/api/v2/deputados/141399" TargetMode="External"/><Relationship Id="rId2009" Type="http://schemas.openxmlformats.org/officeDocument/2006/relationships/hyperlink" Target="https://dadosabertos.camara.leg.br/api/v2/deputados/74489" TargetMode="External"/><Relationship Id="rId2423" Type="http://schemas.openxmlformats.org/officeDocument/2006/relationships/hyperlink" Target="https://dadosabertos.camara.leg.br/api/v2/deputados/74185" TargetMode="External"/><Relationship Id="rId5579" Type="http://schemas.openxmlformats.org/officeDocument/2006/relationships/hyperlink" Target="https://dadosabertos.camara.leg.br/api/v2/deputados/2784" TargetMode="External"/><Relationship Id="rId1025" Type="http://schemas.openxmlformats.org/officeDocument/2006/relationships/hyperlink" Target="https://dadosabertos.camara.leg.br/api/v2/deputados/74650" TargetMode="External"/><Relationship Id="rId4595" Type="http://schemas.openxmlformats.org/officeDocument/2006/relationships/hyperlink" Target="https://dadosabertos.camara.leg.br/api/v2/deputados/130756" TargetMode="External"/><Relationship Id="rId5646" Type="http://schemas.openxmlformats.org/officeDocument/2006/relationships/hyperlink" Target="https://dadosabertos.camara.leg.br/api/v2/deputados/4632" TargetMode="External"/><Relationship Id="rId5993" Type="http://schemas.openxmlformats.org/officeDocument/2006/relationships/hyperlink" Target="https://dadosabertos.camara.leg.br/api/v2/deputados/2509" TargetMode="External"/><Relationship Id="rId3197" Type="http://schemas.openxmlformats.org/officeDocument/2006/relationships/hyperlink" Target="https://dadosabertos.camara.leg.br/api/v2/deputados/139333" TargetMode="External"/><Relationship Id="rId4248" Type="http://schemas.openxmlformats.org/officeDocument/2006/relationships/hyperlink" Target="https://dadosabertos.camara.leg.br/api/v2/deputados/131348" TargetMode="External"/><Relationship Id="rId4662" Type="http://schemas.openxmlformats.org/officeDocument/2006/relationships/hyperlink" Target="https://dadosabertos.camara.leg.br/api/v2/deputados/130835" TargetMode="External"/><Relationship Id="rId5713" Type="http://schemas.openxmlformats.org/officeDocument/2006/relationships/hyperlink" Target="https://dadosabertos.camara.leg.br/api/v2/deputados/2621" TargetMode="External"/><Relationship Id="rId185" Type="http://schemas.openxmlformats.org/officeDocument/2006/relationships/hyperlink" Target="https://dadosabertos.camara.leg.br/api/v2/deputados/204450" TargetMode="External"/><Relationship Id="rId1909" Type="http://schemas.openxmlformats.org/officeDocument/2006/relationships/hyperlink" Target="https://dadosabertos.camara.leg.br/api/v2/deputados/74490" TargetMode="External"/><Relationship Id="rId3264" Type="http://schemas.openxmlformats.org/officeDocument/2006/relationships/hyperlink" Target="https://dadosabertos.camara.leg.br/api/v2/deputados/131831" TargetMode="External"/><Relationship Id="rId4315" Type="http://schemas.openxmlformats.org/officeDocument/2006/relationships/hyperlink" Target="https://dadosabertos.camara.leg.br/api/v2/deputados/130926" TargetMode="External"/><Relationship Id="rId7885" Type="http://schemas.openxmlformats.org/officeDocument/2006/relationships/hyperlink" Target="https://dadosabertos.camara.leg.br/api/v2/deputados/221" TargetMode="External"/><Relationship Id="rId2280" Type="http://schemas.openxmlformats.org/officeDocument/2006/relationships/hyperlink" Target="https://dadosabertos.camara.leg.br/api/v2/deputados/74667" TargetMode="External"/><Relationship Id="rId3331" Type="http://schemas.openxmlformats.org/officeDocument/2006/relationships/hyperlink" Target="https://dadosabertos.camara.leg.br/api/v2/deputados/131889" TargetMode="External"/><Relationship Id="rId6487" Type="http://schemas.openxmlformats.org/officeDocument/2006/relationships/hyperlink" Target="https://dadosabertos.camara.leg.br/api/v2/deputados/1659" TargetMode="External"/><Relationship Id="rId7538" Type="http://schemas.openxmlformats.org/officeDocument/2006/relationships/hyperlink" Target="https://dadosabertos.camara.leg.br/api/v2/deputados/522" TargetMode="External"/><Relationship Id="rId7952" Type="http://schemas.openxmlformats.org/officeDocument/2006/relationships/hyperlink" Target="https://dadosabertos.camara.leg.br/api/v2/deputados/174" TargetMode="External"/><Relationship Id="rId252" Type="http://schemas.openxmlformats.org/officeDocument/2006/relationships/hyperlink" Target="https://dadosabertos.camara.leg.br/api/v2/deputados/92699" TargetMode="External"/><Relationship Id="rId5089" Type="http://schemas.openxmlformats.org/officeDocument/2006/relationships/hyperlink" Target="https://dadosabertos.camara.leg.br/api/v2/deputados/130288" TargetMode="External"/><Relationship Id="rId6554" Type="http://schemas.openxmlformats.org/officeDocument/2006/relationships/hyperlink" Target="https://dadosabertos.camara.leg.br/api/v2/deputados/2053" TargetMode="External"/><Relationship Id="rId7605" Type="http://schemas.openxmlformats.org/officeDocument/2006/relationships/hyperlink" Target="https://dadosabertos.camara.leg.br/api/v2/deputados/458" TargetMode="External"/><Relationship Id="rId1699" Type="http://schemas.openxmlformats.org/officeDocument/2006/relationships/hyperlink" Target="https://dadosabertos.camara.leg.br/api/v2/deputados/74285" TargetMode="External"/><Relationship Id="rId2000" Type="http://schemas.openxmlformats.org/officeDocument/2006/relationships/hyperlink" Target="https://dadosabertos.camara.leg.br/api/v2/deputados/74480" TargetMode="External"/><Relationship Id="rId5156" Type="http://schemas.openxmlformats.org/officeDocument/2006/relationships/hyperlink" Target="https://dadosabertos.camara.leg.br/api/v2/deputados/130322" TargetMode="External"/><Relationship Id="rId5570" Type="http://schemas.openxmlformats.org/officeDocument/2006/relationships/hyperlink" Target="https://dadosabertos.camara.leg.br/api/v2/deputados/130230" TargetMode="External"/><Relationship Id="rId6207" Type="http://schemas.openxmlformats.org/officeDocument/2006/relationships/hyperlink" Target="https://dadosabertos.camara.leg.br/api/v2/deputados/2348" TargetMode="External"/><Relationship Id="rId4172" Type="http://schemas.openxmlformats.org/officeDocument/2006/relationships/hyperlink" Target="https://dadosabertos.camara.leg.br/api/v2/deputados/131301" TargetMode="External"/><Relationship Id="rId5223" Type="http://schemas.openxmlformats.org/officeDocument/2006/relationships/hyperlink" Target="https://dadosabertos.camara.leg.br/api/v2/deputados/4926" TargetMode="External"/><Relationship Id="rId6621" Type="http://schemas.openxmlformats.org/officeDocument/2006/relationships/hyperlink" Target="https://dadosabertos.camara.leg.br/api/v2/deputados/3920" TargetMode="External"/><Relationship Id="rId1766" Type="http://schemas.openxmlformats.org/officeDocument/2006/relationships/hyperlink" Target="https://dadosabertos.camara.leg.br/api/v2/deputados/141442" TargetMode="External"/><Relationship Id="rId2817" Type="http://schemas.openxmlformats.org/officeDocument/2006/relationships/hyperlink" Target="https://dadosabertos.camara.leg.br/api/v2/deputados/133981" TargetMode="External"/><Relationship Id="rId58" Type="http://schemas.openxmlformats.org/officeDocument/2006/relationships/hyperlink" Target="https://dadosabertos.camara.leg.br/api/v2/deputados/220675" TargetMode="External"/><Relationship Id="rId1419" Type="http://schemas.openxmlformats.org/officeDocument/2006/relationships/hyperlink" Target="https://dadosabertos.camara.leg.br/api/v2/deputados/160618" TargetMode="External"/><Relationship Id="rId1833" Type="http://schemas.openxmlformats.org/officeDocument/2006/relationships/hyperlink" Target="https://dadosabertos.camara.leg.br/api/v2/deputados/74337" TargetMode="External"/><Relationship Id="rId4989" Type="http://schemas.openxmlformats.org/officeDocument/2006/relationships/hyperlink" Target="https://dadosabertos.camara.leg.br/api/v2/deputados/130450" TargetMode="External"/><Relationship Id="rId7048" Type="http://schemas.openxmlformats.org/officeDocument/2006/relationships/hyperlink" Target="https://dadosabertos.camara.leg.br/api/v2/deputados/1071" TargetMode="External"/><Relationship Id="rId7395" Type="http://schemas.openxmlformats.org/officeDocument/2006/relationships/hyperlink" Target="https://dadosabertos.camara.leg.br/api/v2/deputados/867" TargetMode="External"/><Relationship Id="rId1900" Type="http://schemas.openxmlformats.org/officeDocument/2006/relationships/hyperlink" Target="https://dadosabertos.camara.leg.br/api/v2/deputados/141554" TargetMode="External"/><Relationship Id="rId7462" Type="http://schemas.openxmlformats.org/officeDocument/2006/relationships/hyperlink" Target="https://dadosabertos.camara.leg.br/api/v2/deputados/695" TargetMode="External"/><Relationship Id="rId3658" Type="http://schemas.openxmlformats.org/officeDocument/2006/relationships/hyperlink" Target="https://dadosabertos.camara.leg.br/api/v2/deputados/131707" TargetMode="External"/><Relationship Id="rId4709" Type="http://schemas.openxmlformats.org/officeDocument/2006/relationships/hyperlink" Target="https://dadosabertos.camara.leg.br/api/v2/deputados/130768" TargetMode="External"/><Relationship Id="rId6064" Type="http://schemas.openxmlformats.org/officeDocument/2006/relationships/hyperlink" Target="https://dadosabertos.camara.leg.br/api/v2/deputados/4166" TargetMode="External"/><Relationship Id="rId7115" Type="http://schemas.openxmlformats.org/officeDocument/2006/relationships/hyperlink" Target="https://dadosabertos.camara.leg.br/api/v2/deputados/830" TargetMode="External"/><Relationship Id="rId579" Type="http://schemas.openxmlformats.org/officeDocument/2006/relationships/hyperlink" Target="https://dadosabertos.camara.leg.br/api/v2/deputados/141531" TargetMode="External"/><Relationship Id="rId993" Type="http://schemas.openxmlformats.org/officeDocument/2006/relationships/hyperlink" Target="https://dadosabertos.camara.leg.br/api/v2/deputados/141454" TargetMode="External"/><Relationship Id="rId2674" Type="http://schemas.openxmlformats.org/officeDocument/2006/relationships/hyperlink" Target="https://dadosabertos.camara.leg.br/api/v2/deputados/133894" TargetMode="External"/><Relationship Id="rId5080" Type="http://schemas.openxmlformats.org/officeDocument/2006/relationships/hyperlink" Target="https://dadosabertos.camara.leg.br/api/v2/deputados/130497" TargetMode="External"/><Relationship Id="rId6131" Type="http://schemas.openxmlformats.org/officeDocument/2006/relationships/hyperlink" Target="https://dadosabertos.camara.leg.br/api/v2/deputados/2460" TargetMode="External"/><Relationship Id="rId646" Type="http://schemas.openxmlformats.org/officeDocument/2006/relationships/hyperlink" Target="https://dadosabertos.camara.leg.br/api/v2/deputados/141555" TargetMode="External"/><Relationship Id="rId1276" Type="http://schemas.openxmlformats.org/officeDocument/2006/relationships/hyperlink" Target="https://dadosabertos.camara.leg.br/api/v2/deputados/178845" TargetMode="External"/><Relationship Id="rId2327" Type="http://schemas.openxmlformats.org/officeDocument/2006/relationships/hyperlink" Target="https://dadosabertos.camara.leg.br/api/v2/deputados/73484" TargetMode="External"/><Relationship Id="rId3725" Type="http://schemas.openxmlformats.org/officeDocument/2006/relationships/hyperlink" Target="https://dadosabertos.camara.leg.br/api/v2/deputados/1559" TargetMode="External"/><Relationship Id="rId1690" Type="http://schemas.openxmlformats.org/officeDocument/2006/relationships/hyperlink" Target="https://dadosabertos.camara.leg.br/api/v2/deputados/74312" TargetMode="External"/><Relationship Id="rId2741" Type="http://schemas.openxmlformats.org/officeDocument/2006/relationships/hyperlink" Target="https://dadosabertos.camara.leg.br/api/v2/deputados/73706" TargetMode="External"/><Relationship Id="rId5897" Type="http://schemas.openxmlformats.org/officeDocument/2006/relationships/hyperlink" Target="https://dadosabertos.camara.leg.br/api/v2/deputados/2288" TargetMode="External"/><Relationship Id="rId6948" Type="http://schemas.openxmlformats.org/officeDocument/2006/relationships/hyperlink" Target="https://dadosabertos.camara.leg.br/api/v2/deputados/1245" TargetMode="External"/><Relationship Id="rId713" Type="http://schemas.openxmlformats.org/officeDocument/2006/relationships/hyperlink" Target="https://dadosabertos.camara.leg.br/api/v2/deputados/141405" TargetMode="External"/><Relationship Id="rId1343" Type="http://schemas.openxmlformats.org/officeDocument/2006/relationships/hyperlink" Target="https://dadosabertos.camara.leg.br/api/v2/deputados/141375" TargetMode="External"/><Relationship Id="rId4499" Type="http://schemas.openxmlformats.org/officeDocument/2006/relationships/hyperlink" Target="https://dadosabertos.camara.leg.br/api/v2/deputados/131108" TargetMode="External"/><Relationship Id="rId5964" Type="http://schemas.openxmlformats.org/officeDocument/2006/relationships/hyperlink" Target="https://dadosabertos.camara.leg.br/api/v2/deputados/2538" TargetMode="External"/><Relationship Id="rId1410" Type="http://schemas.openxmlformats.org/officeDocument/2006/relationships/hyperlink" Target="https://dadosabertos.camara.leg.br/api/v2/deputados/73459" TargetMode="External"/><Relationship Id="rId4566" Type="http://schemas.openxmlformats.org/officeDocument/2006/relationships/hyperlink" Target="https://dadosabertos.camara.leg.br/api/v2/deputados/130730" TargetMode="External"/><Relationship Id="rId4980" Type="http://schemas.openxmlformats.org/officeDocument/2006/relationships/hyperlink" Target="https://dadosabertos.camara.leg.br/api/v2/deputados/130504" TargetMode="External"/><Relationship Id="rId5617" Type="http://schemas.openxmlformats.org/officeDocument/2006/relationships/hyperlink" Target="https://dadosabertos.camara.leg.br/api/v2/deputados/4600" TargetMode="External"/><Relationship Id="rId3168" Type="http://schemas.openxmlformats.org/officeDocument/2006/relationships/hyperlink" Target="https://dadosabertos.camara.leg.br/api/v2/deputados/139309" TargetMode="External"/><Relationship Id="rId3582" Type="http://schemas.openxmlformats.org/officeDocument/2006/relationships/hyperlink" Target="https://dadosabertos.camara.leg.br/api/v2/deputados/131637" TargetMode="External"/><Relationship Id="rId4219" Type="http://schemas.openxmlformats.org/officeDocument/2006/relationships/hyperlink" Target="https://dadosabertos.camara.leg.br/api/v2/deputados/131337" TargetMode="External"/><Relationship Id="rId4633" Type="http://schemas.openxmlformats.org/officeDocument/2006/relationships/hyperlink" Target="https://dadosabertos.camara.leg.br/api/v2/deputados/130797" TargetMode="External"/><Relationship Id="rId7789" Type="http://schemas.openxmlformats.org/officeDocument/2006/relationships/hyperlink" Target="https://dadosabertos.camara.leg.br/api/v2/deputados/387" TargetMode="External"/><Relationship Id="rId2184" Type="http://schemas.openxmlformats.org/officeDocument/2006/relationships/hyperlink" Target="https://dadosabertos.camara.leg.br/api/v2/deputados/73888" TargetMode="External"/><Relationship Id="rId3235" Type="http://schemas.openxmlformats.org/officeDocument/2006/relationships/hyperlink" Target="https://dadosabertos.camara.leg.br/api/v2/deputados/139368" TargetMode="External"/><Relationship Id="rId7856" Type="http://schemas.openxmlformats.org/officeDocument/2006/relationships/hyperlink" Target="https://dadosabertos.camara.leg.br/api/v2/deputados/285" TargetMode="External"/><Relationship Id="rId156" Type="http://schemas.openxmlformats.org/officeDocument/2006/relationships/hyperlink" Target="https://dadosabertos.camara.leg.br/api/v2/deputados/220539" TargetMode="External"/><Relationship Id="rId570" Type="http://schemas.openxmlformats.org/officeDocument/2006/relationships/hyperlink" Target="https://dadosabertos.camara.leg.br/api/v2/deputados/204489" TargetMode="External"/><Relationship Id="rId2251" Type="http://schemas.openxmlformats.org/officeDocument/2006/relationships/hyperlink" Target="https://dadosabertos.camara.leg.br/api/v2/deputados/74845" TargetMode="External"/><Relationship Id="rId3302" Type="http://schemas.openxmlformats.org/officeDocument/2006/relationships/hyperlink" Target="https://dadosabertos.camara.leg.br/api/v2/deputados/132050" TargetMode="External"/><Relationship Id="rId4700" Type="http://schemas.openxmlformats.org/officeDocument/2006/relationships/hyperlink" Target="https://dadosabertos.camara.leg.br/api/v2/deputados/130856" TargetMode="External"/><Relationship Id="rId6458" Type="http://schemas.openxmlformats.org/officeDocument/2006/relationships/hyperlink" Target="https://dadosabertos.camara.leg.br/api/v2/deputados/1951" TargetMode="External"/><Relationship Id="rId7509" Type="http://schemas.openxmlformats.org/officeDocument/2006/relationships/hyperlink" Target="https://dadosabertos.camara.leg.br/api/v2/deputados/737" TargetMode="External"/><Relationship Id="rId223" Type="http://schemas.openxmlformats.org/officeDocument/2006/relationships/hyperlink" Target="https://dadosabertos.camara.leg.br/api/v2/deputados/230765" TargetMode="External"/><Relationship Id="rId6872" Type="http://schemas.openxmlformats.org/officeDocument/2006/relationships/hyperlink" Target="https://dadosabertos.camara.leg.br/api/v2/deputados/1242" TargetMode="External"/><Relationship Id="rId7923" Type="http://schemas.openxmlformats.org/officeDocument/2006/relationships/hyperlink" Target="https://dadosabertos.camara.leg.br/api/v2/deputados/218" TargetMode="External"/><Relationship Id="rId4076" Type="http://schemas.openxmlformats.org/officeDocument/2006/relationships/hyperlink" Target="https://dadosabertos.camara.leg.br/api/v2/deputados/131204" TargetMode="External"/><Relationship Id="rId5474" Type="http://schemas.openxmlformats.org/officeDocument/2006/relationships/hyperlink" Target="https://dadosabertos.camara.leg.br/api/v2/deputados/4814" TargetMode="External"/><Relationship Id="rId6525" Type="http://schemas.openxmlformats.org/officeDocument/2006/relationships/hyperlink" Target="https://dadosabertos.camara.leg.br/api/v2/deputados/3814" TargetMode="External"/><Relationship Id="rId4490" Type="http://schemas.openxmlformats.org/officeDocument/2006/relationships/hyperlink" Target="https://dadosabertos.camara.leg.br/api/v2/deputados/131105" TargetMode="External"/><Relationship Id="rId5127" Type="http://schemas.openxmlformats.org/officeDocument/2006/relationships/hyperlink" Target="https://dadosabertos.camara.leg.br/api/v2/deputados/2871" TargetMode="External"/><Relationship Id="rId5541" Type="http://schemas.openxmlformats.org/officeDocument/2006/relationships/hyperlink" Target="https://dadosabertos.camara.leg.br/api/v2/deputados/2937" TargetMode="External"/><Relationship Id="rId1737" Type="http://schemas.openxmlformats.org/officeDocument/2006/relationships/hyperlink" Target="https://dadosabertos.camara.leg.br/api/v2/deputados/4928" TargetMode="External"/><Relationship Id="rId3092" Type="http://schemas.openxmlformats.org/officeDocument/2006/relationships/hyperlink" Target="https://dadosabertos.camara.leg.br/api/v2/deputados/139245" TargetMode="External"/><Relationship Id="rId4143" Type="http://schemas.openxmlformats.org/officeDocument/2006/relationships/hyperlink" Target="https://dadosabertos.camara.leg.br/api/v2/deputados/3147" TargetMode="External"/><Relationship Id="rId7299" Type="http://schemas.openxmlformats.org/officeDocument/2006/relationships/hyperlink" Target="https://dadosabertos.camara.leg.br/api/v2/deputados/840" TargetMode="External"/><Relationship Id="rId29" Type="http://schemas.openxmlformats.org/officeDocument/2006/relationships/hyperlink" Target="https://www.instagram.com/Alfredinho.pt" TargetMode="External"/><Relationship Id="rId4210" Type="http://schemas.openxmlformats.org/officeDocument/2006/relationships/hyperlink" Target="https://dadosabertos.camara.leg.br/api/v2/deputados/131327" TargetMode="External"/><Relationship Id="rId7366" Type="http://schemas.openxmlformats.org/officeDocument/2006/relationships/hyperlink" Target="https://dadosabertos.camara.leg.br/api/v2/deputados/829" TargetMode="External"/><Relationship Id="rId7780" Type="http://schemas.openxmlformats.org/officeDocument/2006/relationships/hyperlink" Target="https://dadosabertos.camara.leg.br/api/v2/deputados/368" TargetMode="External"/><Relationship Id="rId1804" Type="http://schemas.openxmlformats.org/officeDocument/2006/relationships/hyperlink" Target="https://dadosabertos.camara.leg.br/api/v2/deputados/74346" TargetMode="External"/><Relationship Id="rId6382" Type="http://schemas.openxmlformats.org/officeDocument/2006/relationships/hyperlink" Target="https://dadosabertos.camara.leg.br/api/v2/deputados/2034" TargetMode="External"/><Relationship Id="rId7019" Type="http://schemas.openxmlformats.org/officeDocument/2006/relationships/hyperlink" Target="https://dadosabertos.camara.leg.br/api/v2/deputados/724" TargetMode="External"/><Relationship Id="rId7433" Type="http://schemas.openxmlformats.org/officeDocument/2006/relationships/hyperlink" Target="https://dadosabertos.camara.leg.br/api/v2/deputados/802" TargetMode="External"/><Relationship Id="rId3976" Type="http://schemas.openxmlformats.org/officeDocument/2006/relationships/hyperlink" Target="https://dadosabertos.camara.leg.br/api/v2/deputados/131465" TargetMode="External"/><Relationship Id="rId6035" Type="http://schemas.openxmlformats.org/officeDocument/2006/relationships/hyperlink" Target="https://dadosabertos.camara.leg.br/api/v2/deputados/1898" TargetMode="External"/><Relationship Id="rId897" Type="http://schemas.openxmlformats.org/officeDocument/2006/relationships/hyperlink" Target="https://dadosabertos.camara.leg.br/api/v2/deputados/90201" TargetMode="External"/><Relationship Id="rId2578" Type="http://schemas.openxmlformats.org/officeDocument/2006/relationships/hyperlink" Target="https://dadosabertos.camara.leg.br/api/v2/deputados/73903" TargetMode="External"/><Relationship Id="rId2992" Type="http://schemas.openxmlformats.org/officeDocument/2006/relationships/hyperlink" Target="https://dadosabertos.camara.leg.br/api/v2/deputados/1531" TargetMode="External"/><Relationship Id="rId3629" Type="http://schemas.openxmlformats.org/officeDocument/2006/relationships/hyperlink" Target="https://dadosabertos.camara.leg.br/api/v2/deputados/131682" TargetMode="External"/><Relationship Id="rId5051" Type="http://schemas.openxmlformats.org/officeDocument/2006/relationships/hyperlink" Target="https://dadosabertos.camara.leg.br/api/v2/deputados/3074" TargetMode="External"/><Relationship Id="rId7500" Type="http://schemas.openxmlformats.org/officeDocument/2006/relationships/hyperlink" Target="https://dadosabertos.camara.leg.br/api/v2/deputados/710" TargetMode="External"/><Relationship Id="rId964" Type="http://schemas.openxmlformats.org/officeDocument/2006/relationships/hyperlink" Target="https://dadosabertos.camara.leg.br/api/v2/deputados/178863" TargetMode="External"/><Relationship Id="rId1594" Type="http://schemas.openxmlformats.org/officeDocument/2006/relationships/hyperlink" Target="https://dadosabertos.camara.leg.br/api/v2/deputados/172711" TargetMode="External"/><Relationship Id="rId2645" Type="http://schemas.openxmlformats.org/officeDocument/2006/relationships/hyperlink" Target="https://dadosabertos.camara.leg.br/api/v2/deputados/74086" TargetMode="External"/><Relationship Id="rId6102" Type="http://schemas.openxmlformats.org/officeDocument/2006/relationships/hyperlink" Target="https://dadosabertos.camara.leg.br/api/v2/deputados/1732" TargetMode="External"/><Relationship Id="rId617" Type="http://schemas.openxmlformats.org/officeDocument/2006/relationships/hyperlink" Target="https://dadosabertos.camara.leg.br/api/v2/deputados/220569" TargetMode="External"/><Relationship Id="rId1247" Type="http://schemas.openxmlformats.org/officeDocument/2006/relationships/hyperlink" Target="https://dadosabertos.camara.leg.br/api/v2/deputados/74048" TargetMode="External"/><Relationship Id="rId1661" Type="http://schemas.openxmlformats.org/officeDocument/2006/relationships/hyperlink" Target="https://dadosabertos.camara.leg.br/api/v2/deputados/160625" TargetMode="External"/><Relationship Id="rId2712" Type="http://schemas.openxmlformats.org/officeDocument/2006/relationships/hyperlink" Target="https://dadosabertos.camara.leg.br/api/v2/deputados/133987" TargetMode="External"/><Relationship Id="rId5868" Type="http://schemas.openxmlformats.org/officeDocument/2006/relationships/hyperlink" Target="https://dadosabertos.camara.leg.br/api/v2/deputados/130164" TargetMode="External"/><Relationship Id="rId6919" Type="http://schemas.openxmlformats.org/officeDocument/2006/relationships/hyperlink" Target="https://dadosabertos.camara.leg.br/api/v2/deputados/1230" TargetMode="External"/><Relationship Id="rId1314" Type="http://schemas.openxmlformats.org/officeDocument/2006/relationships/hyperlink" Target="https://dadosabertos.camara.leg.br/api/v2/deputados/141558" TargetMode="External"/><Relationship Id="rId4884" Type="http://schemas.openxmlformats.org/officeDocument/2006/relationships/hyperlink" Target="https://dadosabertos.camara.leg.br/api/v2/deputados/130621" TargetMode="External"/><Relationship Id="rId5935" Type="http://schemas.openxmlformats.org/officeDocument/2006/relationships/hyperlink" Target="https://dadosabertos.camara.leg.br/api/v2/deputados/2511" TargetMode="External"/><Relationship Id="rId7290" Type="http://schemas.openxmlformats.org/officeDocument/2006/relationships/hyperlink" Target="https://dadosabertos.camara.leg.br/api/v2/deputados/963" TargetMode="External"/><Relationship Id="rId3486" Type="http://schemas.openxmlformats.org/officeDocument/2006/relationships/hyperlink" Target="https://dadosabertos.camara.leg.br/api/v2/deputados/132037" TargetMode="External"/><Relationship Id="rId4537" Type="http://schemas.openxmlformats.org/officeDocument/2006/relationships/hyperlink" Target="https://dadosabertos.camara.leg.br/api/v2/deputados/130699" TargetMode="External"/><Relationship Id="rId20" Type="http://schemas.openxmlformats.org/officeDocument/2006/relationships/hyperlink" Target="http://twitter.com/alceu_moreira" TargetMode="External"/><Relationship Id="rId2088" Type="http://schemas.openxmlformats.org/officeDocument/2006/relationships/hyperlink" Target="https://dadosabertos.camara.leg.br/api/v2/deputados/74483" TargetMode="External"/><Relationship Id="rId3139" Type="http://schemas.openxmlformats.org/officeDocument/2006/relationships/hyperlink" Target="https://dadosabertos.camara.leg.br/api/v2/deputados/139284" TargetMode="External"/><Relationship Id="rId4951" Type="http://schemas.openxmlformats.org/officeDocument/2006/relationships/hyperlink" Target="https://dadosabertos.camara.leg.br/api/v2/deputados/130422" TargetMode="External"/><Relationship Id="rId7010" Type="http://schemas.openxmlformats.org/officeDocument/2006/relationships/hyperlink" Target="https://dadosabertos.camara.leg.br/api/v2/deputados/1182" TargetMode="External"/><Relationship Id="rId474" Type="http://schemas.openxmlformats.org/officeDocument/2006/relationships/hyperlink" Target="https://dadosabertos.camara.leg.br/api/v2/deputados/160561" TargetMode="External"/><Relationship Id="rId2155" Type="http://schemas.openxmlformats.org/officeDocument/2006/relationships/hyperlink" Target="https://dadosabertos.camara.leg.br/api/v2/deputados/73922" TargetMode="External"/><Relationship Id="rId3553" Type="http://schemas.openxmlformats.org/officeDocument/2006/relationships/hyperlink" Target="https://dadosabertos.camara.leg.br/api/v2/deputados/132092" TargetMode="External"/><Relationship Id="rId4604" Type="http://schemas.openxmlformats.org/officeDocument/2006/relationships/hyperlink" Target="https://dadosabertos.camara.leg.br/api/v2/deputados/130767" TargetMode="External"/><Relationship Id="rId127" Type="http://schemas.openxmlformats.org/officeDocument/2006/relationships/hyperlink" Target="https://dadosabertos.camara.leg.br/api/v2/deputados/204378" TargetMode="External"/><Relationship Id="rId3206" Type="http://schemas.openxmlformats.org/officeDocument/2006/relationships/hyperlink" Target="https://dadosabertos.camara.leg.br/api/v2/deputados/139341" TargetMode="External"/><Relationship Id="rId3620" Type="http://schemas.openxmlformats.org/officeDocument/2006/relationships/hyperlink" Target="https://dadosabertos.camara.leg.br/api/v2/deputados/131672" TargetMode="External"/><Relationship Id="rId6776" Type="http://schemas.openxmlformats.org/officeDocument/2006/relationships/hyperlink" Target="https://dadosabertos.camara.leg.br/api/v2/deputados/1664" TargetMode="External"/><Relationship Id="rId7827" Type="http://schemas.openxmlformats.org/officeDocument/2006/relationships/hyperlink" Target="https://dadosabertos.camara.leg.br/api/v2/deputados/289" TargetMode="External"/><Relationship Id="rId541" Type="http://schemas.openxmlformats.org/officeDocument/2006/relationships/hyperlink" Target="https://dadosabertos.camara.leg.br/api/v2/deputados/204390" TargetMode="External"/><Relationship Id="rId1171" Type="http://schemas.openxmlformats.org/officeDocument/2006/relationships/hyperlink" Target="https://www.facebook.com/deputadoheinze/" TargetMode="External"/><Relationship Id="rId2222" Type="http://schemas.openxmlformats.org/officeDocument/2006/relationships/hyperlink" Target="https://dadosabertos.camara.leg.br/api/v2/deputados/73554" TargetMode="External"/><Relationship Id="rId5378" Type="http://schemas.openxmlformats.org/officeDocument/2006/relationships/hyperlink" Target="https://dadosabertos.camara.leg.br/api/v2/deputados/2807" TargetMode="External"/><Relationship Id="rId5792" Type="http://schemas.openxmlformats.org/officeDocument/2006/relationships/hyperlink" Target="https://dadosabertos.camara.leg.br/api/v2/deputados/2335" TargetMode="External"/><Relationship Id="rId6429" Type="http://schemas.openxmlformats.org/officeDocument/2006/relationships/hyperlink" Target="https://dadosabertos.camara.leg.br/api/v2/deputados/2133" TargetMode="External"/><Relationship Id="rId6843" Type="http://schemas.openxmlformats.org/officeDocument/2006/relationships/hyperlink" Target="https://dadosabertos.camara.leg.br/api/v2/deputados/1002" TargetMode="External"/><Relationship Id="rId1988" Type="http://schemas.openxmlformats.org/officeDocument/2006/relationships/hyperlink" Target="https://dadosabertos.camara.leg.br/api/v2/deputados/74174" TargetMode="External"/><Relationship Id="rId4394" Type="http://schemas.openxmlformats.org/officeDocument/2006/relationships/hyperlink" Target="https://dadosabertos.camara.leg.br/api/v2/deputados/130989" TargetMode="External"/><Relationship Id="rId5445" Type="http://schemas.openxmlformats.org/officeDocument/2006/relationships/hyperlink" Target="https://dadosabertos.camara.leg.br/api/v2/deputados/4794" TargetMode="External"/><Relationship Id="rId4047" Type="http://schemas.openxmlformats.org/officeDocument/2006/relationships/hyperlink" Target="https://dadosabertos.camara.leg.br/api/v2/deputados/131187" TargetMode="External"/><Relationship Id="rId4461" Type="http://schemas.openxmlformats.org/officeDocument/2006/relationships/hyperlink" Target="https://dadosabertos.camara.leg.br/api/v2/deputados/131121" TargetMode="External"/><Relationship Id="rId5512" Type="http://schemas.openxmlformats.org/officeDocument/2006/relationships/hyperlink" Target="https://dadosabertos.camara.leg.br/api/v2/deputados/130269" TargetMode="External"/><Relationship Id="rId6910" Type="http://schemas.openxmlformats.org/officeDocument/2006/relationships/hyperlink" Target="https://dadosabertos.camara.leg.br/api/v2/deputados/1184" TargetMode="External"/><Relationship Id="rId3063" Type="http://schemas.openxmlformats.org/officeDocument/2006/relationships/hyperlink" Target="https://dadosabertos.camara.leg.br/api/v2/deputados/139220" TargetMode="External"/><Relationship Id="rId4114" Type="http://schemas.openxmlformats.org/officeDocument/2006/relationships/hyperlink" Target="https://dadosabertos.camara.leg.br/api/v2/deputados/131240" TargetMode="External"/><Relationship Id="rId1708" Type="http://schemas.openxmlformats.org/officeDocument/2006/relationships/hyperlink" Target="https://dadosabertos.camara.leg.br/api/v2/deputados/157225" TargetMode="External"/><Relationship Id="rId3130" Type="http://schemas.openxmlformats.org/officeDocument/2006/relationships/hyperlink" Target="https://dadosabertos.camara.leg.br/api/v2/deputados/139279" TargetMode="External"/><Relationship Id="rId6286" Type="http://schemas.openxmlformats.org/officeDocument/2006/relationships/hyperlink" Target="https://dadosabertos.camara.leg.br/api/v2/deputados/2126" TargetMode="External"/><Relationship Id="rId7337" Type="http://schemas.openxmlformats.org/officeDocument/2006/relationships/hyperlink" Target="https://dadosabertos.camara.leg.br/api/v2/deputados/879" TargetMode="External"/><Relationship Id="rId7684" Type="http://schemas.openxmlformats.org/officeDocument/2006/relationships/hyperlink" Target="https://dadosabertos.camara.leg.br/api/v2/deputados/340" TargetMode="External"/><Relationship Id="rId7751" Type="http://schemas.openxmlformats.org/officeDocument/2006/relationships/hyperlink" Target="https://dadosabertos.camara.leg.br/api/v2/deputados/426" TargetMode="External"/><Relationship Id="rId2896" Type="http://schemas.openxmlformats.org/officeDocument/2006/relationships/hyperlink" Target="https://dadosabertos.camara.leg.br/api/v2/deputados/133849" TargetMode="External"/><Relationship Id="rId3947" Type="http://schemas.openxmlformats.org/officeDocument/2006/relationships/hyperlink" Target="https://dadosabertos.camara.leg.br/api/v2/deputados/131422" TargetMode="External"/><Relationship Id="rId6353" Type="http://schemas.openxmlformats.org/officeDocument/2006/relationships/hyperlink" Target="https://dadosabertos.camara.leg.br/api/v2/deputados/3649" TargetMode="External"/><Relationship Id="rId7404" Type="http://schemas.openxmlformats.org/officeDocument/2006/relationships/hyperlink" Target="https://dadosabertos.camara.leg.br/api/v2/deputados/638" TargetMode="External"/><Relationship Id="rId868" Type="http://schemas.openxmlformats.org/officeDocument/2006/relationships/hyperlink" Target="https://dadosabertos.camara.leg.br/api/v2/deputados/178984" TargetMode="External"/><Relationship Id="rId1498" Type="http://schemas.openxmlformats.org/officeDocument/2006/relationships/hyperlink" Target="https://dadosabertos.camara.leg.br/api/v2/deputados/160396" TargetMode="External"/><Relationship Id="rId2549" Type="http://schemas.openxmlformats.org/officeDocument/2006/relationships/hyperlink" Target="https://dadosabertos.camara.leg.br/api/v2/deputados/74424" TargetMode="External"/><Relationship Id="rId2963" Type="http://schemas.openxmlformats.org/officeDocument/2006/relationships/hyperlink" Target="https://dadosabertos.camara.leg.br/api/v2/deputados/139132" TargetMode="External"/><Relationship Id="rId6006" Type="http://schemas.openxmlformats.org/officeDocument/2006/relationships/hyperlink" Target="https://dadosabertos.camara.leg.br/api/v2/deputados/4280" TargetMode="External"/><Relationship Id="rId6420" Type="http://schemas.openxmlformats.org/officeDocument/2006/relationships/hyperlink" Target="https://dadosabertos.camara.leg.br/api/v2/deputados/1946" TargetMode="External"/><Relationship Id="rId935" Type="http://schemas.openxmlformats.org/officeDocument/2006/relationships/hyperlink" Target="https://dadosabertos.camara.leg.br/api/v2/deputados/178935" TargetMode="External"/><Relationship Id="rId1565" Type="http://schemas.openxmlformats.org/officeDocument/2006/relationships/hyperlink" Target="https://dadosabertos.camara.leg.br/api/v2/deputados/73416" TargetMode="External"/><Relationship Id="rId2616" Type="http://schemas.openxmlformats.org/officeDocument/2006/relationships/hyperlink" Target="https://dadosabertos.camara.leg.br/api/v2/deputados/74025" TargetMode="External"/><Relationship Id="rId5022" Type="http://schemas.openxmlformats.org/officeDocument/2006/relationships/hyperlink" Target="https://dadosabertos.camara.leg.br/api/v2/deputados/3107" TargetMode="External"/><Relationship Id="rId1218" Type="http://schemas.openxmlformats.org/officeDocument/2006/relationships/hyperlink" Target="https://dadosabertos.camara.leg.br/api/v2/deputados/178859" TargetMode="External"/><Relationship Id="rId7194" Type="http://schemas.openxmlformats.org/officeDocument/2006/relationships/hyperlink" Target="https://dadosabertos.camara.leg.br/api/v2/deputados/946" TargetMode="External"/><Relationship Id="rId1632" Type="http://schemas.openxmlformats.org/officeDocument/2006/relationships/hyperlink" Target="https://dadosabertos.camara.leg.br/api/v2/deputados/141548" TargetMode="External"/><Relationship Id="rId4788" Type="http://schemas.openxmlformats.org/officeDocument/2006/relationships/hyperlink" Target="https://dadosabertos.camara.leg.br/api/v2/deputados/130658" TargetMode="External"/><Relationship Id="rId5839" Type="http://schemas.openxmlformats.org/officeDocument/2006/relationships/hyperlink" Target="https://dadosabertos.camara.leg.br/api/v2/deputados/2576" TargetMode="External"/><Relationship Id="rId7261" Type="http://schemas.openxmlformats.org/officeDocument/2006/relationships/hyperlink" Target="https://dadosabertos.camara.leg.br/api/v2/deputados/934" TargetMode="External"/><Relationship Id="rId4855" Type="http://schemas.openxmlformats.org/officeDocument/2006/relationships/hyperlink" Target="https://dadosabertos.camara.leg.br/api/v2/deputados/130535" TargetMode="External"/><Relationship Id="rId5906" Type="http://schemas.openxmlformats.org/officeDocument/2006/relationships/hyperlink" Target="https://dadosabertos.camara.leg.br/api/v2/deputados/4427" TargetMode="External"/><Relationship Id="rId3457" Type="http://schemas.openxmlformats.org/officeDocument/2006/relationships/hyperlink" Target="https://dadosabertos.camara.leg.br/api/v2/deputados/132018" TargetMode="External"/><Relationship Id="rId3871" Type="http://schemas.openxmlformats.org/officeDocument/2006/relationships/hyperlink" Target="https://dadosabertos.camara.leg.br/api/v2/deputados/131601" TargetMode="External"/><Relationship Id="rId4508" Type="http://schemas.openxmlformats.org/officeDocument/2006/relationships/hyperlink" Target="https://dadosabertos.camara.leg.br/api/v2/deputados/131115" TargetMode="External"/><Relationship Id="rId4922" Type="http://schemas.openxmlformats.org/officeDocument/2006/relationships/hyperlink" Target="https://dadosabertos.camara.leg.br/api/v2/deputados/130387" TargetMode="External"/><Relationship Id="rId378" Type="http://schemas.openxmlformats.org/officeDocument/2006/relationships/hyperlink" Target="https://dadosabertos.camara.leg.br/api/v2/deputados/122195" TargetMode="External"/><Relationship Id="rId792" Type="http://schemas.openxmlformats.org/officeDocument/2006/relationships/hyperlink" Target="https://dadosabertos.camara.leg.br/api/v2/deputados/73482" TargetMode="External"/><Relationship Id="rId2059" Type="http://schemas.openxmlformats.org/officeDocument/2006/relationships/hyperlink" Target="https://dadosabertos.camara.leg.br/api/v2/deputados/74396" TargetMode="External"/><Relationship Id="rId2473" Type="http://schemas.openxmlformats.org/officeDocument/2006/relationships/hyperlink" Target="https://dadosabertos.camara.leg.br/api/v2/deputados/74653" TargetMode="External"/><Relationship Id="rId3524" Type="http://schemas.openxmlformats.org/officeDocument/2006/relationships/hyperlink" Target="https://dadosabertos.camara.leg.br/api/v2/deputados/131992" TargetMode="External"/><Relationship Id="rId445" Type="http://schemas.openxmlformats.org/officeDocument/2006/relationships/hyperlink" Target="https://dadosabertos.camara.leg.br/api/v2/deputados/74398" TargetMode="External"/><Relationship Id="rId1075" Type="http://schemas.openxmlformats.org/officeDocument/2006/relationships/hyperlink" Target="https://dadosabertos.camara.leg.br/api/v2/deputados/99654" TargetMode="External"/><Relationship Id="rId2126" Type="http://schemas.openxmlformats.org/officeDocument/2006/relationships/hyperlink" Target="https://dadosabertos.camara.leg.br/api/v2/deputados/74208" TargetMode="External"/><Relationship Id="rId2540" Type="http://schemas.openxmlformats.org/officeDocument/2006/relationships/hyperlink" Target="https://dadosabertos.camara.leg.br/api/v2/deputados/74551" TargetMode="External"/><Relationship Id="rId5696" Type="http://schemas.openxmlformats.org/officeDocument/2006/relationships/hyperlink" Target="https://dadosabertos.camara.leg.br/api/v2/deputados/2438" TargetMode="External"/><Relationship Id="rId6747" Type="http://schemas.openxmlformats.org/officeDocument/2006/relationships/hyperlink" Target="https://dadosabertos.camara.leg.br/api/v2/deputados/4085" TargetMode="External"/><Relationship Id="rId512" Type="http://schemas.openxmlformats.org/officeDocument/2006/relationships/hyperlink" Target="https://dadosabertos.camara.leg.br/api/v2/deputados/141516" TargetMode="External"/><Relationship Id="rId1142" Type="http://schemas.openxmlformats.org/officeDocument/2006/relationships/hyperlink" Target="https://dadosabertos.camara.leg.br/api/v2/deputados/131966" TargetMode="External"/><Relationship Id="rId4298" Type="http://schemas.openxmlformats.org/officeDocument/2006/relationships/hyperlink" Target="https://dadosabertos.camara.leg.br/api/v2/deputados/130906" TargetMode="External"/><Relationship Id="rId5349" Type="http://schemas.openxmlformats.org/officeDocument/2006/relationships/hyperlink" Target="https://dadosabertos.camara.leg.br/api/v2/deputados/2913" TargetMode="External"/><Relationship Id="rId4365" Type="http://schemas.openxmlformats.org/officeDocument/2006/relationships/hyperlink" Target="https://dadosabertos.camara.leg.br/api/v2/deputados/131021" TargetMode="External"/><Relationship Id="rId5763" Type="http://schemas.openxmlformats.org/officeDocument/2006/relationships/hyperlink" Target="https://dadosabertos.camara.leg.br/api/v2/deputados/130198" TargetMode="External"/><Relationship Id="rId6814" Type="http://schemas.openxmlformats.org/officeDocument/2006/relationships/hyperlink" Target="https://dadosabertos.camara.leg.br/api/v2/deputados/1564" TargetMode="External"/><Relationship Id="rId1959" Type="http://schemas.openxmlformats.org/officeDocument/2006/relationships/hyperlink" Target="https://dadosabertos.camara.leg.br/api/v2/deputados/73595" TargetMode="External"/><Relationship Id="rId4018" Type="http://schemas.openxmlformats.org/officeDocument/2006/relationships/hyperlink" Target="https://dadosabertos.camara.leg.br/api/v2/deputados/131151" TargetMode="External"/><Relationship Id="rId5416" Type="http://schemas.openxmlformats.org/officeDocument/2006/relationships/hyperlink" Target="https://dadosabertos.camara.leg.br/api/v2/deputados/130259" TargetMode="External"/><Relationship Id="rId5830" Type="http://schemas.openxmlformats.org/officeDocument/2006/relationships/hyperlink" Target="https://dadosabertos.camara.leg.br/api/v2/deputados/4540" TargetMode="External"/><Relationship Id="rId3381" Type="http://schemas.openxmlformats.org/officeDocument/2006/relationships/hyperlink" Target="https://dadosabertos.camara.leg.br/api/v2/deputados/131927" TargetMode="External"/><Relationship Id="rId4432" Type="http://schemas.openxmlformats.org/officeDocument/2006/relationships/hyperlink" Target="https://dadosabertos.camara.leg.br/api/v2/deputados/131051" TargetMode="External"/><Relationship Id="rId7588" Type="http://schemas.openxmlformats.org/officeDocument/2006/relationships/hyperlink" Target="https://dadosabertos.camara.leg.br/api/v2/deputados/347" TargetMode="External"/><Relationship Id="rId3034" Type="http://schemas.openxmlformats.org/officeDocument/2006/relationships/hyperlink" Target="https://dadosabertos.camara.leg.br/api/v2/deputados/1507" TargetMode="External"/><Relationship Id="rId7655" Type="http://schemas.openxmlformats.org/officeDocument/2006/relationships/hyperlink" Target="https://dadosabertos.camara.leg.br/api/v2/deputados/42" TargetMode="External"/><Relationship Id="rId2050" Type="http://schemas.openxmlformats.org/officeDocument/2006/relationships/hyperlink" Target="https://dadosabertos.camara.leg.br/api/v2/deputados/74488" TargetMode="External"/><Relationship Id="rId3101" Type="http://schemas.openxmlformats.org/officeDocument/2006/relationships/hyperlink" Target="https://dadosabertos.camara.leg.br/api/v2/deputados/139254" TargetMode="External"/><Relationship Id="rId6257" Type="http://schemas.openxmlformats.org/officeDocument/2006/relationships/hyperlink" Target="https://dadosabertos.camara.leg.br/api/v2/deputados/2267" TargetMode="External"/><Relationship Id="rId6671" Type="http://schemas.openxmlformats.org/officeDocument/2006/relationships/hyperlink" Target="https://dadosabertos.camara.leg.br/api/v2/deputados/1910" TargetMode="External"/><Relationship Id="rId7308" Type="http://schemas.openxmlformats.org/officeDocument/2006/relationships/hyperlink" Target="https://dadosabertos.camara.leg.br/api/v2/deputados/848" TargetMode="External"/><Relationship Id="rId7722" Type="http://schemas.openxmlformats.org/officeDocument/2006/relationships/hyperlink" Target="https://dadosabertos.camara.leg.br/api/v2/deputados/520" TargetMode="External"/><Relationship Id="rId5273" Type="http://schemas.openxmlformats.org/officeDocument/2006/relationships/hyperlink" Target="https://dadosabertos.camara.leg.br/api/v2/deputados/3046" TargetMode="External"/><Relationship Id="rId6324" Type="http://schemas.openxmlformats.org/officeDocument/2006/relationships/hyperlink" Target="https://dadosabertos.camara.leg.br/api/v2/deputados/3628" TargetMode="External"/><Relationship Id="rId839" Type="http://schemas.openxmlformats.org/officeDocument/2006/relationships/hyperlink" Target="https://dadosabertos.camara.leg.br/api/v2/deputados/151965" TargetMode="External"/><Relationship Id="rId1469" Type="http://schemas.openxmlformats.org/officeDocument/2006/relationships/hyperlink" Target="https://dadosabertos.camara.leg.br/api/v2/deputados/74780" TargetMode="External"/><Relationship Id="rId2867" Type="http://schemas.openxmlformats.org/officeDocument/2006/relationships/hyperlink" Target="https://dadosabertos.camara.leg.br/api/v2/deputados/133984" TargetMode="External"/><Relationship Id="rId3918" Type="http://schemas.openxmlformats.org/officeDocument/2006/relationships/hyperlink" Target="https://dadosabertos.camara.leg.br/api/v2/deputados/131396" TargetMode="External"/><Relationship Id="rId5340" Type="http://schemas.openxmlformats.org/officeDocument/2006/relationships/hyperlink" Target="https://dadosabertos.camara.leg.br/api/v2/deputados/4777" TargetMode="External"/><Relationship Id="rId1883" Type="http://schemas.openxmlformats.org/officeDocument/2006/relationships/hyperlink" Target="https://dadosabertos.camara.leg.br/api/v2/deputados/141541" TargetMode="External"/><Relationship Id="rId2934" Type="http://schemas.openxmlformats.org/officeDocument/2006/relationships/hyperlink" Target="https://dadosabertos.camara.leg.br/api/v2/deputados/133903" TargetMode="External"/><Relationship Id="rId7098" Type="http://schemas.openxmlformats.org/officeDocument/2006/relationships/hyperlink" Target="https://dadosabertos.camara.leg.br/api/v2/deputados/1127" TargetMode="External"/><Relationship Id="rId906" Type="http://schemas.openxmlformats.org/officeDocument/2006/relationships/hyperlink" Target="https://dadosabertos.camara.leg.br/api/v2/deputados/204446" TargetMode="External"/><Relationship Id="rId1536" Type="http://schemas.openxmlformats.org/officeDocument/2006/relationships/hyperlink" Target="https://dadosabertos.camara.leg.br/api/v2/deputados/146613" TargetMode="External"/><Relationship Id="rId1950" Type="http://schemas.openxmlformats.org/officeDocument/2006/relationships/hyperlink" Target="https://dadosabertos.camara.leg.br/api/v2/deputados/74473" TargetMode="External"/><Relationship Id="rId1603" Type="http://schemas.openxmlformats.org/officeDocument/2006/relationships/hyperlink" Target="https://dadosabertos.camara.leg.br/api/v2/deputados/160615" TargetMode="External"/><Relationship Id="rId4759" Type="http://schemas.openxmlformats.org/officeDocument/2006/relationships/hyperlink" Target="https://dadosabertos.camara.leg.br/api/v2/deputados/130547" TargetMode="External"/><Relationship Id="rId7165" Type="http://schemas.openxmlformats.org/officeDocument/2006/relationships/hyperlink" Target="https://dadosabertos.camara.leg.br/api/v2/deputados/811" TargetMode="External"/><Relationship Id="rId3775" Type="http://schemas.openxmlformats.org/officeDocument/2006/relationships/hyperlink" Target="https://dadosabertos.camara.leg.br/api/v2/deputados/131512" TargetMode="External"/><Relationship Id="rId4826" Type="http://schemas.openxmlformats.org/officeDocument/2006/relationships/hyperlink" Target="https://dadosabertos.camara.leg.br/api/v2/deputados/130622" TargetMode="External"/><Relationship Id="rId6181" Type="http://schemas.openxmlformats.org/officeDocument/2006/relationships/hyperlink" Target="https://dadosabertos.camara.leg.br/api/v2/deputados/4151" TargetMode="External"/><Relationship Id="rId7232" Type="http://schemas.openxmlformats.org/officeDocument/2006/relationships/hyperlink" Target="https://dadosabertos.camara.leg.br/api/v2/deputados/619" TargetMode="External"/><Relationship Id="rId696" Type="http://schemas.openxmlformats.org/officeDocument/2006/relationships/hyperlink" Target="https://dadosabertos.camara.leg.br/api/v2/deputados/207176" TargetMode="External"/><Relationship Id="rId2377" Type="http://schemas.openxmlformats.org/officeDocument/2006/relationships/hyperlink" Target="https://dadosabertos.camara.leg.br/api/v2/deputados/73912" TargetMode="External"/><Relationship Id="rId2791" Type="http://schemas.openxmlformats.org/officeDocument/2006/relationships/hyperlink" Target="https://dadosabertos.camara.leg.br/api/v2/deputados/133980" TargetMode="External"/><Relationship Id="rId3428" Type="http://schemas.openxmlformats.org/officeDocument/2006/relationships/hyperlink" Target="https://dadosabertos.camara.leg.br/api/v2/deputados/131988" TargetMode="External"/><Relationship Id="rId349" Type="http://schemas.openxmlformats.org/officeDocument/2006/relationships/hyperlink" Target="https://dadosabertos.camara.leg.br/api/v2/deputados/215043" TargetMode="External"/><Relationship Id="rId763" Type="http://schemas.openxmlformats.org/officeDocument/2006/relationships/hyperlink" Target="https://dadosabertos.camara.leg.br/api/v2/deputados/160587" TargetMode="External"/><Relationship Id="rId1393" Type="http://schemas.openxmlformats.org/officeDocument/2006/relationships/hyperlink" Target="https://dadosabertos.camara.leg.br/api/v2/deputados/74016" TargetMode="External"/><Relationship Id="rId2444" Type="http://schemas.openxmlformats.org/officeDocument/2006/relationships/hyperlink" Target="https://dadosabertos.camara.leg.br/api/v2/deputados/66490" TargetMode="External"/><Relationship Id="rId3842" Type="http://schemas.openxmlformats.org/officeDocument/2006/relationships/hyperlink" Target="https://dadosabertos.camara.leg.br/api/v2/deputados/131575" TargetMode="External"/><Relationship Id="rId6998" Type="http://schemas.openxmlformats.org/officeDocument/2006/relationships/hyperlink" Target="https://dadosabertos.camara.leg.br/api/v2/deputados/1211" TargetMode="External"/><Relationship Id="rId416" Type="http://schemas.openxmlformats.org/officeDocument/2006/relationships/hyperlink" Target="https://dadosabertos.camara.leg.br/api/v2/deputados/178866" TargetMode="External"/><Relationship Id="rId1046" Type="http://schemas.openxmlformats.org/officeDocument/2006/relationships/hyperlink" Target="https://dadosabertos.camara.leg.br/api/v2/deputados/178838" TargetMode="External"/><Relationship Id="rId830" Type="http://schemas.openxmlformats.org/officeDocument/2006/relationships/hyperlink" Target="https://dadosabertos.camara.leg.br/api/v2/deputados/219592" TargetMode="External"/><Relationship Id="rId1460" Type="http://schemas.openxmlformats.org/officeDocument/2006/relationships/hyperlink" Target="https://dadosabertos.camara.leg.br/api/v2/deputados/74053" TargetMode="External"/><Relationship Id="rId2511" Type="http://schemas.openxmlformats.org/officeDocument/2006/relationships/hyperlink" Target="https://dadosabertos.camara.leg.br/api/v2/deputados/73648" TargetMode="External"/><Relationship Id="rId5667" Type="http://schemas.openxmlformats.org/officeDocument/2006/relationships/hyperlink" Target="https://dadosabertos.camara.leg.br/api/v2/deputados/2797" TargetMode="External"/><Relationship Id="rId6718" Type="http://schemas.openxmlformats.org/officeDocument/2006/relationships/hyperlink" Target="https://dadosabertos.camara.leg.br/api/v2/deputados/1568" TargetMode="External"/><Relationship Id="rId1113" Type="http://schemas.openxmlformats.org/officeDocument/2006/relationships/hyperlink" Target="https://dadosabertos.camara.leg.br/api/v2/deputados/194592" TargetMode="External"/><Relationship Id="rId4269" Type="http://schemas.openxmlformats.org/officeDocument/2006/relationships/hyperlink" Target="https://dadosabertos.camara.leg.br/api/v2/deputados/131383" TargetMode="External"/><Relationship Id="rId4683" Type="http://schemas.openxmlformats.org/officeDocument/2006/relationships/hyperlink" Target="https://dadosabertos.camara.leg.br/api/v2/deputados/130849" TargetMode="External"/><Relationship Id="rId5734" Type="http://schemas.openxmlformats.org/officeDocument/2006/relationships/hyperlink" Target="https://dadosabertos.camara.leg.br/api/v2/deputados/4474" TargetMode="External"/><Relationship Id="rId3285" Type="http://schemas.openxmlformats.org/officeDocument/2006/relationships/hyperlink" Target="https://dadosabertos.camara.leg.br/api/v2/deputados/131854" TargetMode="External"/><Relationship Id="rId4336" Type="http://schemas.openxmlformats.org/officeDocument/2006/relationships/hyperlink" Target="https://dadosabertos.camara.leg.br/api/v2/deputados/131074" TargetMode="External"/><Relationship Id="rId4750" Type="http://schemas.openxmlformats.org/officeDocument/2006/relationships/hyperlink" Target="https://dadosabertos.camara.leg.br/api/v2/deputados/130546" TargetMode="External"/><Relationship Id="rId5801" Type="http://schemas.openxmlformats.org/officeDocument/2006/relationships/hyperlink" Target="https://dadosabertos.camara.leg.br/api/v2/deputados/130177" TargetMode="External"/><Relationship Id="rId3352" Type="http://schemas.openxmlformats.org/officeDocument/2006/relationships/hyperlink" Target="https://dadosabertos.camara.leg.br/api/v2/deputados/131907" TargetMode="External"/><Relationship Id="rId4403" Type="http://schemas.openxmlformats.org/officeDocument/2006/relationships/hyperlink" Target="https://dadosabertos.camara.leg.br/api/v2/deputados/130997" TargetMode="External"/><Relationship Id="rId7559" Type="http://schemas.openxmlformats.org/officeDocument/2006/relationships/hyperlink" Target="https://dadosabertos.camara.leg.br/api/v2/deputados/415" TargetMode="External"/><Relationship Id="rId273" Type="http://schemas.openxmlformats.org/officeDocument/2006/relationships/hyperlink" Target="https://dadosabertos.camara.leg.br/api/v2/deputados/74383" TargetMode="External"/><Relationship Id="rId3005" Type="http://schemas.openxmlformats.org/officeDocument/2006/relationships/hyperlink" Target="https://dadosabertos.camara.leg.br/api/v2/deputados/139170" TargetMode="External"/><Relationship Id="rId6575" Type="http://schemas.openxmlformats.org/officeDocument/2006/relationships/hyperlink" Target="https://dadosabertos.camara.leg.br/api/v2/deputados/1643" TargetMode="External"/><Relationship Id="rId7626" Type="http://schemas.openxmlformats.org/officeDocument/2006/relationships/hyperlink" Target="https://dadosabertos.camara.leg.br/api/v2/deputados/9" TargetMode="External"/><Relationship Id="rId7973" Type="http://schemas.openxmlformats.org/officeDocument/2006/relationships/hyperlink" Target="https://dadosabertos.camara.leg.br/api/v2/deputados/77" TargetMode="External"/><Relationship Id="rId340" Type="http://schemas.openxmlformats.org/officeDocument/2006/relationships/hyperlink" Target="https://dadosabertos.camara.leg.br/api/v2/deputados/141470" TargetMode="External"/><Relationship Id="rId2021" Type="http://schemas.openxmlformats.org/officeDocument/2006/relationships/hyperlink" Target="https://dadosabertos.camara.leg.br/api/v2/deputados/74562" TargetMode="External"/><Relationship Id="rId5177" Type="http://schemas.openxmlformats.org/officeDocument/2006/relationships/hyperlink" Target="https://dadosabertos.camara.leg.br/api/v2/deputados/3052" TargetMode="External"/><Relationship Id="rId6228" Type="http://schemas.openxmlformats.org/officeDocument/2006/relationships/hyperlink" Target="https://dadosabertos.camara.leg.br/api/v2/deputados/1650" TargetMode="External"/><Relationship Id="rId4193" Type="http://schemas.openxmlformats.org/officeDocument/2006/relationships/hyperlink" Target="https://dadosabertos.camara.leg.br/api/v2/deputados/131315" TargetMode="External"/><Relationship Id="rId5591" Type="http://schemas.openxmlformats.org/officeDocument/2006/relationships/hyperlink" Target="https://dadosabertos.camara.leg.br/api/v2/deputados/130233" TargetMode="External"/><Relationship Id="rId6642" Type="http://schemas.openxmlformats.org/officeDocument/2006/relationships/hyperlink" Target="https://dadosabertos.camara.leg.br/api/v2/deputados/1865" TargetMode="External"/><Relationship Id="rId1787" Type="http://schemas.openxmlformats.org/officeDocument/2006/relationships/hyperlink" Target="https://dadosabertos.camara.leg.br/api/v2/deputados/73658" TargetMode="External"/><Relationship Id="rId2838" Type="http://schemas.openxmlformats.org/officeDocument/2006/relationships/hyperlink" Target="https://dadosabertos.camara.leg.br/api/v2/deputados/133922" TargetMode="External"/><Relationship Id="rId5244" Type="http://schemas.openxmlformats.org/officeDocument/2006/relationships/hyperlink" Target="https://dadosabertos.camara.leg.br/api/v2/deputados/130313" TargetMode="External"/><Relationship Id="rId79" Type="http://schemas.openxmlformats.org/officeDocument/2006/relationships/hyperlink" Target="https://dadosabertos.camara.leg.br/api/v2/deputados/220698" TargetMode="External"/><Relationship Id="rId1854" Type="http://schemas.openxmlformats.org/officeDocument/2006/relationships/hyperlink" Target="https://dadosabertos.camara.leg.br/api/v2/deputados/141521" TargetMode="External"/><Relationship Id="rId2905" Type="http://schemas.openxmlformats.org/officeDocument/2006/relationships/hyperlink" Target="https://dadosabertos.camara.leg.br/api/v2/deputados/73830" TargetMode="External"/><Relationship Id="rId4260" Type="http://schemas.openxmlformats.org/officeDocument/2006/relationships/hyperlink" Target="https://dadosabertos.camara.leg.br/api/v2/deputados/131375" TargetMode="External"/><Relationship Id="rId5311" Type="http://schemas.openxmlformats.org/officeDocument/2006/relationships/hyperlink" Target="https://dadosabertos.camara.leg.br/api/v2/deputados/4655" TargetMode="External"/><Relationship Id="rId1507" Type="http://schemas.openxmlformats.org/officeDocument/2006/relationships/hyperlink" Target="http://www.twitter.com/laurezmoreira" TargetMode="External"/><Relationship Id="rId7069" Type="http://schemas.openxmlformats.org/officeDocument/2006/relationships/hyperlink" Target="https://dadosabertos.camara.leg.br/api/v2/deputados/1062" TargetMode="External"/><Relationship Id="rId7483" Type="http://schemas.openxmlformats.org/officeDocument/2006/relationships/hyperlink" Target="https://dadosabertos.camara.leg.br/api/v2/deputados/361" TargetMode="External"/><Relationship Id="rId1921" Type="http://schemas.openxmlformats.org/officeDocument/2006/relationships/hyperlink" Target="https://dadosabertos.camara.leg.br/api/v2/deputados/74451" TargetMode="External"/><Relationship Id="rId3679" Type="http://schemas.openxmlformats.org/officeDocument/2006/relationships/hyperlink" Target="https://dadosabertos.camara.leg.br/api/v2/deputados/131732" TargetMode="External"/><Relationship Id="rId6085" Type="http://schemas.openxmlformats.org/officeDocument/2006/relationships/hyperlink" Target="https://dadosabertos.camara.leg.br/api/v2/deputados/2349" TargetMode="External"/><Relationship Id="rId7136" Type="http://schemas.openxmlformats.org/officeDocument/2006/relationships/hyperlink" Target="https://dadosabertos.camara.leg.br/api/v2/deputados/950" TargetMode="External"/><Relationship Id="rId7550" Type="http://schemas.openxmlformats.org/officeDocument/2006/relationships/hyperlink" Target="https://dadosabertos.camara.leg.br/api/v2/deputados/674" TargetMode="External"/><Relationship Id="rId6152" Type="http://schemas.openxmlformats.org/officeDocument/2006/relationships/hyperlink" Target="https://dadosabertos.camara.leg.br/api/v2/deputados/2132" TargetMode="External"/><Relationship Id="rId7203" Type="http://schemas.openxmlformats.org/officeDocument/2006/relationships/hyperlink" Target="https://dadosabertos.camara.leg.br/api/v2/deputados/750" TargetMode="External"/><Relationship Id="rId1297" Type="http://schemas.openxmlformats.org/officeDocument/2006/relationships/hyperlink" Target="https://dadosabertos.camara.leg.br/api/v2/deputados/74385" TargetMode="External"/><Relationship Id="rId2695" Type="http://schemas.openxmlformats.org/officeDocument/2006/relationships/hyperlink" Target="https://dadosabertos.camara.leg.br/api/v2/deputados/133895" TargetMode="External"/><Relationship Id="rId3746" Type="http://schemas.openxmlformats.org/officeDocument/2006/relationships/hyperlink" Target="https://dadosabertos.camara.leg.br/api/v2/deputados/131798" TargetMode="External"/><Relationship Id="rId667" Type="http://schemas.openxmlformats.org/officeDocument/2006/relationships/hyperlink" Target="https://dadosabertos.camara.leg.br/api/v2/deputados/160592" TargetMode="External"/><Relationship Id="rId2348" Type="http://schemas.openxmlformats.org/officeDocument/2006/relationships/hyperlink" Target="https://dadosabertos.camara.leg.br/api/v2/deputados/74109" TargetMode="External"/><Relationship Id="rId2762" Type="http://schemas.openxmlformats.org/officeDocument/2006/relationships/hyperlink" Target="https://dadosabertos.camara.leg.br/api/v2/deputados/65475" TargetMode="External"/><Relationship Id="rId3813" Type="http://schemas.openxmlformats.org/officeDocument/2006/relationships/hyperlink" Target="https://dadosabertos.camara.leg.br/api/v2/deputados/131536" TargetMode="External"/><Relationship Id="rId6969" Type="http://schemas.openxmlformats.org/officeDocument/2006/relationships/hyperlink" Target="https://dadosabertos.camara.leg.br/api/v2/deputados/18" TargetMode="External"/><Relationship Id="rId734" Type="http://schemas.openxmlformats.org/officeDocument/2006/relationships/hyperlink" Target="https://dadosabertos.camara.leg.br/api/v2/deputados/178830" TargetMode="External"/><Relationship Id="rId1364" Type="http://schemas.openxmlformats.org/officeDocument/2006/relationships/hyperlink" Target="https://dadosabertos.camara.leg.br/api/v2/deputados/160678" TargetMode="External"/><Relationship Id="rId2415" Type="http://schemas.openxmlformats.org/officeDocument/2006/relationships/hyperlink" Target="https://dadosabertos.camara.leg.br/api/v2/deputados/73792" TargetMode="External"/><Relationship Id="rId5985" Type="http://schemas.openxmlformats.org/officeDocument/2006/relationships/hyperlink" Target="https://dadosabertos.camara.leg.br/api/v2/deputados/2203" TargetMode="External"/><Relationship Id="rId70" Type="http://schemas.openxmlformats.org/officeDocument/2006/relationships/hyperlink" Target="http://www.deputadoaureo.com.br/" TargetMode="External"/><Relationship Id="rId801" Type="http://schemas.openxmlformats.org/officeDocument/2006/relationships/hyperlink" Target="https://dadosabertos.camara.leg.br/api/v2/deputados/160570" TargetMode="External"/><Relationship Id="rId1017" Type="http://schemas.openxmlformats.org/officeDocument/2006/relationships/hyperlink" Target="https://dadosabertos.camara.leg.br/api/v2/deputados/73655" TargetMode="External"/><Relationship Id="rId1431" Type="http://schemas.openxmlformats.org/officeDocument/2006/relationships/hyperlink" Target="https://dadosabertos.camara.leg.br/api/v2/deputados/141386" TargetMode="External"/><Relationship Id="rId4587" Type="http://schemas.openxmlformats.org/officeDocument/2006/relationships/hyperlink" Target="https://dadosabertos.camara.leg.br/api/v2/deputados/130747" TargetMode="External"/><Relationship Id="rId5638" Type="http://schemas.openxmlformats.org/officeDocument/2006/relationships/hyperlink" Target="https://dadosabertos.camara.leg.br/api/v2/deputados/4570" TargetMode="External"/><Relationship Id="rId3189" Type="http://schemas.openxmlformats.org/officeDocument/2006/relationships/hyperlink" Target="https://dadosabertos.camara.leg.br/api/v2/deputados/1502" TargetMode="External"/><Relationship Id="rId4654" Type="http://schemas.openxmlformats.org/officeDocument/2006/relationships/hyperlink" Target="https://dadosabertos.camara.leg.br/api/v2/deputados/130770" TargetMode="External"/><Relationship Id="rId7060" Type="http://schemas.openxmlformats.org/officeDocument/2006/relationships/hyperlink" Target="https://dadosabertos.camara.leg.br/api/v2/deputados/1072" TargetMode="External"/><Relationship Id="rId3256" Type="http://schemas.openxmlformats.org/officeDocument/2006/relationships/hyperlink" Target="https://dadosabertos.camara.leg.br/api/v2/deputados/139385" TargetMode="External"/><Relationship Id="rId4307" Type="http://schemas.openxmlformats.org/officeDocument/2006/relationships/hyperlink" Target="https://dadosabertos.camara.leg.br/api/v2/deputados/130919" TargetMode="External"/><Relationship Id="rId5705" Type="http://schemas.openxmlformats.org/officeDocument/2006/relationships/hyperlink" Target="https://dadosabertos.camara.leg.br/api/v2/deputados/2060" TargetMode="External"/><Relationship Id="rId177" Type="http://schemas.openxmlformats.org/officeDocument/2006/relationships/hyperlink" Target="https://dadosabertos.camara.leg.br/api/v2/deputados/73768" TargetMode="External"/><Relationship Id="rId591" Type="http://schemas.openxmlformats.org/officeDocument/2006/relationships/hyperlink" Target="https://dadosabertos.camara.leg.br/api/v2/deputados/220644" TargetMode="External"/><Relationship Id="rId2272" Type="http://schemas.openxmlformats.org/officeDocument/2006/relationships/hyperlink" Target="https://dadosabertos.camara.leg.br/api/v2/deputados/73532" TargetMode="External"/><Relationship Id="rId3670" Type="http://schemas.openxmlformats.org/officeDocument/2006/relationships/hyperlink" Target="https://dadosabertos.camara.leg.br/api/v2/deputados/131719" TargetMode="External"/><Relationship Id="rId4721" Type="http://schemas.openxmlformats.org/officeDocument/2006/relationships/hyperlink" Target="https://dadosabertos.camara.leg.br/api/v2/deputados/130875" TargetMode="External"/><Relationship Id="rId7877" Type="http://schemas.openxmlformats.org/officeDocument/2006/relationships/hyperlink" Target="https://dadosabertos.camara.leg.br/api/v2/deputados/273" TargetMode="External"/><Relationship Id="rId244" Type="http://schemas.openxmlformats.org/officeDocument/2006/relationships/hyperlink" Target="https://dadosabertos.camara.leg.br/api/v2/deputados/72442" TargetMode="External"/><Relationship Id="rId3323" Type="http://schemas.openxmlformats.org/officeDocument/2006/relationships/hyperlink" Target="https://dadosabertos.camara.leg.br/api/v2/deputados/132139" TargetMode="External"/><Relationship Id="rId6479" Type="http://schemas.openxmlformats.org/officeDocument/2006/relationships/hyperlink" Target="https://dadosabertos.camara.leg.br/api/v2/deputados/3772" TargetMode="External"/><Relationship Id="rId6893" Type="http://schemas.openxmlformats.org/officeDocument/2006/relationships/hyperlink" Target="https://dadosabertos.camara.leg.br/api/v2/deputados/1260" TargetMode="External"/><Relationship Id="rId7944" Type="http://schemas.openxmlformats.org/officeDocument/2006/relationships/hyperlink" Target="https://dadosabertos.camara.leg.br/api/v2/deputados/155" TargetMode="External"/><Relationship Id="rId5495" Type="http://schemas.openxmlformats.org/officeDocument/2006/relationships/hyperlink" Target="https://dadosabertos.camara.leg.br/api/v2/deputados/4827" TargetMode="External"/><Relationship Id="rId6546" Type="http://schemas.openxmlformats.org/officeDocument/2006/relationships/hyperlink" Target="https://dadosabertos.camara.leg.br/api/v2/deputados/1990" TargetMode="External"/><Relationship Id="rId6960" Type="http://schemas.openxmlformats.org/officeDocument/2006/relationships/hyperlink" Target="https://dadosabertos.camara.leg.br/api/v2/deputados/560" TargetMode="External"/><Relationship Id="rId311" Type="http://schemas.openxmlformats.org/officeDocument/2006/relationships/hyperlink" Target="https://dadosabertos.camara.leg.br/api/v2/deputados/220563" TargetMode="External"/><Relationship Id="rId4097" Type="http://schemas.openxmlformats.org/officeDocument/2006/relationships/hyperlink" Target="https://dadosabertos.camara.leg.br/api/v2/deputados/131220" TargetMode="External"/><Relationship Id="rId5148" Type="http://schemas.openxmlformats.org/officeDocument/2006/relationships/hyperlink" Target="https://dadosabertos.camara.leg.br/api/v2/deputados/130321" TargetMode="External"/><Relationship Id="rId5562" Type="http://schemas.openxmlformats.org/officeDocument/2006/relationships/hyperlink" Target="https://dadosabertos.camara.leg.br/api/v2/deputados/130300" TargetMode="External"/><Relationship Id="rId6613" Type="http://schemas.openxmlformats.org/officeDocument/2006/relationships/hyperlink" Target="https://dadosabertos.camara.leg.br/api/v2/deputados/3893" TargetMode="External"/><Relationship Id="rId1758" Type="http://schemas.openxmlformats.org/officeDocument/2006/relationships/hyperlink" Target="https://dadosabertos.camara.leg.br/api/v2/deputados/141435" TargetMode="External"/><Relationship Id="rId2809" Type="http://schemas.openxmlformats.org/officeDocument/2006/relationships/hyperlink" Target="https://dadosabertos.camara.leg.br/api/v2/deputados/133936" TargetMode="External"/><Relationship Id="rId4164" Type="http://schemas.openxmlformats.org/officeDocument/2006/relationships/hyperlink" Target="https://dadosabertos.camara.leg.br/api/v2/deputados/131248" TargetMode="External"/><Relationship Id="rId5215" Type="http://schemas.openxmlformats.org/officeDocument/2006/relationships/hyperlink" Target="https://dadosabertos.camara.leg.br/api/v2/deputados/2976" TargetMode="External"/><Relationship Id="rId3180" Type="http://schemas.openxmlformats.org/officeDocument/2006/relationships/hyperlink" Target="https://dadosabertos.camara.leg.br/api/v2/deputados/1538" TargetMode="External"/><Relationship Id="rId4231" Type="http://schemas.openxmlformats.org/officeDocument/2006/relationships/hyperlink" Target="https://dadosabertos.camara.leg.br/api/v2/deputados/131353" TargetMode="External"/><Relationship Id="rId7387" Type="http://schemas.openxmlformats.org/officeDocument/2006/relationships/hyperlink" Target="https://dadosabertos.camara.leg.br/api/v2/deputados/613" TargetMode="External"/><Relationship Id="rId1825" Type="http://schemas.openxmlformats.org/officeDocument/2006/relationships/hyperlink" Target="https://dadosabertos.camara.leg.br/api/v2/deputados/141499" TargetMode="External"/><Relationship Id="rId3997" Type="http://schemas.openxmlformats.org/officeDocument/2006/relationships/hyperlink" Target="https://dadosabertos.camara.leg.br/api/v2/deputados/131397" TargetMode="External"/><Relationship Id="rId6056" Type="http://schemas.openxmlformats.org/officeDocument/2006/relationships/hyperlink" Target="https://dadosabertos.camara.leg.br/api/v2/deputados/130144" TargetMode="External"/><Relationship Id="rId7454" Type="http://schemas.openxmlformats.org/officeDocument/2006/relationships/hyperlink" Target="https://dadosabertos.camara.leg.br/api/v2/deputados/751" TargetMode="External"/><Relationship Id="rId2599" Type="http://schemas.openxmlformats.org/officeDocument/2006/relationships/hyperlink" Target="https://dadosabertos.camara.leg.br/api/v2/deputados/73908" TargetMode="External"/><Relationship Id="rId6470" Type="http://schemas.openxmlformats.org/officeDocument/2006/relationships/hyperlink" Target="https://dadosabertos.camara.leg.br/api/v2/deputados/2124" TargetMode="External"/><Relationship Id="rId7107" Type="http://schemas.openxmlformats.org/officeDocument/2006/relationships/hyperlink" Target="https://dadosabertos.camara.leg.br/api/v2/deputados/1109" TargetMode="External"/><Relationship Id="rId7521" Type="http://schemas.openxmlformats.org/officeDocument/2006/relationships/hyperlink" Target="https://dadosabertos.camara.leg.br/api/v2/deputados/652" TargetMode="External"/><Relationship Id="rId985" Type="http://schemas.openxmlformats.org/officeDocument/2006/relationships/hyperlink" Target="https://dadosabertos.camara.leg.br/api/v2/deputados/178968" TargetMode="External"/><Relationship Id="rId2666" Type="http://schemas.openxmlformats.org/officeDocument/2006/relationships/hyperlink" Target="https://dadosabertos.camara.leg.br/api/v2/deputados/133876" TargetMode="External"/><Relationship Id="rId3717" Type="http://schemas.openxmlformats.org/officeDocument/2006/relationships/hyperlink" Target="https://dadosabertos.camara.leg.br/api/v2/deputados/131775" TargetMode="External"/><Relationship Id="rId5072" Type="http://schemas.openxmlformats.org/officeDocument/2006/relationships/hyperlink" Target="https://dadosabertos.camara.leg.br/api/v2/deputados/2896" TargetMode="External"/><Relationship Id="rId6123" Type="http://schemas.openxmlformats.org/officeDocument/2006/relationships/hyperlink" Target="https://dadosabertos.camara.leg.br/api/v2/deputados/4185" TargetMode="External"/><Relationship Id="rId638" Type="http://schemas.openxmlformats.org/officeDocument/2006/relationships/hyperlink" Target="https://dadosabertos.camara.leg.br/api/v2/deputados/178934" TargetMode="External"/><Relationship Id="rId1268" Type="http://schemas.openxmlformats.org/officeDocument/2006/relationships/hyperlink" Target="https://dadosabertos.camara.leg.br/api/v2/deputados/178897" TargetMode="External"/><Relationship Id="rId1682" Type="http://schemas.openxmlformats.org/officeDocument/2006/relationships/hyperlink" Target="https://dadosabertos.camara.leg.br/api/v2/deputados/73987" TargetMode="External"/><Relationship Id="rId2319" Type="http://schemas.openxmlformats.org/officeDocument/2006/relationships/hyperlink" Target="https://dadosabertos.camara.leg.br/api/v2/deputados/74672" TargetMode="External"/><Relationship Id="rId2733" Type="http://schemas.openxmlformats.org/officeDocument/2006/relationships/hyperlink" Target="https://dadosabertos.camara.leg.br/api/v2/deputados/133901" TargetMode="External"/><Relationship Id="rId5889" Type="http://schemas.openxmlformats.org/officeDocument/2006/relationships/hyperlink" Target="https://dadosabertos.camara.leg.br/api/v2/deputados/2611" TargetMode="External"/><Relationship Id="rId705" Type="http://schemas.openxmlformats.org/officeDocument/2006/relationships/hyperlink" Target="https://dadosabertos.camara.leg.br/api/v2/deputados/178924" TargetMode="External"/><Relationship Id="rId1335" Type="http://schemas.openxmlformats.org/officeDocument/2006/relationships/hyperlink" Target="https://dadosabertos.camara.leg.br/api/v2/deputados/173269" TargetMode="External"/><Relationship Id="rId2800" Type="http://schemas.openxmlformats.org/officeDocument/2006/relationships/hyperlink" Target="https://dadosabertos.camara.leg.br/api/v2/deputados/133857" TargetMode="External"/><Relationship Id="rId5956" Type="http://schemas.openxmlformats.org/officeDocument/2006/relationships/hyperlink" Target="https://dadosabertos.camara.leg.br/api/v2/deputados/4352" TargetMode="External"/><Relationship Id="rId41" Type="http://schemas.openxmlformats.org/officeDocument/2006/relationships/hyperlink" Target="https://dadosabertos.camara.leg.br/api/v2/deputados/220715" TargetMode="External"/><Relationship Id="rId1402" Type="http://schemas.openxmlformats.org/officeDocument/2006/relationships/hyperlink" Target="https://dadosabertos.camara.leg.br/api/v2/deputados/74197" TargetMode="External"/><Relationship Id="rId4558" Type="http://schemas.openxmlformats.org/officeDocument/2006/relationships/hyperlink" Target="https://dadosabertos.camara.leg.br/api/v2/deputados/130807" TargetMode="External"/><Relationship Id="rId4972" Type="http://schemas.openxmlformats.org/officeDocument/2006/relationships/hyperlink" Target="https://dadosabertos.camara.leg.br/api/v2/deputados/130438" TargetMode="External"/><Relationship Id="rId5609" Type="http://schemas.openxmlformats.org/officeDocument/2006/relationships/hyperlink" Target="https://dadosabertos.camara.leg.br/api/v2/deputados/130349" TargetMode="External"/><Relationship Id="rId7031" Type="http://schemas.openxmlformats.org/officeDocument/2006/relationships/hyperlink" Target="https://dadosabertos.camara.leg.br/api/v2/deputados/1123" TargetMode="External"/><Relationship Id="rId3574" Type="http://schemas.openxmlformats.org/officeDocument/2006/relationships/hyperlink" Target="https://dadosabertos.camara.leg.br/api/v2/deputados/131629" TargetMode="External"/><Relationship Id="rId4625" Type="http://schemas.openxmlformats.org/officeDocument/2006/relationships/hyperlink" Target="https://dadosabertos.camara.leg.br/api/v2/deputados/130804" TargetMode="External"/><Relationship Id="rId495" Type="http://schemas.openxmlformats.org/officeDocument/2006/relationships/hyperlink" Target="https://dadosabertos.camara.leg.br/api/v2/deputados/204422" TargetMode="External"/><Relationship Id="rId2176" Type="http://schemas.openxmlformats.org/officeDocument/2006/relationships/hyperlink" Target="https://dadosabertos.camara.leg.br/api/v2/deputados/74144" TargetMode="External"/><Relationship Id="rId2590" Type="http://schemas.openxmlformats.org/officeDocument/2006/relationships/hyperlink" Target="https://dadosabertos.camara.leg.br/api/v2/deputados/74013" TargetMode="External"/><Relationship Id="rId3227" Type="http://schemas.openxmlformats.org/officeDocument/2006/relationships/hyperlink" Target="https://dadosabertos.camara.leg.br/api/v2/deputados/139361" TargetMode="External"/><Relationship Id="rId3641" Type="http://schemas.openxmlformats.org/officeDocument/2006/relationships/hyperlink" Target="https://dadosabertos.camara.leg.br/api/v2/deputados/131730" TargetMode="External"/><Relationship Id="rId6797" Type="http://schemas.openxmlformats.org/officeDocument/2006/relationships/hyperlink" Target="https://dadosabertos.camara.leg.br/api/v2/deputados/4091" TargetMode="External"/><Relationship Id="rId7848" Type="http://schemas.openxmlformats.org/officeDocument/2006/relationships/hyperlink" Target="https://dadosabertos.camara.leg.br/api/v2/deputados/249" TargetMode="External"/><Relationship Id="rId148" Type="http://schemas.openxmlformats.org/officeDocument/2006/relationships/hyperlink" Target="https://dadosabertos.camara.leg.br/api/v2/deputados/204409" TargetMode="External"/><Relationship Id="rId562" Type="http://schemas.openxmlformats.org/officeDocument/2006/relationships/hyperlink" Target="https://dadosabertos.camara.leg.br/api/v2/deputados/221329" TargetMode="External"/><Relationship Id="rId1192" Type="http://schemas.openxmlformats.org/officeDocument/2006/relationships/hyperlink" Target="http://www.twitter.com/mtebaldi" TargetMode="External"/><Relationship Id="rId2243" Type="http://schemas.openxmlformats.org/officeDocument/2006/relationships/hyperlink" Target="https://dadosabertos.camara.leg.br/api/v2/deputados/74100" TargetMode="External"/><Relationship Id="rId5399" Type="http://schemas.openxmlformats.org/officeDocument/2006/relationships/hyperlink" Target="https://dadosabertos.camara.leg.br/api/v2/deputados/130257" TargetMode="External"/><Relationship Id="rId6864" Type="http://schemas.openxmlformats.org/officeDocument/2006/relationships/hyperlink" Target="https://dadosabertos.camara.leg.br/api/v2/deputados/1219" TargetMode="External"/><Relationship Id="rId7915" Type="http://schemas.openxmlformats.org/officeDocument/2006/relationships/hyperlink" Target="https://dadosabertos.camara.leg.br/api/v2/deputados/216" TargetMode="External"/><Relationship Id="rId215" Type="http://schemas.openxmlformats.org/officeDocument/2006/relationships/hyperlink" Target="https://www.facebook.com/elianebrazce" TargetMode="External"/><Relationship Id="rId2310" Type="http://schemas.openxmlformats.org/officeDocument/2006/relationships/hyperlink" Target="https://dadosabertos.camara.leg.br/api/v2/deputados/73667" TargetMode="External"/><Relationship Id="rId5466" Type="http://schemas.openxmlformats.org/officeDocument/2006/relationships/hyperlink" Target="https://dadosabertos.camara.leg.br/api/v2/deputados/4730" TargetMode="External"/><Relationship Id="rId6517" Type="http://schemas.openxmlformats.org/officeDocument/2006/relationships/hyperlink" Target="https://dadosabertos.camara.leg.br/api/v2/deputados/3810" TargetMode="External"/><Relationship Id="rId4068" Type="http://schemas.openxmlformats.org/officeDocument/2006/relationships/hyperlink" Target="https://dadosabertos.camara.leg.br/api/v2/deputados/132148" TargetMode="External"/><Relationship Id="rId4482" Type="http://schemas.openxmlformats.org/officeDocument/2006/relationships/hyperlink" Target="https://dadosabertos.camara.leg.br/api/v2/deputados/131096" TargetMode="External"/><Relationship Id="rId5119" Type="http://schemas.openxmlformats.org/officeDocument/2006/relationships/hyperlink" Target="https://dadosabertos.camara.leg.br/api/v2/deputados/3050" TargetMode="External"/><Relationship Id="rId5880" Type="http://schemas.openxmlformats.org/officeDocument/2006/relationships/hyperlink" Target="https://dadosabertos.camara.leg.br/api/v2/deputados/4419" TargetMode="External"/><Relationship Id="rId6931" Type="http://schemas.openxmlformats.org/officeDocument/2006/relationships/hyperlink" Target="https://dadosabertos.camara.leg.br/api/v2/deputados/1202" TargetMode="External"/><Relationship Id="rId3084" Type="http://schemas.openxmlformats.org/officeDocument/2006/relationships/hyperlink" Target="https://dadosabertos.camara.leg.br/api/v2/deputados/139238" TargetMode="External"/><Relationship Id="rId4135" Type="http://schemas.openxmlformats.org/officeDocument/2006/relationships/hyperlink" Target="https://dadosabertos.camara.leg.br/api/v2/deputados/131261" TargetMode="External"/><Relationship Id="rId5533" Type="http://schemas.openxmlformats.org/officeDocument/2006/relationships/hyperlink" Target="https://dadosabertos.camara.leg.br/api/v2/deputados/130283" TargetMode="External"/><Relationship Id="rId1729" Type="http://schemas.openxmlformats.org/officeDocument/2006/relationships/hyperlink" Target="https://dadosabertos.camara.leg.br/api/v2/deputados/141550" TargetMode="External"/><Relationship Id="rId5600" Type="http://schemas.openxmlformats.org/officeDocument/2006/relationships/hyperlink" Target="https://dadosabertos.camara.leg.br/api/v2/deputados/2814" TargetMode="External"/><Relationship Id="rId3151" Type="http://schemas.openxmlformats.org/officeDocument/2006/relationships/hyperlink" Target="https://dadosabertos.camara.leg.br/api/v2/deputados/139294" TargetMode="External"/><Relationship Id="rId4202" Type="http://schemas.openxmlformats.org/officeDocument/2006/relationships/hyperlink" Target="https://dadosabertos.camara.leg.br/api/v2/deputados/131322" TargetMode="External"/><Relationship Id="rId7358" Type="http://schemas.openxmlformats.org/officeDocument/2006/relationships/hyperlink" Target="https://dadosabertos.camara.leg.br/api/v2/deputados/716" TargetMode="External"/><Relationship Id="rId7772" Type="http://schemas.openxmlformats.org/officeDocument/2006/relationships/hyperlink" Target="https://dadosabertos.camara.leg.br/api/v2/deputados/352" TargetMode="External"/><Relationship Id="rId3968" Type="http://schemas.openxmlformats.org/officeDocument/2006/relationships/hyperlink" Target="https://dadosabertos.camara.leg.br/api/v2/deputados/131448" TargetMode="External"/><Relationship Id="rId6374" Type="http://schemas.openxmlformats.org/officeDocument/2006/relationships/hyperlink" Target="https://dadosabertos.camara.leg.br/api/v2/deputados/2173" TargetMode="External"/><Relationship Id="rId7425" Type="http://schemas.openxmlformats.org/officeDocument/2006/relationships/hyperlink" Target="https://dadosabertos.camara.leg.br/api/v2/deputados/701" TargetMode="External"/><Relationship Id="rId5" Type="http://schemas.openxmlformats.org/officeDocument/2006/relationships/hyperlink" Target="https://dadosabertos.camara.leg.br/api/v2/deputados/204560" TargetMode="External"/><Relationship Id="rId889" Type="http://schemas.openxmlformats.org/officeDocument/2006/relationships/hyperlink" Target="https://dadosabertos.camara.leg.br/api/v2/deputados/218741" TargetMode="External"/><Relationship Id="rId5390" Type="http://schemas.openxmlformats.org/officeDocument/2006/relationships/hyperlink" Target="https://dadosabertos.camara.leg.br/api/v2/deputados/4722" TargetMode="External"/><Relationship Id="rId6027" Type="http://schemas.openxmlformats.org/officeDocument/2006/relationships/hyperlink" Target="https://dadosabertos.camara.leg.br/api/v2/deputados/130147" TargetMode="External"/><Relationship Id="rId6441" Type="http://schemas.openxmlformats.org/officeDocument/2006/relationships/hyperlink" Target="https://dadosabertos.camara.leg.br/api/v2/deputados/1948" TargetMode="External"/><Relationship Id="rId1586" Type="http://schemas.openxmlformats.org/officeDocument/2006/relationships/hyperlink" Target="https://dadosabertos.camara.leg.br/api/v2/deputados/160658" TargetMode="External"/><Relationship Id="rId2984" Type="http://schemas.openxmlformats.org/officeDocument/2006/relationships/hyperlink" Target="https://dadosabertos.camara.leg.br/api/v2/deputados/139151" TargetMode="External"/><Relationship Id="rId5043" Type="http://schemas.openxmlformats.org/officeDocument/2006/relationships/hyperlink" Target="https://dadosabertos.camara.leg.br/api/v2/deputados/3113" TargetMode="External"/><Relationship Id="rId609" Type="http://schemas.openxmlformats.org/officeDocument/2006/relationships/hyperlink" Target="https://dadosabertos.camara.leg.br/api/v2/deputados/73808" TargetMode="External"/><Relationship Id="rId956" Type="http://schemas.openxmlformats.org/officeDocument/2006/relationships/hyperlink" Target="https://dadosabertos.camara.leg.br/api/v2/deputados/180018" TargetMode="External"/><Relationship Id="rId1239" Type="http://schemas.openxmlformats.org/officeDocument/2006/relationships/hyperlink" Target="https://dadosabertos.camara.leg.br/api/v2/deputados/80920" TargetMode="External"/><Relationship Id="rId2637" Type="http://schemas.openxmlformats.org/officeDocument/2006/relationships/hyperlink" Target="https://dadosabertos.camara.leg.br/api/v2/deputados/74764" TargetMode="External"/><Relationship Id="rId5110" Type="http://schemas.openxmlformats.org/officeDocument/2006/relationships/hyperlink" Target="https://dadosabertos.camara.leg.br/api/v2/deputados/2987" TargetMode="External"/><Relationship Id="rId1653" Type="http://schemas.openxmlformats.org/officeDocument/2006/relationships/hyperlink" Target="https://dadosabertos.camara.leg.br/api/v2/deputados/73653" TargetMode="External"/><Relationship Id="rId2704" Type="http://schemas.openxmlformats.org/officeDocument/2006/relationships/hyperlink" Target="https://dadosabertos.camara.leg.br/api/v2/deputados/133916" TargetMode="External"/><Relationship Id="rId1306" Type="http://schemas.openxmlformats.org/officeDocument/2006/relationships/hyperlink" Target="https://dadosabertos.camara.leg.br/api/v2/deputados/178913" TargetMode="External"/><Relationship Id="rId1720" Type="http://schemas.openxmlformats.org/officeDocument/2006/relationships/hyperlink" Target="https://dadosabertos.camara.leg.br/api/v2/deputados/141409" TargetMode="External"/><Relationship Id="rId4876" Type="http://schemas.openxmlformats.org/officeDocument/2006/relationships/hyperlink" Target="https://dadosabertos.camara.leg.br/api/v2/deputados/130646" TargetMode="External"/><Relationship Id="rId5927" Type="http://schemas.openxmlformats.org/officeDocument/2006/relationships/hyperlink" Target="https://dadosabertos.camara.leg.br/api/v2/deputados/2566" TargetMode="External"/><Relationship Id="rId7282" Type="http://schemas.openxmlformats.org/officeDocument/2006/relationships/hyperlink" Target="https://dadosabertos.camara.leg.br/api/v2/deputados/643" TargetMode="External"/><Relationship Id="rId12" Type="http://schemas.openxmlformats.org/officeDocument/2006/relationships/hyperlink" Target="https://dadosabertos.camara.leg.br/api/v2/deputados/160527" TargetMode="External"/><Relationship Id="rId3478" Type="http://schemas.openxmlformats.org/officeDocument/2006/relationships/hyperlink" Target="https://dadosabertos.camara.leg.br/api/v2/deputados/132032" TargetMode="External"/><Relationship Id="rId3892" Type="http://schemas.openxmlformats.org/officeDocument/2006/relationships/hyperlink" Target="https://dadosabertos.camara.leg.br/api/v2/deputados/131619" TargetMode="External"/><Relationship Id="rId4529" Type="http://schemas.openxmlformats.org/officeDocument/2006/relationships/hyperlink" Target="https://dadosabertos.camara.leg.br/api/v2/deputados/131124" TargetMode="External"/><Relationship Id="rId4943" Type="http://schemas.openxmlformats.org/officeDocument/2006/relationships/hyperlink" Target="https://dadosabertos.camara.leg.br/api/v2/deputados/3102" TargetMode="External"/><Relationship Id="rId399" Type="http://schemas.openxmlformats.org/officeDocument/2006/relationships/hyperlink" Target="https://dadosabertos.camara.leg.br/api/v2/deputados/222429" TargetMode="External"/><Relationship Id="rId2494" Type="http://schemas.openxmlformats.org/officeDocument/2006/relationships/hyperlink" Target="https://dadosabertos.camara.leg.br/api/v2/deputados/74241" TargetMode="External"/><Relationship Id="rId3545" Type="http://schemas.openxmlformats.org/officeDocument/2006/relationships/hyperlink" Target="https://dadosabertos.camara.leg.br/api/v2/deputados/132138" TargetMode="External"/><Relationship Id="rId7002" Type="http://schemas.openxmlformats.org/officeDocument/2006/relationships/hyperlink" Target="https://dadosabertos.camara.leg.br/api/v2/deputados/1147" TargetMode="External"/><Relationship Id="rId466" Type="http://schemas.openxmlformats.org/officeDocument/2006/relationships/hyperlink" Target="https://dadosabertos.camara.leg.br/api/v2/deputados/188097" TargetMode="External"/><Relationship Id="rId880" Type="http://schemas.openxmlformats.org/officeDocument/2006/relationships/hyperlink" Target="https://dadosabertos.camara.leg.br/api/v2/deputados/216198" TargetMode="External"/><Relationship Id="rId1096" Type="http://schemas.openxmlformats.org/officeDocument/2006/relationships/hyperlink" Target="https://dadosabertos.camara.leg.br/api/v2/deputados/186775" TargetMode="External"/><Relationship Id="rId2147" Type="http://schemas.openxmlformats.org/officeDocument/2006/relationships/hyperlink" Target="https://dadosabertos.camara.leg.br/api/v2/deputados/73885" TargetMode="External"/><Relationship Id="rId2561" Type="http://schemas.openxmlformats.org/officeDocument/2006/relationships/hyperlink" Target="https://dadosabertos.camara.leg.br/api/v2/deputados/74631" TargetMode="External"/><Relationship Id="rId119" Type="http://schemas.openxmlformats.org/officeDocument/2006/relationships/hyperlink" Target="https://dadosabertos.camara.leg.br/api/v2/deputados/204462" TargetMode="External"/><Relationship Id="rId533" Type="http://schemas.openxmlformats.org/officeDocument/2006/relationships/hyperlink" Target="https://dadosabertos.camara.leg.br/api/v2/deputados/204406" TargetMode="External"/><Relationship Id="rId1163" Type="http://schemas.openxmlformats.org/officeDocument/2006/relationships/hyperlink" Target="https://dadosabertos.camara.leg.br/api/v2/deputados/141483" TargetMode="External"/><Relationship Id="rId2214" Type="http://schemas.openxmlformats.org/officeDocument/2006/relationships/hyperlink" Target="https://dadosabertos.camara.leg.br/api/v2/deputados/74475" TargetMode="External"/><Relationship Id="rId3612" Type="http://schemas.openxmlformats.org/officeDocument/2006/relationships/hyperlink" Target="https://dadosabertos.camara.leg.br/api/v2/deputados/131668" TargetMode="External"/><Relationship Id="rId6768" Type="http://schemas.openxmlformats.org/officeDocument/2006/relationships/hyperlink" Target="https://dadosabertos.camara.leg.br/api/v2/deputados/1682" TargetMode="External"/><Relationship Id="rId7819" Type="http://schemas.openxmlformats.org/officeDocument/2006/relationships/hyperlink" Target="https://dadosabertos.camara.leg.br/api/v2/deputados/302" TargetMode="External"/><Relationship Id="rId5784" Type="http://schemas.openxmlformats.org/officeDocument/2006/relationships/hyperlink" Target="https://dadosabertos.camara.leg.br/api/v2/deputados/4449" TargetMode="External"/><Relationship Id="rId6835" Type="http://schemas.openxmlformats.org/officeDocument/2006/relationships/hyperlink" Target="https://dadosabertos.camara.leg.br/api/v2/deputados/1172" TargetMode="External"/><Relationship Id="rId600" Type="http://schemas.openxmlformats.org/officeDocument/2006/relationships/hyperlink" Target="https://dadosabertos.camara.leg.br/api/v2/deputados/233598" TargetMode="External"/><Relationship Id="rId1230" Type="http://schemas.openxmlformats.org/officeDocument/2006/relationships/hyperlink" Target="http://www.odelmoleao.com.br/" TargetMode="External"/><Relationship Id="rId4386" Type="http://schemas.openxmlformats.org/officeDocument/2006/relationships/hyperlink" Target="https://dadosabertos.camara.leg.br/api/v2/deputados/130982" TargetMode="External"/><Relationship Id="rId5437" Type="http://schemas.openxmlformats.org/officeDocument/2006/relationships/hyperlink" Target="https://dadosabertos.camara.leg.br/api/v2/deputados/130266" TargetMode="External"/><Relationship Id="rId5851" Type="http://schemas.openxmlformats.org/officeDocument/2006/relationships/hyperlink" Target="https://dadosabertos.camara.leg.br/api/v2/deputados/2592" TargetMode="External"/><Relationship Id="rId6902" Type="http://schemas.openxmlformats.org/officeDocument/2006/relationships/hyperlink" Target="https://dadosabertos.camara.leg.br/api/v2/deputados/1251" TargetMode="External"/><Relationship Id="rId4039" Type="http://schemas.openxmlformats.org/officeDocument/2006/relationships/hyperlink" Target="https://dadosabertos.camara.leg.br/api/v2/deputados/131170" TargetMode="External"/><Relationship Id="rId4453" Type="http://schemas.openxmlformats.org/officeDocument/2006/relationships/hyperlink" Target="https://dadosabertos.camara.leg.br/api/v2/deputados/131068" TargetMode="External"/><Relationship Id="rId5504" Type="http://schemas.openxmlformats.org/officeDocument/2006/relationships/hyperlink" Target="https://dadosabertos.camara.leg.br/api/v2/deputados/4830" TargetMode="External"/><Relationship Id="rId3055" Type="http://schemas.openxmlformats.org/officeDocument/2006/relationships/hyperlink" Target="https://dadosabertos.camara.leg.br/api/v2/deputados/139215" TargetMode="External"/><Relationship Id="rId4106" Type="http://schemas.openxmlformats.org/officeDocument/2006/relationships/hyperlink" Target="https://dadosabertos.camara.leg.br/api/v2/deputados/131156" TargetMode="External"/><Relationship Id="rId4520" Type="http://schemas.openxmlformats.org/officeDocument/2006/relationships/hyperlink" Target="https://dadosabertos.camara.leg.br/api/v2/deputados/131125" TargetMode="External"/><Relationship Id="rId7676" Type="http://schemas.openxmlformats.org/officeDocument/2006/relationships/hyperlink" Target="https://dadosabertos.camara.leg.br/api/v2/deputados/483" TargetMode="External"/><Relationship Id="rId390" Type="http://schemas.openxmlformats.org/officeDocument/2006/relationships/hyperlink" Target="https://dadosabertos.camara.leg.br/api/v2/deputados/220581" TargetMode="External"/><Relationship Id="rId2071" Type="http://schemas.openxmlformats.org/officeDocument/2006/relationships/hyperlink" Target="https://dadosabertos.camara.leg.br/api/v2/deputados/141337" TargetMode="External"/><Relationship Id="rId3122" Type="http://schemas.openxmlformats.org/officeDocument/2006/relationships/hyperlink" Target="https://dadosabertos.camara.leg.br/api/v2/deputados/139271" TargetMode="External"/><Relationship Id="rId6278" Type="http://schemas.openxmlformats.org/officeDocument/2006/relationships/hyperlink" Target="https://dadosabertos.camara.leg.br/api/v2/deputados/1783" TargetMode="External"/><Relationship Id="rId6692" Type="http://schemas.openxmlformats.org/officeDocument/2006/relationships/hyperlink" Target="https://dadosabertos.camara.leg.br/api/v2/deputados/1853" TargetMode="External"/><Relationship Id="rId7329" Type="http://schemas.openxmlformats.org/officeDocument/2006/relationships/hyperlink" Target="https://dadosabertos.camara.leg.br/api/v2/deputados/683" TargetMode="External"/><Relationship Id="rId5294" Type="http://schemas.openxmlformats.org/officeDocument/2006/relationships/hyperlink" Target="https://dadosabertos.camara.leg.br/api/v2/deputados/130377" TargetMode="External"/><Relationship Id="rId6345" Type="http://schemas.openxmlformats.org/officeDocument/2006/relationships/hyperlink" Target="https://dadosabertos.camara.leg.br/api/v2/deputados/132149" TargetMode="External"/><Relationship Id="rId7743" Type="http://schemas.openxmlformats.org/officeDocument/2006/relationships/hyperlink" Target="https://dadosabertos.camara.leg.br/api/v2/deputados/433" TargetMode="External"/><Relationship Id="rId110" Type="http://schemas.openxmlformats.org/officeDocument/2006/relationships/hyperlink" Target="https://dadosabertos.camara.leg.br/api/v2/deputados/206018" TargetMode="External"/><Relationship Id="rId2888" Type="http://schemas.openxmlformats.org/officeDocument/2006/relationships/hyperlink" Target="https://dadosabertos.camara.leg.br/api/v2/deputados/133934" TargetMode="External"/><Relationship Id="rId3939" Type="http://schemas.openxmlformats.org/officeDocument/2006/relationships/hyperlink" Target="https://dadosabertos.camara.leg.br/api/v2/deputados/131415" TargetMode="External"/><Relationship Id="rId7810" Type="http://schemas.openxmlformats.org/officeDocument/2006/relationships/hyperlink" Target="https://dadosabertos.camara.leg.br/api/v2/deputados/366" TargetMode="External"/><Relationship Id="rId2955" Type="http://schemas.openxmlformats.org/officeDocument/2006/relationships/hyperlink" Target="https://dadosabertos.camara.leg.br/api/v2/deputados/139125" TargetMode="External"/><Relationship Id="rId5361" Type="http://schemas.openxmlformats.org/officeDocument/2006/relationships/hyperlink" Target="https://dadosabertos.camara.leg.br/api/v2/deputados/4698" TargetMode="External"/><Relationship Id="rId6412" Type="http://schemas.openxmlformats.org/officeDocument/2006/relationships/hyperlink" Target="https://dadosabertos.camara.leg.br/api/v2/deputados/1903" TargetMode="External"/><Relationship Id="rId927" Type="http://schemas.openxmlformats.org/officeDocument/2006/relationships/hyperlink" Target="https://dadosabertos.camara.leg.br/api/v2/deputados/204366" TargetMode="External"/><Relationship Id="rId1557" Type="http://schemas.openxmlformats.org/officeDocument/2006/relationships/hyperlink" Target="http://miriquinho.blogspot.com/" TargetMode="External"/><Relationship Id="rId1971" Type="http://schemas.openxmlformats.org/officeDocument/2006/relationships/hyperlink" Target="https://dadosabertos.camara.leg.br/api/v2/deputados/73445" TargetMode="External"/><Relationship Id="rId2608" Type="http://schemas.openxmlformats.org/officeDocument/2006/relationships/hyperlink" Target="https://dadosabertos.camara.leg.br/api/v2/deputados/73785" TargetMode="External"/><Relationship Id="rId5014" Type="http://schemas.openxmlformats.org/officeDocument/2006/relationships/hyperlink" Target="https://dadosabertos.camara.leg.br/api/v2/deputados/3106" TargetMode="External"/><Relationship Id="rId1624" Type="http://schemas.openxmlformats.org/officeDocument/2006/relationships/hyperlink" Target="https://dadosabertos.camara.leg.br/api/v2/deputados/73559" TargetMode="External"/><Relationship Id="rId4030" Type="http://schemas.openxmlformats.org/officeDocument/2006/relationships/hyperlink" Target="https://dadosabertos.camara.leg.br/api/v2/deputados/131161" TargetMode="External"/><Relationship Id="rId7186" Type="http://schemas.openxmlformats.org/officeDocument/2006/relationships/hyperlink" Target="https://dadosabertos.camara.leg.br/api/v2/deputados/565" TargetMode="External"/><Relationship Id="rId3796" Type="http://schemas.openxmlformats.org/officeDocument/2006/relationships/hyperlink" Target="https://dadosabertos.camara.leg.br/api/v2/deputados/131559" TargetMode="External"/><Relationship Id="rId7253" Type="http://schemas.openxmlformats.org/officeDocument/2006/relationships/hyperlink" Target="https://dadosabertos.camara.leg.br/api/v2/deputados/594" TargetMode="External"/><Relationship Id="rId2398" Type="http://schemas.openxmlformats.org/officeDocument/2006/relationships/hyperlink" Target="https://dadosabertos.camara.leg.br/api/v2/deputados/74193" TargetMode="External"/><Relationship Id="rId3449" Type="http://schemas.openxmlformats.org/officeDocument/2006/relationships/hyperlink" Target="https://dadosabertos.camara.leg.br/api/v2/deputados/131983" TargetMode="External"/><Relationship Id="rId4847" Type="http://schemas.openxmlformats.org/officeDocument/2006/relationships/hyperlink" Target="https://dadosabertos.camara.leg.br/api/v2/deputados/130638" TargetMode="External"/><Relationship Id="rId7320" Type="http://schemas.openxmlformats.org/officeDocument/2006/relationships/hyperlink" Target="https://dadosabertos.camara.leg.br/api/v2/deputados/790" TargetMode="External"/><Relationship Id="rId3863" Type="http://schemas.openxmlformats.org/officeDocument/2006/relationships/hyperlink" Target="https://dadosabertos.camara.leg.br/api/v2/deputados/131594" TargetMode="External"/><Relationship Id="rId4914" Type="http://schemas.openxmlformats.org/officeDocument/2006/relationships/hyperlink" Target="https://dadosabertos.camara.leg.br/api/v2/deputados/130384" TargetMode="External"/><Relationship Id="rId784" Type="http://schemas.openxmlformats.org/officeDocument/2006/relationships/hyperlink" Target="https://dadosabertos.camara.leg.br/api/v2/deputados/204513" TargetMode="External"/><Relationship Id="rId1067" Type="http://schemas.openxmlformats.org/officeDocument/2006/relationships/hyperlink" Target="https://dadosabertos.camara.leg.br/api/v2/deputados/160643" TargetMode="External"/><Relationship Id="rId2465" Type="http://schemas.openxmlformats.org/officeDocument/2006/relationships/hyperlink" Target="https://dadosabertos.camara.leg.br/api/v2/deputados/74004" TargetMode="External"/><Relationship Id="rId3516" Type="http://schemas.openxmlformats.org/officeDocument/2006/relationships/hyperlink" Target="https://dadosabertos.camara.leg.br/api/v2/deputados/132068" TargetMode="External"/><Relationship Id="rId3930" Type="http://schemas.openxmlformats.org/officeDocument/2006/relationships/hyperlink" Target="https://dadosabertos.camara.leg.br/api/v2/deputados/131407" TargetMode="External"/><Relationship Id="rId437" Type="http://schemas.openxmlformats.org/officeDocument/2006/relationships/hyperlink" Target="https://dadosabertos.camara.leg.br/api/v2/deputados/219585" TargetMode="External"/><Relationship Id="rId851" Type="http://schemas.openxmlformats.org/officeDocument/2006/relationships/hyperlink" Target="https://dadosabertos.camara.leg.br/api/v2/deputados/221147" TargetMode="External"/><Relationship Id="rId1481" Type="http://schemas.openxmlformats.org/officeDocument/2006/relationships/hyperlink" Target="https://dadosabertos.camara.leg.br/api/v2/deputados/141457" TargetMode="External"/><Relationship Id="rId2118" Type="http://schemas.openxmlformats.org/officeDocument/2006/relationships/hyperlink" Target="https://dadosabertos.camara.leg.br/api/v2/deputados/74756" TargetMode="External"/><Relationship Id="rId2532" Type="http://schemas.openxmlformats.org/officeDocument/2006/relationships/hyperlink" Target="https://dadosabertos.camara.leg.br/api/v2/deputados/74202" TargetMode="External"/><Relationship Id="rId5688" Type="http://schemas.openxmlformats.org/officeDocument/2006/relationships/hyperlink" Target="https://dadosabertos.camara.leg.br/api/v2/deputados/2250" TargetMode="External"/><Relationship Id="rId6739" Type="http://schemas.openxmlformats.org/officeDocument/2006/relationships/hyperlink" Target="https://dadosabertos.camara.leg.br/api/v2/deputados/4022" TargetMode="External"/><Relationship Id="rId504" Type="http://schemas.openxmlformats.org/officeDocument/2006/relationships/hyperlink" Target="https://dadosabertos.camara.leg.br/api/v2/deputados/220615" TargetMode="External"/><Relationship Id="rId1134" Type="http://schemas.openxmlformats.org/officeDocument/2006/relationships/hyperlink" Target="https://dadosabertos.camara.leg.br/api/v2/deputados/194262" TargetMode="External"/><Relationship Id="rId5755" Type="http://schemas.openxmlformats.org/officeDocument/2006/relationships/hyperlink" Target="https://dadosabertos.camara.leg.br/api/v2/deputados/4492" TargetMode="External"/><Relationship Id="rId6806" Type="http://schemas.openxmlformats.org/officeDocument/2006/relationships/hyperlink" Target="https://dadosabertos.camara.leg.br/api/v2/deputados/4049" TargetMode="External"/><Relationship Id="rId1201" Type="http://schemas.openxmlformats.org/officeDocument/2006/relationships/hyperlink" Target="https://dadosabertos.camara.leg.br/api/v2/deputados/178850" TargetMode="External"/><Relationship Id="rId4357" Type="http://schemas.openxmlformats.org/officeDocument/2006/relationships/hyperlink" Target="https://dadosabertos.camara.leg.br/api/v2/deputados/3133" TargetMode="External"/><Relationship Id="rId4771" Type="http://schemas.openxmlformats.org/officeDocument/2006/relationships/hyperlink" Target="https://dadosabertos.camara.leg.br/api/v2/deputados/130507" TargetMode="External"/><Relationship Id="rId5408" Type="http://schemas.openxmlformats.org/officeDocument/2006/relationships/hyperlink" Target="https://dadosabertos.camara.leg.br/api/v2/deputados/2881" TargetMode="External"/><Relationship Id="rId3373" Type="http://schemas.openxmlformats.org/officeDocument/2006/relationships/hyperlink" Target="https://dadosabertos.camara.leg.br/api/v2/deputados/131977" TargetMode="External"/><Relationship Id="rId4424" Type="http://schemas.openxmlformats.org/officeDocument/2006/relationships/hyperlink" Target="https://dadosabertos.camara.leg.br/api/v2/deputados/131042" TargetMode="External"/><Relationship Id="rId5822" Type="http://schemas.openxmlformats.org/officeDocument/2006/relationships/hyperlink" Target="https://dadosabertos.camara.leg.br/api/v2/deputados/4537" TargetMode="External"/><Relationship Id="rId294" Type="http://schemas.openxmlformats.org/officeDocument/2006/relationships/hyperlink" Target="https://www.instagram.com/GUILHERMEUCHOAJR" TargetMode="External"/><Relationship Id="rId3026" Type="http://schemas.openxmlformats.org/officeDocument/2006/relationships/hyperlink" Target="https://dadosabertos.camara.leg.br/api/v2/deputados/139190" TargetMode="External"/><Relationship Id="rId361" Type="http://schemas.openxmlformats.org/officeDocument/2006/relationships/hyperlink" Target="https://dadosabertos.camara.leg.br/api/v2/deputados/204497" TargetMode="External"/><Relationship Id="rId2042" Type="http://schemas.openxmlformats.org/officeDocument/2006/relationships/hyperlink" Target="https://dadosabertos.camara.leg.br/api/v2/deputados/74671" TargetMode="External"/><Relationship Id="rId3440" Type="http://schemas.openxmlformats.org/officeDocument/2006/relationships/hyperlink" Target="https://dadosabertos.camara.leg.br/api/v2/deputados/132004" TargetMode="External"/><Relationship Id="rId5198" Type="http://schemas.openxmlformats.org/officeDocument/2006/relationships/hyperlink" Target="https://dadosabertos.camara.leg.br/api/v2/deputados/3032" TargetMode="External"/><Relationship Id="rId6596" Type="http://schemas.openxmlformats.org/officeDocument/2006/relationships/hyperlink" Target="https://dadosabertos.camara.leg.br/api/v2/deputados/1848" TargetMode="External"/><Relationship Id="rId7647" Type="http://schemas.openxmlformats.org/officeDocument/2006/relationships/hyperlink" Target="https://dadosabertos.camara.leg.br/api/v2/deputados/391" TargetMode="External"/><Relationship Id="rId6249" Type="http://schemas.openxmlformats.org/officeDocument/2006/relationships/hyperlink" Target="https://dadosabertos.camara.leg.br/api/v2/deputados/1877" TargetMode="External"/><Relationship Id="rId6663" Type="http://schemas.openxmlformats.org/officeDocument/2006/relationships/hyperlink" Target="https://dadosabertos.camara.leg.br/api/v2/deputados/3956" TargetMode="External"/><Relationship Id="rId7714" Type="http://schemas.openxmlformats.org/officeDocument/2006/relationships/hyperlink" Target="https://dadosabertos.camara.leg.br/api/v2/deputados/515" TargetMode="External"/><Relationship Id="rId2859" Type="http://schemas.openxmlformats.org/officeDocument/2006/relationships/hyperlink" Target="https://dadosabertos.camara.leg.br/api/v2/deputados/1535" TargetMode="External"/><Relationship Id="rId5265" Type="http://schemas.openxmlformats.org/officeDocument/2006/relationships/hyperlink" Target="https://dadosabertos.camara.leg.br/api/v2/deputados/130279" TargetMode="External"/><Relationship Id="rId6316" Type="http://schemas.openxmlformats.org/officeDocument/2006/relationships/hyperlink" Target="https://dadosabertos.camara.leg.br/api/v2/deputados/2272" TargetMode="External"/><Relationship Id="rId6730" Type="http://schemas.openxmlformats.org/officeDocument/2006/relationships/hyperlink" Target="https://dadosabertos.camara.leg.br/api/v2/deputados/1724" TargetMode="External"/><Relationship Id="rId1875" Type="http://schemas.openxmlformats.org/officeDocument/2006/relationships/hyperlink" Target="https://dadosabertos.camara.leg.br/api/v2/deputados/73651" TargetMode="External"/><Relationship Id="rId4281" Type="http://schemas.openxmlformats.org/officeDocument/2006/relationships/hyperlink" Target="https://dadosabertos.camara.leg.br/api/v2/deputados/2639" TargetMode="External"/><Relationship Id="rId5332" Type="http://schemas.openxmlformats.org/officeDocument/2006/relationships/hyperlink" Target="https://dadosabertos.camara.leg.br/api/v2/deputados/2695" TargetMode="External"/><Relationship Id="rId1528" Type="http://schemas.openxmlformats.org/officeDocument/2006/relationships/hyperlink" Target="https://dadosabertos.camara.leg.br/api/v2/deputados/74802" TargetMode="External"/><Relationship Id="rId2926" Type="http://schemas.openxmlformats.org/officeDocument/2006/relationships/hyperlink" Target="https://dadosabertos.camara.leg.br/api/v2/deputados/73755" TargetMode="External"/><Relationship Id="rId1942" Type="http://schemas.openxmlformats.org/officeDocument/2006/relationships/hyperlink" Target="https://dadosabertos.camara.leg.br/api/v2/deputados/74147" TargetMode="External"/><Relationship Id="rId4001" Type="http://schemas.openxmlformats.org/officeDocument/2006/relationships/hyperlink" Target="https://dadosabertos.camara.leg.br/api/v2/deputados/131487" TargetMode="External"/><Relationship Id="rId7157" Type="http://schemas.openxmlformats.org/officeDocument/2006/relationships/hyperlink" Target="https://dadosabertos.camara.leg.br/api/v2/deputados/944" TargetMode="External"/><Relationship Id="rId6173" Type="http://schemas.openxmlformats.org/officeDocument/2006/relationships/hyperlink" Target="https://dadosabertos.camara.leg.br/api/v2/deputados/2374" TargetMode="External"/><Relationship Id="rId7571" Type="http://schemas.openxmlformats.org/officeDocument/2006/relationships/hyperlink" Target="https://dadosabertos.camara.leg.br/api/v2/deputados/443" TargetMode="External"/><Relationship Id="rId3767" Type="http://schemas.openxmlformats.org/officeDocument/2006/relationships/hyperlink" Target="https://dadosabertos.camara.leg.br/api/v2/deputados/131816" TargetMode="External"/><Relationship Id="rId4818" Type="http://schemas.openxmlformats.org/officeDocument/2006/relationships/hyperlink" Target="https://dadosabertos.camara.leg.br/api/v2/deputados/130611" TargetMode="External"/><Relationship Id="rId7224" Type="http://schemas.openxmlformats.org/officeDocument/2006/relationships/hyperlink" Target="https://dadosabertos.camara.leg.br/api/v2/deputados/1022" TargetMode="External"/><Relationship Id="rId688" Type="http://schemas.openxmlformats.org/officeDocument/2006/relationships/hyperlink" Target="https://dadosabertos.camara.leg.br/api/v2/deputados/73696" TargetMode="External"/><Relationship Id="rId2369" Type="http://schemas.openxmlformats.org/officeDocument/2006/relationships/hyperlink" Target="https://dadosabertos.camara.leg.br/api/v2/deputados/73591" TargetMode="External"/><Relationship Id="rId2783" Type="http://schemas.openxmlformats.org/officeDocument/2006/relationships/hyperlink" Target="https://dadosabertos.camara.leg.br/api/v2/deputados/133915" TargetMode="External"/><Relationship Id="rId3834" Type="http://schemas.openxmlformats.org/officeDocument/2006/relationships/hyperlink" Target="https://dadosabertos.camara.leg.br/api/v2/deputados/131557" TargetMode="External"/><Relationship Id="rId6240" Type="http://schemas.openxmlformats.org/officeDocument/2006/relationships/hyperlink" Target="https://dadosabertos.camara.leg.br/api/v2/deputados/2076" TargetMode="External"/><Relationship Id="rId755" Type="http://schemas.openxmlformats.org/officeDocument/2006/relationships/hyperlink" Target="https://dadosabertos.camara.leg.br/api/v2/deputados/207309" TargetMode="External"/><Relationship Id="rId1385" Type="http://schemas.openxmlformats.org/officeDocument/2006/relationships/hyperlink" Target="https://dadosabertos.camara.leg.br/api/v2/deputados/160624" TargetMode="External"/><Relationship Id="rId2436" Type="http://schemas.openxmlformats.org/officeDocument/2006/relationships/hyperlink" Target="https://dadosabertos.camara.leg.br/api/v2/deputados/74088" TargetMode="External"/><Relationship Id="rId2850" Type="http://schemas.openxmlformats.org/officeDocument/2006/relationships/hyperlink" Target="https://dadosabertos.camara.leg.br/api/v2/deputados/67144" TargetMode="External"/><Relationship Id="rId91" Type="http://schemas.openxmlformats.org/officeDocument/2006/relationships/hyperlink" Target="https://dadosabertos.camara.leg.br/api/v2/deputados/220690" TargetMode="External"/><Relationship Id="rId408" Type="http://schemas.openxmlformats.org/officeDocument/2006/relationships/hyperlink" Target="https://dadosabertos.camara.leg.br/api/v2/deputados/229432" TargetMode="External"/><Relationship Id="rId822" Type="http://schemas.openxmlformats.org/officeDocument/2006/relationships/hyperlink" Target="https://dadosabertos.camara.leg.br/api/v2/deputados/178825" TargetMode="External"/><Relationship Id="rId1038" Type="http://schemas.openxmlformats.org/officeDocument/2006/relationships/hyperlink" Target="https://dadosabertos.camara.leg.br/api/v2/deputados/74474" TargetMode="External"/><Relationship Id="rId1452" Type="http://schemas.openxmlformats.org/officeDocument/2006/relationships/hyperlink" Target="https://dadosabertos.camara.leg.br/api/v2/deputados/179380" TargetMode="External"/><Relationship Id="rId2503" Type="http://schemas.openxmlformats.org/officeDocument/2006/relationships/hyperlink" Target="https://dadosabertos.camara.leg.br/api/v2/deputados/74418" TargetMode="External"/><Relationship Id="rId3901" Type="http://schemas.openxmlformats.org/officeDocument/2006/relationships/hyperlink" Target="https://dadosabertos.camara.leg.br/api/v2/deputados/131625" TargetMode="External"/><Relationship Id="rId5659" Type="http://schemas.openxmlformats.org/officeDocument/2006/relationships/hyperlink" Target="https://dadosabertos.camara.leg.br/api/v2/deputados/2715" TargetMode="External"/><Relationship Id="rId1105" Type="http://schemas.openxmlformats.org/officeDocument/2006/relationships/hyperlink" Target="https://dadosabertos.camara.leg.br/api/v2/deputados/178872" TargetMode="External"/><Relationship Id="rId7081" Type="http://schemas.openxmlformats.org/officeDocument/2006/relationships/hyperlink" Target="https://dadosabertos.camara.leg.br/api/v2/deputados/824" TargetMode="External"/><Relationship Id="rId3277" Type="http://schemas.openxmlformats.org/officeDocument/2006/relationships/hyperlink" Target="https://dadosabertos.camara.leg.br/api/v2/deputados/131853" TargetMode="External"/><Relationship Id="rId4675" Type="http://schemas.openxmlformats.org/officeDocument/2006/relationships/hyperlink" Target="https://dadosabertos.camara.leg.br/api/v2/deputados/130842" TargetMode="External"/><Relationship Id="rId5726" Type="http://schemas.openxmlformats.org/officeDocument/2006/relationships/hyperlink" Target="https://dadosabertos.camara.leg.br/api/v2/deputados/2580" TargetMode="External"/><Relationship Id="rId198" Type="http://schemas.openxmlformats.org/officeDocument/2006/relationships/hyperlink" Target="https://dadosabertos.camara.leg.br/api/v2/deputados/204351" TargetMode="External"/><Relationship Id="rId3691" Type="http://schemas.openxmlformats.org/officeDocument/2006/relationships/hyperlink" Target="https://dadosabertos.camara.leg.br/api/v2/deputados/131753" TargetMode="External"/><Relationship Id="rId4328" Type="http://schemas.openxmlformats.org/officeDocument/2006/relationships/hyperlink" Target="https://dadosabertos.camara.leg.br/api/v2/deputados/130933" TargetMode="External"/><Relationship Id="rId4742" Type="http://schemas.openxmlformats.org/officeDocument/2006/relationships/hyperlink" Target="https://dadosabertos.camara.leg.br/api/v2/deputados/130683" TargetMode="External"/><Relationship Id="rId7898" Type="http://schemas.openxmlformats.org/officeDocument/2006/relationships/hyperlink" Target="https://dadosabertos.camara.leg.br/api/v2/deputados/2" TargetMode="External"/><Relationship Id="rId2293" Type="http://schemas.openxmlformats.org/officeDocument/2006/relationships/hyperlink" Target="https://dadosabertos.camara.leg.br/api/v2/deputados/73539" TargetMode="External"/><Relationship Id="rId3344" Type="http://schemas.openxmlformats.org/officeDocument/2006/relationships/hyperlink" Target="https://dadosabertos.camara.leg.br/api/v2/deputados/131900" TargetMode="External"/><Relationship Id="rId7965" Type="http://schemas.openxmlformats.org/officeDocument/2006/relationships/hyperlink" Target="https://dadosabertos.camara.leg.br/api/v2/deputados/168" TargetMode="External"/><Relationship Id="rId265" Type="http://schemas.openxmlformats.org/officeDocument/2006/relationships/hyperlink" Target="https://dadosabertos.camara.leg.br/api/v2/deputados/204473" TargetMode="External"/><Relationship Id="rId2360" Type="http://schemas.openxmlformats.org/officeDocument/2006/relationships/hyperlink" Target="https://dadosabertos.camara.leg.br/api/v2/deputados/73491" TargetMode="External"/><Relationship Id="rId3411" Type="http://schemas.openxmlformats.org/officeDocument/2006/relationships/hyperlink" Target="https://dadosabertos.camara.leg.br/api/v2/deputados/131949" TargetMode="External"/><Relationship Id="rId6567" Type="http://schemas.openxmlformats.org/officeDocument/2006/relationships/hyperlink" Target="https://dadosabertos.camara.leg.br/api/v2/deputados/1934" TargetMode="External"/><Relationship Id="rId6981" Type="http://schemas.openxmlformats.org/officeDocument/2006/relationships/hyperlink" Target="https://dadosabertos.camara.leg.br/api/v2/deputados/1140" TargetMode="External"/><Relationship Id="rId7618" Type="http://schemas.openxmlformats.org/officeDocument/2006/relationships/hyperlink" Target="https://dadosabertos.camara.leg.br/api/v2/deputados/553" TargetMode="External"/><Relationship Id="rId332" Type="http://schemas.openxmlformats.org/officeDocument/2006/relationships/hyperlink" Target="https://dadosabertos.camara.leg.br/api/v2/deputados/141459" TargetMode="External"/><Relationship Id="rId2013" Type="http://schemas.openxmlformats.org/officeDocument/2006/relationships/hyperlink" Target="https://dadosabertos.camara.leg.br/api/v2/deputados/73946" TargetMode="External"/><Relationship Id="rId5169" Type="http://schemas.openxmlformats.org/officeDocument/2006/relationships/hyperlink" Target="https://dadosabertos.camara.leg.br/api/v2/deputados/130335" TargetMode="External"/><Relationship Id="rId5583" Type="http://schemas.openxmlformats.org/officeDocument/2006/relationships/hyperlink" Target="https://dadosabertos.camara.leg.br/api/v2/deputados/130231" TargetMode="External"/><Relationship Id="rId6634" Type="http://schemas.openxmlformats.org/officeDocument/2006/relationships/hyperlink" Target="https://dadosabertos.camara.leg.br/api/v2/deputados/1592" TargetMode="External"/><Relationship Id="rId4185" Type="http://schemas.openxmlformats.org/officeDocument/2006/relationships/hyperlink" Target="https://dadosabertos.camara.leg.br/api/v2/deputados/131313" TargetMode="External"/><Relationship Id="rId5236" Type="http://schemas.openxmlformats.org/officeDocument/2006/relationships/hyperlink" Target="https://dadosabertos.camara.leg.br/api/v2/deputados/130370" TargetMode="External"/><Relationship Id="rId1779" Type="http://schemas.openxmlformats.org/officeDocument/2006/relationships/hyperlink" Target="https://dadosabertos.camara.leg.br/api/v2/deputados/73929" TargetMode="External"/><Relationship Id="rId4252" Type="http://schemas.openxmlformats.org/officeDocument/2006/relationships/hyperlink" Target="https://dadosabertos.camara.leg.br/api/v2/deputados/131148" TargetMode="External"/><Relationship Id="rId5650" Type="http://schemas.openxmlformats.org/officeDocument/2006/relationships/hyperlink" Target="https://dadosabertos.camara.leg.br/api/v2/deputados/2836" TargetMode="External"/><Relationship Id="rId6701" Type="http://schemas.openxmlformats.org/officeDocument/2006/relationships/hyperlink" Target="https://dadosabertos.camara.leg.br/api/v2/deputados/3977" TargetMode="External"/><Relationship Id="rId1846" Type="http://schemas.openxmlformats.org/officeDocument/2006/relationships/hyperlink" Target="https://dadosabertos.camara.leg.br/api/v2/deputados/73921" TargetMode="External"/><Relationship Id="rId5303" Type="http://schemas.openxmlformats.org/officeDocument/2006/relationships/hyperlink" Target="https://dadosabertos.camara.leg.br/api/v2/deputados/2834" TargetMode="External"/><Relationship Id="rId1913" Type="http://schemas.openxmlformats.org/officeDocument/2006/relationships/hyperlink" Target="https://dadosabertos.camara.leg.br/api/v2/deputados/74328" TargetMode="External"/><Relationship Id="rId7475" Type="http://schemas.openxmlformats.org/officeDocument/2006/relationships/hyperlink" Target="https://dadosabertos.camara.leg.br/api/v2/deputados/757" TargetMode="External"/><Relationship Id="rId6077" Type="http://schemas.openxmlformats.org/officeDocument/2006/relationships/hyperlink" Target="https://dadosabertos.camara.leg.br/api/v2/deputados/2502" TargetMode="External"/><Relationship Id="rId6491" Type="http://schemas.openxmlformats.org/officeDocument/2006/relationships/hyperlink" Target="https://dadosabertos.camara.leg.br/api/v2/deputados/1893" TargetMode="External"/><Relationship Id="rId7128" Type="http://schemas.openxmlformats.org/officeDocument/2006/relationships/hyperlink" Target="https://dadosabertos.camara.leg.br/api/v2/deputados/1051" TargetMode="External"/><Relationship Id="rId7542" Type="http://schemas.openxmlformats.org/officeDocument/2006/relationships/hyperlink" Target="https://dadosabertos.camara.leg.br/api/v2/deputados/631" TargetMode="External"/><Relationship Id="rId2687" Type="http://schemas.openxmlformats.org/officeDocument/2006/relationships/hyperlink" Target="https://dadosabertos.camara.leg.br/api/v2/deputados/73971" TargetMode="External"/><Relationship Id="rId3738" Type="http://schemas.openxmlformats.org/officeDocument/2006/relationships/hyperlink" Target="https://dadosabertos.camara.leg.br/api/v2/deputados/131791" TargetMode="External"/><Relationship Id="rId5093" Type="http://schemas.openxmlformats.org/officeDocument/2006/relationships/hyperlink" Target="https://dadosabertos.camara.leg.br/api/v2/deputados/2979" TargetMode="External"/><Relationship Id="rId6144" Type="http://schemas.openxmlformats.org/officeDocument/2006/relationships/hyperlink" Target="https://dadosabertos.camara.leg.br/api/v2/deputados/2063" TargetMode="External"/><Relationship Id="rId659" Type="http://schemas.openxmlformats.org/officeDocument/2006/relationships/hyperlink" Target="https://dadosabertos.camara.leg.br/api/v2/deputados/220564" TargetMode="External"/><Relationship Id="rId1289" Type="http://schemas.openxmlformats.org/officeDocument/2006/relationships/hyperlink" Target="https://dadosabertos.camara.leg.br/api/v2/deputados/74765" TargetMode="External"/><Relationship Id="rId5160" Type="http://schemas.openxmlformats.org/officeDocument/2006/relationships/hyperlink" Target="https://dadosabertos.camara.leg.br/api/v2/deputados/130325" TargetMode="External"/><Relationship Id="rId6211" Type="http://schemas.openxmlformats.org/officeDocument/2006/relationships/hyperlink" Target="https://dadosabertos.camara.leg.br/api/v2/deputados/2322" TargetMode="External"/><Relationship Id="rId1356" Type="http://schemas.openxmlformats.org/officeDocument/2006/relationships/hyperlink" Target="https://dadosabertos.camara.leg.br/api/v2/deputados/160539" TargetMode="External"/><Relationship Id="rId2754" Type="http://schemas.openxmlformats.org/officeDocument/2006/relationships/hyperlink" Target="https://dadosabertos.camara.leg.br/api/v2/deputados/73730" TargetMode="External"/><Relationship Id="rId3805" Type="http://schemas.openxmlformats.org/officeDocument/2006/relationships/hyperlink" Target="https://dadosabertos.camara.leg.br/api/v2/deputados/131531" TargetMode="External"/><Relationship Id="rId726" Type="http://schemas.openxmlformats.org/officeDocument/2006/relationships/hyperlink" Target="https://dadosabertos.camara.leg.br/api/v2/deputados/204451" TargetMode="External"/><Relationship Id="rId1009" Type="http://schemas.openxmlformats.org/officeDocument/2006/relationships/hyperlink" Target="https://dadosabertos.camara.leg.br/api/v2/deputados/73434" TargetMode="External"/><Relationship Id="rId1770" Type="http://schemas.openxmlformats.org/officeDocument/2006/relationships/hyperlink" Target="https://dadosabertos.camara.leg.br/api/v2/deputados/73472" TargetMode="External"/><Relationship Id="rId2407" Type="http://schemas.openxmlformats.org/officeDocument/2006/relationships/hyperlink" Target="https://dadosabertos.camara.leg.br/api/v2/deputados/73915" TargetMode="External"/><Relationship Id="rId2821" Type="http://schemas.openxmlformats.org/officeDocument/2006/relationships/hyperlink" Target="https://dadosabertos.camara.leg.br/api/v2/deputados/133977" TargetMode="External"/><Relationship Id="rId5977" Type="http://schemas.openxmlformats.org/officeDocument/2006/relationships/hyperlink" Target="https://dadosabertos.camara.leg.br/api/v2/deputados/4368" TargetMode="External"/><Relationship Id="rId62" Type="http://schemas.openxmlformats.org/officeDocument/2006/relationships/hyperlink" Target="https://dadosabertos.camara.leg.br/api/v2/deputados/160541" TargetMode="External"/><Relationship Id="rId1423" Type="http://schemas.openxmlformats.org/officeDocument/2006/relationships/hyperlink" Target="https://dadosabertos.camara.leg.br/api/v2/deputados/73945" TargetMode="External"/><Relationship Id="rId4579" Type="http://schemas.openxmlformats.org/officeDocument/2006/relationships/hyperlink" Target="https://dadosabertos.camara.leg.br/api/v2/deputados/130712" TargetMode="External"/><Relationship Id="rId4993" Type="http://schemas.openxmlformats.org/officeDocument/2006/relationships/hyperlink" Target="https://dadosabertos.camara.leg.br/api/v2/deputados/130453" TargetMode="External"/><Relationship Id="rId3595" Type="http://schemas.openxmlformats.org/officeDocument/2006/relationships/hyperlink" Target="https://dadosabertos.camara.leg.br/api/v2/deputados/131646" TargetMode="External"/><Relationship Id="rId4646" Type="http://schemas.openxmlformats.org/officeDocument/2006/relationships/hyperlink" Target="https://dadosabertos.camara.leg.br/api/v2/deputados/130815" TargetMode="External"/><Relationship Id="rId7052" Type="http://schemas.openxmlformats.org/officeDocument/2006/relationships/hyperlink" Target="https://dadosabertos.camara.leg.br/api/v2/deputados/1086" TargetMode="External"/><Relationship Id="rId2197" Type="http://schemas.openxmlformats.org/officeDocument/2006/relationships/hyperlink" Target="https://dadosabertos.camara.leg.br/api/v2/deputados/73646" TargetMode="External"/><Relationship Id="rId3248" Type="http://schemas.openxmlformats.org/officeDocument/2006/relationships/hyperlink" Target="https://dadosabertos.camara.leg.br/api/v2/deputados/139378" TargetMode="External"/><Relationship Id="rId3662" Type="http://schemas.openxmlformats.org/officeDocument/2006/relationships/hyperlink" Target="https://dadosabertos.camara.leg.br/api/v2/deputados/131710" TargetMode="External"/><Relationship Id="rId4713" Type="http://schemas.openxmlformats.org/officeDocument/2006/relationships/hyperlink" Target="https://dadosabertos.camara.leg.br/api/v2/deputados/130869" TargetMode="External"/><Relationship Id="rId7869" Type="http://schemas.openxmlformats.org/officeDocument/2006/relationships/hyperlink" Target="https://dadosabertos.camara.leg.br/api/v2/deputados/217" TargetMode="External"/><Relationship Id="rId169" Type="http://schemas.openxmlformats.org/officeDocument/2006/relationships/hyperlink" Target="https://dadosabertos.camara.leg.br/api/v2/deputados/220619" TargetMode="External"/><Relationship Id="rId583" Type="http://schemas.openxmlformats.org/officeDocument/2006/relationships/hyperlink" Target="https://dadosabertos.camara.leg.br/api/v2/deputados/165470" TargetMode="External"/><Relationship Id="rId2264" Type="http://schemas.openxmlformats.org/officeDocument/2006/relationships/hyperlink" Target="https://dadosabertos.camara.leg.br/api/v2/deputados/74583" TargetMode="External"/><Relationship Id="rId3315" Type="http://schemas.openxmlformats.org/officeDocument/2006/relationships/hyperlink" Target="https://dadosabertos.camara.leg.br/api/v2/deputados/132083" TargetMode="External"/><Relationship Id="rId236" Type="http://schemas.openxmlformats.org/officeDocument/2006/relationships/hyperlink" Target="https://dadosabertos.camara.leg.br/api/v2/deputados/220681" TargetMode="External"/><Relationship Id="rId650" Type="http://schemas.openxmlformats.org/officeDocument/2006/relationships/hyperlink" Target="https://dadosabertos.camara.leg.br/api/v2/deputados/160569" TargetMode="External"/><Relationship Id="rId1280" Type="http://schemas.openxmlformats.org/officeDocument/2006/relationships/hyperlink" Target="https://dadosabertos.camara.leg.br/api/v2/deputados/141522" TargetMode="External"/><Relationship Id="rId2331" Type="http://schemas.openxmlformats.org/officeDocument/2006/relationships/hyperlink" Target="https://dadosabertos.camara.leg.br/api/v2/deputados/73760" TargetMode="External"/><Relationship Id="rId5487" Type="http://schemas.openxmlformats.org/officeDocument/2006/relationships/hyperlink" Target="https://dadosabertos.camara.leg.br/api/v2/deputados/2903" TargetMode="External"/><Relationship Id="rId6885" Type="http://schemas.openxmlformats.org/officeDocument/2006/relationships/hyperlink" Target="https://dadosabertos.camara.leg.br/api/v2/deputados/1244" TargetMode="External"/><Relationship Id="rId7936" Type="http://schemas.openxmlformats.org/officeDocument/2006/relationships/hyperlink" Target="https://dadosabertos.camara.leg.br/api/v2/deputados/111" TargetMode="External"/><Relationship Id="rId303" Type="http://schemas.openxmlformats.org/officeDocument/2006/relationships/hyperlink" Target="https://dadosabertos.camara.leg.br/api/v2/deputados/204444" TargetMode="External"/><Relationship Id="rId4089" Type="http://schemas.openxmlformats.org/officeDocument/2006/relationships/hyperlink" Target="https://dadosabertos.camara.leg.br/api/v2/deputados/131226" TargetMode="External"/><Relationship Id="rId6538" Type="http://schemas.openxmlformats.org/officeDocument/2006/relationships/hyperlink" Target="https://dadosabertos.camara.leg.br/api/v2/deputados/1950" TargetMode="External"/><Relationship Id="rId6952" Type="http://schemas.openxmlformats.org/officeDocument/2006/relationships/hyperlink" Target="https://dadosabertos.camara.leg.br/api/v2/deputados/1231" TargetMode="External"/><Relationship Id="rId5554" Type="http://schemas.openxmlformats.org/officeDocument/2006/relationships/hyperlink" Target="https://dadosabertos.camara.leg.br/api/v2/deputados/2723" TargetMode="External"/><Relationship Id="rId6605" Type="http://schemas.openxmlformats.org/officeDocument/2006/relationships/hyperlink" Target="https://dadosabertos.camara.leg.br/api/v2/deputados/3909" TargetMode="External"/><Relationship Id="rId1000" Type="http://schemas.openxmlformats.org/officeDocument/2006/relationships/hyperlink" Target="https://dadosabertos.camara.leg.br/api/v2/deputados/178974" TargetMode="External"/><Relationship Id="rId4156" Type="http://schemas.openxmlformats.org/officeDocument/2006/relationships/hyperlink" Target="https://dadosabertos.camara.leg.br/api/v2/deputados/130468" TargetMode="External"/><Relationship Id="rId4570" Type="http://schemas.openxmlformats.org/officeDocument/2006/relationships/hyperlink" Target="https://dadosabertos.camara.leg.br/api/v2/deputados/130731" TargetMode="External"/><Relationship Id="rId5207" Type="http://schemas.openxmlformats.org/officeDocument/2006/relationships/hyperlink" Target="https://dadosabertos.camara.leg.br/api/v2/deputados/3004" TargetMode="External"/><Relationship Id="rId5621" Type="http://schemas.openxmlformats.org/officeDocument/2006/relationships/hyperlink" Target="https://dadosabertos.camara.leg.br/api/v2/deputados/4607" TargetMode="External"/><Relationship Id="rId1817" Type="http://schemas.openxmlformats.org/officeDocument/2006/relationships/hyperlink" Target="https://dadosabertos.camara.leg.br/api/v2/deputados/141489" TargetMode="External"/><Relationship Id="rId3172" Type="http://schemas.openxmlformats.org/officeDocument/2006/relationships/hyperlink" Target="https://dadosabertos.camara.leg.br/api/v2/deputados/139314" TargetMode="External"/><Relationship Id="rId4223" Type="http://schemas.openxmlformats.org/officeDocument/2006/relationships/hyperlink" Target="https://dadosabertos.camara.leg.br/api/v2/deputados/131341" TargetMode="External"/><Relationship Id="rId7379" Type="http://schemas.openxmlformats.org/officeDocument/2006/relationships/hyperlink" Target="https://dadosabertos.camara.leg.br/api/v2/deputados/540" TargetMode="External"/><Relationship Id="rId7793" Type="http://schemas.openxmlformats.org/officeDocument/2006/relationships/hyperlink" Target="https://dadosabertos.camara.leg.br/api/v2/deputados/242" TargetMode="External"/><Relationship Id="rId6395" Type="http://schemas.openxmlformats.org/officeDocument/2006/relationships/hyperlink" Target="https://dadosabertos.camara.leg.br/api/v2/deputados/1802" TargetMode="External"/><Relationship Id="rId7446" Type="http://schemas.openxmlformats.org/officeDocument/2006/relationships/hyperlink" Target="https://dadosabertos.camara.leg.br/api/v2/deputados/730" TargetMode="External"/><Relationship Id="rId160" Type="http://schemas.openxmlformats.org/officeDocument/2006/relationships/hyperlink" Target="https://dadosabertos.camara.leg.br/api/v2/deputados/220642" TargetMode="External"/><Relationship Id="rId3989" Type="http://schemas.openxmlformats.org/officeDocument/2006/relationships/hyperlink" Target="https://dadosabertos.camara.leg.br/api/v2/deputados/131496" TargetMode="External"/><Relationship Id="rId6048" Type="http://schemas.openxmlformats.org/officeDocument/2006/relationships/hyperlink" Target="https://dadosabertos.camara.leg.br/api/v2/deputados/2441" TargetMode="External"/><Relationship Id="rId6462" Type="http://schemas.openxmlformats.org/officeDocument/2006/relationships/hyperlink" Target="https://dadosabertos.camara.leg.br/api/v2/deputados/3762" TargetMode="External"/><Relationship Id="rId7860" Type="http://schemas.openxmlformats.org/officeDocument/2006/relationships/hyperlink" Target="https://dadosabertos.camara.leg.br/api/v2/deputados/143" TargetMode="External"/><Relationship Id="rId5064" Type="http://schemas.openxmlformats.org/officeDocument/2006/relationships/hyperlink" Target="https://dadosabertos.camara.leg.br/api/v2/deputados/130487" TargetMode="External"/><Relationship Id="rId6115" Type="http://schemas.openxmlformats.org/officeDocument/2006/relationships/hyperlink" Target="https://dadosabertos.camara.leg.br/api/v2/deputados/1735" TargetMode="External"/><Relationship Id="rId7513" Type="http://schemas.openxmlformats.org/officeDocument/2006/relationships/hyperlink" Target="https://dadosabertos.camara.leg.br/api/v2/deputados/937" TargetMode="External"/><Relationship Id="rId977" Type="http://schemas.openxmlformats.org/officeDocument/2006/relationships/hyperlink" Target="https://dadosabertos.camara.leg.br/api/v2/deputados/74439" TargetMode="External"/><Relationship Id="rId2658" Type="http://schemas.openxmlformats.org/officeDocument/2006/relationships/hyperlink" Target="https://dadosabertos.camara.leg.br/api/v2/deputados/74531" TargetMode="External"/><Relationship Id="rId3709" Type="http://schemas.openxmlformats.org/officeDocument/2006/relationships/hyperlink" Target="https://dadosabertos.camara.leg.br/api/v2/deputados/131766" TargetMode="External"/><Relationship Id="rId4080" Type="http://schemas.openxmlformats.org/officeDocument/2006/relationships/hyperlink" Target="https://dadosabertos.camara.leg.br/api/v2/deputados/131208" TargetMode="External"/><Relationship Id="rId1674" Type="http://schemas.openxmlformats.org/officeDocument/2006/relationships/hyperlink" Target="https://dadosabertos.camara.leg.br/api/v2/deputados/159261" TargetMode="External"/><Relationship Id="rId2725" Type="http://schemas.openxmlformats.org/officeDocument/2006/relationships/hyperlink" Target="https://dadosabertos.camara.leg.br/api/v2/deputados/133885" TargetMode="External"/><Relationship Id="rId5131" Type="http://schemas.openxmlformats.org/officeDocument/2006/relationships/hyperlink" Target="https://dadosabertos.camara.leg.br/api/v2/deputados/130360" TargetMode="External"/><Relationship Id="rId1327" Type="http://schemas.openxmlformats.org/officeDocument/2006/relationships/hyperlink" Target="https://dadosabertos.camara.leg.br/api/v2/deputados/73931" TargetMode="External"/><Relationship Id="rId1741" Type="http://schemas.openxmlformats.org/officeDocument/2006/relationships/hyperlink" Target="https://dadosabertos.camara.leg.br/api/v2/deputados/152609" TargetMode="External"/><Relationship Id="rId4897" Type="http://schemas.openxmlformats.org/officeDocument/2006/relationships/hyperlink" Target="https://dadosabertos.camara.leg.br/api/v2/deputados/130516" TargetMode="External"/><Relationship Id="rId5948" Type="http://schemas.openxmlformats.org/officeDocument/2006/relationships/hyperlink" Target="https://dadosabertos.camara.leg.br/api/v2/deputados/2419" TargetMode="External"/><Relationship Id="rId33" Type="http://schemas.openxmlformats.org/officeDocument/2006/relationships/hyperlink" Target="https://dadosabertos.camara.leg.br/api/v2/deputados/204353" TargetMode="External"/><Relationship Id="rId3499" Type="http://schemas.openxmlformats.org/officeDocument/2006/relationships/hyperlink" Target="https://dadosabertos.camara.leg.br/api/v2/deputados/132117" TargetMode="External"/><Relationship Id="rId7370" Type="http://schemas.openxmlformats.org/officeDocument/2006/relationships/hyperlink" Target="https://dadosabertos.camara.leg.br/api/v2/deputados/707" TargetMode="External"/><Relationship Id="rId3566" Type="http://schemas.openxmlformats.org/officeDocument/2006/relationships/hyperlink" Target="https://dadosabertos.camara.leg.br/api/v2/deputados/132102" TargetMode="External"/><Relationship Id="rId4964" Type="http://schemas.openxmlformats.org/officeDocument/2006/relationships/hyperlink" Target="https://dadosabertos.camara.leg.br/api/v2/deputados/130430" TargetMode="External"/><Relationship Id="rId7023" Type="http://schemas.openxmlformats.org/officeDocument/2006/relationships/hyperlink" Target="https://dadosabertos.camara.leg.br/api/v2/deputados/1146" TargetMode="External"/><Relationship Id="rId487" Type="http://schemas.openxmlformats.org/officeDocument/2006/relationships/hyperlink" Target="https://dadosabertos.camara.leg.br/api/v2/deputados/209787" TargetMode="External"/><Relationship Id="rId2168" Type="http://schemas.openxmlformats.org/officeDocument/2006/relationships/hyperlink" Target="https://dadosabertos.camara.leg.br/api/v2/deputados/133370" TargetMode="External"/><Relationship Id="rId3219" Type="http://schemas.openxmlformats.org/officeDocument/2006/relationships/hyperlink" Target="https://dadosabertos.camara.leg.br/api/v2/deputados/139353" TargetMode="External"/><Relationship Id="rId3980" Type="http://schemas.openxmlformats.org/officeDocument/2006/relationships/hyperlink" Target="https://dadosabertos.camara.leg.br/api/v2/deputados/131466" TargetMode="External"/><Relationship Id="rId4617" Type="http://schemas.openxmlformats.org/officeDocument/2006/relationships/hyperlink" Target="https://dadosabertos.camara.leg.br/api/v2/deputados/130781" TargetMode="External"/><Relationship Id="rId1184" Type="http://schemas.openxmlformats.org/officeDocument/2006/relationships/hyperlink" Target="https://dadosabertos.camara.leg.br/api/v2/deputados/178932" TargetMode="External"/><Relationship Id="rId2582" Type="http://schemas.openxmlformats.org/officeDocument/2006/relationships/hyperlink" Target="https://dadosabertos.camara.leg.br/api/v2/deputados/73779" TargetMode="External"/><Relationship Id="rId3633" Type="http://schemas.openxmlformats.org/officeDocument/2006/relationships/hyperlink" Target="https://dadosabertos.camara.leg.br/api/v2/deputados/131687" TargetMode="External"/><Relationship Id="rId6789" Type="http://schemas.openxmlformats.org/officeDocument/2006/relationships/hyperlink" Target="https://dadosabertos.camara.leg.br/api/v2/deputados/4071" TargetMode="External"/><Relationship Id="rId554" Type="http://schemas.openxmlformats.org/officeDocument/2006/relationships/hyperlink" Target="https://dadosabertos.camara.leg.br/api/v2/deputados/220606" TargetMode="External"/><Relationship Id="rId2235" Type="http://schemas.openxmlformats.org/officeDocument/2006/relationships/hyperlink" Target="https://dadosabertos.camara.leg.br/api/v2/deputados/74704" TargetMode="External"/><Relationship Id="rId3700" Type="http://schemas.openxmlformats.org/officeDocument/2006/relationships/hyperlink" Target="https://dadosabertos.camara.leg.br/api/v2/deputados/131757" TargetMode="External"/><Relationship Id="rId6856" Type="http://schemas.openxmlformats.org/officeDocument/2006/relationships/hyperlink" Target="https://dadosabertos.camara.leg.br/api/v2/deputados/1173" TargetMode="External"/><Relationship Id="rId7907" Type="http://schemas.openxmlformats.org/officeDocument/2006/relationships/hyperlink" Target="https://dadosabertos.camara.leg.br/api/v2/deputados/127" TargetMode="External"/><Relationship Id="rId207" Type="http://schemas.openxmlformats.org/officeDocument/2006/relationships/hyperlink" Target="https://dadosabertos.camara.leg.br/api/v2/deputados/220623" TargetMode="External"/><Relationship Id="rId621" Type="http://schemas.openxmlformats.org/officeDocument/2006/relationships/hyperlink" Target="https://dadosabertos.camara.leg.br/api/v2/deputados/220643" TargetMode="External"/><Relationship Id="rId1251" Type="http://schemas.openxmlformats.org/officeDocument/2006/relationships/hyperlink" Target="https://dadosabertos.camara.leg.br/api/v2/deputados/141527" TargetMode="External"/><Relationship Id="rId2302" Type="http://schemas.openxmlformats.org/officeDocument/2006/relationships/hyperlink" Target="https://dadosabertos.camara.leg.br/api/v2/deputados/74569" TargetMode="External"/><Relationship Id="rId5458" Type="http://schemas.openxmlformats.org/officeDocument/2006/relationships/hyperlink" Target="https://dadosabertos.camara.leg.br/api/v2/deputados/130268" TargetMode="External"/><Relationship Id="rId5872" Type="http://schemas.openxmlformats.org/officeDocument/2006/relationships/hyperlink" Target="https://dadosabertos.camara.leg.br/api/v2/deputados/4409" TargetMode="External"/><Relationship Id="rId6509" Type="http://schemas.openxmlformats.org/officeDocument/2006/relationships/hyperlink" Target="https://dadosabertos.camara.leg.br/api/v2/deputados/3807" TargetMode="External"/><Relationship Id="rId6923" Type="http://schemas.openxmlformats.org/officeDocument/2006/relationships/hyperlink" Target="https://dadosabertos.camara.leg.br/api/v2/deputados/1252" TargetMode="External"/><Relationship Id="rId4474" Type="http://schemas.openxmlformats.org/officeDocument/2006/relationships/hyperlink" Target="https://dadosabertos.camara.leg.br/api/v2/deputados/131089" TargetMode="External"/><Relationship Id="rId5525" Type="http://schemas.openxmlformats.org/officeDocument/2006/relationships/hyperlink" Target="https://dadosabertos.camara.leg.br/api/v2/deputados/4724" TargetMode="External"/><Relationship Id="rId3076" Type="http://schemas.openxmlformats.org/officeDocument/2006/relationships/hyperlink" Target="https://dadosabertos.camara.leg.br/api/v2/deputados/139231" TargetMode="External"/><Relationship Id="rId3490" Type="http://schemas.openxmlformats.org/officeDocument/2006/relationships/hyperlink" Target="https://dadosabertos.camara.leg.br/api/v2/deputados/132041" TargetMode="External"/><Relationship Id="rId4127" Type="http://schemas.openxmlformats.org/officeDocument/2006/relationships/hyperlink" Target="https://dadosabertos.camara.leg.br/api/v2/deputados/131253" TargetMode="External"/><Relationship Id="rId4541" Type="http://schemas.openxmlformats.org/officeDocument/2006/relationships/hyperlink" Target="https://dadosabertos.camara.leg.br/api/v2/deputados/130704" TargetMode="External"/><Relationship Id="rId7697" Type="http://schemas.openxmlformats.org/officeDocument/2006/relationships/hyperlink" Target="https://dadosabertos.camara.leg.br/api/v2/deputados/215" TargetMode="External"/><Relationship Id="rId2092" Type="http://schemas.openxmlformats.org/officeDocument/2006/relationships/hyperlink" Target="https://dadosabertos.camara.leg.br/api/v2/deputados/74863" TargetMode="External"/><Relationship Id="rId3143" Type="http://schemas.openxmlformats.org/officeDocument/2006/relationships/hyperlink" Target="https://dadosabertos.camara.leg.br/api/v2/deputados/139289" TargetMode="External"/><Relationship Id="rId6299" Type="http://schemas.openxmlformats.org/officeDocument/2006/relationships/hyperlink" Target="https://dadosabertos.camara.leg.br/api/v2/deputados/2116" TargetMode="External"/><Relationship Id="rId7764" Type="http://schemas.openxmlformats.org/officeDocument/2006/relationships/hyperlink" Target="https://dadosabertos.camara.leg.br/api/v2/deputados/447" TargetMode="External"/><Relationship Id="rId131" Type="http://schemas.openxmlformats.org/officeDocument/2006/relationships/hyperlink" Target="https://dadosabertos.camara.leg.br/api/v2/deputados/222142" TargetMode="External"/><Relationship Id="rId3210" Type="http://schemas.openxmlformats.org/officeDocument/2006/relationships/hyperlink" Target="https://dadosabertos.camara.leg.br/api/v2/deputados/139344" TargetMode="External"/><Relationship Id="rId6366" Type="http://schemas.openxmlformats.org/officeDocument/2006/relationships/hyperlink" Target="https://dadosabertos.camara.leg.br/api/v2/deputados/2115" TargetMode="External"/><Relationship Id="rId6780" Type="http://schemas.openxmlformats.org/officeDocument/2006/relationships/hyperlink" Target="https://dadosabertos.camara.leg.br/api/v2/deputados/4068" TargetMode="External"/><Relationship Id="rId7417" Type="http://schemas.openxmlformats.org/officeDocument/2006/relationships/hyperlink" Target="https://dadosabertos.camara.leg.br/api/v2/deputados/805" TargetMode="External"/><Relationship Id="rId7831" Type="http://schemas.openxmlformats.org/officeDocument/2006/relationships/hyperlink" Target="https://dadosabertos.camara.leg.br/api/v2/deputados/126" TargetMode="External"/><Relationship Id="rId2976" Type="http://schemas.openxmlformats.org/officeDocument/2006/relationships/hyperlink" Target="https://dadosabertos.camara.leg.br/api/v2/deputados/139144" TargetMode="External"/><Relationship Id="rId5382" Type="http://schemas.openxmlformats.org/officeDocument/2006/relationships/hyperlink" Target="https://dadosabertos.camara.leg.br/api/v2/deputados/130253" TargetMode="External"/><Relationship Id="rId6019" Type="http://schemas.openxmlformats.org/officeDocument/2006/relationships/hyperlink" Target="https://dadosabertos.camara.leg.br/api/v2/deputados/1881" TargetMode="External"/><Relationship Id="rId6433" Type="http://schemas.openxmlformats.org/officeDocument/2006/relationships/hyperlink" Target="https://dadosabertos.camara.leg.br/api/v2/deputados/1906" TargetMode="External"/><Relationship Id="rId948" Type="http://schemas.openxmlformats.org/officeDocument/2006/relationships/hyperlink" Target="https://dadosabertos.camara.leg.br/api/v2/deputados/178961" TargetMode="External"/><Relationship Id="rId1578" Type="http://schemas.openxmlformats.org/officeDocument/2006/relationships/hyperlink" Target="https://dadosabertos.camara.leg.br/api/v2/deputados/160540" TargetMode="External"/><Relationship Id="rId1992" Type="http://schemas.openxmlformats.org/officeDocument/2006/relationships/hyperlink" Target="https://dadosabertos.camara.leg.br/api/v2/deputados/74402" TargetMode="External"/><Relationship Id="rId2629" Type="http://schemas.openxmlformats.org/officeDocument/2006/relationships/hyperlink" Target="https://dadosabertos.camara.leg.br/api/v2/deputados/74639" TargetMode="External"/><Relationship Id="rId5035" Type="http://schemas.openxmlformats.org/officeDocument/2006/relationships/hyperlink" Target="https://dadosabertos.camara.leg.br/api/v2/deputados/130480" TargetMode="External"/><Relationship Id="rId6500" Type="http://schemas.openxmlformats.org/officeDocument/2006/relationships/hyperlink" Target="https://dadosabertos.camara.leg.br/api/v2/deputados/3794" TargetMode="External"/><Relationship Id="rId1645" Type="http://schemas.openxmlformats.org/officeDocument/2006/relationships/hyperlink" Target="https://dadosabertos.camara.leg.br/api/v2/deputados/163322" TargetMode="External"/><Relationship Id="rId4051" Type="http://schemas.openxmlformats.org/officeDocument/2006/relationships/hyperlink" Target="https://dadosabertos.camara.leg.br/api/v2/deputados/131159" TargetMode="External"/><Relationship Id="rId5102" Type="http://schemas.openxmlformats.org/officeDocument/2006/relationships/hyperlink" Target="https://dadosabertos.camara.leg.br/api/v2/deputados/130298" TargetMode="External"/><Relationship Id="rId7274" Type="http://schemas.openxmlformats.org/officeDocument/2006/relationships/hyperlink" Target="https://dadosabertos.camara.leg.br/api/v2/deputados/465" TargetMode="External"/><Relationship Id="rId1712" Type="http://schemas.openxmlformats.org/officeDocument/2006/relationships/hyperlink" Target="https://dadosabertos.camara.leg.br/api/v2/deputados/158328" TargetMode="External"/><Relationship Id="rId4868" Type="http://schemas.openxmlformats.org/officeDocument/2006/relationships/hyperlink" Target="https://dadosabertos.camara.leg.br/api/v2/deputados/130667" TargetMode="External"/><Relationship Id="rId5919" Type="http://schemas.openxmlformats.org/officeDocument/2006/relationships/hyperlink" Target="https://dadosabertos.camara.leg.br/api/v2/deputados/2280" TargetMode="External"/><Relationship Id="rId6290" Type="http://schemas.openxmlformats.org/officeDocument/2006/relationships/hyperlink" Target="https://dadosabertos.camara.leg.br/api/v2/deputados/2122" TargetMode="External"/><Relationship Id="rId3884" Type="http://schemas.openxmlformats.org/officeDocument/2006/relationships/hyperlink" Target="https://dadosabertos.camara.leg.br/api/v2/deputados/131572" TargetMode="External"/><Relationship Id="rId4935" Type="http://schemas.openxmlformats.org/officeDocument/2006/relationships/hyperlink" Target="https://dadosabertos.camara.leg.br/api/v2/deputados/3097" TargetMode="External"/><Relationship Id="rId7341" Type="http://schemas.openxmlformats.org/officeDocument/2006/relationships/hyperlink" Target="https://dadosabertos.camara.leg.br/api/v2/deputados/775" TargetMode="External"/><Relationship Id="rId2486" Type="http://schemas.openxmlformats.org/officeDocument/2006/relationships/hyperlink" Target="https://dadosabertos.camara.leg.br/api/v2/deputados/74335" TargetMode="External"/><Relationship Id="rId3537" Type="http://schemas.openxmlformats.org/officeDocument/2006/relationships/hyperlink" Target="https://dadosabertos.camara.leg.br/api/v2/deputados/132120" TargetMode="External"/><Relationship Id="rId3951" Type="http://schemas.openxmlformats.org/officeDocument/2006/relationships/hyperlink" Target="https://dadosabertos.camara.leg.br/api/v2/deputados/131427" TargetMode="External"/><Relationship Id="rId458" Type="http://schemas.openxmlformats.org/officeDocument/2006/relationships/hyperlink" Target="https://dadosabertos.camara.leg.br/api/v2/deputados/220609" TargetMode="External"/><Relationship Id="rId872" Type="http://schemas.openxmlformats.org/officeDocument/2006/relationships/hyperlink" Target="https://dadosabertos.camara.leg.br/api/v2/deputados/204415" TargetMode="External"/><Relationship Id="rId1088" Type="http://schemas.openxmlformats.org/officeDocument/2006/relationships/hyperlink" Target="https://dadosabertos.camara.leg.br/api/v2/deputados/163831" TargetMode="External"/><Relationship Id="rId2139" Type="http://schemas.openxmlformats.org/officeDocument/2006/relationships/hyperlink" Target="https://dadosabertos.camara.leg.br/api/v2/deputados/74306" TargetMode="External"/><Relationship Id="rId2553" Type="http://schemas.openxmlformats.org/officeDocument/2006/relationships/hyperlink" Target="https://dadosabertos.camara.leg.br/api/v2/deputados/73543" TargetMode="External"/><Relationship Id="rId3604" Type="http://schemas.openxmlformats.org/officeDocument/2006/relationships/hyperlink" Target="https://dadosabertos.camara.leg.br/api/v2/deputados/131662" TargetMode="External"/><Relationship Id="rId6010" Type="http://schemas.openxmlformats.org/officeDocument/2006/relationships/hyperlink" Target="https://dadosabertos.camara.leg.br/api/v2/deputados/4261" TargetMode="External"/><Relationship Id="rId525" Type="http://schemas.openxmlformats.org/officeDocument/2006/relationships/hyperlink" Target="https://dadosabertos.camara.leg.br/api/v2/deputados/220630" TargetMode="External"/><Relationship Id="rId1155" Type="http://schemas.openxmlformats.org/officeDocument/2006/relationships/hyperlink" Target="https://dadosabertos.camara.leg.br/api/v2/deputados/160544" TargetMode="External"/><Relationship Id="rId2206" Type="http://schemas.openxmlformats.org/officeDocument/2006/relationships/hyperlink" Target="https://dadosabertos.camara.leg.br/api/v2/deputados/73767" TargetMode="External"/><Relationship Id="rId2620" Type="http://schemas.openxmlformats.org/officeDocument/2006/relationships/hyperlink" Target="https://dadosabertos.camara.leg.br/api/v2/deputados/73988" TargetMode="External"/><Relationship Id="rId5776" Type="http://schemas.openxmlformats.org/officeDocument/2006/relationships/hyperlink" Target="https://dadosabertos.camara.leg.br/api/v2/deputados/130207" TargetMode="External"/><Relationship Id="rId1222" Type="http://schemas.openxmlformats.org/officeDocument/2006/relationships/hyperlink" Target="https://dadosabertos.camara.leg.br/api/v2/deputados/73553" TargetMode="External"/><Relationship Id="rId4378" Type="http://schemas.openxmlformats.org/officeDocument/2006/relationships/hyperlink" Target="https://dadosabertos.camara.leg.br/api/v2/deputados/130909" TargetMode="External"/><Relationship Id="rId5429" Type="http://schemas.openxmlformats.org/officeDocument/2006/relationships/hyperlink" Target="https://dadosabertos.camara.leg.br/api/v2/deputados/2704" TargetMode="External"/><Relationship Id="rId6827" Type="http://schemas.openxmlformats.org/officeDocument/2006/relationships/hyperlink" Target="https://dadosabertos.camara.leg.br/api/v2/deputados/1799" TargetMode="External"/><Relationship Id="rId3394" Type="http://schemas.openxmlformats.org/officeDocument/2006/relationships/hyperlink" Target="https://dadosabertos.camara.leg.br/api/v2/deputados/131939" TargetMode="External"/><Relationship Id="rId4792" Type="http://schemas.openxmlformats.org/officeDocument/2006/relationships/hyperlink" Target="https://dadosabertos.camara.leg.br/api/v2/deputados/130675" TargetMode="External"/><Relationship Id="rId5843" Type="http://schemas.openxmlformats.org/officeDocument/2006/relationships/hyperlink" Target="https://dadosabertos.camara.leg.br/api/v2/deputados/2370" TargetMode="External"/><Relationship Id="rId3047" Type="http://schemas.openxmlformats.org/officeDocument/2006/relationships/hyperlink" Target="https://dadosabertos.camara.leg.br/api/v2/deputados/139207" TargetMode="External"/><Relationship Id="rId4445" Type="http://schemas.openxmlformats.org/officeDocument/2006/relationships/hyperlink" Target="https://dadosabertos.camara.leg.br/api/v2/deputados/131063" TargetMode="External"/><Relationship Id="rId5910" Type="http://schemas.openxmlformats.org/officeDocument/2006/relationships/hyperlink" Target="https://dadosabertos.camara.leg.br/api/v2/deputados/2548" TargetMode="External"/><Relationship Id="rId3461" Type="http://schemas.openxmlformats.org/officeDocument/2006/relationships/hyperlink" Target="https://dadosabertos.camara.leg.br/api/v2/deputados/132020" TargetMode="External"/><Relationship Id="rId4512" Type="http://schemas.openxmlformats.org/officeDocument/2006/relationships/hyperlink" Target="https://dadosabertos.camara.leg.br/api/v2/deputados/131117" TargetMode="External"/><Relationship Id="rId7668" Type="http://schemas.openxmlformats.org/officeDocument/2006/relationships/hyperlink" Target="https://dadosabertos.camara.leg.br/api/v2/deputados/539" TargetMode="External"/><Relationship Id="rId382" Type="http://schemas.openxmlformats.org/officeDocument/2006/relationships/hyperlink" Target="https://dadosabertos.camara.leg.br/api/v2/deputados/139285" TargetMode="External"/><Relationship Id="rId2063" Type="http://schemas.openxmlformats.org/officeDocument/2006/relationships/hyperlink" Target="https://dadosabertos.camara.leg.br/api/v2/deputados/74800" TargetMode="External"/><Relationship Id="rId3114" Type="http://schemas.openxmlformats.org/officeDocument/2006/relationships/hyperlink" Target="https://dadosabertos.camara.leg.br/api/v2/deputados/139264" TargetMode="External"/><Relationship Id="rId6684" Type="http://schemas.openxmlformats.org/officeDocument/2006/relationships/hyperlink" Target="https://dadosabertos.camara.leg.br/api/v2/deputados/1822" TargetMode="External"/><Relationship Id="rId7735" Type="http://schemas.openxmlformats.org/officeDocument/2006/relationships/hyperlink" Target="https://dadosabertos.camara.leg.br/api/v2/deputados/408" TargetMode="External"/><Relationship Id="rId2130" Type="http://schemas.openxmlformats.org/officeDocument/2006/relationships/hyperlink" Target="https://dadosabertos.camara.leg.br/api/v2/deputados/140241" TargetMode="External"/><Relationship Id="rId5286" Type="http://schemas.openxmlformats.org/officeDocument/2006/relationships/hyperlink" Target="https://dadosabertos.camara.leg.br/api/v2/deputados/3048" TargetMode="External"/><Relationship Id="rId6337" Type="http://schemas.openxmlformats.org/officeDocument/2006/relationships/hyperlink" Target="https://dadosabertos.camara.leg.br/api/v2/deputados/1858" TargetMode="External"/><Relationship Id="rId6751" Type="http://schemas.openxmlformats.org/officeDocument/2006/relationships/hyperlink" Target="https://dadosabertos.camara.leg.br/api/v2/deputados/1776" TargetMode="External"/><Relationship Id="rId102" Type="http://schemas.openxmlformats.org/officeDocument/2006/relationships/hyperlink" Target="https://dadosabertos.camara.leg.br/api/v2/deputados/204460" TargetMode="External"/><Relationship Id="rId5353" Type="http://schemas.openxmlformats.org/officeDocument/2006/relationships/hyperlink" Target="https://dadosabertos.camara.leg.br/api/v2/deputados/4696" TargetMode="External"/><Relationship Id="rId6404" Type="http://schemas.openxmlformats.org/officeDocument/2006/relationships/hyperlink" Target="https://dadosabertos.camara.leg.br/api/v2/deputados/3691" TargetMode="External"/><Relationship Id="rId7802" Type="http://schemas.openxmlformats.org/officeDocument/2006/relationships/hyperlink" Target="https://dadosabertos.camara.leg.br/api/v2/deputados/236" TargetMode="External"/><Relationship Id="rId1896" Type="http://schemas.openxmlformats.org/officeDocument/2006/relationships/hyperlink" Target="https://dadosabertos.camara.leg.br/api/v2/deputados/73564" TargetMode="External"/><Relationship Id="rId2947" Type="http://schemas.openxmlformats.org/officeDocument/2006/relationships/hyperlink" Target="https://dadosabertos.camara.leg.br/api/v2/deputados/73862" TargetMode="External"/><Relationship Id="rId5006" Type="http://schemas.openxmlformats.org/officeDocument/2006/relationships/hyperlink" Target="https://dadosabertos.camara.leg.br/api/v2/deputados/130464" TargetMode="External"/><Relationship Id="rId919" Type="http://schemas.openxmlformats.org/officeDocument/2006/relationships/hyperlink" Target="http://www.ricardoizar.com.br/" TargetMode="External"/><Relationship Id="rId1549" Type="http://schemas.openxmlformats.org/officeDocument/2006/relationships/hyperlink" Target="https://dadosabertos.camara.leg.br/api/v2/deputados/121759" TargetMode="External"/><Relationship Id="rId1963" Type="http://schemas.openxmlformats.org/officeDocument/2006/relationships/hyperlink" Target="https://dadosabertos.camara.leg.br/api/v2/deputados/141334" TargetMode="External"/><Relationship Id="rId4022" Type="http://schemas.openxmlformats.org/officeDocument/2006/relationships/hyperlink" Target="https://dadosabertos.camara.leg.br/api/v2/deputados/3123" TargetMode="External"/><Relationship Id="rId5420" Type="http://schemas.openxmlformats.org/officeDocument/2006/relationships/hyperlink" Target="https://dadosabertos.camara.leg.br/api/v2/deputados/130275" TargetMode="External"/><Relationship Id="rId7178" Type="http://schemas.openxmlformats.org/officeDocument/2006/relationships/hyperlink" Target="https://dadosabertos.camara.leg.br/api/v2/deputados/1049" TargetMode="External"/><Relationship Id="rId1616" Type="http://schemas.openxmlformats.org/officeDocument/2006/relationships/hyperlink" Target="https://dadosabertos.camara.leg.br/api/v2/deputados/160597" TargetMode="External"/><Relationship Id="rId7592" Type="http://schemas.openxmlformats.org/officeDocument/2006/relationships/hyperlink" Target="https://dadosabertos.camara.leg.br/api/v2/deputados/574" TargetMode="External"/><Relationship Id="rId3788" Type="http://schemas.openxmlformats.org/officeDocument/2006/relationships/hyperlink" Target="https://dadosabertos.camara.leg.br/api/v2/deputados/131516" TargetMode="External"/><Relationship Id="rId4839" Type="http://schemas.openxmlformats.org/officeDocument/2006/relationships/hyperlink" Target="https://dadosabertos.camara.leg.br/api/v2/deputados/130633" TargetMode="External"/><Relationship Id="rId6194" Type="http://schemas.openxmlformats.org/officeDocument/2006/relationships/hyperlink" Target="https://dadosabertos.camara.leg.br/api/v2/deputados/1869" TargetMode="External"/><Relationship Id="rId7245" Type="http://schemas.openxmlformats.org/officeDocument/2006/relationships/hyperlink" Target="https://dadosabertos.camara.leg.br/api/v2/deputados/576" TargetMode="External"/><Relationship Id="rId3855" Type="http://schemas.openxmlformats.org/officeDocument/2006/relationships/hyperlink" Target="https://dadosabertos.camara.leg.br/api/v2/deputados/131587" TargetMode="External"/><Relationship Id="rId6261" Type="http://schemas.openxmlformats.org/officeDocument/2006/relationships/hyperlink" Target="https://dadosabertos.camara.leg.br/api/v2/deputados/1888" TargetMode="External"/><Relationship Id="rId7312" Type="http://schemas.openxmlformats.org/officeDocument/2006/relationships/hyperlink" Target="https://dadosabertos.camara.leg.br/api/v2/deputados/532" TargetMode="External"/><Relationship Id="rId776" Type="http://schemas.openxmlformats.org/officeDocument/2006/relationships/hyperlink" Target="https://dadosabertos.camara.leg.br/api/v2/deputados/115746" TargetMode="External"/><Relationship Id="rId2457" Type="http://schemas.openxmlformats.org/officeDocument/2006/relationships/hyperlink" Target="https://dadosabertos.camara.leg.br/api/v2/deputados/74525" TargetMode="External"/><Relationship Id="rId3508" Type="http://schemas.openxmlformats.org/officeDocument/2006/relationships/hyperlink" Target="https://dadosabertos.camara.leg.br/api/v2/deputados/132052" TargetMode="External"/><Relationship Id="rId4906" Type="http://schemas.openxmlformats.org/officeDocument/2006/relationships/hyperlink" Target="https://dadosabertos.camara.leg.br/api/v2/deputados/130617" TargetMode="External"/><Relationship Id="rId429" Type="http://schemas.openxmlformats.org/officeDocument/2006/relationships/hyperlink" Target="https://dadosabertos.camara.leg.br/api/v2/deputados/179001" TargetMode="External"/><Relationship Id="rId1059" Type="http://schemas.openxmlformats.org/officeDocument/2006/relationships/hyperlink" Target="https://dadosabertos.camara.leg.br/api/v2/deputados/196357" TargetMode="External"/><Relationship Id="rId1473" Type="http://schemas.openxmlformats.org/officeDocument/2006/relationships/hyperlink" Target="https://dadosabertos.camara.leg.br/api/v2/deputados/141453" TargetMode="External"/><Relationship Id="rId2871" Type="http://schemas.openxmlformats.org/officeDocument/2006/relationships/hyperlink" Target="https://dadosabertos.camara.leg.br/api/v2/deputados/73798" TargetMode="External"/><Relationship Id="rId3922" Type="http://schemas.openxmlformats.org/officeDocument/2006/relationships/hyperlink" Target="https://dadosabertos.camara.leg.br/api/v2/deputados/131440" TargetMode="External"/><Relationship Id="rId843" Type="http://schemas.openxmlformats.org/officeDocument/2006/relationships/hyperlink" Target="https://dadosabertos.camara.leg.br/api/v2/deputados/204471" TargetMode="External"/><Relationship Id="rId1126" Type="http://schemas.openxmlformats.org/officeDocument/2006/relationships/hyperlink" Target="https://dadosabertos.camara.leg.br/api/v2/deputados/74445" TargetMode="External"/><Relationship Id="rId2524" Type="http://schemas.openxmlformats.org/officeDocument/2006/relationships/hyperlink" Target="https://dadosabertos.camara.leg.br/api/v2/deputados/74008" TargetMode="External"/><Relationship Id="rId910" Type="http://schemas.openxmlformats.org/officeDocument/2006/relationships/hyperlink" Target="https://dadosabertos.camara.leg.br/api/v2/deputados/204467" TargetMode="External"/><Relationship Id="rId1540" Type="http://schemas.openxmlformats.org/officeDocument/2006/relationships/hyperlink" Target="https://dadosabertos.camara.leg.br/api/v2/deputados/141497" TargetMode="External"/><Relationship Id="rId4696" Type="http://schemas.openxmlformats.org/officeDocument/2006/relationships/hyperlink" Target="https://dadosabertos.camara.leg.br/api/v2/deputados/130774" TargetMode="External"/><Relationship Id="rId5747" Type="http://schemas.openxmlformats.org/officeDocument/2006/relationships/hyperlink" Target="https://dadosabertos.camara.leg.br/api/v2/deputados/130190" TargetMode="External"/><Relationship Id="rId3298" Type="http://schemas.openxmlformats.org/officeDocument/2006/relationships/hyperlink" Target="https://dadosabertos.camara.leg.br/api/v2/deputados/131866" TargetMode="External"/><Relationship Id="rId4349" Type="http://schemas.openxmlformats.org/officeDocument/2006/relationships/hyperlink" Target="https://dadosabertos.camara.leg.br/api/v2/deputados/130951" TargetMode="External"/><Relationship Id="rId4763" Type="http://schemas.openxmlformats.org/officeDocument/2006/relationships/hyperlink" Target="https://dadosabertos.camara.leg.br/api/v2/deputados/130554" TargetMode="External"/><Relationship Id="rId5814" Type="http://schemas.openxmlformats.org/officeDocument/2006/relationships/hyperlink" Target="https://dadosabertos.camara.leg.br/api/v2/deputados/130220" TargetMode="External"/><Relationship Id="rId3365" Type="http://schemas.openxmlformats.org/officeDocument/2006/relationships/hyperlink" Target="https://dadosabertos.camara.leg.br/api/v2/deputados/132131" TargetMode="External"/><Relationship Id="rId4416" Type="http://schemas.openxmlformats.org/officeDocument/2006/relationships/hyperlink" Target="https://dadosabertos.camara.leg.br/api/v2/deputados/131034" TargetMode="External"/><Relationship Id="rId4830" Type="http://schemas.openxmlformats.org/officeDocument/2006/relationships/hyperlink" Target="https://dadosabertos.camara.leg.br/api/v2/deputados/130605" TargetMode="External"/><Relationship Id="rId7986" Type="http://schemas.openxmlformats.org/officeDocument/2006/relationships/hyperlink" Target="https://dadosabertos.camara.leg.br/api/v2/deputados/94" TargetMode="External"/><Relationship Id="rId286" Type="http://schemas.openxmlformats.org/officeDocument/2006/relationships/hyperlink" Target="https://dadosabertos.camara.leg.br/api/v2/deputados/204419" TargetMode="External"/><Relationship Id="rId2381" Type="http://schemas.openxmlformats.org/officeDocument/2006/relationships/hyperlink" Target="https://dadosabertos.camara.leg.br/api/v2/deputados/74795" TargetMode="External"/><Relationship Id="rId3018" Type="http://schemas.openxmlformats.org/officeDocument/2006/relationships/hyperlink" Target="https://dadosabertos.camara.leg.br/api/v2/deputados/139182" TargetMode="External"/><Relationship Id="rId3432" Type="http://schemas.openxmlformats.org/officeDocument/2006/relationships/hyperlink" Target="https://dadosabertos.camara.leg.br/api/v2/deputados/131997" TargetMode="External"/><Relationship Id="rId6588" Type="http://schemas.openxmlformats.org/officeDocument/2006/relationships/hyperlink" Target="https://dadosabertos.camara.leg.br/api/v2/deputados/1811" TargetMode="External"/><Relationship Id="rId7639" Type="http://schemas.openxmlformats.org/officeDocument/2006/relationships/hyperlink" Target="https://dadosabertos.camara.leg.br/api/v2/deputados/545" TargetMode="External"/><Relationship Id="rId353" Type="http://schemas.openxmlformats.org/officeDocument/2006/relationships/hyperlink" Target="https://dadosabertos.camara.leg.br/api/v2/deputados/228837" TargetMode="External"/><Relationship Id="rId2034" Type="http://schemas.openxmlformats.org/officeDocument/2006/relationships/hyperlink" Target="https://dadosabertos.camara.leg.br/api/v2/deputados/74154" TargetMode="External"/><Relationship Id="rId420" Type="http://schemas.openxmlformats.org/officeDocument/2006/relationships/hyperlink" Target="https://dadosabertos.camara.leg.br/api/v2/deputados/220648" TargetMode="External"/><Relationship Id="rId1050" Type="http://schemas.openxmlformats.org/officeDocument/2006/relationships/hyperlink" Target="https://dadosabertos.camara.leg.br/api/v2/deputados/178848" TargetMode="External"/><Relationship Id="rId2101" Type="http://schemas.openxmlformats.org/officeDocument/2006/relationships/hyperlink" Target="https://dadosabertos.camara.leg.br/api/v2/deputados/74776" TargetMode="External"/><Relationship Id="rId5257" Type="http://schemas.openxmlformats.org/officeDocument/2006/relationships/hyperlink" Target="https://dadosabertos.camara.leg.br/api/v2/deputados/4895" TargetMode="External"/><Relationship Id="rId6655" Type="http://schemas.openxmlformats.org/officeDocument/2006/relationships/hyperlink" Target="https://dadosabertos.camara.leg.br/api/v2/deputados/3948" TargetMode="External"/><Relationship Id="rId7706" Type="http://schemas.openxmlformats.org/officeDocument/2006/relationships/hyperlink" Target="https://dadosabertos.camara.leg.br/api/v2/deputados/505" TargetMode="External"/><Relationship Id="rId5671" Type="http://schemas.openxmlformats.org/officeDocument/2006/relationships/hyperlink" Target="https://dadosabertos.camara.leg.br/api/v2/deputados/2756" TargetMode="External"/><Relationship Id="rId6308" Type="http://schemas.openxmlformats.org/officeDocument/2006/relationships/hyperlink" Target="https://dadosabertos.camara.leg.br/api/v2/deputados/2264" TargetMode="External"/><Relationship Id="rId6722" Type="http://schemas.openxmlformats.org/officeDocument/2006/relationships/hyperlink" Target="https://dadosabertos.camara.leg.br/api/v2/deputados/1759" TargetMode="External"/><Relationship Id="rId1867" Type="http://schemas.openxmlformats.org/officeDocument/2006/relationships/hyperlink" Target="https://dadosabertos.camara.leg.br/api/v2/deputados/73557" TargetMode="External"/><Relationship Id="rId2918" Type="http://schemas.openxmlformats.org/officeDocument/2006/relationships/hyperlink" Target="https://dadosabertos.camara.leg.br/api/v2/deputados/133946" TargetMode="External"/><Relationship Id="rId4273" Type="http://schemas.openxmlformats.org/officeDocument/2006/relationships/hyperlink" Target="https://dadosabertos.camara.leg.br/api/v2/deputados/3148" TargetMode="External"/><Relationship Id="rId5324" Type="http://schemas.openxmlformats.org/officeDocument/2006/relationships/hyperlink" Target="https://dadosabertos.camara.leg.br/api/v2/deputados/2891" TargetMode="External"/><Relationship Id="rId1934" Type="http://schemas.openxmlformats.org/officeDocument/2006/relationships/hyperlink" Target="https://dadosabertos.camara.leg.br/api/v2/deputados/74072" TargetMode="External"/><Relationship Id="rId4340" Type="http://schemas.openxmlformats.org/officeDocument/2006/relationships/hyperlink" Target="https://dadosabertos.camara.leg.br/api/v2/deputados/130942" TargetMode="External"/><Relationship Id="rId7496" Type="http://schemas.openxmlformats.org/officeDocument/2006/relationships/hyperlink" Target="https://dadosabertos.camara.leg.br/api/v2/deputados/752" TargetMode="External"/><Relationship Id="rId6098" Type="http://schemas.openxmlformats.org/officeDocument/2006/relationships/hyperlink" Target="https://dadosabertos.camara.leg.br/api/v2/deputados/2379" TargetMode="External"/><Relationship Id="rId7149" Type="http://schemas.openxmlformats.org/officeDocument/2006/relationships/hyperlink" Target="https://dadosabertos.camara.leg.br/api/v2/deputados/810" TargetMode="External"/><Relationship Id="rId7563" Type="http://schemas.openxmlformats.org/officeDocument/2006/relationships/hyperlink" Target="https://dadosabertos.camara.leg.br/api/v2/deputados/467" TargetMode="External"/><Relationship Id="rId6165" Type="http://schemas.openxmlformats.org/officeDocument/2006/relationships/hyperlink" Target="https://dadosabertos.camara.leg.br/api/v2/deputados/2417" TargetMode="External"/><Relationship Id="rId7216" Type="http://schemas.openxmlformats.org/officeDocument/2006/relationships/hyperlink" Target="https://dadosabertos.camara.leg.br/api/v2/deputados/1046" TargetMode="External"/><Relationship Id="rId3759" Type="http://schemas.openxmlformats.org/officeDocument/2006/relationships/hyperlink" Target="https://dadosabertos.camara.leg.br/api/v2/deputados/131684" TargetMode="External"/><Relationship Id="rId5181" Type="http://schemas.openxmlformats.org/officeDocument/2006/relationships/hyperlink" Target="https://dadosabertos.camara.leg.br/api/v2/deputados/130340" TargetMode="External"/><Relationship Id="rId6232" Type="http://schemas.openxmlformats.org/officeDocument/2006/relationships/hyperlink" Target="https://dadosabertos.camara.leg.br/api/v2/deputados/3695" TargetMode="External"/><Relationship Id="rId7630" Type="http://schemas.openxmlformats.org/officeDocument/2006/relationships/hyperlink" Target="https://dadosabertos.camara.leg.br/api/v2/deputados/572" TargetMode="External"/><Relationship Id="rId2775" Type="http://schemas.openxmlformats.org/officeDocument/2006/relationships/hyperlink" Target="https://dadosabertos.camara.leg.br/api/v2/deputados/73738" TargetMode="External"/><Relationship Id="rId3826" Type="http://schemas.openxmlformats.org/officeDocument/2006/relationships/hyperlink" Target="https://dadosabertos.camara.leg.br/api/v2/deputados/131549" TargetMode="External"/><Relationship Id="rId747" Type="http://schemas.openxmlformats.org/officeDocument/2006/relationships/hyperlink" Target="https://dadosabertos.camara.leg.br/api/v2/deputados/178977" TargetMode="External"/><Relationship Id="rId1377" Type="http://schemas.openxmlformats.org/officeDocument/2006/relationships/hyperlink" Target="http://twitter.com/vaccarezza" TargetMode="External"/><Relationship Id="rId1791" Type="http://schemas.openxmlformats.org/officeDocument/2006/relationships/hyperlink" Target="https://dadosabertos.camara.leg.br/api/v2/deputados/154739" TargetMode="External"/><Relationship Id="rId2428" Type="http://schemas.openxmlformats.org/officeDocument/2006/relationships/hyperlink" Target="https://dadosabertos.camara.leg.br/api/v2/deputados/73887" TargetMode="External"/><Relationship Id="rId2842" Type="http://schemas.openxmlformats.org/officeDocument/2006/relationships/hyperlink" Target="https://dadosabertos.camara.leg.br/api/v2/deputados/73969" TargetMode="External"/><Relationship Id="rId5998" Type="http://schemas.openxmlformats.org/officeDocument/2006/relationships/hyperlink" Target="https://dadosabertos.camara.leg.br/api/v2/deputados/4243" TargetMode="External"/><Relationship Id="rId83" Type="http://schemas.openxmlformats.org/officeDocument/2006/relationships/hyperlink" Target="https://dadosabertos.camara.leg.br/api/v2/deputados/160538" TargetMode="External"/><Relationship Id="rId814" Type="http://schemas.openxmlformats.org/officeDocument/2006/relationships/hyperlink" Target="https://dadosabertos.camara.leg.br/api/v2/deputados/160619" TargetMode="External"/><Relationship Id="rId1444" Type="http://schemas.openxmlformats.org/officeDocument/2006/relationships/hyperlink" Target="https://dadosabertos.camara.leg.br/api/v2/deputados/137983" TargetMode="External"/><Relationship Id="rId1511" Type="http://schemas.openxmlformats.org/officeDocument/2006/relationships/hyperlink" Target="https://dadosabertos.camara.leg.br/api/v2/deputados/74368" TargetMode="External"/><Relationship Id="rId4667" Type="http://schemas.openxmlformats.org/officeDocument/2006/relationships/hyperlink" Target="https://dadosabertos.camara.leg.br/api/v2/deputados/130571" TargetMode="External"/><Relationship Id="rId5718" Type="http://schemas.openxmlformats.org/officeDocument/2006/relationships/hyperlink" Target="https://dadosabertos.camara.leg.br/api/v2/deputados/4522" TargetMode="External"/><Relationship Id="rId7073" Type="http://schemas.openxmlformats.org/officeDocument/2006/relationships/hyperlink" Target="https://dadosabertos.camara.leg.br/api/v2/deputados/731" TargetMode="External"/><Relationship Id="rId3269" Type="http://schemas.openxmlformats.org/officeDocument/2006/relationships/hyperlink" Target="https://dadosabertos.camara.leg.br/api/v2/deputados/131837" TargetMode="External"/><Relationship Id="rId3683" Type="http://schemas.openxmlformats.org/officeDocument/2006/relationships/hyperlink" Target="https://dadosabertos.camara.leg.br/api/v2/deputados/131736" TargetMode="External"/><Relationship Id="rId7140" Type="http://schemas.openxmlformats.org/officeDocument/2006/relationships/hyperlink" Target="https://dadosabertos.camara.leg.br/api/v2/deputados/1058" TargetMode="External"/><Relationship Id="rId2285" Type="http://schemas.openxmlformats.org/officeDocument/2006/relationships/hyperlink" Target="https://dadosabertos.camara.leg.br/api/v2/deputados/73590" TargetMode="External"/><Relationship Id="rId3336" Type="http://schemas.openxmlformats.org/officeDocument/2006/relationships/hyperlink" Target="https://dadosabertos.camara.leg.br/api/v2/deputados/132127" TargetMode="External"/><Relationship Id="rId4734" Type="http://schemas.openxmlformats.org/officeDocument/2006/relationships/hyperlink" Target="https://dadosabertos.camara.leg.br/api/v2/deputados/130525" TargetMode="External"/><Relationship Id="rId257" Type="http://schemas.openxmlformats.org/officeDocument/2006/relationships/hyperlink" Target="https://dadosabertos.camara.leg.br/api/v2/deputados/225727" TargetMode="External"/><Relationship Id="rId3750" Type="http://schemas.openxmlformats.org/officeDocument/2006/relationships/hyperlink" Target="https://dadosabertos.camara.leg.br/api/v2/deputados/131802" TargetMode="External"/><Relationship Id="rId4801" Type="http://schemas.openxmlformats.org/officeDocument/2006/relationships/hyperlink" Target="https://dadosabertos.camara.leg.br/api/v2/deputados/130584" TargetMode="External"/><Relationship Id="rId7957" Type="http://schemas.openxmlformats.org/officeDocument/2006/relationships/hyperlink" Target="https://dadosabertos.camara.leg.br/api/v2/deputados/139" TargetMode="External"/><Relationship Id="rId671" Type="http://schemas.openxmlformats.org/officeDocument/2006/relationships/hyperlink" Target="https://dadosabertos.camara.leg.br/api/v2/deputados/220552" TargetMode="External"/><Relationship Id="rId2352" Type="http://schemas.openxmlformats.org/officeDocument/2006/relationships/hyperlink" Target="https://dadosabertos.camara.leg.br/api/v2/deputados/74573" TargetMode="External"/><Relationship Id="rId3403" Type="http://schemas.openxmlformats.org/officeDocument/2006/relationships/hyperlink" Target="https://dadosabertos.camara.leg.br/api/v2/deputados/131945" TargetMode="External"/><Relationship Id="rId6559" Type="http://schemas.openxmlformats.org/officeDocument/2006/relationships/hyperlink" Target="https://dadosabertos.camara.leg.br/api/v2/deputados/3800" TargetMode="External"/><Relationship Id="rId6973" Type="http://schemas.openxmlformats.org/officeDocument/2006/relationships/hyperlink" Target="https://dadosabertos.camara.leg.br/api/v2/deputados/798" TargetMode="External"/><Relationship Id="rId324" Type="http://schemas.openxmlformats.org/officeDocument/2006/relationships/hyperlink" Target="https://dadosabertos.camara.leg.br/api/v2/deputados/74273" TargetMode="External"/><Relationship Id="rId2005" Type="http://schemas.openxmlformats.org/officeDocument/2006/relationships/hyperlink" Target="https://dadosabertos.camara.leg.br/api/v2/deputados/74567" TargetMode="External"/><Relationship Id="rId5575" Type="http://schemas.openxmlformats.org/officeDocument/2006/relationships/hyperlink" Target="https://dadosabertos.camara.leg.br/api/v2/deputados/4564" TargetMode="External"/><Relationship Id="rId6626" Type="http://schemas.openxmlformats.org/officeDocument/2006/relationships/hyperlink" Target="https://dadosabertos.camara.leg.br/api/v2/deputados/1996" TargetMode="External"/><Relationship Id="rId1021" Type="http://schemas.openxmlformats.org/officeDocument/2006/relationships/hyperlink" Target="https://dadosabertos.camara.leg.br/api/v2/deputados/178915" TargetMode="External"/><Relationship Id="rId4177" Type="http://schemas.openxmlformats.org/officeDocument/2006/relationships/hyperlink" Target="https://dadosabertos.camara.leg.br/api/v2/deputados/131307" TargetMode="External"/><Relationship Id="rId4591" Type="http://schemas.openxmlformats.org/officeDocument/2006/relationships/hyperlink" Target="https://dadosabertos.camara.leg.br/api/v2/deputados/130751" TargetMode="External"/><Relationship Id="rId5228" Type="http://schemas.openxmlformats.org/officeDocument/2006/relationships/hyperlink" Target="https://dadosabertos.camara.leg.br/api/v2/deputados/2977" TargetMode="External"/><Relationship Id="rId5642" Type="http://schemas.openxmlformats.org/officeDocument/2006/relationships/hyperlink" Target="https://dadosabertos.camara.leg.br/api/v2/deputados/2722" TargetMode="External"/><Relationship Id="rId3193" Type="http://schemas.openxmlformats.org/officeDocument/2006/relationships/hyperlink" Target="https://dadosabertos.camara.leg.br/api/v2/deputados/139329" TargetMode="External"/><Relationship Id="rId4244" Type="http://schemas.openxmlformats.org/officeDocument/2006/relationships/hyperlink" Target="https://dadosabertos.camara.leg.br/api/v2/deputados/131362" TargetMode="External"/><Relationship Id="rId1838" Type="http://schemas.openxmlformats.org/officeDocument/2006/relationships/hyperlink" Target="https://dadosabertos.camara.leg.br/api/v2/deputados/73907" TargetMode="External"/><Relationship Id="rId3260" Type="http://schemas.openxmlformats.org/officeDocument/2006/relationships/hyperlink" Target="https://dadosabertos.camara.leg.br/api/v2/deputados/131827" TargetMode="External"/><Relationship Id="rId4311" Type="http://schemas.openxmlformats.org/officeDocument/2006/relationships/hyperlink" Target="https://dadosabertos.camara.leg.br/api/v2/deputados/130924" TargetMode="External"/><Relationship Id="rId7467" Type="http://schemas.openxmlformats.org/officeDocument/2006/relationships/hyperlink" Target="https://dadosabertos.camara.leg.br/api/v2/deputados/711" TargetMode="External"/><Relationship Id="rId181" Type="http://schemas.openxmlformats.org/officeDocument/2006/relationships/hyperlink" Target="https://dadosabertos.camara.leg.br/api/v2/deputados/143632" TargetMode="External"/><Relationship Id="rId1905" Type="http://schemas.openxmlformats.org/officeDocument/2006/relationships/hyperlink" Target="https://dadosabertos.camara.leg.br/api/v2/deputados/73456" TargetMode="External"/><Relationship Id="rId6069" Type="http://schemas.openxmlformats.org/officeDocument/2006/relationships/hyperlink" Target="https://dadosabertos.camara.leg.br/api/v2/deputados/2488" TargetMode="External"/><Relationship Id="rId7881" Type="http://schemas.openxmlformats.org/officeDocument/2006/relationships/hyperlink" Target="https://dadosabertos.camara.leg.br/api/v2/deputados/50" TargetMode="External"/><Relationship Id="rId5085" Type="http://schemas.openxmlformats.org/officeDocument/2006/relationships/hyperlink" Target="https://dadosabertos.camara.leg.br/api/v2/deputados/130502" TargetMode="External"/><Relationship Id="rId6483" Type="http://schemas.openxmlformats.org/officeDocument/2006/relationships/hyperlink" Target="https://dadosabertos.camara.leg.br/api/v2/deputados/1831" TargetMode="External"/><Relationship Id="rId7534" Type="http://schemas.openxmlformats.org/officeDocument/2006/relationships/hyperlink" Target="https://dadosabertos.camara.leg.br/api/v2/deputados/480" TargetMode="External"/><Relationship Id="rId998" Type="http://schemas.openxmlformats.org/officeDocument/2006/relationships/hyperlink" Target="https://dadosabertos.camara.leg.br/api/v2/deputados/160543" TargetMode="External"/><Relationship Id="rId2679" Type="http://schemas.openxmlformats.org/officeDocument/2006/relationships/hyperlink" Target="https://dadosabertos.camara.leg.br/api/v2/deputados/73697" TargetMode="External"/><Relationship Id="rId6136" Type="http://schemas.openxmlformats.org/officeDocument/2006/relationships/hyperlink" Target="https://dadosabertos.camara.leg.br/api/v2/deputados/4107" TargetMode="External"/><Relationship Id="rId6550" Type="http://schemas.openxmlformats.org/officeDocument/2006/relationships/hyperlink" Target="https://dadosabertos.camara.leg.br/api/v2/deputados/2101" TargetMode="External"/><Relationship Id="rId7601" Type="http://schemas.openxmlformats.org/officeDocument/2006/relationships/hyperlink" Target="https://dadosabertos.camara.leg.br/api/v2/deputados/423" TargetMode="External"/><Relationship Id="rId1695" Type="http://schemas.openxmlformats.org/officeDocument/2006/relationships/hyperlink" Target="https://dadosabertos.camara.leg.br/api/v2/deputados/74169" TargetMode="External"/><Relationship Id="rId2746" Type="http://schemas.openxmlformats.org/officeDocument/2006/relationships/hyperlink" Target="https://dadosabertos.camara.leg.br/api/v2/deputados/133840" TargetMode="External"/><Relationship Id="rId5152" Type="http://schemas.openxmlformats.org/officeDocument/2006/relationships/hyperlink" Target="https://dadosabertos.camara.leg.br/api/v2/deputados/130304" TargetMode="External"/><Relationship Id="rId6203" Type="http://schemas.openxmlformats.org/officeDocument/2006/relationships/hyperlink" Target="https://dadosabertos.camara.leg.br/api/v2/deputados/3513" TargetMode="External"/><Relationship Id="rId718" Type="http://schemas.openxmlformats.org/officeDocument/2006/relationships/hyperlink" Target="https://dadosabertos.camara.leg.br/api/v2/deputados/204440" TargetMode="External"/><Relationship Id="rId1348" Type="http://schemas.openxmlformats.org/officeDocument/2006/relationships/hyperlink" Target="http://www.facebook.com/deputadoamirlando" TargetMode="External"/><Relationship Id="rId1762" Type="http://schemas.openxmlformats.org/officeDocument/2006/relationships/hyperlink" Target="https://dadosabertos.camara.leg.br/api/v2/deputados/141437" TargetMode="External"/><Relationship Id="rId1415" Type="http://schemas.openxmlformats.org/officeDocument/2006/relationships/hyperlink" Target="https://dadosabertos.camara.leg.br/api/v2/deputados/160616" TargetMode="External"/><Relationship Id="rId2813" Type="http://schemas.openxmlformats.org/officeDocument/2006/relationships/hyperlink" Target="https://dadosabertos.camara.leg.br/api/v2/deputados/133867" TargetMode="External"/><Relationship Id="rId5969" Type="http://schemas.openxmlformats.org/officeDocument/2006/relationships/hyperlink" Target="https://dadosabertos.camara.leg.br/api/v2/deputados/130149" TargetMode="External"/><Relationship Id="rId7391" Type="http://schemas.openxmlformats.org/officeDocument/2006/relationships/hyperlink" Target="https://dadosabertos.camara.leg.br/api/v2/deputados/298" TargetMode="External"/><Relationship Id="rId54" Type="http://schemas.openxmlformats.org/officeDocument/2006/relationships/hyperlink" Target="https://dadosabertos.camara.leg.br/api/v2/deputados/220544" TargetMode="External"/><Relationship Id="rId4985" Type="http://schemas.openxmlformats.org/officeDocument/2006/relationships/hyperlink" Target="https://dadosabertos.camara.leg.br/api/v2/deputados/130448" TargetMode="External"/><Relationship Id="rId7044" Type="http://schemas.openxmlformats.org/officeDocument/2006/relationships/hyperlink" Target="https://dadosabertos.camara.leg.br/api/v2/deputados/1167" TargetMode="External"/><Relationship Id="rId2189" Type="http://schemas.openxmlformats.org/officeDocument/2006/relationships/hyperlink" Target="https://dadosabertos.camara.leg.br/api/v2/deputados/73581" TargetMode="External"/><Relationship Id="rId3587" Type="http://schemas.openxmlformats.org/officeDocument/2006/relationships/hyperlink" Target="https://dadosabertos.camara.leg.br/api/v2/deputados/131641" TargetMode="External"/><Relationship Id="rId4638" Type="http://schemas.openxmlformats.org/officeDocument/2006/relationships/hyperlink" Target="https://dadosabertos.camara.leg.br/api/v2/deputados/130803" TargetMode="External"/><Relationship Id="rId6060" Type="http://schemas.openxmlformats.org/officeDocument/2006/relationships/hyperlink" Target="https://dadosabertos.camara.leg.br/api/v2/deputados/2508" TargetMode="External"/><Relationship Id="rId3654" Type="http://schemas.openxmlformats.org/officeDocument/2006/relationships/hyperlink" Target="https://dadosabertos.camara.leg.br/api/v2/deputados/131703" TargetMode="External"/><Relationship Id="rId4705" Type="http://schemas.openxmlformats.org/officeDocument/2006/relationships/hyperlink" Target="https://dadosabertos.camara.leg.br/api/v2/deputados/130866" TargetMode="External"/><Relationship Id="rId7111" Type="http://schemas.openxmlformats.org/officeDocument/2006/relationships/hyperlink" Target="https://dadosabertos.camara.leg.br/api/v2/deputados/877" TargetMode="External"/><Relationship Id="rId575" Type="http://schemas.openxmlformats.org/officeDocument/2006/relationships/hyperlink" Target="https://dadosabertos.camara.leg.br/api/v2/deputados/220624" TargetMode="External"/><Relationship Id="rId2256" Type="http://schemas.openxmlformats.org/officeDocument/2006/relationships/hyperlink" Target="https://dadosabertos.camara.leg.br/api/v2/deputados/74808" TargetMode="External"/><Relationship Id="rId2670" Type="http://schemas.openxmlformats.org/officeDocument/2006/relationships/hyperlink" Target="https://dadosabertos.camara.leg.br/api/v2/deputados/73950" TargetMode="External"/><Relationship Id="rId3307" Type="http://schemas.openxmlformats.org/officeDocument/2006/relationships/hyperlink" Target="https://dadosabertos.camara.leg.br/api/v2/deputados/132124" TargetMode="External"/><Relationship Id="rId3721" Type="http://schemas.openxmlformats.org/officeDocument/2006/relationships/hyperlink" Target="https://dadosabertos.camara.leg.br/api/v2/deputados/131778" TargetMode="External"/><Relationship Id="rId6877" Type="http://schemas.openxmlformats.org/officeDocument/2006/relationships/hyperlink" Target="https://dadosabertos.camara.leg.br/api/v2/deputados/1239" TargetMode="External"/><Relationship Id="rId7928" Type="http://schemas.openxmlformats.org/officeDocument/2006/relationships/hyperlink" Target="https://dadosabertos.camara.leg.br/api/v2/deputados/219" TargetMode="External"/><Relationship Id="rId228" Type="http://schemas.openxmlformats.org/officeDocument/2006/relationships/hyperlink" Target="https://dadosabertos.camara.leg.br/api/v2/deputados/160575" TargetMode="External"/><Relationship Id="rId642" Type="http://schemas.openxmlformats.org/officeDocument/2006/relationships/hyperlink" Target="https://dadosabertos.camara.leg.br/api/v2/deputados/74376" TargetMode="External"/><Relationship Id="rId1272" Type="http://schemas.openxmlformats.org/officeDocument/2006/relationships/hyperlink" Target="https://dadosabertos.camara.leg.br/api/v2/deputados/141536" TargetMode="External"/><Relationship Id="rId2323" Type="http://schemas.openxmlformats.org/officeDocument/2006/relationships/hyperlink" Target="https://dadosabertos.camara.leg.br/api/v2/deputados/74530" TargetMode="External"/><Relationship Id="rId5479" Type="http://schemas.openxmlformats.org/officeDocument/2006/relationships/hyperlink" Target="https://dadosabertos.camara.leg.br/api/v2/deputados/2742" TargetMode="External"/><Relationship Id="rId5893" Type="http://schemas.openxmlformats.org/officeDocument/2006/relationships/hyperlink" Target="https://dadosabertos.camara.leg.br/api/v2/deputados/130171" TargetMode="External"/><Relationship Id="rId4495" Type="http://schemas.openxmlformats.org/officeDocument/2006/relationships/hyperlink" Target="https://dadosabertos.camara.leg.br/api/v2/deputados/130912" TargetMode="External"/><Relationship Id="rId5546" Type="http://schemas.openxmlformats.org/officeDocument/2006/relationships/hyperlink" Target="https://dadosabertos.camara.leg.br/api/v2/deputados/2783" TargetMode="External"/><Relationship Id="rId6944" Type="http://schemas.openxmlformats.org/officeDocument/2006/relationships/hyperlink" Target="https://dadosabertos.camara.leg.br/api/v2/deputados/1254" TargetMode="External"/><Relationship Id="rId3097" Type="http://schemas.openxmlformats.org/officeDocument/2006/relationships/hyperlink" Target="https://dadosabertos.camara.leg.br/api/v2/deputados/139250" TargetMode="External"/><Relationship Id="rId4148" Type="http://schemas.openxmlformats.org/officeDocument/2006/relationships/hyperlink" Target="https://dadosabertos.camara.leg.br/api/v2/deputados/131272" TargetMode="External"/><Relationship Id="rId5960" Type="http://schemas.openxmlformats.org/officeDocument/2006/relationships/hyperlink" Target="https://dadosabertos.camara.leg.br/api/v2/deputados/4361" TargetMode="External"/><Relationship Id="rId3164" Type="http://schemas.openxmlformats.org/officeDocument/2006/relationships/hyperlink" Target="https://dadosabertos.camara.leg.br/api/v2/deputados/139305" TargetMode="External"/><Relationship Id="rId4562" Type="http://schemas.openxmlformats.org/officeDocument/2006/relationships/hyperlink" Target="https://dadosabertos.camara.leg.br/api/v2/deputados/130707" TargetMode="External"/><Relationship Id="rId5613" Type="http://schemas.openxmlformats.org/officeDocument/2006/relationships/hyperlink" Target="https://dadosabertos.camara.leg.br/api/v2/deputados/4593" TargetMode="External"/><Relationship Id="rId1809" Type="http://schemas.openxmlformats.org/officeDocument/2006/relationships/hyperlink" Target="https://dadosabertos.camara.leg.br/api/v2/deputados/74455" TargetMode="External"/><Relationship Id="rId4215" Type="http://schemas.openxmlformats.org/officeDocument/2006/relationships/hyperlink" Target="https://dadosabertos.camara.leg.br/api/v2/deputados/131333" TargetMode="External"/><Relationship Id="rId7785" Type="http://schemas.openxmlformats.org/officeDocument/2006/relationships/hyperlink" Target="https://dadosabertos.camara.leg.br/api/v2/deputados/346" TargetMode="External"/><Relationship Id="rId2180" Type="http://schemas.openxmlformats.org/officeDocument/2006/relationships/hyperlink" Target="https://dadosabertos.camara.leg.br/api/v2/deputados/74645" TargetMode="External"/><Relationship Id="rId3231" Type="http://schemas.openxmlformats.org/officeDocument/2006/relationships/hyperlink" Target="https://dadosabertos.camara.leg.br/api/v2/deputados/139364" TargetMode="External"/><Relationship Id="rId6387" Type="http://schemas.openxmlformats.org/officeDocument/2006/relationships/hyperlink" Target="https://dadosabertos.camara.leg.br/api/v2/deputados/1991" TargetMode="External"/><Relationship Id="rId7438" Type="http://schemas.openxmlformats.org/officeDocument/2006/relationships/hyperlink" Target="https://dadosabertos.camara.leg.br/api/v2/deputados/714" TargetMode="External"/><Relationship Id="rId7852" Type="http://schemas.openxmlformats.org/officeDocument/2006/relationships/hyperlink" Target="https://dadosabertos.camara.leg.br/api/v2/deputados/223" TargetMode="External"/><Relationship Id="rId152" Type="http://schemas.openxmlformats.org/officeDocument/2006/relationships/hyperlink" Target="https://dadosabertos.camara.leg.br/api/v2/deputados/160552" TargetMode="External"/><Relationship Id="rId2997" Type="http://schemas.openxmlformats.org/officeDocument/2006/relationships/hyperlink" Target="https://dadosabertos.camara.leg.br/api/v2/deputados/139162" TargetMode="External"/><Relationship Id="rId6454" Type="http://schemas.openxmlformats.org/officeDocument/2006/relationships/hyperlink" Target="https://dadosabertos.camara.leg.br/api/v2/deputados/2026" TargetMode="External"/><Relationship Id="rId7505" Type="http://schemas.openxmlformats.org/officeDocument/2006/relationships/hyperlink" Target="https://dadosabertos.camara.leg.br/api/v2/deputados/729" TargetMode="External"/><Relationship Id="rId969" Type="http://schemas.openxmlformats.org/officeDocument/2006/relationships/hyperlink" Target="https://dadosabertos.camara.leg.br/api/v2/deputados/204505" TargetMode="External"/><Relationship Id="rId1599" Type="http://schemas.openxmlformats.org/officeDocument/2006/relationships/hyperlink" Target="https://dadosabertos.camara.leg.br/api/v2/deputados/141403" TargetMode="External"/><Relationship Id="rId5056" Type="http://schemas.openxmlformats.org/officeDocument/2006/relationships/hyperlink" Target="https://dadosabertos.camara.leg.br/api/v2/deputados/130484" TargetMode="External"/><Relationship Id="rId5470" Type="http://schemas.openxmlformats.org/officeDocument/2006/relationships/hyperlink" Target="https://dadosabertos.camara.leg.br/api/v2/deputados/2741" TargetMode="External"/><Relationship Id="rId6107" Type="http://schemas.openxmlformats.org/officeDocument/2006/relationships/hyperlink" Target="https://dadosabertos.camara.leg.br/api/v2/deputados/2395" TargetMode="External"/><Relationship Id="rId6521" Type="http://schemas.openxmlformats.org/officeDocument/2006/relationships/hyperlink" Target="https://dadosabertos.camara.leg.br/api/v2/deputados/2014" TargetMode="External"/><Relationship Id="rId4072" Type="http://schemas.openxmlformats.org/officeDocument/2006/relationships/hyperlink" Target="https://dadosabertos.camara.leg.br/api/v2/deputados/131201" TargetMode="External"/><Relationship Id="rId5123" Type="http://schemas.openxmlformats.org/officeDocument/2006/relationships/hyperlink" Target="https://dadosabertos.camara.leg.br/api/v2/deputados/130351" TargetMode="External"/><Relationship Id="rId1666" Type="http://schemas.openxmlformats.org/officeDocument/2006/relationships/hyperlink" Target="https://dadosabertos.camara.leg.br/api/v2/deputados/73765" TargetMode="External"/><Relationship Id="rId2717" Type="http://schemas.openxmlformats.org/officeDocument/2006/relationships/hyperlink" Target="https://dadosabertos.camara.leg.br/api/v2/deputados/133957" TargetMode="External"/><Relationship Id="rId7295" Type="http://schemas.openxmlformats.org/officeDocument/2006/relationships/hyperlink" Target="https://dadosabertos.camara.leg.br/api/v2/deputados/906" TargetMode="External"/><Relationship Id="rId1319" Type="http://schemas.openxmlformats.org/officeDocument/2006/relationships/hyperlink" Target="https://dadosabertos.camara.leg.br/api/v2/deputados/167493" TargetMode="External"/><Relationship Id="rId1733" Type="http://schemas.openxmlformats.org/officeDocument/2006/relationships/hyperlink" Target="https://dadosabertos.camara.leg.br/api/v2/deputados/73599" TargetMode="External"/><Relationship Id="rId4889" Type="http://schemas.openxmlformats.org/officeDocument/2006/relationships/hyperlink" Target="https://dadosabertos.camara.leg.br/api/v2/deputados/130682" TargetMode="External"/><Relationship Id="rId25" Type="http://schemas.openxmlformats.org/officeDocument/2006/relationships/hyperlink" Target="https://dadosabertos.camara.leg.br/api/v2/deputados/160545" TargetMode="External"/><Relationship Id="rId1800" Type="http://schemas.openxmlformats.org/officeDocument/2006/relationships/hyperlink" Target="https://dadosabertos.camara.leg.br/api/v2/deputados/71921" TargetMode="External"/><Relationship Id="rId4956" Type="http://schemas.openxmlformats.org/officeDocument/2006/relationships/hyperlink" Target="https://dadosabertos.camara.leg.br/api/v2/deputados/130425" TargetMode="External"/><Relationship Id="rId7362" Type="http://schemas.openxmlformats.org/officeDocument/2006/relationships/hyperlink" Target="https://dadosabertos.camara.leg.br/api/v2/deputados/834" TargetMode="External"/><Relationship Id="rId3558" Type="http://schemas.openxmlformats.org/officeDocument/2006/relationships/hyperlink" Target="https://dadosabertos.camara.leg.br/api/v2/deputados/132098" TargetMode="External"/><Relationship Id="rId3972" Type="http://schemas.openxmlformats.org/officeDocument/2006/relationships/hyperlink" Target="https://dadosabertos.camara.leg.br/api/v2/deputados/131461" TargetMode="External"/><Relationship Id="rId4609" Type="http://schemas.openxmlformats.org/officeDocument/2006/relationships/hyperlink" Target="https://dadosabertos.camara.leg.br/api/v2/deputados/130711" TargetMode="External"/><Relationship Id="rId7015" Type="http://schemas.openxmlformats.org/officeDocument/2006/relationships/hyperlink" Target="https://dadosabertos.camara.leg.br/api/v2/deputados/1156" TargetMode="External"/><Relationship Id="rId479" Type="http://schemas.openxmlformats.org/officeDocument/2006/relationships/hyperlink" Target="https://dadosabertos.camara.leg.br/api/v2/deputados/228042" TargetMode="External"/><Relationship Id="rId893" Type="http://schemas.openxmlformats.org/officeDocument/2006/relationships/hyperlink" Target="https://dadosabertos.camara.leg.br/api/v2/deputados/193726" TargetMode="External"/><Relationship Id="rId2574" Type="http://schemas.openxmlformats.org/officeDocument/2006/relationships/hyperlink" Target="https://dadosabertos.camara.leg.br/api/v2/deputados/73879" TargetMode="External"/><Relationship Id="rId3625" Type="http://schemas.openxmlformats.org/officeDocument/2006/relationships/hyperlink" Target="https://dadosabertos.camara.leg.br/api/v2/deputados/131678" TargetMode="External"/><Relationship Id="rId6031" Type="http://schemas.openxmlformats.org/officeDocument/2006/relationships/hyperlink" Target="https://dadosabertos.camara.leg.br/api/v2/deputados/2456" TargetMode="External"/><Relationship Id="rId546" Type="http://schemas.openxmlformats.org/officeDocument/2006/relationships/hyperlink" Target="https://dadosabertos.camara.leg.br/api/v2/deputados/233594" TargetMode="External"/><Relationship Id="rId1176" Type="http://schemas.openxmlformats.org/officeDocument/2006/relationships/hyperlink" Target="https://dadosabertos.camara.leg.br/api/v2/deputados/74688" TargetMode="External"/><Relationship Id="rId2227" Type="http://schemas.openxmlformats.org/officeDocument/2006/relationships/hyperlink" Target="https://dadosabertos.camara.leg.br/api/v2/deputados/74188" TargetMode="External"/><Relationship Id="rId960" Type="http://schemas.openxmlformats.org/officeDocument/2006/relationships/hyperlink" Target="https://dadosabertos.camara.leg.br/api/v2/deputados/204519" TargetMode="External"/><Relationship Id="rId1243" Type="http://schemas.openxmlformats.org/officeDocument/2006/relationships/hyperlink" Target="https://dadosabertos.camara.leg.br/api/v2/deputados/170673" TargetMode="External"/><Relationship Id="rId1590" Type="http://schemas.openxmlformats.org/officeDocument/2006/relationships/hyperlink" Target="https://dadosabertos.camara.leg.br/api/v2/deputados/74111" TargetMode="External"/><Relationship Id="rId2641" Type="http://schemas.openxmlformats.org/officeDocument/2006/relationships/hyperlink" Target="https://dadosabertos.camara.leg.br/api/v2/deputados/74642" TargetMode="External"/><Relationship Id="rId4399" Type="http://schemas.openxmlformats.org/officeDocument/2006/relationships/hyperlink" Target="https://dadosabertos.camara.leg.br/api/v2/deputados/130999" TargetMode="External"/><Relationship Id="rId5797" Type="http://schemas.openxmlformats.org/officeDocument/2006/relationships/hyperlink" Target="https://dadosabertos.camara.leg.br/api/v2/deputados/130172" TargetMode="External"/><Relationship Id="rId6848" Type="http://schemas.openxmlformats.org/officeDocument/2006/relationships/hyperlink" Target="https://dadosabertos.camara.leg.br/api/v2/deputados/1158" TargetMode="External"/><Relationship Id="rId613" Type="http://schemas.openxmlformats.org/officeDocument/2006/relationships/hyperlink" Target="https://dadosabertos.camara.leg.br/api/v2/deputados/204360" TargetMode="External"/><Relationship Id="rId5864" Type="http://schemas.openxmlformats.org/officeDocument/2006/relationships/hyperlink" Target="https://dadosabertos.camara.leg.br/api/v2/deputados/2406" TargetMode="External"/><Relationship Id="rId6915" Type="http://schemas.openxmlformats.org/officeDocument/2006/relationships/hyperlink" Target="https://dadosabertos.camara.leg.br/api/v2/deputados/1217" TargetMode="External"/><Relationship Id="rId1310" Type="http://schemas.openxmlformats.org/officeDocument/2006/relationships/hyperlink" Target="http://blogdovitorpaulo.blogspot.com/" TargetMode="External"/><Relationship Id="rId4466" Type="http://schemas.openxmlformats.org/officeDocument/2006/relationships/hyperlink" Target="https://dadosabertos.camara.leg.br/api/v2/deputados/131080" TargetMode="External"/><Relationship Id="rId4880" Type="http://schemas.openxmlformats.org/officeDocument/2006/relationships/hyperlink" Target="https://dadosabertos.camara.leg.br/api/v2/deputados/130626" TargetMode="External"/><Relationship Id="rId5517" Type="http://schemas.openxmlformats.org/officeDocument/2006/relationships/hyperlink" Target="https://dadosabertos.camara.leg.br/api/v2/deputados/2633" TargetMode="External"/><Relationship Id="rId5931" Type="http://schemas.openxmlformats.org/officeDocument/2006/relationships/hyperlink" Target="https://dadosabertos.camara.leg.br/api/v2/deputados/4315" TargetMode="External"/><Relationship Id="rId3068" Type="http://schemas.openxmlformats.org/officeDocument/2006/relationships/hyperlink" Target="https://dadosabertos.camara.leg.br/api/v2/deputados/1529" TargetMode="External"/><Relationship Id="rId3482" Type="http://schemas.openxmlformats.org/officeDocument/2006/relationships/hyperlink" Target="https://dadosabertos.camara.leg.br/api/v2/deputados/132035" TargetMode="External"/><Relationship Id="rId4119" Type="http://schemas.openxmlformats.org/officeDocument/2006/relationships/hyperlink" Target="https://dadosabertos.camara.leg.br/api/v2/deputados/1567" TargetMode="External"/><Relationship Id="rId4533" Type="http://schemas.openxmlformats.org/officeDocument/2006/relationships/hyperlink" Target="https://dadosabertos.camara.leg.br/api/v2/deputados/131132" TargetMode="External"/><Relationship Id="rId7689" Type="http://schemas.openxmlformats.org/officeDocument/2006/relationships/hyperlink" Target="https://dadosabertos.camara.leg.br/api/v2/deputados/125" TargetMode="External"/><Relationship Id="rId2084" Type="http://schemas.openxmlformats.org/officeDocument/2006/relationships/hyperlink" Target="https://dadosabertos.camara.leg.br/api/v2/deputados/74389" TargetMode="External"/><Relationship Id="rId3135" Type="http://schemas.openxmlformats.org/officeDocument/2006/relationships/hyperlink" Target="https://dadosabertos.camara.leg.br/api/v2/deputados/1541" TargetMode="External"/><Relationship Id="rId4600" Type="http://schemas.openxmlformats.org/officeDocument/2006/relationships/hyperlink" Target="https://dadosabertos.camara.leg.br/api/v2/deputados/130760" TargetMode="External"/><Relationship Id="rId7756" Type="http://schemas.openxmlformats.org/officeDocument/2006/relationships/hyperlink" Target="https://dadosabertos.camara.leg.br/api/v2/deputados/411" TargetMode="External"/><Relationship Id="rId470" Type="http://schemas.openxmlformats.org/officeDocument/2006/relationships/hyperlink" Target="https://dadosabertos.camara.leg.br/api/v2/deputados/178985" TargetMode="External"/><Relationship Id="rId2151" Type="http://schemas.openxmlformats.org/officeDocument/2006/relationships/hyperlink" Target="https://dadosabertos.camara.leg.br/api/v2/deputados/74436" TargetMode="External"/><Relationship Id="rId3202" Type="http://schemas.openxmlformats.org/officeDocument/2006/relationships/hyperlink" Target="https://dadosabertos.camara.leg.br/api/v2/deputados/139337" TargetMode="External"/><Relationship Id="rId6358" Type="http://schemas.openxmlformats.org/officeDocument/2006/relationships/hyperlink" Target="https://dadosabertos.camara.leg.br/api/v2/deputados/3652" TargetMode="External"/><Relationship Id="rId7409" Type="http://schemas.openxmlformats.org/officeDocument/2006/relationships/hyperlink" Target="https://dadosabertos.camara.leg.br/api/v2/deputados/671" TargetMode="External"/><Relationship Id="rId123" Type="http://schemas.openxmlformats.org/officeDocument/2006/relationships/hyperlink" Target="https://dadosabertos.camara.leg.br/api/v2/deputados/88256" TargetMode="External"/><Relationship Id="rId5374" Type="http://schemas.openxmlformats.org/officeDocument/2006/relationships/hyperlink" Target="https://dadosabertos.camara.leg.br/api/v2/deputados/4706" TargetMode="External"/><Relationship Id="rId6772" Type="http://schemas.openxmlformats.org/officeDocument/2006/relationships/hyperlink" Target="https://dadosabertos.camara.leg.br/api/v2/deputados/1549" TargetMode="External"/><Relationship Id="rId7823" Type="http://schemas.openxmlformats.org/officeDocument/2006/relationships/hyperlink" Target="https://dadosabertos.camara.leg.br/api/v2/deputados/341" TargetMode="External"/><Relationship Id="rId2968" Type="http://schemas.openxmlformats.org/officeDocument/2006/relationships/hyperlink" Target="https://dadosabertos.camara.leg.br/api/v2/deputados/139137" TargetMode="External"/><Relationship Id="rId5027" Type="http://schemas.openxmlformats.org/officeDocument/2006/relationships/hyperlink" Target="https://dadosabertos.camara.leg.br/api/v2/deputados/130489" TargetMode="External"/><Relationship Id="rId6425" Type="http://schemas.openxmlformats.org/officeDocument/2006/relationships/hyperlink" Target="https://dadosabertos.camara.leg.br/api/v2/deputados/2025" TargetMode="External"/><Relationship Id="rId1984" Type="http://schemas.openxmlformats.org/officeDocument/2006/relationships/hyperlink" Target="https://dadosabertos.camara.leg.br/api/v2/deputados/74267" TargetMode="External"/><Relationship Id="rId4390" Type="http://schemas.openxmlformats.org/officeDocument/2006/relationships/hyperlink" Target="https://dadosabertos.camara.leg.br/api/v2/deputados/130985" TargetMode="External"/><Relationship Id="rId5441" Type="http://schemas.openxmlformats.org/officeDocument/2006/relationships/hyperlink" Target="https://dadosabertos.camara.leg.br/api/v2/deputados/2882" TargetMode="External"/><Relationship Id="rId1637" Type="http://schemas.openxmlformats.org/officeDocument/2006/relationships/hyperlink" Target="https://dadosabertos.camara.leg.br/api/v2/deputados/141551" TargetMode="External"/><Relationship Id="rId4043" Type="http://schemas.openxmlformats.org/officeDocument/2006/relationships/hyperlink" Target="https://dadosabertos.camara.leg.br/api/v2/deputados/131183" TargetMode="External"/><Relationship Id="rId7199" Type="http://schemas.openxmlformats.org/officeDocument/2006/relationships/hyperlink" Target="https://dadosabertos.camara.leg.br/api/v2/deputados/910" TargetMode="External"/><Relationship Id="rId1704" Type="http://schemas.openxmlformats.org/officeDocument/2006/relationships/hyperlink" Target="https://dadosabertos.camara.leg.br/api/v2/deputados/131873" TargetMode="External"/><Relationship Id="rId4110" Type="http://schemas.openxmlformats.org/officeDocument/2006/relationships/hyperlink" Target="https://dadosabertos.camara.leg.br/api/v2/deputados/1579" TargetMode="External"/><Relationship Id="rId7266" Type="http://schemas.openxmlformats.org/officeDocument/2006/relationships/hyperlink" Target="https://dadosabertos.camara.leg.br/api/v2/deputados/626" TargetMode="External"/><Relationship Id="rId7680" Type="http://schemas.openxmlformats.org/officeDocument/2006/relationships/hyperlink" Target="https://dadosabertos.camara.leg.br/api/v2/deputados/226062" TargetMode="External"/><Relationship Id="rId6282" Type="http://schemas.openxmlformats.org/officeDocument/2006/relationships/hyperlink" Target="https://dadosabertos.camara.leg.br/api/v2/deputados/3587" TargetMode="External"/><Relationship Id="rId7333" Type="http://schemas.openxmlformats.org/officeDocument/2006/relationships/hyperlink" Target="https://dadosabertos.camara.leg.br/api/v2/deputados/588" TargetMode="External"/><Relationship Id="rId797" Type="http://schemas.openxmlformats.org/officeDocument/2006/relationships/hyperlink" Target="http://deputadohirangoncalves.com.br/" TargetMode="External"/><Relationship Id="rId2478" Type="http://schemas.openxmlformats.org/officeDocument/2006/relationships/hyperlink" Target="https://dadosabertos.camara.leg.br/api/v2/deputados/73444" TargetMode="External"/><Relationship Id="rId3876" Type="http://schemas.openxmlformats.org/officeDocument/2006/relationships/hyperlink" Target="https://dadosabertos.camara.leg.br/api/v2/deputados/131560" TargetMode="External"/><Relationship Id="rId4927" Type="http://schemas.openxmlformats.org/officeDocument/2006/relationships/hyperlink" Target="https://dadosabertos.camara.leg.br/api/v2/deputados/130396" TargetMode="External"/><Relationship Id="rId2892" Type="http://schemas.openxmlformats.org/officeDocument/2006/relationships/hyperlink" Target="https://dadosabertos.camara.leg.br/api/v2/deputados/133947" TargetMode="External"/><Relationship Id="rId3529" Type="http://schemas.openxmlformats.org/officeDocument/2006/relationships/hyperlink" Target="https://dadosabertos.camara.leg.br/api/v2/deputados/132077" TargetMode="External"/><Relationship Id="rId3943" Type="http://schemas.openxmlformats.org/officeDocument/2006/relationships/hyperlink" Target="https://dadosabertos.camara.leg.br/api/v2/deputados/131416" TargetMode="External"/><Relationship Id="rId6002" Type="http://schemas.openxmlformats.org/officeDocument/2006/relationships/hyperlink" Target="https://dadosabertos.camara.leg.br/api/v2/deputados/2405" TargetMode="External"/><Relationship Id="rId7400" Type="http://schemas.openxmlformats.org/officeDocument/2006/relationships/hyperlink" Target="https://dadosabertos.camara.leg.br/api/v2/deputados/826" TargetMode="External"/><Relationship Id="rId864" Type="http://schemas.openxmlformats.org/officeDocument/2006/relationships/hyperlink" Target="https://dadosabertos.camara.leg.br/api/v2/deputados/204403" TargetMode="External"/><Relationship Id="rId1494" Type="http://schemas.openxmlformats.org/officeDocument/2006/relationships/hyperlink" Target="https://dadosabertos.camara.leg.br/api/v2/deputados/73875" TargetMode="External"/><Relationship Id="rId2545" Type="http://schemas.openxmlformats.org/officeDocument/2006/relationships/hyperlink" Target="https://dadosabertos.camara.leg.br/api/v2/deputados/74203" TargetMode="External"/><Relationship Id="rId517" Type="http://schemas.openxmlformats.org/officeDocument/2006/relationships/hyperlink" Target="https://dadosabertos.camara.leg.br/api/v2/deputados/160558" TargetMode="External"/><Relationship Id="rId931" Type="http://schemas.openxmlformats.org/officeDocument/2006/relationships/hyperlink" Target="https://dadosabertos.camara.leg.br/api/v2/deputados/178930" TargetMode="External"/><Relationship Id="rId1147" Type="http://schemas.openxmlformats.org/officeDocument/2006/relationships/hyperlink" Target="https://dadosabertos.camara.leg.br/api/v2/deputados/114941" TargetMode="External"/><Relationship Id="rId1561" Type="http://schemas.openxmlformats.org/officeDocument/2006/relationships/hyperlink" Target="https://dadosabertos.camara.leg.br/api/v2/deputados/74108" TargetMode="External"/><Relationship Id="rId2612" Type="http://schemas.openxmlformats.org/officeDocument/2006/relationships/hyperlink" Target="https://dadosabertos.camara.leg.br/api/v2/deputados/73911" TargetMode="External"/><Relationship Id="rId5768" Type="http://schemas.openxmlformats.org/officeDocument/2006/relationships/hyperlink" Target="https://dadosabertos.camara.leg.br/api/v2/deputados/130201" TargetMode="External"/><Relationship Id="rId6819" Type="http://schemas.openxmlformats.org/officeDocument/2006/relationships/hyperlink" Target="https://dadosabertos.camara.leg.br/api/v2/deputados/1606" TargetMode="External"/><Relationship Id="rId1214" Type="http://schemas.openxmlformats.org/officeDocument/2006/relationships/hyperlink" Target="https://dadosabertos.camara.leg.br/api/v2/deputados/178827" TargetMode="External"/><Relationship Id="rId4784" Type="http://schemas.openxmlformats.org/officeDocument/2006/relationships/hyperlink" Target="https://dadosabertos.camara.leg.br/api/v2/deputados/130570" TargetMode="External"/><Relationship Id="rId5835" Type="http://schemas.openxmlformats.org/officeDocument/2006/relationships/hyperlink" Target="https://dadosabertos.camara.leg.br/api/v2/deputados/2466" TargetMode="External"/><Relationship Id="rId7190" Type="http://schemas.openxmlformats.org/officeDocument/2006/relationships/hyperlink" Target="https://dadosabertos.camara.leg.br/api/v2/deputados/660" TargetMode="External"/><Relationship Id="rId3386" Type="http://schemas.openxmlformats.org/officeDocument/2006/relationships/hyperlink" Target="https://dadosabertos.camara.leg.br/api/v2/deputados/131933" TargetMode="External"/><Relationship Id="rId4437" Type="http://schemas.openxmlformats.org/officeDocument/2006/relationships/hyperlink" Target="https://dadosabertos.camara.leg.br/api/v2/deputados/131055" TargetMode="External"/><Relationship Id="rId3039" Type="http://schemas.openxmlformats.org/officeDocument/2006/relationships/hyperlink" Target="https://dadosabertos.camara.leg.br/api/v2/deputados/139199" TargetMode="External"/><Relationship Id="rId3453" Type="http://schemas.openxmlformats.org/officeDocument/2006/relationships/hyperlink" Target="https://dadosabertos.camara.leg.br/api/v2/deputados/131985" TargetMode="External"/><Relationship Id="rId4851" Type="http://schemas.openxmlformats.org/officeDocument/2006/relationships/hyperlink" Target="https://dadosabertos.camara.leg.br/api/v2/deputados/130664" TargetMode="External"/><Relationship Id="rId5902" Type="http://schemas.openxmlformats.org/officeDocument/2006/relationships/hyperlink" Target="https://dadosabertos.camara.leg.br/api/v2/deputados/2528" TargetMode="External"/><Relationship Id="rId374" Type="http://schemas.openxmlformats.org/officeDocument/2006/relationships/hyperlink" Target="https://dadosabertos.camara.leg.br/api/v2/deputados/220600" TargetMode="External"/><Relationship Id="rId2055" Type="http://schemas.openxmlformats.org/officeDocument/2006/relationships/hyperlink" Target="https://dadosabertos.camara.leg.br/api/v2/deputados/74252" TargetMode="External"/><Relationship Id="rId3106" Type="http://schemas.openxmlformats.org/officeDocument/2006/relationships/hyperlink" Target="https://dadosabertos.camara.leg.br/api/v2/deputados/139257" TargetMode="External"/><Relationship Id="rId4504" Type="http://schemas.openxmlformats.org/officeDocument/2006/relationships/hyperlink" Target="https://dadosabertos.camara.leg.br/api/v2/deputados/131112" TargetMode="External"/><Relationship Id="rId3520" Type="http://schemas.openxmlformats.org/officeDocument/2006/relationships/hyperlink" Target="https://dadosabertos.camara.leg.br/api/v2/deputados/132070" TargetMode="External"/><Relationship Id="rId6676" Type="http://schemas.openxmlformats.org/officeDocument/2006/relationships/hyperlink" Target="https://dadosabertos.camara.leg.br/api/v2/deputados/1571" TargetMode="External"/><Relationship Id="rId7727" Type="http://schemas.openxmlformats.org/officeDocument/2006/relationships/hyperlink" Target="https://dadosabertos.camara.leg.br/api/v2/deputados/507" TargetMode="External"/><Relationship Id="rId441" Type="http://schemas.openxmlformats.org/officeDocument/2006/relationships/hyperlink" Target="https://dadosabertos.camara.leg.br/api/v2/deputados/220547" TargetMode="External"/><Relationship Id="rId1071" Type="http://schemas.openxmlformats.org/officeDocument/2006/relationships/hyperlink" Target="https://dadosabertos.camara.leg.br/api/v2/deputados/160578" TargetMode="External"/><Relationship Id="rId2122" Type="http://schemas.openxmlformats.org/officeDocument/2006/relationships/hyperlink" Target="https://dadosabertos.camara.leg.br/api/v2/deputados/74035" TargetMode="External"/><Relationship Id="rId5278" Type="http://schemas.openxmlformats.org/officeDocument/2006/relationships/hyperlink" Target="https://dadosabertos.camara.leg.br/api/v2/deputados/130350" TargetMode="External"/><Relationship Id="rId5692" Type="http://schemas.openxmlformats.org/officeDocument/2006/relationships/hyperlink" Target="https://dadosabertos.camara.leg.br/api/v2/deputados/2578" TargetMode="External"/><Relationship Id="rId6329" Type="http://schemas.openxmlformats.org/officeDocument/2006/relationships/hyperlink" Target="https://dadosabertos.camara.leg.br/api/v2/deputados/3633" TargetMode="External"/><Relationship Id="rId6743" Type="http://schemas.openxmlformats.org/officeDocument/2006/relationships/hyperlink" Target="https://dadosabertos.camara.leg.br/api/v2/deputados/1616" TargetMode="External"/><Relationship Id="rId1888" Type="http://schemas.openxmlformats.org/officeDocument/2006/relationships/hyperlink" Target="https://dadosabertos.camara.leg.br/api/v2/deputados/141549" TargetMode="External"/><Relationship Id="rId2939" Type="http://schemas.openxmlformats.org/officeDocument/2006/relationships/hyperlink" Target="https://dadosabertos.camara.leg.br/api/v2/deputados/133938" TargetMode="External"/><Relationship Id="rId4294" Type="http://schemas.openxmlformats.org/officeDocument/2006/relationships/hyperlink" Target="https://dadosabertos.camara.leg.br/api/v2/deputados/130900" TargetMode="External"/><Relationship Id="rId5345" Type="http://schemas.openxmlformats.org/officeDocument/2006/relationships/hyperlink" Target="https://dadosabertos.camara.leg.br/api/v2/deputados/2907" TargetMode="External"/><Relationship Id="rId6810" Type="http://schemas.openxmlformats.org/officeDocument/2006/relationships/hyperlink" Target="https://dadosabertos.camara.leg.br/api/v2/deputados/1624" TargetMode="External"/><Relationship Id="rId4361" Type="http://schemas.openxmlformats.org/officeDocument/2006/relationships/hyperlink" Target="https://dadosabertos.camara.leg.br/api/v2/deputados/130962" TargetMode="External"/><Relationship Id="rId5412" Type="http://schemas.openxmlformats.org/officeDocument/2006/relationships/hyperlink" Target="https://dadosabertos.camara.leg.br/api/v2/deputados/4760" TargetMode="External"/><Relationship Id="rId1955" Type="http://schemas.openxmlformats.org/officeDocument/2006/relationships/hyperlink" Target="https://dadosabertos.camara.leg.br/api/v2/deputados/74676" TargetMode="External"/><Relationship Id="rId4014" Type="http://schemas.openxmlformats.org/officeDocument/2006/relationships/hyperlink" Target="https://dadosabertos.camara.leg.br/api/v2/deputados/131147" TargetMode="External"/><Relationship Id="rId7584" Type="http://schemas.openxmlformats.org/officeDocument/2006/relationships/hyperlink" Target="https://dadosabertos.camara.leg.br/api/v2/deputados/667" TargetMode="External"/><Relationship Id="rId1608" Type="http://schemas.openxmlformats.org/officeDocument/2006/relationships/hyperlink" Target="https://dadosabertos.camara.leg.br/api/v2/deputados/172945" TargetMode="External"/><Relationship Id="rId3030" Type="http://schemas.openxmlformats.org/officeDocument/2006/relationships/hyperlink" Target="https://dadosabertos.camara.leg.br/api/v2/deputados/1511" TargetMode="External"/><Relationship Id="rId6186" Type="http://schemas.openxmlformats.org/officeDocument/2006/relationships/hyperlink" Target="https://dadosabertos.camara.leg.br/api/v2/deputados/1900" TargetMode="External"/><Relationship Id="rId7237" Type="http://schemas.openxmlformats.org/officeDocument/2006/relationships/hyperlink" Target="https://dadosabertos.camara.leg.br/api/v2/deputados/1270" TargetMode="External"/><Relationship Id="rId7651" Type="http://schemas.openxmlformats.org/officeDocument/2006/relationships/hyperlink" Target="https://dadosabertos.camara.leg.br/api/v2/deputados/388" TargetMode="External"/><Relationship Id="rId2796" Type="http://schemas.openxmlformats.org/officeDocument/2006/relationships/hyperlink" Target="https://dadosabertos.camara.leg.br/api/v2/deputados/133969" TargetMode="External"/><Relationship Id="rId3847" Type="http://schemas.openxmlformats.org/officeDocument/2006/relationships/hyperlink" Target="https://dadosabertos.camara.leg.br/api/v2/deputados/131581" TargetMode="External"/><Relationship Id="rId6253" Type="http://schemas.openxmlformats.org/officeDocument/2006/relationships/hyperlink" Target="https://dadosabertos.camara.leg.br/api/v2/deputados/2391" TargetMode="External"/><Relationship Id="rId7304" Type="http://schemas.openxmlformats.org/officeDocument/2006/relationships/hyperlink" Target="https://dadosabertos.camara.leg.br/api/v2/deputados/815" TargetMode="External"/><Relationship Id="rId768" Type="http://schemas.openxmlformats.org/officeDocument/2006/relationships/hyperlink" Target="https://flaviaarrudadf.com.br/" TargetMode="External"/><Relationship Id="rId1398" Type="http://schemas.openxmlformats.org/officeDocument/2006/relationships/hyperlink" Target="http://protogenes.blog.uol.com.br/" TargetMode="External"/><Relationship Id="rId2449" Type="http://schemas.openxmlformats.org/officeDocument/2006/relationships/hyperlink" Target="https://dadosabertos.camara.leg.br/api/v2/deputados/74113" TargetMode="External"/><Relationship Id="rId2863" Type="http://schemas.openxmlformats.org/officeDocument/2006/relationships/hyperlink" Target="https://dadosabertos.camara.leg.br/api/v2/deputados/133965" TargetMode="External"/><Relationship Id="rId3914" Type="http://schemas.openxmlformats.org/officeDocument/2006/relationships/hyperlink" Target="https://dadosabertos.camara.leg.br/api/v2/deputados/131401" TargetMode="External"/><Relationship Id="rId6320" Type="http://schemas.openxmlformats.org/officeDocument/2006/relationships/hyperlink" Target="https://dadosabertos.camara.leg.br/api/v2/deputados/2206" TargetMode="External"/><Relationship Id="rId835" Type="http://schemas.openxmlformats.org/officeDocument/2006/relationships/hyperlink" Target="https://dadosabertos.camara.leg.br/api/v2/deputados/160645" TargetMode="External"/><Relationship Id="rId1465" Type="http://schemas.openxmlformats.org/officeDocument/2006/relationships/hyperlink" Target="https://dadosabertos.camara.leg.br/api/v2/deputados/141448" TargetMode="External"/><Relationship Id="rId2516" Type="http://schemas.openxmlformats.org/officeDocument/2006/relationships/hyperlink" Target="https://dadosabertos.camara.leg.br/api/v2/deputados/74078" TargetMode="External"/><Relationship Id="rId1118" Type="http://schemas.openxmlformats.org/officeDocument/2006/relationships/hyperlink" Target="https://dadosabertos.camara.leg.br/api/v2/deputados/196378" TargetMode="External"/><Relationship Id="rId1532" Type="http://schemas.openxmlformats.org/officeDocument/2006/relationships/hyperlink" Target="https://dadosabertos.camara.leg.br/api/v2/deputados/171622" TargetMode="External"/><Relationship Id="rId2930" Type="http://schemas.openxmlformats.org/officeDocument/2006/relationships/hyperlink" Target="https://dadosabertos.camara.leg.br/api/v2/deputados/133886" TargetMode="External"/><Relationship Id="rId4688" Type="http://schemas.openxmlformats.org/officeDocument/2006/relationships/hyperlink" Target="https://dadosabertos.camara.leg.br/api/v2/deputados/130863" TargetMode="External"/><Relationship Id="rId7094" Type="http://schemas.openxmlformats.org/officeDocument/2006/relationships/hyperlink" Target="https://dadosabertos.camara.leg.br/api/v2/deputados/1106" TargetMode="External"/><Relationship Id="rId902" Type="http://schemas.openxmlformats.org/officeDocument/2006/relationships/hyperlink" Target="https://dadosabertos.camara.leg.br/api/v2/deputados/73943" TargetMode="External"/><Relationship Id="rId5739" Type="http://schemas.openxmlformats.org/officeDocument/2006/relationships/hyperlink" Target="https://dadosabertos.camara.leg.br/api/v2/deputados/4481" TargetMode="External"/><Relationship Id="rId7161" Type="http://schemas.openxmlformats.org/officeDocument/2006/relationships/hyperlink" Target="https://dadosabertos.camara.leg.br/api/v2/deputados/958" TargetMode="External"/><Relationship Id="rId4755" Type="http://schemas.openxmlformats.org/officeDocument/2006/relationships/hyperlink" Target="https://dadosabertos.camara.leg.br/api/v2/deputados/130637" TargetMode="External"/><Relationship Id="rId5806" Type="http://schemas.openxmlformats.org/officeDocument/2006/relationships/hyperlink" Target="https://dadosabertos.camara.leg.br/api/v2/deputados/130193" TargetMode="External"/><Relationship Id="rId278" Type="http://schemas.openxmlformats.org/officeDocument/2006/relationships/hyperlink" Target="https://dadosabertos.camara.leg.br/api/v2/deputados/204365" TargetMode="External"/><Relationship Id="rId3357" Type="http://schemas.openxmlformats.org/officeDocument/2006/relationships/hyperlink" Target="https://dadosabertos.camara.leg.br/api/v2/deputados/131912" TargetMode="External"/><Relationship Id="rId3771" Type="http://schemas.openxmlformats.org/officeDocument/2006/relationships/hyperlink" Target="https://dadosabertos.camara.leg.br/api/v2/deputados/131498" TargetMode="External"/><Relationship Id="rId4408" Type="http://schemas.openxmlformats.org/officeDocument/2006/relationships/hyperlink" Target="https://dadosabertos.camara.leg.br/api/v2/deputados/131010" TargetMode="External"/><Relationship Id="rId4822" Type="http://schemas.openxmlformats.org/officeDocument/2006/relationships/hyperlink" Target="https://dadosabertos.camara.leg.br/api/v2/deputados/130615" TargetMode="External"/><Relationship Id="rId7978" Type="http://schemas.openxmlformats.org/officeDocument/2006/relationships/hyperlink" Target="https://dadosabertos.camara.leg.br/api/v2/deputados/147" TargetMode="External"/><Relationship Id="rId692" Type="http://schemas.openxmlformats.org/officeDocument/2006/relationships/hyperlink" Target="https://dadosabertos.camara.leg.br/api/v2/deputados/74459" TargetMode="External"/><Relationship Id="rId2373" Type="http://schemas.openxmlformats.org/officeDocument/2006/relationships/hyperlink" Target="https://dadosabertos.camara.leg.br/api/v2/deputados/73578" TargetMode="External"/><Relationship Id="rId3424" Type="http://schemas.openxmlformats.org/officeDocument/2006/relationships/hyperlink" Target="https://dadosabertos.camara.leg.br/api/v2/deputados/131974" TargetMode="External"/><Relationship Id="rId6994" Type="http://schemas.openxmlformats.org/officeDocument/2006/relationships/hyperlink" Target="https://dadosabertos.camara.leg.br/api/v2/deputados/1185" TargetMode="External"/><Relationship Id="rId345" Type="http://schemas.openxmlformats.org/officeDocument/2006/relationships/hyperlink" Target="https://dadosabertos.camara.leg.br/api/v2/deputados/209189" TargetMode="External"/><Relationship Id="rId2026" Type="http://schemas.openxmlformats.org/officeDocument/2006/relationships/hyperlink" Target="https://dadosabertos.camara.leg.br/api/v2/deputados/74031" TargetMode="External"/><Relationship Id="rId2440" Type="http://schemas.openxmlformats.org/officeDocument/2006/relationships/hyperlink" Target="https://dadosabertos.camara.leg.br/api/v2/deputados/74007" TargetMode="External"/><Relationship Id="rId5596" Type="http://schemas.openxmlformats.org/officeDocument/2006/relationships/hyperlink" Target="https://dadosabertos.camara.leg.br/api/v2/deputados/2718" TargetMode="External"/><Relationship Id="rId6647" Type="http://schemas.openxmlformats.org/officeDocument/2006/relationships/hyperlink" Target="https://dadosabertos.camara.leg.br/api/v2/deputados/1961" TargetMode="External"/><Relationship Id="rId412" Type="http://schemas.openxmlformats.org/officeDocument/2006/relationships/hyperlink" Target="https://dadosabertos.camara.leg.br/api/v2/deputados/220636" TargetMode="External"/><Relationship Id="rId1042" Type="http://schemas.openxmlformats.org/officeDocument/2006/relationships/hyperlink" Target="https://dadosabertos.camara.leg.br/api/v2/deputados/73934" TargetMode="External"/><Relationship Id="rId4198" Type="http://schemas.openxmlformats.org/officeDocument/2006/relationships/hyperlink" Target="https://dadosabertos.camara.leg.br/api/v2/deputados/131197" TargetMode="External"/><Relationship Id="rId5249" Type="http://schemas.openxmlformats.org/officeDocument/2006/relationships/hyperlink" Target="https://dadosabertos.camara.leg.br/api/v2/deputados/2971" TargetMode="External"/><Relationship Id="rId5663" Type="http://schemas.openxmlformats.org/officeDocument/2006/relationships/hyperlink" Target="https://dadosabertos.camara.leg.br/api/v2/deputados/130236" TargetMode="External"/><Relationship Id="rId4265" Type="http://schemas.openxmlformats.org/officeDocument/2006/relationships/hyperlink" Target="https://dadosabertos.camara.leg.br/api/v2/deputados/131235" TargetMode="External"/><Relationship Id="rId5316" Type="http://schemas.openxmlformats.org/officeDocument/2006/relationships/hyperlink" Target="https://dadosabertos.camara.leg.br/api/v2/deputados/130243" TargetMode="External"/><Relationship Id="rId6714" Type="http://schemas.openxmlformats.org/officeDocument/2006/relationships/hyperlink" Target="https://dadosabertos.camara.leg.br/api/v2/deputados/1916" TargetMode="External"/><Relationship Id="rId1859" Type="http://schemas.openxmlformats.org/officeDocument/2006/relationships/hyperlink" Target="https://dadosabertos.camara.leg.br/api/v2/deputados/141538" TargetMode="External"/><Relationship Id="rId5730" Type="http://schemas.openxmlformats.org/officeDocument/2006/relationships/hyperlink" Target="https://dadosabertos.camara.leg.br/api/v2/deputados/4472" TargetMode="External"/><Relationship Id="rId1926" Type="http://schemas.openxmlformats.org/officeDocument/2006/relationships/hyperlink" Target="https://dadosabertos.camara.leg.br/api/v2/deputados/129617" TargetMode="External"/><Relationship Id="rId3281" Type="http://schemas.openxmlformats.org/officeDocument/2006/relationships/hyperlink" Target="https://dadosabertos.camara.leg.br/api/v2/deputados/131850" TargetMode="External"/><Relationship Id="rId4332" Type="http://schemas.openxmlformats.org/officeDocument/2006/relationships/hyperlink" Target="https://dadosabertos.camara.leg.br/api/v2/deputados/130938" TargetMode="External"/><Relationship Id="rId7488" Type="http://schemas.openxmlformats.org/officeDocument/2006/relationships/hyperlink" Target="https://dadosabertos.camara.leg.br/api/v2/deputados/1278" TargetMode="External"/><Relationship Id="rId7555" Type="http://schemas.openxmlformats.org/officeDocument/2006/relationships/hyperlink" Target="https://dadosabertos.camara.leg.br/api/v2/deputados/599" TargetMode="External"/><Relationship Id="rId3001" Type="http://schemas.openxmlformats.org/officeDocument/2006/relationships/hyperlink" Target="https://dadosabertos.camara.leg.br/api/v2/deputados/139166" TargetMode="External"/><Relationship Id="rId6157" Type="http://schemas.openxmlformats.org/officeDocument/2006/relationships/hyperlink" Target="https://dadosabertos.camara.leg.br/api/v2/deputados/2451" TargetMode="External"/><Relationship Id="rId6571" Type="http://schemas.openxmlformats.org/officeDocument/2006/relationships/hyperlink" Target="https://dadosabertos.camara.leg.br/api/v2/deputados/2001" TargetMode="External"/><Relationship Id="rId7208" Type="http://schemas.openxmlformats.org/officeDocument/2006/relationships/hyperlink" Target="https://dadosabertos.camara.leg.br/api/v2/deputados/964" TargetMode="External"/><Relationship Id="rId7622" Type="http://schemas.openxmlformats.org/officeDocument/2006/relationships/hyperlink" Target="https://dadosabertos.camara.leg.br/api/v2/deputados/579" TargetMode="External"/><Relationship Id="rId2767" Type="http://schemas.openxmlformats.org/officeDocument/2006/relationships/hyperlink" Target="https://dadosabertos.camara.leg.br/api/v2/deputados/133929" TargetMode="External"/><Relationship Id="rId5173" Type="http://schemas.openxmlformats.org/officeDocument/2006/relationships/hyperlink" Target="https://dadosabertos.camara.leg.br/api/v2/deputados/130365" TargetMode="External"/><Relationship Id="rId6224" Type="http://schemas.openxmlformats.org/officeDocument/2006/relationships/hyperlink" Target="https://dadosabertos.camara.leg.br/api/v2/deputados/2325" TargetMode="External"/><Relationship Id="rId739" Type="http://schemas.openxmlformats.org/officeDocument/2006/relationships/hyperlink" Target="https://dadosabertos.camara.leg.br/api/v2/deputados/141417" TargetMode="External"/><Relationship Id="rId1369" Type="http://schemas.openxmlformats.org/officeDocument/2006/relationships/hyperlink" Target="https://dadosabertos.camara.leg.br/api/v2/deputados/74321" TargetMode="External"/><Relationship Id="rId3818" Type="http://schemas.openxmlformats.org/officeDocument/2006/relationships/hyperlink" Target="https://dadosabertos.camara.leg.br/api/v2/deputados/131544" TargetMode="External"/><Relationship Id="rId5240" Type="http://schemas.openxmlformats.org/officeDocument/2006/relationships/hyperlink" Target="https://dadosabertos.camara.leg.br/api/v2/deputados/4884" TargetMode="External"/><Relationship Id="rId1783" Type="http://schemas.openxmlformats.org/officeDocument/2006/relationships/hyperlink" Target="https://dadosabertos.camara.leg.br/api/v2/deputados/160317" TargetMode="External"/><Relationship Id="rId2834" Type="http://schemas.openxmlformats.org/officeDocument/2006/relationships/hyperlink" Target="https://dadosabertos.camara.leg.br/api/v2/deputados/73822" TargetMode="External"/><Relationship Id="rId75" Type="http://schemas.openxmlformats.org/officeDocument/2006/relationships/hyperlink" Target="https://dadosabertos.camara.leg.br/api/v2/deputados/220612" TargetMode="External"/><Relationship Id="rId806" Type="http://schemas.openxmlformats.org/officeDocument/2006/relationships/hyperlink" Target="https://dadosabertos.camara.leg.br/api/v2/deputados/204429" TargetMode="External"/><Relationship Id="rId1436" Type="http://schemas.openxmlformats.org/officeDocument/2006/relationships/hyperlink" Target="https://dadosabertos.camara.leg.br/api/v2/deputados/74065" TargetMode="External"/><Relationship Id="rId1850" Type="http://schemas.openxmlformats.org/officeDocument/2006/relationships/hyperlink" Target="https://dadosabertos.camara.leg.br/api/v2/deputados/74754" TargetMode="External"/><Relationship Id="rId2901" Type="http://schemas.openxmlformats.org/officeDocument/2006/relationships/hyperlink" Target="https://dadosabertos.camara.leg.br/api/v2/deputados/133864" TargetMode="External"/><Relationship Id="rId7065" Type="http://schemas.openxmlformats.org/officeDocument/2006/relationships/hyperlink" Target="https://dadosabertos.camara.leg.br/api/v2/deputados/1083" TargetMode="External"/><Relationship Id="rId1503" Type="http://schemas.openxmlformats.org/officeDocument/2006/relationships/hyperlink" Target="https://dadosabertos.camara.leg.br/api/v2/deputados/74783" TargetMode="External"/><Relationship Id="rId4659" Type="http://schemas.openxmlformats.org/officeDocument/2006/relationships/hyperlink" Target="https://dadosabertos.camara.leg.br/api/v2/deputados/130722" TargetMode="External"/><Relationship Id="rId3675" Type="http://schemas.openxmlformats.org/officeDocument/2006/relationships/hyperlink" Target="https://dadosabertos.camara.leg.br/api/v2/deputados/131723" TargetMode="External"/><Relationship Id="rId4726" Type="http://schemas.openxmlformats.org/officeDocument/2006/relationships/hyperlink" Target="https://dadosabertos.camara.leg.br/api/v2/deputados/130510" TargetMode="External"/><Relationship Id="rId6081" Type="http://schemas.openxmlformats.org/officeDocument/2006/relationships/hyperlink" Target="https://dadosabertos.camara.leg.br/api/v2/deputados/2447" TargetMode="External"/><Relationship Id="rId7132" Type="http://schemas.openxmlformats.org/officeDocument/2006/relationships/hyperlink" Target="https://dadosabertos.camara.leg.br/api/v2/deputados/919" TargetMode="External"/><Relationship Id="rId596" Type="http://schemas.openxmlformats.org/officeDocument/2006/relationships/hyperlink" Target="https://dadosabertos.camara.leg.br/api/v2/deputados/178887" TargetMode="External"/><Relationship Id="rId2277" Type="http://schemas.openxmlformats.org/officeDocument/2006/relationships/hyperlink" Target="https://dadosabertos.camara.leg.br/api/v2/deputados/73919" TargetMode="External"/><Relationship Id="rId2691" Type="http://schemas.openxmlformats.org/officeDocument/2006/relationships/hyperlink" Target="https://dadosabertos.camara.leg.br/api/v2/deputados/73814" TargetMode="External"/><Relationship Id="rId3328" Type="http://schemas.openxmlformats.org/officeDocument/2006/relationships/hyperlink" Target="https://dadosabertos.camara.leg.br/api/v2/deputados/131886" TargetMode="External"/><Relationship Id="rId3742" Type="http://schemas.openxmlformats.org/officeDocument/2006/relationships/hyperlink" Target="https://dadosabertos.camara.leg.br/api/v2/deputados/131654" TargetMode="External"/><Relationship Id="rId6898" Type="http://schemas.openxmlformats.org/officeDocument/2006/relationships/hyperlink" Target="https://dadosabertos.camara.leg.br/api/v2/deputados/882" TargetMode="External"/><Relationship Id="rId249" Type="http://schemas.openxmlformats.org/officeDocument/2006/relationships/hyperlink" Target="https://dadosabertos.camara.leg.br/api/v2/deputados/220656" TargetMode="External"/><Relationship Id="rId663" Type="http://schemas.openxmlformats.org/officeDocument/2006/relationships/hyperlink" Target="https://dadosabertos.camara.leg.br/api/v2/deputados/204559" TargetMode="External"/><Relationship Id="rId1293" Type="http://schemas.openxmlformats.org/officeDocument/2006/relationships/hyperlink" Target="http://www.silviotorres.com.br/" TargetMode="External"/><Relationship Id="rId2344" Type="http://schemas.openxmlformats.org/officeDocument/2006/relationships/hyperlink" Target="https://dadosabertos.camara.leg.br/api/v2/deputados/74301" TargetMode="External"/><Relationship Id="rId7949" Type="http://schemas.openxmlformats.org/officeDocument/2006/relationships/hyperlink" Target="https://dadosabertos.camara.leg.br/api/v2/deputados/153" TargetMode="External"/><Relationship Id="rId316" Type="http://schemas.openxmlformats.org/officeDocument/2006/relationships/hyperlink" Target="https://dadosabertos.camara.leg.br/api/v2/deputados/230764" TargetMode="External"/><Relationship Id="rId6965" Type="http://schemas.openxmlformats.org/officeDocument/2006/relationships/hyperlink" Target="https://dadosabertos.camara.leg.br/api/v2/deputados/1088" TargetMode="External"/><Relationship Id="rId730" Type="http://schemas.openxmlformats.org/officeDocument/2006/relationships/hyperlink" Target="https://dadosabertos.camara.leg.br/api/v2/deputados/213856" TargetMode="External"/><Relationship Id="rId1013" Type="http://schemas.openxmlformats.org/officeDocument/2006/relationships/hyperlink" Target="https://dadosabertos.camara.leg.br/api/v2/deputados/178847" TargetMode="External"/><Relationship Id="rId1360" Type="http://schemas.openxmlformats.org/officeDocument/2006/relationships/hyperlink" Target="https://dadosabertos.camara.leg.br/api/v2/deputados/141390" TargetMode="External"/><Relationship Id="rId2411" Type="http://schemas.openxmlformats.org/officeDocument/2006/relationships/hyperlink" Target="https://dadosabertos.camara.leg.br/api/v2/deputados/73489" TargetMode="External"/><Relationship Id="rId4169" Type="http://schemas.openxmlformats.org/officeDocument/2006/relationships/hyperlink" Target="https://dadosabertos.camara.leg.br/api/v2/deputados/131297" TargetMode="External"/><Relationship Id="rId5567" Type="http://schemas.openxmlformats.org/officeDocument/2006/relationships/hyperlink" Target="https://dadosabertos.camara.leg.br/api/v2/deputados/4559" TargetMode="External"/><Relationship Id="rId5981" Type="http://schemas.openxmlformats.org/officeDocument/2006/relationships/hyperlink" Target="https://dadosabertos.camara.leg.br/api/v2/deputados/1954" TargetMode="External"/><Relationship Id="rId6618" Type="http://schemas.openxmlformats.org/officeDocument/2006/relationships/hyperlink" Target="https://dadosabertos.camara.leg.br/api/v2/deputados/1583" TargetMode="External"/><Relationship Id="rId4583" Type="http://schemas.openxmlformats.org/officeDocument/2006/relationships/hyperlink" Target="https://dadosabertos.camara.leg.br/api/v2/deputados/130744" TargetMode="External"/><Relationship Id="rId5634" Type="http://schemas.openxmlformats.org/officeDocument/2006/relationships/hyperlink" Target="https://dadosabertos.camara.leg.br/api/v2/deputados/4623" TargetMode="External"/><Relationship Id="rId3185" Type="http://schemas.openxmlformats.org/officeDocument/2006/relationships/hyperlink" Target="https://dadosabertos.camara.leg.br/api/v2/deputados/139325" TargetMode="External"/><Relationship Id="rId4236" Type="http://schemas.openxmlformats.org/officeDocument/2006/relationships/hyperlink" Target="https://dadosabertos.camara.leg.br/api/v2/deputados/131234" TargetMode="External"/><Relationship Id="rId4650" Type="http://schemas.openxmlformats.org/officeDocument/2006/relationships/hyperlink" Target="https://dadosabertos.camara.leg.br/api/v2/deputados/130812" TargetMode="External"/><Relationship Id="rId5701" Type="http://schemas.openxmlformats.org/officeDocument/2006/relationships/hyperlink" Target="https://dadosabertos.camara.leg.br/api/v2/deputados/4463" TargetMode="External"/><Relationship Id="rId3252" Type="http://schemas.openxmlformats.org/officeDocument/2006/relationships/hyperlink" Target="https://dadosabertos.camara.leg.br/api/v2/deputados/139382" TargetMode="External"/><Relationship Id="rId4303" Type="http://schemas.openxmlformats.org/officeDocument/2006/relationships/hyperlink" Target="https://dadosabertos.camara.leg.br/api/v2/deputados/130914" TargetMode="External"/><Relationship Id="rId7459" Type="http://schemas.openxmlformats.org/officeDocument/2006/relationships/hyperlink" Target="https://dadosabertos.camara.leg.br/api/v2/deputados/755" TargetMode="External"/><Relationship Id="rId7873" Type="http://schemas.openxmlformats.org/officeDocument/2006/relationships/hyperlink" Target="https://dadosabertos.camara.leg.br/api/v2/deputados/335" TargetMode="External"/><Relationship Id="rId173" Type="http://schemas.openxmlformats.org/officeDocument/2006/relationships/hyperlink" Target="https://dadosabertos.camara.leg.br/api/v2/deputados/220689" TargetMode="External"/><Relationship Id="rId6475" Type="http://schemas.openxmlformats.org/officeDocument/2006/relationships/hyperlink" Target="https://dadosabertos.camara.leg.br/api/v2/deputados/3766" TargetMode="External"/><Relationship Id="rId7526" Type="http://schemas.openxmlformats.org/officeDocument/2006/relationships/hyperlink" Target="https://dadosabertos.camara.leg.br/api/v2/deputados/662" TargetMode="External"/><Relationship Id="rId240" Type="http://schemas.openxmlformats.org/officeDocument/2006/relationships/hyperlink" Target="https://dadosabertos.camara.leg.br/api/v2/deputados/220653" TargetMode="External"/><Relationship Id="rId5077" Type="http://schemas.openxmlformats.org/officeDocument/2006/relationships/hyperlink" Target="https://dadosabertos.camara.leg.br/api/v2/deputados/130495" TargetMode="External"/><Relationship Id="rId6128" Type="http://schemas.openxmlformats.org/officeDocument/2006/relationships/hyperlink" Target="https://dadosabertos.camara.leg.br/api/v2/deputados/1826" TargetMode="External"/><Relationship Id="rId7940" Type="http://schemas.openxmlformats.org/officeDocument/2006/relationships/hyperlink" Target="https://dadosabertos.camara.leg.br/api/v2/deputados/184" TargetMode="External"/><Relationship Id="rId4093" Type="http://schemas.openxmlformats.org/officeDocument/2006/relationships/hyperlink" Target="https://dadosabertos.camara.leg.br/api/v2/deputados/131213" TargetMode="External"/><Relationship Id="rId5144" Type="http://schemas.openxmlformats.org/officeDocument/2006/relationships/hyperlink" Target="https://dadosabertos.camara.leg.br/api/v2/deputados/130347" TargetMode="External"/><Relationship Id="rId5491" Type="http://schemas.openxmlformats.org/officeDocument/2006/relationships/hyperlink" Target="https://dadosabertos.camara.leg.br/api/v2/deputados/2964" TargetMode="External"/><Relationship Id="rId6542" Type="http://schemas.openxmlformats.org/officeDocument/2006/relationships/hyperlink" Target="https://dadosabertos.camara.leg.br/api/v2/deputados/2052" TargetMode="External"/><Relationship Id="rId1687" Type="http://schemas.openxmlformats.org/officeDocument/2006/relationships/hyperlink" Target="https://dadosabertos.camara.leg.br/api/v2/deputados/141392" TargetMode="External"/><Relationship Id="rId2738" Type="http://schemas.openxmlformats.org/officeDocument/2006/relationships/hyperlink" Target="https://dadosabertos.camara.leg.br/api/v2/deputados/133911" TargetMode="External"/><Relationship Id="rId1754" Type="http://schemas.openxmlformats.org/officeDocument/2006/relationships/hyperlink" Target="https://dadosabertos.camara.leg.br/api/v2/deputados/74842" TargetMode="External"/><Relationship Id="rId2805" Type="http://schemas.openxmlformats.org/officeDocument/2006/relationships/hyperlink" Target="https://dadosabertos.camara.leg.br/api/v2/deputados/133933" TargetMode="External"/><Relationship Id="rId4160" Type="http://schemas.openxmlformats.org/officeDocument/2006/relationships/hyperlink" Target="https://dadosabertos.camara.leg.br/api/v2/deputados/131280" TargetMode="External"/><Relationship Id="rId5211" Type="http://schemas.openxmlformats.org/officeDocument/2006/relationships/hyperlink" Target="https://dadosabertos.camara.leg.br/api/v2/deputados/3058" TargetMode="External"/><Relationship Id="rId46" Type="http://schemas.openxmlformats.org/officeDocument/2006/relationships/hyperlink" Target="https://www.instagram.com/andreabdon_" TargetMode="External"/><Relationship Id="rId1407" Type="http://schemas.openxmlformats.org/officeDocument/2006/relationships/hyperlink" Target="https://dadosabertos.camara.leg.br/api/v2/deputados/160514" TargetMode="External"/><Relationship Id="rId1821" Type="http://schemas.openxmlformats.org/officeDocument/2006/relationships/hyperlink" Target="https://dadosabertos.camara.leg.br/api/v2/deputados/141494" TargetMode="External"/><Relationship Id="rId4977" Type="http://schemas.openxmlformats.org/officeDocument/2006/relationships/hyperlink" Target="https://dadosabertos.camara.leg.br/api/v2/deputados/130443" TargetMode="External"/><Relationship Id="rId7383" Type="http://schemas.openxmlformats.org/officeDocument/2006/relationships/hyperlink" Target="https://dadosabertos.camara.leg.br/api/v2/deputados/669" TargetMode="External"/><Relationship Id="rId3579" Type="http://schemas.openxmlformats.org/officeDocument/2006/relationships/hyperlink" Target="https://dadosabertos.camara.leg.br/api/v2/deputados/131634" TargetMode="External"/><Relationship Id="rId7036" Type="http://schemas.openxmlformats.org/officeDocument/2006/relationships/hyperlink" Target="https://dadosabertos.camara.leg.br/api/v2/deputados/845" TargetMode="External"/><Relationship Id="rId7450" Type="http://schemas.openxmlformats.org/officeDocument/2006/relationships/hyperlink" Target="https://dadosabertos.camara.leg.br/api/v2/deputados/741" TargetMode="External"/><Relationship Id="rId2595" Type="http://schemas.openxmlformats.org/officeDocument/2006/relationships/hyperlink" Target="https://dadosabertos.camara.leg.br/api/v2/deputados/74429" TargetMode="External"/><Relationship Id="rId3993" Type="http://schemas.openxmlformats.org/officeDocument/2006/relationships/hyperlink" Target="https://dadosabertos.camara.leg.br/api/v2/deputados/131479" TargetMode="External"/><Relationship Id="rId6052" Type="http://schemas.openxmlformats.org/officeDocument/2006/relationships/hyperlink" Target="https://dadosabertos.camara.leg.br/api/v2/deputados/1959" TargetMode="External"/><Relationship Id="rId7103" Type="http://schemas.openxmlformats.org/officeDocument/2006/relationships/hyperlink" Target="https://dadosabertos.camara.leg.br/api/v2/deputados/861" TargetMode="External"/><Relationship Id="rId567" Type="http://schemas.openxmlformats.org/officeDocument/2006/relationships/hyperlink" Target="https://dadosabertos.camara.leg.br/api/v2/deputados/220633" TargetMode="External"/><Relationship Id="rId1197" Type="http://schemas.openxmlformats.org/officeDocument/2006/relationships/hyperlink" Target="https://dadosabertos.camara.leg.br/api/v2/deputados/141500" TargetMode="External"/><Relationship Id="rId2248" Type="http://schemas.openxmlformats.org/officeDocument/2006/relationships/hyperlink" Target="https://dadosabertos.camara.leg.br/api/v2/deputados/73771" TargetMode="External"/><Relationship Id="rId3646" Type="http://schemas.openxmlformats.org/officeDocument/2006/relationships/hyperlink" Target="https://dadosabertos.camara.leg.br/api/v2/deputados/131697" TargetMode="External"/><Relationship Id="rId981" Type="http://schemas.openxmlformats.org/officeDocument/2006/relationships/hyperlink" Target="https://dadosabertos.camara.leg.br/api/v2/deputados/178957" TargetMode="External"/><Relationship Id="rId2662" Type="http://schemas.openxmlformats.org/officeDocument/2006/relationships/hyperlink" Target="https://dadosabertos.camara.leg.br/api/v2/deputados/133990" TargetMode="External"/><Relationship Id="rId3713" Type="http://schemas.openxmlformats.org/officeDocument/2006/relationships/hyperlink" Target="https://dadosabertos.camara.leg.br/api/v2/deputados/131772" TargetMode="External"/><Relationship Id="rId6869" Type="http://schemas.openxmlformats.org/officeDocument/2006/relationships/hyperlink" Target="https://dadosabertos.camara.leg.br/api/v2/deputados/982" TargetMode="External"/><Relationship Id="rId634" Type="http://schemas.openxmlformats.org/officeDocument/2006/relationships/hyperlink" Target="https://dadosabertos.camara.leg.br/api/v2/deputados/143084" TargetMode="External"/><Relationship Id="rId1264" Type="http://schemas.openxmlformats.org/officeDocument/2006/relationships/hyperlink" Target="https://dadosabertos.camara.leg.br/api/v2/deputados/178840" TargetMode="External"/><Relationship Id="rId2315" Type="http://schemas.openxmlformats.org/officeDocument/2006/relationships/hyperlink" Target="https://dadosabertos.camara.leg.br/api/v2/deputados/73902" TargetMode="External"/><Relationship Id="rId5885" Type="http://schemas.openxmlformats.org/officeDocument/2006/relationships/hyperlink" Target="https://dadosabertos.camara.leg.br/api/v2/deputados/4439" TargetMode="External"/><Relationship Id="rId6936" Type="http://schemas.openxmlformats.org/officeDocument/2006/relationships/hyperlink" Target="https://dadosabertos.camara.leg.br/api/v2/deputados/1259" TargetMode="External"/><Relationship Id="rId701" Type="http://schemas.openxmlformats.org/officeDocument/2006/relationships/hyperlink" Target="https://dadosabertos.camara.leg.br/api/v2/deputados/204502" TargetMode="External"/><Relationship Id="rId1331" Type="http://schemas.openxmlformats.org/officeDocument/2006/relationships/hyperlink" Target="https://dadosabertos.camara.leg.br/api/v2/deputados/73764" TargetMode="External"/><Relationship Id="rId4487" Type="http://schemas.openxmlformats.org/officeDocument/2006/relationships/hyperlink" Target="https://dadosabertos.camara.leg.br/api/v2/deputados/131101" TargetMode="External"/><Relationship Id="rId5538" Type="http://schemas.openxmlformats.org/officeDocument/2006/relationships/hyperlink" Target="https://dadosabertos.camara.leg.br/api/v2/deputados/2688" TargetMode="External"/><Relationship Id="rId5952" Type="http://schemas.openxmlformats.org/officeDocument/2006/relationships/hyperlink" Target="https://dadosabertos.camara.leg.br/api/v2/deputados/2500" TargetMode="External"/><Relationship Id="rId3089" Type="http://schemas.openxmlformats.org/officeDocument/2006/relationships/hyperlink" Target="https://dadosabertos.camara.leg.br/api/v2/deputados/139243" TargetMode="External"/><Relationship Id="rId4554" Type="http://schemas.openxmlformats.org/officeDocument/2006/relationships/hyperlink" Target="https://dadosabertos.camara.leg.br/api/v2/deputados/130724" TargetMode="External"/><Relationship Id="rId5605" Type="http://schemas.openxmlformats.org/officeDocument/2006/relationships/hyperlink" Target="https://dadosabertos.camara.leg.br/api/v2/deputados/4585" TargetMode="External"/><Relationship Id="rId3156" Type="http://schemas.openxmlformats.org/officeDocument/2006/relationships/hyperlink" Target="https://dadosabertos.camara.leg.br/api/v2/deputados/139299" TargetMode="External"/><Relationship Id="rId4207" Type="http://schemas.openxmlformats.org/officeDocument/2006/relationships/hyperlink" Target="https://dadosabertos.camara.leg.br/api/v2/deputados/131324" TargetMode="External"/><Relationship Id="rId491" Type="http://schemas.openxmlformats.org/officeDocument/2006/relationships/hyperlink" Target="https://dadosabertos.camara.leg.br/api/v2/deputados/74159" TargetMode="External"/><Relationship Id="rId2172" Type="http://schemas.openxmlformats.org/officeDocument/2006/relationships/hyperlink" Target="https://dadosabertos.camara.leg.br/api/v2/deputados/74801" TargetMode="External"/><Relationship Id="rId3223" Type="http://schemas.openxmlformats.org/officeDocument/2006/relationships/hyperlink" Target="https://dadosabertos.camara.leg.br/api/v2/deputados/139357" TargetMode="External"/><Relationship Id="rId3570" Type="http://schemas.openxmlformats.org/officeDocument/2006/relationships/hyperlink" Target="https://dadosabertos.camara.leg.br/api/v2/deputados/132107" TargetMode="External"/><Relationship Id="rId4621" Type="http://schemas.openxmlformats.org/officeDocument/2006/relationships/hyperlink" Target="https://dadosabertos.camara.leg.br/api/v2/deputados/130785" TargetMode="External"/><Relationship Id="rId6379" Type="http://schemas.openxmlformats.org/officeDocument/2006/relationships/hyperlink" Target="https://dadosabertos.camara.leg.br/api/v2/deputados/3675" TargetMode="External"/><Relationship Id="rId7777" Type="http://schemas.openxmlformats.org/officeDocument/2006/relationships/hyperlink" Target="https://dadosabertos.camara.leg.br/api/v2/deputados/150" TargetMode="External"/><Relationship Id="rId144" Type="http://schemas.openxmlformats.org/officeDocument/2006/relationships/hyperlink" Target="https://dadosabertos.camara.leg.br/api/v2/deputados/74060" TargetMode="External"/><Relationship Id="rId6793" Type="http://schemas.openxmlformats.org/officeDocument/2006/relationships/hyperlink" Target="https://dadosabertos.camara.leg.br/api/v2/deputados/1634" TargetMode="External"/><Relationship Id="rId7844" Type="http://schemas.openxmlformats.org/officeDocument/2006/relationships/hyperlink" Target="https://dadosabertos.camara.leg.br/api/v2/deputados/233" TargetMode="External"/><Relationship Id="rId2989" Type="http://schemas.openxmlformats.org/officeDocument/2006/relationships/hyperlink" Target="https://dadosabertos.camara.leg.br/api/v2/deputados/139155" TargetMode="External"/><Relationship Id="rId5395" Type="http://schemas.openxmlformats.org/officeDocument/2006/relationships/hyperlink" Target="https://dadosabertos.camara.leg.br/api/v2/deputados/130265" TargetMode="External"/><Relationship Id="rId6446" Type="http://schemas.openxmlformats.org/officeDocument/2006/relationships/hyperlink" Target="https://dadosabertos.camara.leg.br/api/v2/deputados/2131" TargetMode="External"/><Relationship Id="rId6860" Type="http://schemas.openxmlformats.org/officeDocument/2006/relationships/hyperlink" Target="https://dadosabertos.camara.leg.br/api/v2/deputados/1016" TargetMode="External"/><Relationship Id="rId7911" Type="http://schemas.openxmlformats.org/officeDocument/2006/relationships/hyperlink" Target="https://dadosabertos.camara.leg.br/api/v2/deputados/95" TargetMode="External"/><Relationship Id="rId211" Type="http://schemas.openxmlformats.org/officeDocument/2006/relationships/hyperlink" Target="https://dadosabertos.camara.leg.br/api/v2/deputados/220589" TargetMode="External"/><Relationship Id="rId5048" Type="http://schemas.openxmlformats.org/officeDocument/2006/relationships/hyperlink" Target="https://dadosabertos.camara.leg.br/api/v2/deputados/3090" TargetMode="External"/><Relationship Id="rId5462" Type="http://schemas.openxmlformats.org/officeDocument/2006/relationships/hyperlink" Target="https://dadosabertos.camara.leg.br/api/v2/deputados/2893" TargetMode="External"/><Relationship Id="rId6513" Type="http://schemas.openxmlformats.org/officeDocument/2006/relationships/hyperlink" Target="https://dadosabertos.camara.leg.br/api/v2/deputados/1944" TargetMode="External"/><Relationship Id="rId1658" Type="http://schemas.openxmlformats.org/officeDocument/2006/relationships/hyperlink" Target="https://dadosabertos.camara.leg.br/api/v2/deputados/74354" TargetMode="External"/><Relationship Id="rId2709" Type="http://schemas.openxmlformats.org/officeDocument/2006/relationships/hyperlink" Target="https://dadosabertos.camara.leg.br/api/v2/deputados/133997" TargetMode="External"/><Relationship Id="rId4064" Type="http://schemas.openxmlformats.org/officeDocument/2006/relationships/hyperlink" Target="https://dadosabertos.camara.leg.br/api/v2/deputados/131363" TargetMode="External"/><Relationship Id="rId5115" Type="http://schemas.openxmlformats.org/officeDocument/2006/relationships/hyperlink" Target="https://dadosabertos.camara.leg.br/api/v2/deputados/2972" TargetMode="External"/><Relationship Id="rId3080" Type="http://schemas.openxmlformats.org/officeDocument/2006/relationships/hyperlink" Target="https://dadosabertos.camara.leg.br/api/v2/deputados/139235" TargetMode="External"/><Relationship Id="rId4131" Type="http://schemas.openxmlformats.org/officeDocument/2006/relationships/hyperlink" Target="https://dadosabertos.camara.leg.br/api/v2/deputados/131387" TargetMode="External"/><Relationship Id="rId7287" Type="http://schemas.openxmlformats.org/officeDocument/2006/relationships/hyperlink" Target="https://dadosabertos.camara.leg.br/api/v2/deputados/978" TargetMode="External"/><Relationship Id="rId1725" Type="http://schemas.openxmlformats.org/officeDocument/2006/relationships/hyperlink" Target="https://dadosabertos.camara.leg.br/api/v2/deputados/141415" TargetMode="External"/><Relationship Id="rId7354" Type="http://schemas.openxmlformats.org/officeDocument/2006/relationships/hyperlink" Target="https://dadosabertos.camara.leg.br/api/v2/deputados/543" TargetMode="External"/><Relationship Id="rId17" Type="http://schemas.openxmlformats.org/officeDocument/2006/relationships/hyperlink" Target="https://dadosabertos.camara.leg.br/api/v2/deputados/74696" TargetMode="External"/><Relationship Id="rId3897" Type="http://schemas.openxmlformats.org/officeDocument/2006/relationships/hyperlink" Target="https://dadosabertos.camara.leg.br/api/v2/deputados/131622" TargetMode="External"/><Relationship Id="rId4948" Type="http://schemas.openxmlformats.org/officeDocument/2006/relationships/hyperlink" Target="https://dadosabertos.camara.leg.br/api/v2/deputados/130420" TargetMode="External"/><Relationship Id="rId7007" Type="http://schemas.openxmlformats.org/officeDocument/2006/relationships/hyperlink" Target="https://dadosabertos.camara.leg.br/api/v2/deputados/1159" TargetMode="External"/><Relationship Id="rId2499" Type="http://schemas.openxmlformats.org/officeDocument/2006/relationships/hyperlink" Target="https://dadosabertos.camara.leg.br/api/v2/deputados/73449" TargetMode="External"/><Relationship Id="rId3964" Type="http://schemas.openxmlformats.org/officeDocument/2006/relationships/hyperlink" Target="https://dadosabertos.camara.leg.br/api/v2/deputados/131453" TargetMode="External"/><Relationship Id="rId6370" Type="http://schemas.openxmlformats.org/officeDocument/2006/relationships/hyperlink" Target="https://dadosabertos.camara.leg.br/api/v2/deputados/2142" TargetMode="External"/><Relationship Id="rId7421" Type="http://schemas.openxmlformats.org/officeDocument/2006/relationships/hyperlink" Target="https://dadosabertos.camara.leg.br/api/v2/deputados/627" TargetMode="External"/><Relationship Id="rId1" Type="http://schemas.openxmlformats.org/officeDocument/2006/relationships/hyperlink" Target="https://dadosabertos.camara.leg.br/api/v2/deputados/220593" TargetMode="External"/><Relationship Id="rId885" Type="http://schemas.openxmlformats.org/officeDocument/2006/relationships/hyperlink" Target="https://dadosabertos.camara.leg.br/api/v2/deputados/141515" TargetMode="External"/><Relationship Id="rId2566" Type="http://schemas.openxmlformats.org/officeDocument/2006/relationships/hyperlink" Target="https://dadosabertos.camara.leg.br/api/v2/deputados/74204" TargetMode="External"/><Relationship Id="rId2980" Type="http://schemas.openxmlformats.org/officeDocument/2006/relationships/hyperlink" Target="https://dadosabertos.camara.leg.br/api/v2/deputados/139148" TargetMode="External"/><Relationship Id="rId3617" Type="http://schemas.openxmlformats.org/officeDocument/2006/relationships/hyperlink" Target="https://dadosabertos.camara.leg.br/api/v2/deputados/131742" TargetMode="External"/><Relationship Id="rId6023" Type="http://schemas.openxmlformats.org/officeDocument/2006/relationships/hyperlink" Target="https://dadosabertos.camara.leg.br/api/v2/deputados/4268" TargetMode="External"/><Relationship Id="rId538" Type="http://schemas.openxmlformats.org/officeDocument/2006/relationships/hyperlink" Target="https://dadosabertos.camara.leg.br/api/v2/deputados/226075" TargetMode="External"/><Relationship Id="rId952" Type="http://schemas.openxmlformats.org/officeDocument/2006/relationships/hyperlink" Target="https://dadosabertos.camara.leg.br/api/v2/deputados/74806" TargetMode="External"/><Relationship Id="rId1168" Type="http://schemas.openxmlformats.org/officeDocument/2006/relationships/hyperlink" Target="https://dadosabertos.camara.leg.br/api/v2/deputados/141484" TargetMode="External"/><Relationship Id="rId1582" Type="http://schemas.openxmlformats.org/officeDocument/2006/relationships/hyperlink" Target="https://dadosabertos.camara.leg.br/api/v2/deputados/160668" TargetMode="External"/><Relationship Id="rId2219" Type="http://schemas.openxmlformats.org/officeDocument/2006/relationships/hyperlink" Target="https://dadosabertos.camara.leg.br/api/v2/deputados/74678" TargetMode="External"/><Relationship Id="rId2633" Type="http://schemas.openxmlformats.org/officeDocument/2006/relationships/hyperlink" Target="https://dadosabertos.camara.leg.br/api/v2/deputados/73675" TargetMode="External"/><Relationship Id="rId5789" Type="http://schemas.openxmlformats.org/officeDocument/2006/relationships/hyperlink" Target="https://dadosabertos.camara.leg.br/api/v2/deputados/130213" TargetMode="External"/><Relationship Id="rId605" Type="http://schemas.openxmlformats.org/officeDocument/2006/relationships/hyperlink" Target="https://dadosabertos.camara.leg.br/api/v2/deputados/220621" TargetMode="External"/><Relationship Id="rId1235" Type="http://schemas.openxmlformats.org/officeDocument/2006/relationships/hyperlink" Target="https://dadosabertos.camara.leg.br/api/v2/deputados/141517" TargetMode="External"/><Relationship Id="rId1302" Type="http://schemas.openxmlformats.org/officeDocument/2006/relationships/hyperlink" Target="https://dadosabertos.camara.leg.br/api/v2/deputados/194340" TargetMode="External"/><Relationship Id="rId2700" Type="http://schemas.openxmlformats.org/officeDocument/2006/relationships/hyperlink" Target="https://dadosabertos.camara.leg.br/api/v2/deputados/73702" TargetMode="External"/><Relationship Id="rId4458" Type="http://schemas.openxmlformats.org/officeDocument/2006/relationships/hyperlink" Target="https://dadosabertos.camara.leg.br/api/v2/deputados/130940" TargetMode="External"/><Relationship Id="rId5856" Type="http://schemas.openxmlformats.org/officeDocument/2006/relationships/hyperlink" Target="https://dadosabertos.camara.leg.br/api/v2/deputados/130160" TargetMode="External"/><Relationship Id="rId6907" Type="http://schemas.openxmlformats.org/officeDocument/2006/relationships/hyperlink" Target="https://dadosabertos.camara.leg.br/api/v2/deputados/1207" TargetMode="External"/><Relationship Id="rId4872" Type="http://schemas.openxmlformats.org/officeDocument/2006/relationships/hyperlink" Target="https://dadosabertos.camara.leg.br/api/v2/deputados/130644" TargetMode="External"/><Relationship Id="rId5509" Type="http://schemas.openxmlformats.org/officeDocument/2006/relationships/hyperlink" Target="https://dadosabertos.camara.leg.br/api/v2/deputados/130281" TargetMode="External"/><Relationship Id="rId5923" Type="http://schemas.openxmlformats.org/officeDocument/2006/relationships/hyperlink" Target="https://dadosabertos.camara.leg.br/api/v2/deputados/2174" TargetMode="External"/><Relationship Id="rId395" Type="http://schemas.openxmlformats.org/officeDocument/2006/relationships/hyperlink" Target="https://dadosabertos.camara.leg.br/api/v2/deputados/227323" TargetMode="External"/><Relationship Id="rId2076" Type="http://schemas.openxmlformats.org/officeDocument/2006/relationships/hyperlink" Target="https://dadosabertos.camara.leg.br/api/v2/deputados/73548" TargetMode="External"/><Relationship Id="rId3474" Type="http://schemas.openxmlformats.org/officeDocument/2006/relationships/hyperlink" Target="https://dadosabertos.camara.leg.br/api/v2/deputados/132029" TargetMode="External"/><Relationship Id="rId4525" Type="http://schemas.openxmlformats.org/officeDocument/2006/relationships/hyperlink" Target="https://dadosabertos.camara.leg.br/api/v2/deputados/131128" TargetMode="External"/><Relationship Id="rId2490" Type="http://schemas.openxmlformats.org/officeDocument/2006/relationships/hyperlink" Target="https://dadosabertos.camara.leg.br/api/v2/deputados/74839" TargetMode="External"/><Relationship Id="rId3127" Type="http://schemas.openxmlformats.org/officeDocument/2006/relationships/hyperlink" Target="https://dadosabertos.camara.leg.br/api/v2/deputados/139276" TargetMode="External"/><Relationship Id="rId3541" Type="http://schemas.openxmlformats.org/officeDocument/2006/relationships/hyperlink" Target="https://dadosabertos.camara.leg.br/api/v2/deputados/132136" TargetMode="External"/><Relationship Id="rId6697" Type="http://schemas.openxmlformats.org/officeDocument/2006/relationships/hyperlink" Target="https://dadosabertos.camara.leg.br/api/v2/deputados/3992" TargetMode="External"/><Relationship Id="rId7748" Type="http://schemas.openxmlformats.org/officeDocument/2006/relationships/hyperlink" Target="https://dadosabertos.camara.leg.br/api/v2/deputados/157" TargetMode="External"/><Relationship Id="rId462" Type="http://schemas.openxmlformats.org/officeDocument/2006/relationships/hyperlink" Target="https://dadosabertos.camara.leg.br/api/v2/deputados/204486" TargetMode="External"/><Relationship Id="rId1092" Type="http://schemas.openxmlformats.org/officeDocument/2006/relationships/hyperlink" Target="https://dadosabertos.camara.leg.br/api/v2/deputados/178979" TargetMode="External"/><Relationship Id="rId2143" Type="http://schemas.openxmlformats.org/officeDocument/2006/relationships/hyperlink" Target="https://dadosabertos.camara.leg.br/api/v2/deputados/74184" TargetMode="External"/><Relationship Id="rId5299" Type="http://schemas.openxmlformats.org/officeDocument/2006/relationships/hyperlink" Target="https://dadosabertos.camara.leg.br/api/v2/deputados/3001" TargetMode="External"/><Relationship Id="rId6764" Type="http://schemas.openxmlformats.org/officeDocument/2006/relationships/hyperlink" Target="https://dadosabertos.camara.leg.br/api/v2/deputados/4013" TargetMode="External"/><Relationship Id="rId7815" Type="http://schemas.openxmlformats.org/officeDocument/2006/relationships/hyperlink" Target="https://dadosabertos.camara.leg.br/api/v2/deputados/400" TargetMode="External"/><Relationship Id="rId115" Type="http://schemas.openxmlformats.org/officeDocument/2006/relationships/hyperlink" Target="https://dadosabertos.camara.leg.br/api/v2/deputados/204504" TargetMode="External"/><Relationship Id="rId2210" Type="http://schemas.openxmlformats.org/officeDocument/2006/relationships/hyperlink" Target="https://dadosabertos.camara.leg.br/api/v2/deputados/73583" TargetMode="External"/><Relationship Id="rId5366" Type="http://schemas.openxmlformats.org/officeDocument/2006/relationships/hyperlink" Target="https://dadosabertos.camara.leg.br/api/v2/deputados/1788" TargetMode="External"/><Relationship Id="rId6417" Type="http://schemas.openxmlformats.org/officeDocument/2006/relationships/hyperlink" Target="https://dadosabertos.camara.leg.br/api/v2/deputados/2038" TargetMode="External"/><Relationship Id="rId4382" Type="http://schemas.openxmlformats.org/officeDocument/2006/relationships/hyperlink" Target="https://dadosabertos.camara.leg.br/api/v2/deputados/130978" TargetMode="External"/><Relationship Id="rId5019" Type="http://schemas.openxmlformats.org/officeDocument/2006/relationships/hyperlink" Target="https://dadosabertos.camara.leg.br/api/v2/deputados/130418" TargetMode="External"/><Relationship Id="rId5433" Type="http://schemas.openxmlformats.org/officeDocument/2006/relationships/hyperlink" Target="https://dadosabertos.camara.leg.br/api/v2/deputados/2220" TargetMode="External"/><Relationship Id="rId5780" Type="http://schemas.openxmlformats.org/officeDocument/2006/relationships/hyperlink" Target="https://dadosabertos.camara.leg.br/api/v2/deputados/130210" TargetMode="External"/><Relationship Id="rId6831" Type="http://schemas.openxmlformats.org/officeDocument/2006/relationships/hyperlink" Target="https://dadosabertos.camara.leg.br/api/v2/deputados/1774" TargetMode="External"/><Relationship Id="rId1976" Type="http://schemas.openxmlformats.org/officeDocument/2006/relationships/hyperlink" Target="https://dadosabertos.camara.leg.br/api/v2/deputados/74150" TargetMode="External"/><Relationship Id="rId4035" Type="http://schemas.openxmlformats.org/officeDocument/2006/relationships/hyperlink" Target="https://dadosabertos.camara.leg.br/api/v2/deputados/131165" TargetMode="External"/><Relationship Id="rId1629" Type="http://schemas.openxmlformats.org/officeDocument/2006/relationships/hyperlink" Target="https://dadosabertos.camara.leg.br/api/v2/deputados/74435" TargetMode="External"/><Relationship Id="rId5500" Type="http://schemas.openxmlformats.org/officeDocument/2006/relationships/hyperlink" Target="https://dadosabertos.camara.leg.br/api/v2/deputados/4712" TargetMode="External"/><Relationship Id="rId3051" Type="http://schemas.openxmlformats.org/officeDocument/2006/relationships/hyperlink" Target="https://dadosabertos.camara.leg.br/api/v2/deputados/139211" TargetMode="External"/><Relationship Id="rId4102" Type="http://schemas.openxmlformats.org/officeDocument/2006/relationships/hyperlink" Target="https://dadosabertos.camara.leg.br/api/v2/deputados/131228" TargetMode="External"/><Relationship Id="rId7258" Type="http://schemas.openxmlformats.org/officeDocument/2006/relationships/hyperlink" Target="https://dadosabertos.camara.leg.br/api/v2/deputados/296" TargetMode="External"/><Relationship Id="rId7672" Type="http://schemas.openxmlformats.org/officeDocument/2006/relationships/hyperlink" Target="https://dadosabertos.camara.leg.br/api/v2/deputados/309" TargetMode="External"/><Relationship Id="rId3868" Type="http://schemas.openxmlformats.org/officeDocument/2006/relationships/hyperlink" Target="https://dadosabertos.camara.leg.br/api/v2/deputados/131615" TargetMode="External"/><Relationship Id="rId4919" Type="http://schemas.openxmlformats.org/officeDocument/2006/relationships/hyperlink" Target="https://dadosabertos.camara.leg.br/api/v2/deputados/130389" TargetMode="External"/><Relationship Id="rId6274" Type="http://schemas.openxmlformats.org/officeDocument/2006/relationships/hyperlink" Target="https://dadosabertos.camara.leg.br/api/v2/deputados/2340" TargetMode="External"/><Relationship Id="rId7325" Type="http://schemas.openxmlformats.org/officeDocument/2006/relationships/hyperlink" Target="https://dadosabertos.camara.leg.br/api/v2/deputados/839" TargetMode="External"/><Relationship Id="rId789" Type="http://schemas.openxmlformats.org/officeDocument/2006/relationships/hyperlink" Target="https://dadosabertos.camara.leg.br/api/v2/deputados/204548" TargetMode="External"/><Relationship Id="rId2884" Type="http://schemas.openxmlformats.org/officeDocument/2006/relationships/hyperlink" Target="https://dadosabertos.camara.leg.br/api/v2/deputados/73845" TargetMode="External"/><Relationship Id="rId5290" Type="http://schemas.openxmlformats.org/officeDocument/2006/relationships/hyperlink" Target="https://dadosabertos.camara.leg.br/api/v2/deputados/3049" TargetMode="External"/><Relationship Id="rId6341" Type="http://schemas.openxmlformats.org/officeDocument/2006/relationships/hyperlink" Target="https://dadosabertos.camara.leg.br/api/v2/deputados/1993" TargetMode="External"/><Relationship Id="rId856" Type="http://schemas.openxmlformats.org/officeDocument/2006/relationships/hyperlink" Target="https://dadosabertos.camara.leg.br/api/v2/deputados/133373" TargetMode="External"/><Relationship Id="rId1486" Type="http://schemas.openxmlformats.org/officeDocument/2006/relationships/hyperlink" Target="https://dadosabertos.camara.leg.br/api/v2/deputados/73534" TargetMode="External"/><Relationship Id="rId2537" Type="http://schemas.openxmlformats.org/officeDocument/2006/relationships/hyperlink" Target="https://dadosabertos.camara.leg.br/api/v2/deputados/73533" TargetMode="External"/><Relationship Id="rId3935" Type="http://schemas.openxmlformats.org/officeDocument/2006/relationships/hyperlink" Target="https://dadosabertos.camara.leg.br/api/v2/deputados/131412" TargetMode="External"/><Relationship Id="rId509" Type="http://schemas.openxmlformats.org/officeDocument/2006/relationships/hyperlink" Target="https://dadosabertos.camara.leg.br/api/v2/deputados/171617" TargetMode="External"/><Relationship Id="rId1139" Type="http://schemas.openxmlformats.org/officeDocument/2006/relationships/hyperlink" Target="https://dadosabertos.camara.leg.br/api/v2/deputados/160509" TargetMode="External"/><Relationship Id="rId2951" Type="http://schemas.openxmlformats.org/officeDocument/2006/relationships/hyperlink" Target="https://dadosabertos.camara.leg.br/api/v2/deputados/73713" TargetMode="External"/><Relationship Id="rId5010" Type="http://schemas.openxmlformats.org/officeDocument/2006/relationships/hyperlink" Target="https://dadosabertos.camara.leg.br/api/v2/deputados/130471" TargetMode="External"/><Relationship Id="rId923" Type="http://schemas.openxmlformats.org/officeDocument/2006/relationships/hyperlink" Target="https://dadosabertos.camara.leg.br/api/v2/deputados/160653" TargetMode="External"/><Relationship Id="rId1553" Type="http://schemas.openxmlformats.org/officeDocument/2006/relationships/hyperlink" Target="https://dadosabertos.camara.leg.br/api/v2/deputados/141506" TargetMode="External"/><Relationship Id="rId2604" Type="http://schemas.openxmlformats.org/officeDocument/2006/relationships/hyperlink" Target="https://dadosabertos.camara.leg.br/api/v2/deputados/73762" TargetMode="External"/><Relationship Id="rId1206" Type="http://schemas.openxmlformats.org/officeDocument/2006/relationships/hyperlink" Target="https://dadosabertos.camara.leg.br/api/v2/deputados/178919" TargetMode="External"/><Relationship Id="rId1620" Type="http://schemas.openxmlformats.org/officeDocument/2006/relationships/hyperlink" Target="https://dadosabertos.camara.leg.br/api/v2/deputados/73507" TargetMode="External"/><Relationship Id="rId4776" Type="http://schemas.openxmlformats.org/officeDocument/2006/relationships/hyperlink" Target="https://dadosabertos.camara.leg.br/api/v2/deputados/130563" TargetMode="External"/><Relationship Id="rId5827" Type="http://schemas.openxmlformats.org/officeDocument/2006/relationships/hyperlink" Target="https://dadosabertos.camara.leg.br/api/v2/deputados/1554" TargetMode="External"/><Relationship Id="rId7182" Type="http://schemas.openxmlformats.org/officeDocument/2006/relationships/hyperlink" Target="https://dadosabertos.camara.leg.br/api/v2/deputados/1029" TargetMode="External"/><Relationship Id="rId3378" Type="http://schemas.openxmlformats.org/officeDocument/2006/relationships/hyperlink" Target="https://dadosabertos.camara.leg.br/api/v2/deputados/131925" TargetMode="External"/><Relationship Id="rId3792" Type="http://schemas.openxmlformats.org/officeDocument/2006/relationships/hyperlink" Target="https://dadosabertos.camara.leg.br/api/v2/deputados/131520" TargetMode="External"/><Relationship Id="rId4429" Type="http://schemas.openxmlformats.org/officeDocument/2006/relationships/hyperlink" Target="https://dadosabertos.camara.leg.br/api/v2/deputados/131047" TargetMode="External"/><Relationship Id="rId4843" Type="http://schemas.openxmlformats.org/officeDocument/2006/relationships/hyperlink" Target="https://dadosabertos.camara.leg.br/api/v2/deputados/130636" TargetMode="External"/><Relationship Id="rId299" Type="http://schemas.openxmlformats.org/officeDocument/2006/relationships/hyperlink" Target="https://dadosabertos.camara.leg.br/api/v2/deputados/178873" TargetMode="External"/><Relationship Id="rId2394" Type="http://schemas.openxmlformats.org/officeDocument/2006/relationships/hyperlink" Target="https://dadosabertos.camara.leg.br/api/v2/deputados/73687" TargetMode="External"/><Relationship Id="rId3445" Type="http://schemas.openxmlformats.org/officeDocument/2006/relationships/hyperlink" Target="https://dadosabertos.camara.leg.br/api/v2/deputados/132009" TargetMode="External"/><Relationship Id="rId366" Type="http://schemas.openxmlformats.org/officeDocument/2006/relationships/hyperlink" Target="https://dadosabertos.camara.leg.br/api/v2/deputados/208297" TargetMode="External"/><Relationship Id="rId780" Type="http://schemas.openxmlformats.org/officeDocument/2006/relationships/hyperlink" Target="https://dadosabertos.camara.leg.br/api/v2/deputados/204575" TargetMode="External"/><Relationship Id="rId2047" Type="http://schemas.openxmlformats.org/officeDocument/2006/relationships/hyperlink" Target="https://dadosabertos.camara.leg.br/api/v2/deputados/74401" TargetMode="External"/><Relationship Id="rId2461" Type="http://schemas.openxmlformats.org/officeDocument/2006/relationships/hyperlink" Target="https://dadosabertos.camara.leg.br/api/v2/deputados/74224" TargetMode="External"/><Relationship Id="rId3512" Type="http://schemas.openxmlformats.org/officeDocument/2006/relationships/hyperlink" Target="https://dadosabertos.camara.leg.br/api/v2/deputados/132058" TargetMode="External"/><Relationship Id="rId4910" Type="http://schemas.openxmlformats.org/officeDocument/2006/relationships/hyperlink" Target="https://dadosabertos.camara.leg.br/api/v2/deputados/130694" TargetMode="External"/><Relationship Id="rId6668" Type="http://schemas.openxmlformats.org/officeDocument/2006/relationships/hyperlink" Target="https://dadosabertos.camara.leg.br/api/v2/deputados/3959" TargetMode="External"/><Relationship Id="rId433" Type="http://schemas.openxmlformats.org/officeDocument/2006/relationships/hyperlink" Target="https://dadosabertos.camara.leg.br/api/v2/deputados/150418" TargetMode="External"/><Relationship Id="rId1063" Type="http://schemas.openxmlformats.org/officeDocument/2006/relationships/hyperlink" Target="http://www.twitter.com/francischini_" TargetMode="External"/><Relationship Id="rId2114" Type="http://schemas.openxmlformats.org/officeDocument/2006/relationships/hyperlink" Target="https://dadosabertos.camara.leg.br/api/v2/deputados/73672" TargetMode="External"/><Relationship Id="rId7719" Type="http://schemas.openxmlformats.org/officeDocument/2006/relationships/hyperlink" Target="https://dadosabertos.camara.leg.br/api/v2/deputados/367" TargetMode="External"/><Relationship Id="rId4286" Type="http://schemas.openxmlformats.org/officeDocument/2006/relationships/hyperlink" Target="https://dadosabertos.camara.leg.br/api/v2/deputados/130893" TargetMode="External"/><Relationship Id="rId5684" Type="http://schemas.openxmlformats.org/officeDocument/2006/relationships/hyperlink" Target="https://dadosabertos.camara.leg.br/api/v2/deputados/4445" TargetMode="External"/><Relationship Id="rId6735" Type="http://schemas.openxmlformats.org/officeDocument/2006/relationships/hyperlink" Target="https://dadosabertos.camara.leg.br/api/v2/deputados/1613" TargetMode="External"/><Relationship Id="rId500" Type="http://schemas.openxmlformats.org/officeDocument/2006/relationships/hyperlink" Target="https://dadosabertos.camara.leg.br/api/v2/deputados/230762" TargetMode="External"/><Relationship Id="rId1130" Type="http://schemas.openxmlformats.org/officeDocument/2006/relationships/hyperlink" Target="https://dadosabertos.camara.leg.br/api/v2/deputados/178967" TargetMode="External"/><Relationship Id="rId5337" Type="http://schemas.openxmlformats.org/officeDocument/2006/relationships/hyperlink" Target="https://dadosabertos.camara.leg.br/api/v2/deputados/2950" TargetMode="External"/><Relationship Id="rId5751" Type="http://schemas.openxmlformats.org/officeDocument/2006/relationships/hyperlink" Target="https://dadosabertos.camara.leg.br/api/v2/deputados/2678" TargetMode="External"/><Relationship Id="rId6802" Type="http://schemas.openxmlformats.org/officeDocument/2006/relationships/hyperlink" Target="https://dadosabertos.camara.leg.br/api/v2/deputados/1795" TargetMode="External"/><Relationship Id="rId1947" Type="http://schemas.openxmlformats.org/officeDocument/2006/relationships/hyperlink" Target="https://dadosabertos.camara.leg.br/api/v2/deputados/74030" TargetMode="External"/><Relationship Id="rId4353" Type="http://schemas.openxmlformats.org/officeDocument/2006/relationships/hyperlink" Target="https://dadosabertos.camara.leg.br/api/v2/deputados/130955" TargetMode="External"/><Relationship Id="rId5404" Type="http://schemas.openxmlformats.org/officeDocument/2006/relationships/hyperlink" Target="https://dadosabertos.camara.leg.br/api/v2/deputados/2735" TargetMode="External"/><Relationship Id="rId4006" Type="http://schemas.openxmlformats.org/officeDocument/2006/relationships/hyperlink" Target="https://dadosabertos.camara.leg.br/api/v2/deputados/131447" TargetMode="External"/><Relationship Id="rId4420" Type="http://schemas.openxmlformats.org/officeDocument/2006/relationships/hyperlink" Target="https://dadosabertos.camara.leg.br/api/v2/deputados/131039" TargetMode="External"/><Relationship Id="rId7576" Type="http://schemas.openxmlformats.org/officeDocument/2006/relationships/hyperlink" Target="https://dadosabertos.camara.leg.br/api/v2/deputados/677" TargetMode="External"/><Relationship Id="rId290" Type="http://schemas.openxmlformats.org/officeDocument/2006/relationships/hyperlink" Target="https://dadosabertos.camara.leg.br/api/v2/deputados/220639" TargetMode="External"/><Relationship Id="rId3022" Type="http://schemas.openxmlformats.org/officeDocument/2006/relationships/hyperlink" Target="https://dadosabertos.camara.leg.br/api/v2/deputados/139185" TargetMode="External"/><Relationship Id="rId6178" Type="http://schemas.openxmlformats.org/officeDocument/2006/relationships/hyperlink" Target="https://dadosabertos.camara.leg.br/api/v2/deputados/2345" TargetMode="External"/><Relationship Id="rId6592" Type="http://schemas.openxmlformats.org/officeDocument/2006/relationships/hyperlink" Target="https://dadosabertos.camara.leg.br/api/v2/deputados/1998" TargetMode="External"/><Relationship Id="rId7229" Type="http://schemas.openxmlformats.org/officeDocument/2006/relationships/hyperlink" Target="https://dadosabertos.camara.leg.br/api/v2/deputados/793" TargetMode="External"/><Relationship Id="rId7643" Type="http://schemas.openxmlformats.org/officeDocument/2006/relationships/hyperlink" Target="https://dadosabertos.camara.leg.br/api/v2/deputados/373" TargetMode="External"/><Relationship Id="rId5194" Type="http://schemas.openxmlformats.org/officeDocument/2006/relationships/hyperlink" Target="https://dadosabertos.camara.leg.br/api/v2/deputados/3142" TargetMode="External"/><Relationship Id="rId6245" Type="http://schemas.openxmlformats.org/officeDocument/2006/relationships/hyperlink" Target="https://dadosabertos.camara.leg.br/api/v2/deputados/3549" TargetMode="External"/><Relationship Id="rId2788" Type="http://schemas.openxmlformats.org/officeDocument/2006/relationships/hyperlink" Target="https://dadosabertos.camara.leg.br/api/v2/deputados/133954" TargetMode="External"/><Relationship Id="rId3839" Type="http://schemas.openxmlformats.org/officeDocument/2006/relationships/hyperlink" Target="https://dadosabertos.camara.leg.br/api/v2/deputados/131566" TargetMode="External"/><Relationship Id="rId7710" Type="http://schemas.openxmlformats.org/officeDocument/2006/relationships/hyperlink" Target="https://dadosabertos.camara.leg.br/api/v2/deputados/134" TargetMode="External"/><Relationship Id="rId2855" Type="http://schemas.openxmlformats.org/officeDocument/2006/relationships/hyperlink" Target="https://dadosabertos.camara.leg.br/api/v2/deputados/73976" TargetMode="External"/><Relationship Id="rId3906" Type="http://schemas.openxmlformats.org/officeDocument/2006/relationships/hyperlink" Target="https://dadosabertos.camara.leg.br/api/v2/deputados/131391" TargetMode="External"/><Relationship Id="rId5261" Type="http://schemas.openxmlformats.org/officeDocument/2006/relationships/hyperlink" Target="https://dadosabertos.camara.leg.br/api/v2/deputados/4898" TargetMode="External"/><Relationship Id="rId6312" Type="http://schemas.openxmlformats.org/officeDocument/2006/relationships/hyperlink" Target="https://dadosabertos.camara.leg.br/api/v2/deputados/2029" TargetMode="External"/><Relationship Id="rId96" Type="http://schemas.openxmlformats.org/officeDocument/2006/relationships/hyperlink" Target="https://dadosabertos.camara.leg.br/api/v2/deputados/204507" TargetMode="External"/><Relationship Id="rId827" Type="http://schemas.openxmlformats.org/officeDocument/2006/relationships/hyperlink" Target="https://dadosabertos.camara.leg.br/api/v2/deputados/204405" TargetMode="External"/><Relationship Id="rId1457" Type="http://schemas.openxmlformats.org/officeDocument/2006/relationships/hyperlink" Target="https://dadosabertos.camara.leg.br/api/v2/deputados/141447" TargetMode="External"/><Relationship Id="rId1871" Type="http://schemas.openxmlformats.org/officeDocument/2006/relationships/hyperlink" Target="https://dadosabertos.camara.leg.br/api/v2/deputados/74209" TargetMode="External"/><Relationship Id="rId2508" Type="http://schemas.openxmlformats.org/officeDocument/2006/relationships/hyperlink" Target="https://dadosabertos.camara.leg.br/api/v2/deputados/133783" TargetMode="External"/><Relationship Id="rId2922" Type="http://schemas.openxmlformats.org/officeDocument/2006/relationships/hyperlink" Target="https://dadosabertos.camara.leg.br/api/v2/deputados/73973" TargetMode="External"/><Relationship Id="rId1524" Type="http://schemas.openxmlformats.org/officeDocument/2006/relationships/hyperlink" Target="https://dadosabertos.camara.leg.br/api/v2/deputados/160662" TargetMode="External"/><Relationship Id="rId7086" Type="http://schemas.openxmlformats.org/officeDocument/2006/relationships/hyperlink" Target="https://dadosabertos.camara.leg.br/api/v2/deputados/857" TargetMode="External"/><Relationship Id="rId3696" Type="http://schemas.openxmlformats.org/officeDocument/2006/relationships/hyperlink" Target="https://dadosabertos.camara.leg.br/api/v2/deputados/131756" TargetMode="External"/><Relationship Id="rId4747" Type="http://schemas.openxmlformats.org/officeDocument/2006/relationships/hyperlink" Target="https://dadosabertos.camara.leg.br/api/v2/deputados/130545" TargetMode="External"/><Relationship Id="rId7153" Type="http://schemas.openxmlformats.org/officeDocument/2006/relationships/hyperlink" Target="https://dadosabertos.camara.leg.br/api/v2/deputados/984" TargetMode="External"/><Relationship Id="rId2298" Type="http://schemas.openxmlformats.org/officeDocument/2006/relationships/hyperlink" Target="https://dadosabertos.camara.leg.br/api/v2/deputados/73600" TargetMode="External"/><Relationship Id="rId3349" Type="http://schemas.openxmlformats.org/officeDocument/2006/relationships/hyperlink" Target="https://dadosabertos.camara.leg.br/api/v2/deputados/131905" TargetMode="External"/><Relationship Id="rId7220" Type="http://schemas.openxmlformats.org/officeDocument/2006/relationships/hyperlink" Target="https://dadosabertos.camara.leg.br/api/v2/deputados/1000" TargetMode="External"/><Relationship Id="rId684" Type="http://schemas.openxmlformats.org/officeDocument/2006/relationships/hyperlink" Target="https://dadosabertos.camara.leg.br/api/v2/deputados/204516" TargetMode="External"/><Relationship Id="rId2365" Type="http://schemas.openxmlformats.org/officeDocument/2006/relationships/hyperlink" Target="https://dadosabertos.camara.leg.br/api/v2/deputados/73465" TargetMode="External"/><Relationship Id="rId3763" Type="http://schemas.openxmlformats.org/officeDocument/2006/relationships/hyperlink" Target="https://dadosabertos.camara.leg.br/api/v2/deputados/131812" TargetMode="External"/><Relationship Id="rId4814" Type="http://schemas.openxmlformats.org/officeDocument/2006/relationships/hyperlink" Target="https://dadosabertos.camara.leg.br/api/v2/deputados/130607" TargetMode="External"/><Relationship Id="rId337" Type="http://schemas.openxmlformats.org/officeDocument/2006/relationships/hyperlink" Target="https://dadosabertos.camara.leg.br/api/v2/deputados/214694" TargetMode="External"/><Relationship Id="rId2018" Type="http://schemas.openxmlformats.org/officeDocument/2006/relationships/hyperlink" Target="https://dadosabertos.camara.leg.br/api/v2/deputados/74469" TargetMode="External"/><Relationship Id="rId3416" Type="http://schemas.openxmlformats.org/officeDocument/2006/relationships/hyperlink" Target="https://dadosabertos.camara.leg.br/api/v2/deputados/131964" TargetMode="External"/><Relationship Id="rId3830" Type="http://schemas.openxmlformats.org/officeDocument/2006/relationships/hyperlink" Target="https://dadosabertos.camara.leg.br/api/v2/deputados/131553" TargetMode="External"/><Relationship Id="rId6986" Type="http://schemas.openxmlformats.org/officeDocument/2006/relationships/hyperlink" Target="https://dadosabertos.camara.leg.br/api/v2/deputados/1131" TargetMode="External"/><Relationship Id="rId751" Type="http://schemas.openxmlformats.org/officeDocument/2006/relationships/hyperlink" Target="https://dadosabertos.camara.leg.br/api/v2/deputados/160532" TargetMode="External"/><Relationship Id="rId1381" Type="http://schemas.openxmlformats.org/officeDocument/2006/relationships/hyperlink" Target="https://dadosabertos.camara.leg.br/api/v2/deputados/141402" TargetMode="External"/><Relationship Id="rId2432" Type="http://schemas.openxmlformats.org/officeDocument/2006/relationships/hyperlink" Target="https://dadosabertos.camara.leg.br/api/v2/deputados/73999" TargetMode="External"/><Relationship Id="rId5588" Type="http://schemas.openxmlformats.org/officeDocument/2006/relationships/hyperlink" Target="https://dadosabertos.camara.leg.br/api/v2/deputados/130232" TargetMode="External"/><Relationship Id="rId6639" Type="http://schemas.openxmlformats.org/officeDocument/2006/relationships/hyperlink" Target="https://dadosabertos.camara.leg.br/api/v2/deputados/1945" TargetMode="External"/><Relationship Id="rId404" Type="http://schemas.openxmlformats.org/officeDocument/2006/relationships/hyperlink" Target="https://dadosabertos.camara.leg.br/api/v2/deputados/73778" TargetMode="External"/><Relationship Id="rId1034" Type="http://schemas.openxmlformats.org/officeDocument/2006/relationships/hyperlink" Target="https://www.facebook.com/Facebook/CaioNarcio" TargetMode="External"/><Relationship Id="rId5655" Type="http://schemas.openxmlformats.org/officeDocument/2006/relationships/hyperlink" Target="https://dadosabertos.camara.leg.br/api/v2/deputados/4567" TargetMode="External"/><Relationship Id="rId6706" Type="http://schemas.openxmlformats.org/officeDocument/2006/relationships/hyperlink" Target="https://dadosabertos.camara.leg.br/api/v2/deputados/1936" TargetMode="External"/><Relationship Id="rId1101" Type="http://schemas.openxmlformats.org/officeDocument/2006/relationships/hyperlink" Target="https://dadosabertos.camara.leg.br/api/v2/deputados/141441" TargetMode="External"/><Relationship Id="rId4257" Type="http://schemas.openxmlformats.org/officeDocument/2006/relationships/hyperlink" Target="https://dadosabertos.camara.leg.br/api/v2/deputados/131373" TargetMode="External"/><Relationship Id="rId4671" Type="http://schemas.openxmlformats.org/officeDocument/2006/relationships/hyperlink" Target="https://dadosabertos.camara.leg.br/api/v2/deputados/130839" TargetMode="External"/><Relationship Id="rId5308" Type="http://schemas.openxmlformats.org/officeDocument/2006/relationships/hyperlink" Target="https://dadosabertos.camara.leg.br/api/v2/deputados/130242" TargetMode="External"/><Relationship Id="rId5722" Type="http://schemas.openxmlformats.org/officeDocument/2006/relationships/hyperlink" Target="https://dadosabertos.camara.leg.br/api/v2/deputados/130176" TargetMode="External"/><Relationship Id="rId3273" Type="http://schemas.openxmlformats.org/officeDocument/2006/relationships/hyperlink" Target="https://dadosabertos.camara.leg.br/api/v2/deputados/131838" TargetMode="External"/><Relationship Id="rId4324" Type="http://schemas.openxmlformats.org/officeDocument/2006/relationships/hyperlink" Target="https://dadosabertos.camara.leg.br/api/v2/deputados/131006" TargetMode="External"/><Relationship Id="rId194" Type="http://schemas.openxmlformats.org/officeDocument/2006/relationships/hyperlink" Target="https://dadosabertos.camara.leg.br/api/v2/deputados/204518" TargetMode="External"/><Relationship Id="rId1918" Type="http://schemas.openxmlformats.org/officeDocument/2006/relationships/hyperlink" Target="https://dadosabertos.camara.leg.br/api/v2/deputados/73477" TargetMode="External"/><Relationship Id="rId6496" Type="http://schemas.openxmlformats.org/officeDocument/2006/relationships/hyperlink" Target="https://dadosabertos.camara.leg.br/api/v2/deputados/1820" TargetMode="External"/><Relationship Id="rId7894" Type="http://schemas.openxmlformats.org/officeDocument/2006/relationships/hyperlink" Target="https://dadosabertos.camara.leg.br/api/v2/deputados/248" TargetMode="External"/><Relationship Id="rId261" Type="http://schemas.openxmlformats.org/officeDocument/2006/relationships/hyperlink" Target="https://dadosabertos.camara.leg.br/api/v2/deputados/204494" TargetMode="External"/><Relationship Id="rId3340" Type="http://schemas.openxmlformats.org/officeDocument/2006/relationships/hyperlink" Target="https://dadosabertos.camara.leg.br/api/v2/deputados/131897" TargetMode="External"/><Relationship Id="rId5098" Type="http://schemas.openxmlformats.org/officeDocument/2006/relationships/hyperlink" Target="https://dadosabertos.camara.leg.br/api/v2/deputados/130295" TargetMode="External"/><Relationship Id="rId6149" Type="http://schemas.openxmlformats.org/officeDocument/2006/relationships/hyperlink" Target="https://dadosabertos.camara.leg.br/api/v2/deputados/1789" TargetMode="External"/><Relationship Id="rId7547" Type="http://schemas.openxmlformats.org/officeDocument/2006/relationships/hyperlink" Target="https://dadosabertos.camara.leg.br/api/v2/deputados/641" TargetMode="External"/><Relationship Id="rId7961" Type="http://schemas.openxmlformats.org/officeDocument/2006/relationships/hyperlink" Target="https://dadosabertos.camara.leg.br/api/v2/deputados/180" TargetMode="External"/><Relationship Id="rId6563" Type="http://schemas.openxmlformats.org/officeDocument/2006/relationships/hyperlink" Target="https://dadosabertos.camara.leg.br/api/v2/deputados/1771" TargetMode="External"/><Relationship Id="rId7614" Type="http://schemas.openxmlformats.org/officeDocument/2006/relationships/hyperlink" Target="https://dadosabertos.camara.leg.br/api/v2/deputados/251" TargetMode="External"/><Relationship Id="rId2759" Type="http://schemas.openxmlformats.org/officeDocument/2006/relationships/hyperlink" Target="https://dadosabertos.camara.leg.br/api/v2/deputados/133841" TargetMode="External"/><Relationship Id="rId5165" Type="http://schemas.openxmlformats.org/officeDocument/2006/relationships/hyperlink" Target="https://dadosabertos.camara.leg.br/api/v2/deputados/130329" TargetMode="External"/><Relationship Id="rId6216" Type="http://schemas.openxmlformats.org/officeDocument/2006/relationships/hyperlink" Target="https://dadosabertos.camara.leg.br/api/v2/deputados/2363" TargetMode="External"/><Relationship Id="rId6630" Type="http://schemas.openxmlformats.org/officeDocument/2006/relationships/hyperlink" Target="https://dadosabertos.camara.leg.br/api/v2/deputados/1969" TargetMode="External"/><Relationship Id="rId1775" Type="http://schemas.openxmlformats.org/officeDocument/2006/relationships/hyperlink" Target="https://dadosabertos.camara.leg.br/api/v2/deputados/141468" TargetMode="External"/><Relationship Id="rId2826" Type="http://schemas.openxmlformats.org/officeDocument/2006/relationships/hyperlink" Target="https://dadosabertos.camara.leg.br/api/v2/deputados/73975" TargetMode="External"/><Relationship Id="rId4181" Type="http://schemas.openxmlformats.org/officeDocument/2006/relationships/hyperlink" Target="https://dadosabertos.camara.leg.br/api/v2/deputados/131311" TargetMode="External"/><Relationship Id="rId5232" Type="http://schemas.openxmlformats.org/officeDocument/2006/relationships/hyperlink" Target="https://dadosabertos.camara.leg.br/api/v2/deputados/3059" TargetMode="External"/><Relationship Id="rId67" Type="http://schemas.openxmlformats.org/officeDocument/2006/relationships/hyperlink" Target="http://www.augustocoutinho.com.br/" TargetMode="External"/><Relationship Id="rId1428" Type="http://schemas.openxmlformats.org/officeDocument/2006/relationships/hyperlink" Target="https://dadosabertos.camara.leg.br/api/v2/deputados/74119" TargetMode="External"/><Relationship Id="rId1842" Type="http://schemas.openxmlformats.org/officeDocument/2006/relationships/hyperlink" Target="https://dadosabertos.camara.leg.br/api/v2/deputados/74005" TargetMode="External"/><Relationship Id="rId4998" Type="http://schemas.openxmlformats.org/officeDocument/2006/relationships/hyperlink" Target="https://dadosabertos.camara.leg.br/api/v2/deputados/3072" TargetMode="External"/><Relationship Id="rId7057" Type="http://schemas.openxmlformats.org/officeDocument/2006/relationships/hyperlink" Target="https://dadosabertos.camara.leg.br/api/v2/deputados/908" TargetMode="External"/><Relationship Id="rId6073" Type="http://schemas.openxmlformats.org/officeDocument/2006/relationships/hyperlink" Target="https://dadosabertos.camara.leg.br/api/v2/deputados/2361" TargetMode="External"/><Relationship Id="rId7124" Type="http://schemas.openxmlformats.org/officeDocument/2006/relationships/hyperlink" Target="https://dadosabertos.camara.leg.br/api/v2/deputados/1053" TargetMode="External"/><Relationship Id="rId7471" Type="http://schemas.openxmlformats.org/officeDocument/2006/relationships/hyperlink" Target="https://dadosabertos.camara.leg.br/api/v2/deputados/537" TargetMode="External"/><Relationship Id="rId3667" Type="http://schemas.openxmlformats.org/officeDocument/2006/relationships/hyperlink" Target="https://dadosabertos.camara.leg.br/api/v2/deputados/131716" TargetMode="External"/><Relationship Id="rId4718" Type="http://schemas.openxmlformats.org/officeDocument/2006/relationships/hyperlink" Target="https://dadosabertos.camara.leg.br/api/v2/deputados/130703" TargetMode="External"/><Relationship Id="rId588" Type="http://schemas.openxmlformats.org/officeDocument/2006/relationships/hyperlink" Target="https://dadosabertos.camara.leg.br/api/v2/deputados/204525" TargetMode="External"/><Relationship Id="rId2269" Type="http://schemas.openxmlformats.org/officeDocument/2006/relationships/hyperlink" Target="https://dadosabertos.camara.leg.br/api/v2/deputados/74362" TargetMode="External"/><Relationship Id="rId2683" Type="http://schemas.openxmlformats.org/officeDocument/2006/relationships/hyperlink" Target="https://dadosabertos.camara.leg.br/api/v2/deputados/73698" TargetMode="External"/><Relationship Id="rId3734" Type="http://schemas.openxmlformats.org/officeDocument/2006/relationships/hyperlink" Target="https://dadosabertos.camara.leg.br/api/v2/deputados/131788" TargetMode="External"/><Relationship Id="rId6140" Type="http://schemas.openxmlformats.org/officeDocument/2006/relationships/hyperlink" Target="https://dadosabertos.camara.leg.br/api/v2/deputados/2360" TargetMode="External"/><Relationship Id="rId655" Type="http://schemas.openxmlformats.org/officeDocument/2006/relationships/hyperlink" Target="https://www.instagram.com/wellingtonroberto.pb" TargetMode="External"/><Relationship Id="rId1285" Type="http://schemas.openxmlformats.org/officeDocument/2006/relationships/hyperlink" Target="https://dadosabertos.camara.leg.br/api/v2/deputados/141542" TargetMode="External"/><Relationship Id="rId2336" Type="http://schemas.openxmlformats.org/officeDocument/2006/relationships/hyperlink" Target="https://dadosabertos.camara.leg.br/api/v2/deputados/74861" TargetMode="External"/><Relationship Id="rId2750" Type="http://schemas.openxmlformats.org/officeDocument/2006/relationships/hyperlink" Target="https://dadosabertos.camara.leg.br/api/v2/deputados/133858" TargetMode="External"/><Relationship Id="rId3801" Type="http://schemas.openxmlformats.org/officeDocument/2006/relationships/hyperlink" Target="https://dadosabertos.camara.leg.br/api/v2/deputados/131527" TargetMode="External"/><Relationship Id="rId6957" Type="http://schemas.openxmlformats.org/officeDocument/2006/relationships/hyperlink" Target="https://dadosabertos.camara.leg.br/api/v2/deputados/1110" TargetMode="External"/><Relationship Id="rId308" Type="http://schemas.openxmlformats.org/officeDocument/2006/relationships/hyperlink" Target="https://dadosabertos.camara.leg.br/api/v2/deputados/178884" TargetMode="External"/><Relationship Id="rId722" Type="http://schemas.openxmlformats.org/officeDocument/2006/relationships/hyperlink" Target="https://dadosabertos.camara.leg.br/api/v2/deputados/204454" TargetMode="External"/><Relationship Id="rId1352" Type="http://schemas.openxmlformats.org/officeDocument/2006/relationships/hyperlink" Target="https://dadosabertos.camara.leg.br/api/v2/deputados/74377" TargetMode="External"/><Relationship Id="rId2403" Type="http://schemas.openxmlformats.org/officeDocument/2006/relationships/hyperlink" Target="https://dadosabertos.camara.leg.br/api/v2/deputados/73790" TargetMode="External"/><Relationship Id="rId5559" Type="http://schemas.openxmlformats.org/officeDocument/2006/relationships/hyperlink" Target="https://dadosabertos.camara.leg.br/api/v2/deputados/4548" TargetMode="External"/><Relationship Id="rId1005" Type="http://schemas.openxmlformats.org/officeDocument/2006/relationships/hyperlink" Target="https://dadosabertos.camara.leg.br/api/v2/deputados/73584" TargetMode="External"/><Relationship Id="rId4575" Type="http://schemas.openxmlformats.org/officeDocument/2006/relationships/hyperlink" Target="https://dadosabertos.camara.leg.br/api/v2/deputados/130738" TargetMode="External"/><Relationship Id="rId5973" Type="http://schemas.openxmlformats.org/officeDocument/2006/relationships/hyperlink" Target="https://dadosabertos.camara.leg.br/api/v2/deputados/4348" TargetMode="External"/><Relationship Id="rId3177" Type="http://schemas.openxmlformats.org/officeDocument/2006/relationships/hyperlink" Target="https://dadosabertos.camara.leg.br/api/v2/deputados/139319" TargetMode="External"/><Relationship Id="rId4228" Type="http://schemas.openxmlformats.org/officeDocument/2006/relationships/hyperlink" Target="https://dadosabertos.camara.leg.br/api/v2/deputados/131346" TargetMode="External"/><Relationship Id="rId5626" Type="http://schemas.openxmlformats.org/officeDocument/2006/relationships/hyperlink" Target="https://dadosabertos.camara.leg.br/api/v2/deputados/130237" TargetMode="External"/><Relationship Id="rId3591" Type="http://schemas.openxmlformats.org/officeDocument/2006/relationships/hyperlink" Target="https://dadosabertos.camara.leg.br/api/v2/deputados/131643" TargetMode="External"/><Relationship Id="rId4642" Type="http://schemas.openxmlformats.org/officeDocument/2006/relationships/hyperlink" Target="https://dadosabertos.camara.leg.br/api/v2/deputados/130824" TargetMode="External"/><Relationship Id="rId7798" Type="http://schemas.openxmlformats.org/officeDocument/2006/relationships/hyperlink" Target="https://dadosabertos.camara.leg.br/api/v2/deputados/402" TargetMode="External"/><Relationship Id="rId2193" Type="http://schemas.openxmlformats.org/officeDocument/2006/relationships/hyperlink" Target="https://dadosabertos.camara.leg.br/api/v2/deputados/74698" TargetMode="External"/><Relationship Id="rId3244" Type="http://schemas.openxmlformats.org/officeDocument/2006/relationships/hyperlink" Target="https://dadosabertos.camara.leg.br/api/v2/deputados/139374" TargetMode="External"/><Relationship Id="rId7865" Type="http://schemas.openxmlformats.org/officeDocument/2006/relationships/hyperlink" Target="https://dadosabertos.camara.leg.br/api/v2/deputados/211" TargetMode="External"/><Relationship Id="rId165" Type="http://schemas.openxmlformats.org/officeDocument/2006/relationships/hyperlink" Target="https://dadosabertos.camara.leg.br/api/v2/deputados/204512" TargetMode="External"/><Relationship Id="rId2260" Type="http://schemas.openxmlformats.org/officeDocument/2006/relationships/hyperlink" Target="https://dadosabertos.camara.leg.br/api/v2/deputados/74582" TargetMode="External"/><Relationship Id="rId3311" Type="http://schemas.openxmlformats.org/officeDocument/2006/relationships/hyperlink" Target="https://dadosabertos.camara.leg.br/api/v2/deputados/131875" TargetMode="External"/><Relationship Id="rId6467" Type="http://schemas.openxmlformats.org/officeDocument/2006/relationships/hyperlink" Target="https://dadosabertos.camara.leg.br/api/v2/deputados/2164" TargetMode="External"/><Relationship Id="rId6881" Type="http://schemas.openxmlformats.org/officeDocument/2006/relationships/hyperlink" Target="https://dadosabertos.camara.leg.br/api/v2/deputados/1232" TargetMode="External"/><Relationship Id="rId7518" Type="http://schemas.openxmlformats.org/officeDocument/2006/relationships/hyperlink" Target="https://dadosabertos.camara.leg.br/api/v2/deputados/474" TargetMode="External"/><Relationship Id="rId7932" Type="http://schemas.openxmlformats.org/officeDocument/2006/relationships/hyperlink" Target="https://dadosabertos.camara.leg.br/api/v2/deputados/259" TargetMode="External"/><Relationship Id="rId232" Type="http://schemas.openxmlformats.org/officeDocument/2006/relationships/hyperlink" Target="https://dadosabertos.camara.leg.br/api/v2/deputados/74454" TargetMode="External"/><Relationship Id="rId5069" Type="http://schemas.openxmlformats.org/officeDocument/2006/relationships/hyperlink" Target="https://dadosabertos.camara.leg.br/api/v2/deputados/3080" TargetMode="External"/><Relationship Id="rId5483" Type="http://schemas.openxmlformats.org/officeDocument/2006/relationships/hyperlink" Target="https://dadosabertos.camara.leg.br/api/v2/deputados/2852" TargetMode="External"/><Relationship Id="rId6534" Type="http://schemas.openxmlformats.org/officeDocument/2006/relationships/hyperlink" Target="https://dadosabertos.camara.leg.br/api/v2/deputados/2033" TargetMode="External"/><Relationship Id="rId1679" Type="http://schemas.openxmlformats.org/officeDocument/2006/relationships/hyperlink" Target="https://dadosabertos.camara.leg.br/api/v2/deputados/152611" TargetMode="External"/><Relationship Id="rId4085" Type="http://schemas.openxmlformats.org/officeDocument/2006/relationships/hyperlink" Target="https://dadosabertos.camara.leg.br/api/v2/deputados/131233" TargetMode="External"/><Relationship Id="rId5136" Type="http://schemas.openxmlformats.org/officeDocument/2006/relationships/hyperlink" Target="https://dadosabertos.camara.leg.br/api/v2/deputados/130361" TargetMode="External"/><Relationship Id="rId4152" Type="http://schemas.openxmlformats.org/officeDocument/2006/relationships/hyperlink" Target="https://dadosabertos.camara.leg.br/api/v2/deputados/131287" TargetMode="External"/><Relationship Id="rId5203" Type="http://schemas.openxmlformats.org/officeDocument/2006/relationships/hyperlink" Target="https://dadosabertos.camara.leg.br/api/v2/deputados/4866" TargetMode="External"/><Relationship Id="rId5550" Type="http://schemas.openxmlformats.org/officeDocument/2006/relationships/hyperlink" Target="https://dadosabertos.camara.leg.br/api/v2/deputados/2481" TargetMode="External"/><Relationship Id="rId6601" Type="http://schemas.openxmlformats.org/officeDocument/2006/relationships/hyperlink" Target="https://dadosabertos.camara.leg.br/api/v2/deputados/1849" TargetMode="External"/><Relationship Id="rId1746" Type="http://schemas.openxmlformats.org/officeDocument/2006/relationships/hyperlink" Target="https://dadosabertos.camara.leg.br/api/v2/deputados/74099" TargetMode="External"/><Relationship Id="rId38" Type="http://schemas.openxmlformats.org/officeDocument/2006/relationships/hyperlink" Target="https://dadosabertos.camara.leg.br/api/v2/deputados/220707" TargetMode="External"/><Relationship Id="rId1813" Type="http://schemas.openxmlformats.org/officeDocument/2006/relationships/hyperlink" Target="https://dadosabertos.camara.leg.br/api/v2/deputados/74397" TargetMode="External"/><Relationship Id="rId4969" Type="http://schemas.openxmlformats.org/officeDocument/2006/relationships/hyperlink" Target="https://dadosabertos.camara.leg.br/api/v2/deputados/130437" TargetMode="External"/><Relationship Id="rId7375" Type="http://schemas.openxmlformats.org/officeDocument/2006/relationships/hyperlink" Target="https://dadosabertos.camara.leg.br/api/v2/deputados/779" TargetMode="External"/><Relationship Id="rId3985" Type="http://schemas.openxmlformats.org/officeDocument/2006/relationships/hyperlink" Target="https://dadosabertos.camara.leg.br/api/v2/deputados/131474" TargetMode="External"/><Relationship Id="rId6391" Type="http://schemas.openxmlformats.org/officeDocument/2006/relationships/hyperlink" Target="https://dadosabertos.camara.leg.br/api/v2/deputados/2228" TargetMode="External"/><Relationship Id="rId7028" Type="http://schemas.openxmlformats.org/officeDocument/2006/relationships/hyperlink" Target="https://dadosabertos.camara.leg.br/api/v2/deputados/1176" TargetMode="External"/><Relationship Id="rId7442" Type="http://schemas.openxmlformats.org/officeDocument/2006/relationships/hyperlink" Target="https://dadosabertos.camara.leg.br/api/v2/deputados/681" TargetMode="External"/><Relationship Id="rId2587" Type="http://schemas.openxmlformats.org/officeDocument/2006/relationships/hyperlink" Target="https://dadosabertos.camara.leg.br/api/v2/deputados/74522" TargetMode="External"/><Relationship Id="rId3638" Type="http://schemas.openxmlformats.org/officeDocument/2006/relationships/hyperlink" Target="https://dadosabertos.camara.leg.br/api/v2/deputados/131692" TargetMode="External"/><Relationship Id="rId6044" Type="http://schemas.openxmlformats.org/officeDocument/2006/relationships/hyperlink" Target="https://dadosabertos.camara.leg.br/api/v2/deputados/2254" TargetMode="External"/><Relationship Id="rId559" Type="http://schemas.openxmlformats.org/officeDocument/2006/relationships/hyperlink" Target="https://dadosabertos.camara.leg.br/api/v2/deputados/73801" TargetMode="External"/><Relationship Id="rId1189" Type="http://schemas.openxmlformats.org/officeDocument/2006/relationships/hyperlink" Target="https://dadosabertos.camara.leg.br/api/v2/deputados/178899" TargetMode="External"/><Relationship Id="rId5060" Type="http://schemas.openxmlformats.org/officeDocument/2006/relationships/hyperlink" Target="https://dadosabertos.camara.leg.br/api/v2/deputados/3105" TargetMode="External"/><Relationship Id="rId6111" Type="http://schemas.openxmlformats.org/officeDocument/2006/relationships/hyperlink" Target="https://dadosabertos.camara.leg.br/api/v2/deputados/2407" TargetMode="External"/><Relationship Id="rId626" Type="http://schemas.openxmlformats.org/officeDocument/2006/relationships/hyperlink" Target="https://dadosabertos.camara.leg.br/api/v2/deputados/204534" TargetMode="External"/><Relationship Id="rId973" Type="http://schemas.openxmlformats.org/officeDocument/2006/relationships/hyperlink" Target="https://dadosabertos.camara.leg.br/api/v2/deputados/204532" TargetMode="External"/><Relationship Id="rId1256" Type="http://schemas.openxmlformats.org/officeDocument/2006/relationships/hyperlink" Target="http://www.ricardotripoli.com.br/" TargetMode="External"/><Relationship Id="rId2307" Type="http://schemas.openxmlformats.org/officeDocument/2006/relationships/hyperlink" Target="https://dadosabertos.camara.leg.br/api/v2/deputados/74326" TargetMode="External"/><Relationship Id="rId2654" Type="http://schemas.openxmlformats.org/officeDocument/2006/relationships/hyperlink" Target="https://dadosabertos.camara.leg.br/api/v2/deputados/74104" TargetMode="External"/><Relationship Id="rId3705" Type="http://schemas.openxmlformats.org/officeDocument/2006/relationships/hyperlink" Target="https://dadosabertos.camara.leg.br/api/v2/deputados/131763" TargetMode="External"/><Relationship Id="rId1670" Type="http://schemas.openxmlformats.org/officeDocument/2006/relationships/hyperlink" Target="https://dadosabertos.camara.leg.br/api/v2/deputados/74018" TargetMode="External"/><Relationship Id="rId2721" Type="http://schemas.openxmlformats.org/officeDocument/2006/relationships/hyperlink" Target="https://dadosabertos.camara.leg.br/api/v2/deputados/73703" TargetMode="External"/><Relationship Id="rId5877" Type="http://schemas.openxmlformats.org/officeDocument/2006/relationships/hyperlink" Target="https://dadosabertos.camara.leg.br/api/v2/deputados/4414" TargetMode="External"/><Relationship Id="rId6928" Type="http://schemas.openxmlformats.org/officeDocument/2006/relationships/hyperlink" Target="https://dadosabertos.camara.leg.br/api/v2/deputados/1267" TargetMode="External"/><Relationship Id="rId1323" Type="http://schemas.openxmlformats.org/officeDocument/2006/relationships/hyperlink" Target="https://dadosabertos.camara.leg.br/api/v2/deputados/160636" TargetMode="External"/><Relationship Id="rId4479" Type="http://schemas.openxmlformats.org/officeDocument/2006/relationships/hyperlink" Target="https://dadosabertos.camara.leg.br/api/v2/deputados/131058" TargetMode="External"/><Relationship Id="rId4893" Type="http://schemas.openxmlformats.org/officeDocument/2006/relationships/hyperlink" Target="https://dadosabertos.camara.leg.br/api/v2/deputados/130685" TargetMode="External"/><Relationship Id="rId5944" Type="http://schemas.openxmlformats.org/officeDocument/2006/relationships/hyperlink" Target="https://dadosabertos.camara.leg.br/api/v2/deputados/2593" TargetMode="External"/><Relationship Id="rId3495" Type="http://schemas.openxmlformats.org/officeDocument/2006/relationships/hyperlink" Target="https://dadosabertos.camara.leg.br/api/v2/deputados/132044" TargetMode="External"/><Relationship Id="rId4546" Type="http://schemas.openxmlformats.org/officeDocument/2006/relationships/hyperlink" Target="https://dadosabertos.camara.leg.br/api/v2/deputados/130709" TargetMode="External"/><Relationship Id="rId4960" Type="http://schemas.openxmlformats.org/officeDocument/2006/relationships/hyperlink" Target="https://dadosabertos.camara.leg.br/api/v2/deputados/130427" TargetMode="External"/><Relationship Id="rId2097" Type="http://schemas.openxmlformats.org/officeDocument/2006/relationships/hyperlink" Target="https://dadosabertos.camara.leg.br/api/v2/deputados/74790" TargetMode="External"/><Relationship Id="rId3148" Type="http://schemas.openxmlformats.org/officeDocument/2006/relationships/hyperlink" Target="https://dadosabertos.camara.leg.br/api/v2/deputados/1542" TargetMode="External"/><Relationship Id="rId3562" Type="http://schemas.openxmlformats.org/officeDocument/2006/relationships/hyperlink" Target="https://dadosabertos.camara.leg.br/api/v2/deputados/132101" TargetMode="External"/><Relationship Id="rId4613" Type="http://schemas.openxmlformats.org/officeDocument/2006/relationships/hyperlink" Target="https://dadosabertos.camara.leg.br/api/v2/deputados/130776" TargetMode="External"/><Relationship Id="rId7769" Type="http://schemas.openxmlformats.org/officeDocument/2006/relationships/hyperlink" Target="https://dadosabertos.camara.leg.br/api/v2/deputados/445" TargetMode="External"/><Relationship Id="rId483" Type="http://schemas.openxmlformats.org/officeDocument/2006/relationships/hyperlink" Target="https://dadosabertos.camara.leg.br/api/v2/deputados/220703" TargetMode="External"/><Relationship Id="rId2164" Type="http://schemas.openxmlformats.org/officeDocument/2006/relationships/hyperlink" Target="https://dadosabertos.camara.leg.br/api/v2/deputados/74259" TargetMode="External"/><Relationship Id="rId3215" Type="http://schemas.openxmlformats.org/officeDocument/2006/relationships/hyperlink" Target="https://dadosabertos.camara.leg.br/api/v2/deputados/139349" TargetMode="External"/><Relationship Id="rId6785" Type="http://schemas.openxmlformats.org/officeDocument/2006/relationships/hyperlink" Target="https://dadosabertos.camara.leg.br/api/v2/deputados/4055" TargetMode="External"/><Relationship Id="rId136" Type="http://schemas.openxmlformats.org/officeDocument/2006/relationships/hyperlink" Target="https://dadosabertos.camara.leg.br/api/v2/deputados/141411" TargetMode="External"/><Relationship Id="rId550" Type="http://schemas.openxmlformats.org/officeDocument/2006/relationships/hyperlink" Target="https://dadosabertos.camara.leg.br/api/v2/deputados/74084" TargetMode="External"/><Relationship Id="rId1180" Type="http://schemas.openxmlformats.org/officeDocument/2006/relationships/hyperlink" Target="https://dadosabertos.camara.leg.br/api/v2/deputados/160633" TargetMode="External"/><Relationship Id="rId2231" Type="http://schemas.openxmlformats.org/officeDocument/2006/relationships/hyperlink" Target="https://dadosabertos.camara.leg.br/api/v2/deputados/73448" TargetMode="External"/><Relationship Id="rId5387" Type="http://schemas.openxmlformats.org/officeDocument/2006/relationships/hyperlink" Target="https://dadosabertos.camara.leg.br/api/v2/deputados/2916" TargetMode="External"/><Relationship Id="rId6438" Type="http://schemas.openxmlformats.org/officeDocument/2006/relationships/hyperlink" Target="https://dadosabertos.camara.leg.br/api/v2/deputados/2181" TargetMode="External"/><Relationship Id="rId7836" Type="http://schemas.openxmlformats.org/officeDocument/2006/relationships/hyperlink" Target="https://dadosabertos.camara.leg.br/api/v2/deputados/201" TargetMode="External"/><Relationship Id="rId203" Type="http://schemas.openxmlformats.org/officeDocument/2006/relationships/hyperlink" Target="https://dadosabertos.camara.leg.br/api/v2/deputados/230088" TargetMode="External"/><Relationship Id="rId6852" Type="http://schemas.openxmlformats.org/officeDocument/2006/relationships/hyperlink" Target="https://dadosabertos.camara.leg.br/api/v2/deputados/1138" TargetMode="External"/><Relationship Id="rId7903" Type="http://schemas.openxmlformats.org/officeDocument/2006/relationships/hyperlink" Target="https://dadosabertos.camara.leg.br/api/v2/deputados/142" TargetMode="External"/><Relationship Id="rId1997" Type="http://schemas.openxmlformats.org/officeDocument/2006/relationships/hyperlink" Target="https://dadosabertos.camara.leg.br/api/v2/deputados/74771" TargetMode="External"/><Relationship Id="rId4056" Type="http://schemas.openxmlformats.org/officeDocument/2006/relationships/hyperlink" Target="https://dadosabertos.camara.leg.br/api/v2/deputados/131194" TargetMode="External"/><Relationship Id="rId5454" Type="http://schemas.openxmlformats.org/officeDocument/2006/relationships/hyperlink" Target="https://dadosabertos.camara.leg.br/api/v2/deputados/4803" TargetMode="External"/><Relationship Id="rId6505" Type="http://schemas.openxmlformats.org/officeDocument/2006/relationships/hyperlink" Target="https://dadosabertos.camara.leg.br/api/v2/deputados/2095" TargetMode="External"/><Relationship Id="rId4470" Type="http://schemas.openxmlformats.org/officeDocument/2006/relationships/hyperlink" Target="https://dadosabertos.camara.leg.br/api/v2/deputados/131062" TargetMode="External"/><Relationship Id="rId5107" Type="http://schemas.openxmlformats.org/officeDocument/2006/relationships/hyperlink" Target="https://dadosabertos.camara.leg.br/api/v2/deputados/2966" TargetMode="External"/><Relationship Id="rId5521" Type="http://schemas.openxmlformats.org/officeDocument/2006/relationships/hyperlink" Target="https://dadosabertos.camara.leg.br/api/v2/deputados/2470" TargetMode="External"/><Relationship Id="rId1717" Type="http://schemas.openxmlformats.org/officeDocument/2006/relationships/hyperlink" Target="https://dadosabertos.camara.leg.br/api/v2/deputados/141407" TargetMode="External"/><Relationship Id="rId3072" Type="http://schemas.openxmlformats.org/officeDocument/2006/relationships/hyperlink" Target="https://dadosabertos.camara.leg.br/api/v2/deputados/139228" TargetMode="External"/><Relationship Id="rId4123" Type="http://schemas.openxmlformats.org/officeDocument/2006/relationships/hyperlink" Target="https://dadosabertos.camara.leg.br/api/v2/deputados/131249" TargetMode="External"/><Relationship Id="rId7279" Type="http://schemas.openxmlformats.org/officeDocument/2006/relationships/hyperlink" Target="https://dadosabertos.camara.leg.br/api/v2/deputados/933" TargetMode="External"/><Relationship Id="rId7693" Type="http://schemas.openxmlformats.org/officeDocument/2006/relationships/hyperlink" Target="https://dadosabertos.camara.leg.br/api/v2/deputados/173" TargetMode="External"/><Relationship Id="rId3889" Type="http://schemas.openxmlformats.org/officeDocument/2006/relationships/hyperlink" Target="https://dadosabertos.camara.leg.br/api/v2/deputados/131614" TargetMode="External"/><Relationship Id="rId6295" Type="http://schemas.openxmlformats.org/officeDocument/2006/relationships/hyperlink" Target="https://dadosabertos.camara.leg.br/api/v2/deputados/3588" TargetMode="External"/><Relationship Id="rId7346" Type="http://schemas.openxmlformats.org/officeDocument/2006/relationships/hyperlink" Target="https://dadosabertos.camara.leg.br/api/v2/deputados/913" TargetMode="External"/><Relationship Id="rId6362" Type="http://schemas.openxmlformats.org/officeDocument/2006/relationships/hyperlink" Target="https://dadosabertos.camara.leg.br/api/v2/deputados/3684" TargetMode="External"/><Relationship Id="rId7413" Type="http://schemas.openxmlformats.org/officeDocument/2006/relationships/hyperlink" Target="https://dadosabertos.camara.leg.br/api/v2/deputados/786" TargetMode="External"/><Relationship Id="rId7760" Type="http://schemas.openxmlformats.org/officeDocument/2006/relationships/hyperlink" Target="https://dadosabertos.camara.leg.br/api/v2/deputados/442" TargetMode="External"/><Relationship Id="rId3956" Type="http://schemas.openxmlformats.org/officeDocument/2006/relationships/hyperlink" Target="https://dadosabertos.camara.leg.br/api/v2/deputados/131439" TargetMode="External"/><Relationship Id="rId6015" Type="http://schemas.openxmlformats.org/officeDocument/2006/relationships/hyperlink" Target="https://dadosabertos.camara.leg.br/api/v2/deputados/1949" TargetMode="External"/><Relationship Id="rId877" Type="http://schemas.openxmlformats.org/officeDocument/2006/relationships/hyperlink" Target="https://dadosabertos.camara.leg.br/api/v2/deputados/74352" TargetMode="External"/><Relationship Id="rId2558" Type="http://schemas.openxmlformats.org/officeDocument/2006/relationships/hyperlink" Target="https://dadosabertos.camara.leg.br/api/v2/deputados/74857" TargetMode="External"/><Relationship Id="rId2972" Type="http://schemas.openxmlformats.org/officeDocument/2006/relationships/hyperlink" Target="https://dadosabertos.camara.leg.br/api/v2/deputados/1519" TargetMode="External"/><Relationship Id="rId3609" Type="http://schemas.openxmlformats.org/officeDocument/2006/relationships/hyperlink" Target="https://dadosabertos.camara.leg.br/api/v2/deputados/131665" TargetMode="External"/><Relationship Id="rId944" Type="http://schemas.openxmlformats.org/officeDocument/2006/relationships/hyperlink" Target="https://dadosabertos.camara.leg.br/api/v2/deputados/204438" TargetMode="External"/><Relationship Id="rId1574" Type="http://schemas.openxmlformats.org/officeDocument/2006/relationships/hyperlink" Target="http://www.facebook.com/deputadoonofre" TargetMode="External"/><Relationship Id="rId2625" Type="http://schemas.openxmlformats.org/officeDocument/2006/relationships/hyperlink" Target="https://dadosabertos.camara.leg.br/api/v2/deputados/73419" TargetMode="External"/><Relationship Id="rId5031" Type="http://schemas.openxmlformats.org/officeDocument/2006/relationships/hyperlink" Target="https://dadosabertos.camara.leg.br/api/v2/deputados/4919" TargetMode="External"/><Relationship Id="rId1227" Type="http://schemas.openxmlformats.org/officeDocument/2006/relationships/hyperlink" Target="https://dadosabertos.camara.leg.br/api/v2/deputados/166401" TargetMode="External"/><Relationship Id="rId1641" Type="http://schemas.openxmlformats.org/officeDocument/2006/relationships/hyperlink" Target="https://dadosabertos.camara.leg.br/api/v2/deputados/167617" TargetMode="External"/><Relationship Id="rId4797" Type="http://schemas.openxmlformats.org/officeDocument/2006/relationships/hyperlink" Target="https://dadosabertos.camara.leg.br/api/v2/deputados/130573" TargetMode="External"/><Relationship Id="rId5848" Type="http://schemas.openxmlformats.org/officeDocument/2006/relationships/hyperlink" Target="https://dadosabertos.camara.leg.br/api/v2/deputados/2604" TargetMode="External"/><Relationship Id="rId3399" Type="http://schemas.openxmlformats.org/officeDocument/2006/relationships/hyperlink" Target="https://dadosabertos.camara.leg.br/api/v2/deputados/131941" TargetMode="External"/><Relationship Id="rId4864" Type="http://schemas.openxmlformats.org/officeDocument/2006/relationships/hyperlink" Target="https://dadosabertos.camara.leg.br/api/v2/deputados/130620" TargetMode="External"/><Relationship Id="rId7270" Type="http://schemas.openxmlformats.org/officeDocument/2006/relationships/hyperlink" Target="https://dadosabertos.camara.leg.br/api/v2/deputados/438" TargetMode="External"/><Relationship Id="rId3466" Type="http://schemas.openxmlformats.org/officeDocument/2006/relationships/hyperlink" Target="https://dadosabertos.camara.leg.br/api/v2/deputados/131987" TargetMode="External"/><Relationship Id="rId4517" Type="http://schemas.openxmlformats.org/officeDocument/2006/relationships/hyperlink" Target="https://dadosabertos.camara.leg.br/api/v2/deputados/130966" TargetMode="External"/><Relationship Id="rId5915" Type="http://schemas.openxmlformats.org/officeDocument/2006/relationships/hyperlink" Target="https://dadosabertos.camara.leg.br/api/v2/deputados/2506" TargetMode="External"/><Relationship Id="rId387" Type="http://schemas.openxmlformats.org/officeDocument/2006/relationships/hyperlink" Target="https://dadosabertos.camara.leg.br/api/v2/deputados/204404" TargetMode="External"/><Relationship Id="rId2068" Type="http://schemas.openxmlformats.org/officeDocument/2006/relationships/hyperlink" Target="https://dadosabertos.camara.leg.br/api/v2/deputados/74521" TargetMode="External"/><Relationship Id="rId3119" Type="http://schemas.openxmlformats.org/officeDocument/2006/relationships/hyperlink" Target="https://dadosabertos.camara.leg.br/api/v2/deputados/139269" TargetMode="External"/><Relationship Id="rId3880" Type="http://schemas.openxmlformats.org/officeDocument/2006/relationships/hyperlink" Target="https://dadosabertos.camara.leg.br/api/v2/deputados/131608" TargetMode="External"/><Relationship Id="rId4931" Type="http://schemas.openxmlformats.org/officeDocument/2006/relationships/hyperlink" Target="https://dadosabertos.camara.leg.br/api/v2/deputados/130400" TargetMode="External"/><Relationship Id="rId1084" Type="http://schemas.openxmlformats.org/officeDocument/2006/relationships/hyperlink" Target="https://dadosabertos.camara.leg.br/api/v2/deputados/190149" TargetMode="External"/><Relationship Id="rId2482" Type="http://schemas.openxmlformats.org/officeDocument/2006/relationships/hyperlink" Target="https://dadosabertos.camara.leg.br/api/v2/deputados/74215" TargetMode="External"/><Relationship Id="rId3533" Type="http://schemas.openxmlformats.org/officeDocument/2006/relationships/hyperlink" Target="https://dadosabertos.camara.leg.br/api/v2/deputados/131993" TargetMode="External"/><Relationship Id="rId6689" Type="http://schemas.openxmlformats.org/officeDocument/2006/relationships/hyperlink" Target="https://dadosabertos.camara.leg.br/api/v2/deputados/1791" TargetMode="External"/><Relationship Id="rId107" Type="http://schemas.openxmlformats.org/officeDocument/2006/relationships/hyperlink" Target="https://dadosabertos.camara.leg.br/api/v2/deputados/220704" TargetMode="External"/><Relationship Id="rId454" Type="http://schemas.openxmlformats.org/officeDocument/2006/relationships/hyperlink" Target="https://dadosabertos.camara.leg.br/api/v2/deputados/204566" TargetMode="External"/><Relationship Id="rId2135" Type="http://schemas.openxmlformats.org/officeDocument/2006/relationships/hyperlink" Target="https://dadosabertos.camara.leg.br/api/v2/deputados/74051" TargetMode="External"/><Relationship Id="rId3600" Type="http://schemas.openxmlformats.org/officeDocument/2006/relationships/hyperlink" Target="https://dadosabertos.camara.leg.br/api/v2/deputados/131657" TargetMode="External"/><Relationship Id="rId6756" Type="http://schemas.openxmlformats.org/officeDocument/2006/relationships/hyperlink" Target="https://dadosabertos.camara.leg.br/api/v2/deputados/1677" TargetMode="External"/><Relationship Id="rId7807" Type="http://schemas.openxmlformats.org/officeDocument/2006/relationships/hyperlink" Target="https://dadosabertos.camara.leg.br/api/v2/deputados/357" TargetMode="External"/><Relationship Id="rId521" Type="http://schemas.openxmlformats.org/officeDocument/2006/relationships/hyperlink" Target="https://dadosabertos.camara.leg.br/api/v2/deputados/74574" TargetMode="External"/><Relationship Id="rId1151" Type="http://schemas.openxmlformats.org/officeDocument/2006/relationships/hyperlink" Target="https://dadosabertos.camara.leg.br/api/v2/deputados/67312" TargetMode="External"/><Relationship Id="rId2202" Type="http://schemas.openxmlformats.org/officeDocument/2006/relationships/hyperlink" Target="https://dadosabertos.camara.leg.br/api/v2/deputados/74217" TargetMode="External"/><Relationship Id="rId5358" Type="http://schemas.openxmlformats.org/officeDocument/2006/relationships/hyperlink" Target="https://dadosabertos.camara.leg.br/api/v2/deputados/130249" TargetMode="External"/><Relationship Id="rId5772" Type="http://schemas.openxmlformats.org/officeDocument/2006/relationships/hyperlink" Target="https://dadosabertos.camara.leg.br/api/v2/deputados/4512" TargetMode="External"/><Relationship Id="rId6409" Type="http://schemas.openxmlformats.org/officeDocument/2006/relationships/hyperlink" Target="https://dadosabertos.camara.leg.br/api/v2/deputados/2202" TargetMode="External"/><Relationship Id="rId6823" Type="http://schemas.openxmlformats.org/officeDocument/2006/relationships/hyperlink" Target="https://dadosabertos.camara.leg.br/api/v2/deputados/1779" TargetMode="External"/><Relationship Id="rId1968" Type="http://schemas.openxmlformats.org/officeDocument/2006/relationships/hyperlink" Target="https://dadosabertos.camara.leg.br/api/v2/deputados/73923" TargetMode="External"/><Relationship Id="rId4374" Type="http://schemas.openxmlformats.org/officeDocument/2006/relationships/hyperlink" Target="https://dadosabertos.camara.leg.br/api/v2/deputados/130973" TargetMode="External"/><Relationship Id="rId5425" Type="http://schemas.openxmlformats.org/officeDocument/2006/relationships/hyperlink" Target="https://dadosabertos.camara.leg.br/api/v2/deputados/4774" TargetMode="External"/><Relationship Id="rId3390" Type="http://schemas.openxmlformats.org/officeDocument/2006/relationships/hyperlink" Target="https://dadosabertos.camara.leg.br/api/v2/deputados/131936" TargetMode="External"/><Relationship Id="rId4027" Type="http://schemas.openxmlformats.org/officeDocument/2006/relationships/hyperlink" Target="https://dadosabertos.camara.leg.br/api/v2/deputados/131160" TargetMode="External"/><Relationship Id="rId4441" Type="http://schemas.openxmlformats.org/officeDocument/2006/relationships/hyperlink" Target="https://dadosabertos.camara.leg.br/api/v2/deputados/131053" TargetMode="External"/><Relationship Id="rId7597" Type="http://schemas.openxmlformats.org/officeDocument/2006/relationships/hyperlink" Target="https://dadosabertos.camara.leg.br/api/v2/deputados/615" TargetMode="External"/><Relationship Id="rId3043" Type="http://schemas.openxmlformats.org/officeDocument/2006/relationships/hyperlink" Target="https://dadosabertos.camara.leg.br/api/v2/deputados/139203" TargetMode="External"/><Relationship Id="rId6199" Type="http://schemas.openxmlformats.org/officeDocument/2006/relationships/hyperlink" Target="https://dadosabertos.camara.leg.br/api/v2/deputados/2378" TargetMode="External"/><Relationship Id="rId6266" Type="http://schemas.openxmlformats.org/officeDocument/2006/relationships/hyperlink" Target="https://dadosabertos.camara.leg.br/api/v2/deputados/2150" TargetMode="External"/><Relationship Id="rId7664" Type="http://schemas.openxmlformats.org/officeDocument/2006/relationships/hyperlink" Target="https://dadosabertos.camara.leg.br/api/v2/deputados/544" TargetMode="External"/><Relationship Id="rId3110" Type="http://schemas.openxmlformats.org/officeDocument/2006/relationships/hyperlink" Target="https://dadosabertos.camara.leg.br/api/v2/deputados/1520" TargetMode="External"/><Relationship Id="rId6680" Type="http://schemas.openxmlformats.org/officeDocument/2006/relationships/hyperlink" Target="https://dadosabertos.camara.leg.br/api/v2/deputados/1638" TargetMode="External"/><Relationship Id="rId7317" Type="http://schemas.openxmlformats.org/officeDocument/2006/relationships/hyperlink" Target="https://dadosabertos.camara.leg.br/api/v2/deputados/547" TargetMode="External"/><Relationship Id="rId7731" Type="http://schemas.openxmlformats.org/officeDocument/2006/relationships/hyperlink" Target="https://dadosabertos.camara.leg.br/api/v2/deputados/384" TargetMode="External"/><Relationship Id="rId2876" Type="http://schemas.openxmlformats.org/officeDocument/2006/relationships/hyperlink" Target="https://dadosabertos.camara.leg.br/api/v2/deputados/133909" TargetMode="External"/><Relationship Id="rId3927" Type="http://schemas.openxmlformats.org/officeDocument/2006/relationships/hyperlink" Target="https://dadosabertos.camara.leg.br/api/v2/deputados/131405" TargetMode="External"/><Relationship Id="rId5282" Type="http://schemas.openxmlformats.org/officeDocument/2006/relationships/hyperlink" Target="https://dadosabertos.camara.leg.br/api/v2/deputados/2634" TargetMode="External"/><Relationship Id="rId6333" Type="http://schemas.openxmlformats.org/officeDocument/2006/relationships/hyperlink" Target="https://dadosabertos.camara.leg.br/api/v2/deputados/3636" TargetMode="External"/><Relationship Id="rId848" Type="http://schemas.openxmlformats.org/officeDocument/2006/relationships/hyperlink" Target="https://dadosabertos.camara.leg.br/api/v2/deputados/204558" TargetMode="External"/><Relationship Id="rId1478" Type="http://schemas.openxmlformats.org/officeDocument/2006/relationships/hyperlink" Target="https://dadosabertos.camara.leg.br/api/v2/deputados/97822" TargetMode="External"/><Relationship Id="rId1892" Type="http://schemas.openxmlformats.org/officeDocument/2006/relationships/hyperlink" Target="https://dadosabertos.camara.leg.br/api/v2/deputados/74286" TargetMode="External"/><Relationship Id="rId2529" Type="http://schemas.openxmlformats.org/officeDocument/2006/relationships/hyperlink" Target="https://dadosabertos.camara.leg.br/api/v2/deputados/74338" TargetMode="External"/><Relationship Id="rId6400" Type="http://schemas.openxmlformats.org/officeDocument/2006/relationships/hyperlink" Target="https://dadosabertos.camara.leg.br/api/v2/deputados/3680" TargetMode="External"/><Relationship Id="rId915" Type="http://schemas.openxmlformats.org/officeDocument/2006/relationships/hyperlink" Target="https://dadosabertos.camara.leg.br/api/v2/deputados/178925" TargetMode="External"/><Relationship Id="rId1545" Type="http://schemas.openxmlformats.org/officeDocument/2006/relationships/hyperlink" Target="https://dadosabertos.camara.leg.br/api/v2/deputados/164361" TargetMode="External"/><Relationship Id="rId2943" Type="http://schemas.openxmlformats.org/officeDocument/2006/relationships/hyperlink" Target="https://dadosabertos.camara.leg.br/api/v2/deputados/133985" TargetMode="External"/><Relationship Id="rId5002" Type="http://schemas.openxmlformats.org/officeDocument/2006/relationships/hyperlink" Target="https://dadosabertos.camara.leg.br/api/v2/deputados/3089" TargetMode="External"/><Relationship Id="rId7174" Type="http://schemas.openxmlformats.org/officeDocument/2006/relationships/hyperlink" Target="https://dadosabertos.camara.leg.br/api/v2/deputados/689" TargetMode="External"/><Relationship Id="rId1612" Type="http://schemas.openxmlformats.org/officeDocument/2006/relationships/hyperlink" Target="https://dadosabertos.camara.leg.br/api/v2/deputados/141473" TargetMode="External"/><Relationship Id="rId4768" Type="http://schemas.openxmlformats.org/officeDocument/2006/relationships/hyperlink" Target="https://dadosabertos.camara.leg.br/api/v2/deputados/130589" TargetMode="External"/><Relationship Id="rId5819" Type="http://schemas.openxmlformats.org/officeDocument/2006/relationships/hyperlink" Target="https://dadosabertos.camara.leg.br/api/v2/deputados/130194" TargetMode="External"/><Relationship Id="rId6190" Type="http://schemas.openxmlformats.org/officeDocument/2006/relationships/hyperlink" Target="https://dadosabertos.camara.leg.br/api/v2/deputados/1196" TargetMode="External"/><Relationship Id="rId3784" Type="http://schemas.openxmlformats.org/officeDocument/2006/relationships/hyperlink" Target="https://dadosabertos.camara.leg.br/api/v2/deputados/131505" TargetMode="External"/><Relationship Id="rId4835" Type="http://schemas.openxmlformats.org/officeDocument/2006/relationships/hyperlink" Target="https://dadosabertos.camara.leg.br/api/v2/deputados/130630" TargetMode="External"/><Relationship Id="rId7241" Type="http://schemas.openxmlformats.org/officeDocument/2006/relationships/hyperlink" Target="https://dadosabertos.camara.leg.br/api/v2/deputados/966" TargetMode="External"/><Relationship Id="rId2386" Type="http://schemas.openxmlformats.org/officeDocument/2006/relationships/hyperlink" Target="https://dadosabertos.camara.leg.br/api/v2/deputados/73596" TargetMode="External"/><Relationship Id="rId3437" Type="http://schemas.openxmlformats.org/officeDocument/2006/relationships/hyperlink" Target="https://dadosabertos.camara.leg.br/api/v2/deputados/132001" TargetMode="External"/><Relationship Id="rId3851" Type="http://schemas.openxmlformats.org/officeDocument/2006/relationships/hyperlink" Target="https://dadosabertos.camara.leg.br/api/v2/deputados/131585" TargetMode="External"/><Relationship Id="rId4902" Type="http://schemas.openxmlformats.org/officeDocument/2006/relationships/hyperlink" Target="https://dadosabertos.camara.leg.br/api/v2/deputados/130690" TargetMode="External"/><Relationship Id="rId358" Type="http://schemas.openxmlformats.org/officeDocument/2006/relationships/hyperlink" Target="https://dadosabertos.camara.leg.br/api/v2/deputados/228797" TargetMode="External"/><Relationship Id="rId772" Type="http://schemas.openxmlformats.org/officeDocument/2006/relationships/hyperlink" Target="https://dadosabertos.camara.leg.br/api/v2/deputados/204392" TargetMode="External"/><Relationship Id="rId2039" Type="http://schemas.openxmlformats.org/officeDocument/2006/relationships/hyperlink" Target="https://dadosabertos.camara.leg.br/api/v2/deputados/74495" TargetMode="External"/><Relationship Id="rId2453" Type="http://schemas.openxmlformats.org/officeDocument/2006/relationships/hyperlink" Target="https://dadosabertos.camara.leg.br/api/v2/deputados/73436" TargetMode="External"/><Relationship Id="rId3504" Type="http://schemas.openxmlformats.org/officeDocument/2006/relationships/hyperlink" Target="https://dadosabertos.camara.leg.br/api/v2/deputados/131956" TargetMode="External"/><Relationship Id="rId425" Type="http://schemas.openxmlformats.org/officeDocument/2006/relationships/hyperlink" Target="https://dadosabertos.camara.leg.br/api/v2/deputados/220634" TargetMode="External"/><Relationship Id="rId1055" Type="http://schemas.openxmlformats.org/officeDocument/2006/relationships/hyperlink" Target="https://dadosabertos.camara.leg.br/api/v2/deputados/144523" TargetMode="External"/><Relationship Id="rId2106" Type="http://schemas.openxmlformats.org/officeDocument/2006/relationships/hyperlink" Target="https://dadosabertos.camara.leg.br/api/v2/deputados/74046" TargetMode="External"/><Relationship Id="rId2520" Type="http://schemas.openxmlformats.org/officeDocument/2006/relationships/hyperlink" Target="https://dadosabertos.camara.leg.br/api/v2/deputados/74420" TargetMode="External"/><Relationship Id="rId5676" Type="http://schemas.openxmlformats.org/officeDocument/2006/relationships/hyperlink" Target="https://dadosabertos.camara.leg.br/api/v2/deputados/2291" TargetMode="External"/><Relationship Id="rId6727" Type="http://schemas.openxmlformats.org/officeDocument/2006/relationships/hyperlink" Target="https://dadosabertos.camara.leg.br/api/v2/deputados/130127" TargetMode="External"/><Relationship Id="rId1122" Type="http://schemas.openxmlformats.org/officeDocument/2006/relationships/hyperlink" Target="https://dadosabertos.camara.leg.br/api/v2/deputados/131943" TargetMode="External"/><Relationship Id="rId4278" Type="http://schemas.openxmlformats.org/officeDocument/2006/relationships/hyperlink" Target="https://dadosabertos.camara.leg.br/api/v2/deputados/130882" TargetMode="External"/><Relationship Id="rId5329" Type="http://schemas.openxmlformats.org/officeDocument/2006/relationships/hyperlink" Target="https://dadosabertos.camara.leg.br/api/v2/deputados/2892" TargetMode="External"/><Relationship Id="rId3294" Type="http://schemas.openxmlformats.org/officeDocument/2006/relationships/hyperlink" Target="https://dadosabertos.camara.leg.br/api/v2/deputados/131915" TargetMode="External"/><Relationship Id="rId4345" Type="http://schemas.openxmlformats.org/officeDocument/2006/relationships/hyperlink" Target="https://dadosabertos.camara.leg.br/api/v2/deputados/130947" TargetMode="External"/><Relationship Id="rId4692" Type="http://schemas.openxmlformats.org/officeDocument/2006/relationships/hyperlink" Target="https://dadosabertos.camara.leg.br/api/v2/deputados/130879" TargetMode="External"/><Relationship Id="rId5743" Type="http://schemas.openxmlformats.org/officeDocument/2006/relationships/hyperlink" Target="https://dadosabertos.camara.leg.br/api/v2/deputados/4484" TargetMode="External"/><Relationship Id="rId1939" Type="http://schemas.openxmlformats.org/officeDocument/2006/relationships/hyperlink" Target="https://dadosabertos.camara.leg.br/api/v2/deputados/74534" TargetMode="External"/><Relationship Id="rId5810" Type="http://schemas.openxmlformats.org/officeDocument/2006/relationships/hyperlink" Target="https://dadosabertos.camara.leg.br/api/v2/deputados/2009" TargetMode="External"/><Relationship Id="rId3361" Type="http://schemas.openxmlformats.org/officeDocument/2006/relationships/hyperlink" Target="https://dadosabertos.camara.leg.br/api/v2/deputados/132112" TargetMode="External"/><Relationship Id="rId4412" Type="http://schemas.openxmlformats.org/officeDocument/2006/relationships/hyperlink" Target="https://dadosabertos.camara.leg.br/api/v2/deputados/131017" TargetMode="External"/><Relationship Id="rId7568" Type="http://schemas.openxmlformats.org/officeDocument/2006/relationships/hyperlink" Target="https://dadosabertos.camara.leg.br/api/v2/deputados/416" TargetMode="External"/><Relationship Id="rId7982" Type="http://schemas.openxmlformats.org/officeDocument/2006/relationships/hyperlink" Target="https://dadosabertos.camara.leg.br/api/v2/deputados/121" TargetMode="External"/><Relationship Id="rId282" Type="http://schemas.openxmlformats.org/officeDocument/2006/relationships/hyperlink" Target="https://dadosabertos.camara.leg.br/api/v2/deputados/160673" TargetMode="External"/><Relationship Id="rId3014" Type="http://schemas.openxmlformats.org/officeDocument/2006/relationships/hyperlink" Target="https://dadosabertos.camara.leg.br/api/v2/deputados/139178" TargetMode="External"/><Relationship Id="rId6584" Type="http://schemas.openxmlformats.org/officeDocument/2006/relationships/hyperlink" Target="https://dadosabertos.camara.leg.br/api/v2/deputados/2012" TargetMode="External"/><Relationship Id="rId7635" Type="http://schemas.openxmlformats.org/officeDocument/2006/relationships/hyperlink" Target="https://dadosabertos.camara.leg.br/api/v2/deputados/611" TargetMode="External"/><Relationship Id="rId2030" Type="http://schemas.openxmlformats.org/officeDocument/2006/relationships/hyperlink" Target="https://dadosabertos.camara.leg.br/api/v2/deputados/74054" TargetMode="External"/><Relationship Id="rId5186" Type="http://schemas.openxmlformats.org/officeDocument/2006/relationships/hyperlink" Target="https://dadosabertos.camara.leg.br/api/v2/deputados/2974" TargetMode="External"/><Relationship Id="rId6237" Type="http://schemas.openxmlformats.org/officeDocument/2006/relationships/hyperlink" Target="https://dadosabertos.camara.leg.br/api/v2/deputados/3504" TargetMode="External"/><Relationship Id="rId6651" Type="http://schemas.openxmlformats.org/officeDocument/2006/relationships/hyperlink" Target="https://dadosabertos.camara.leg.br/api/v2/deputados/3965" TargetMode="External"/><Relationship Id="rId7702" Type="http://schemas.openxmlformats.org/officeDocument/2006/relationships/hyperlink" Target="https://dadosabertos.camara.leg.br/api/v2/deputados/394" TargetMode="External"/><Relationship Id="rId5253" Type="http://schemas.openxmlformats.org/officeDocument/2006/relationships/hyperlink" Target="https://dadosabertos.camara.leg.br/api/v2/deputados/4891" TargetMode="External"/><Relationship Id="rId6304" Type="http://schemas.openxmlformats.org/officeDocument/2006/relationships/hyperlink" Target="https://dadosabertos.camara.leg.br/api/v2/deputados/2072" TargetMode="External"/><Relationship Id="rId1449" Type="http://schemas.openxmlformats.org/officeDocument/2006/relationships/hyperlink" Target="https://dadosabertos.camara.leg.br/api/v2/deputados/145895" TargetMode="External"/><Relationship Id="rId1796" Type="http://schemas.openxmlformats.org/officeDocument/2006/relationships/hyperlink" Target="https://dadosabertos.camara.leg.br/api/v2/deputados/74425" TargetMode="External"/><Relationship Id="rId2847" Type="http://schemas.openxmlformats.org/officeDocument/2006/relationships/hyperlink" Target="https://dadosabertos.camara.leg.br/api/v2/deputados/133887" TargetMode="External"/><Relationship Id="rId88" Type="http://schemas.openxmlformats.org/officeDocument/2006/relationships/hyperlink" Target="https://dadosabertos.camara.leg.br/api/v2/deputados/143942" TargetMode="External"/><Relationship Id="rId819" Type="http://schemas.openxmlformats.org/officeDocument/2006/relationships/hyperlink" Target="https://dadosabertos.camara.leg.br/api/v2/deputados/141478" TargetMode="External"/><Relationship Id="rId1863" Type="http://schemas.openxmlformats.org/officeDocument/2006/relationships/hyperlink" Target="https://dadosabertos.camara.leg.br/api/v2/deputados/73556" TargetMode="External"/><Relationship Id="rId2914" Type="http://schemas.openxmlformats.org/officeDocument/2006/relationships/hyperlink" Target="https://dadosabertos.camara.leg.br/api/v2/deputados/133945" TargetMode="External"/><Relationship Id="rId5320" Type="http://schemas.openxmlformats.org/officeDocument/2006/relationships/hyperlink" Target="https://dadosabertos.camara.leg.br/api/v2/deputados/4744" TargetMode="External"/><Relationship Id="rId7078" Type="http://schemas.openxmlformats.org/officeDocument/2006/relationships/hyperlink" Target="https://dadosabertos.camara.leg.br/api/v2/deputados/1091" TargetMode="External"/><Relationship Id="rId1516" Type="http://schemas.openxmlformats.org/officeDocument/2006/relationships/hyperlink" Target="https://dadosabertos.camara.leg.br/api/v2/deputados/73982" TargetMode="External"/><Relationship Id="rId1930" Type="http://schemas.openxmlformats.org/officeDocument/2006/relationships/hyperlink" Target="https://dadosabertos.camara.leg.br/api/v2/deputados/74146" TargetMode="External"/><Relationship Id="rId7492" Type="http://schemas.openxmlformats.org/officeDocument/2006/relationships/hyperlink" Target="https://dadosabertos.camara.leg.br/api/v2/deputados/725" TargetMode="External"/><Relationship Id="rId3688" Type="http://schemas.openxmlformats.org/officeDocument/2006/relationships/hyperlink" Target="https://dadosabertos.camara.leg.br/api/v2/deputados/131820" TargetMode="External"/><Relationship Id="rId4739" Type="http://schemas.openxmlformats.org/officeDocument/2006/relationships/hyperlink" Target="https://dadosabertos.camara.leg.br/api/v2/deputados/130414" TargetMode="External"/><Relationship Id="rId6094" Type="http://schemas.openxmlformats.org/officeDocument/2006/relationships/hyperlink" Target="https://dadosabertos.camara.leg.br/api/v2/deputados/2482" TargetMode="External"/><Relationship Id="rId7145" Type="http://schemas.openxmlformats.org/officeDocument/2006/relationships/hyperlink" Target="https://dadosabertos.camara.leg.br/api/v2/deputados/568" TargetMode="External"/><Relationship Id="rId3755" Type="http://schemas.openxmlformats.org/officeDocument/2006/relationships/hyperlink" Target="https://dadosabertos.camara.leg.br/api/v2/deputados/131807" TargetMode="External"/><Relationship Id="rId4806" Type="http://schemas.openxmlformats.org/officeDocument/2006/relationships/hyperlink" Target="https://dadosabertos.camara.leg.br/api/v2/deputados/130591" TargetMode="External"/><Relationship Id="rId6161" Type="http://schemas.openxmlformats.org/officeDocument/2006/relationships/hyperlink" Target="https://dadosabertos.camara.leg.br/api/v2/deputados/2443" TargetMode="External"/><Relationship Id="rId7212" Type="http://schemas.openxmlformats.org/officeDocument/2006/relationships/hyperlink" Target="https://dadosabertos.camara.leg.br/api/v2/deputados/475" TargetMode="External"/><Relationship Id="rId676" Type="http://schemas.openxmlformats.org/officeDocument/2006/relationships/hyperlink" Target="http://www.aeltonfreitas.com.br/" TargetMode="External"/><Relationship Id="rId2357" Type="http://schemas.openxmlformats.org/officeDocument/2006/relationships/hyperlink" Target="https://dadosabertos.camara.leg.br/api/v2/deputados/74804" TargetMode="External"/><Relationship Id="rId3408" Type="http://schemas.openxmlformats.org/officeDocument/2006/relationships/hyperlink" Target="https://dadosabertos.camara.leg.br/api/v2/deputados/132132" TargetMode="External"/><Relationship Id="rId329" Type="http://schemas.openxmlformats.org/officeDocument/2006/relationships/hyperlink" Target="https://dadosabertos.camara.leg.br/api/v2/deputados/230957" TargetMode="External"/><Relationship Id="rId1373" Type="http://schemas.openxmlformats.org/officeDocument/2006/relationships/hyperlink" Target="https://dadosabertos.camara.leg.br/api/v2/deputados/141393" TargetMode="External"/><Relationship Id="rId2771" Type="http://schemas.openxmlformats.org/officeDocument/2006/relationships/hyperlink" Target="https://dadosabertos.camara.leg.br/api/v2/deputados/133842" TargetMode="External"/><Relationship Id="rId3822" Type="http://schemas.openxmlformats.org/officeDocument/2006/relationships/hyperlink" Target="https://dadosabertos.camara.leg.br/api/v2/deputados/131509" TargetMode="External"/><Relationship Id="rId6978" Type="http://schemas.openxmlformats.org/officeDocument/2006/relationships/hyperlink" Target="https://dadosabertos.camara.leg.br/api/v2/deputados/1073" TargetMode="External"/><Relationship Id="rId743" Type="http://schemas.openxmlformats.org/officeDocument/2006/relationships/hyperlink" Target="https://dadosabertos.camara.leg.br/api/v2/deputados/74655" TargetMode="External"/><Relationship Id="rId1026" Type="http://schemas.openxmlformats.org/officeDocument/2006/relationships/hyperlink" Target="https://dadosabertos.camara.leg.br/api/v2/deputados/178999" TargetMode="External"/><Relationship Id="rId2424" Type="http://schemas.openxmlformats.org/officeDocument/2006/relationships/hyperlink" Target="https://dadosabertos.camara.leg.br/api/v2/deputados/73823" TargetMode="External"/><Relationship Id="rId5994" Type="http://schemas.openxmlformats.org/officeDocument/2006/relationships/hyperlink" Target="https://dadosabertos.camara.leg.br/api/v2/deputados/4262" TargetMode="External"/><Relationship Id="rId810" Type="http://schemas.openxmlformats.org/officeDocument/2006/relationships/hyperlink" Target="https://dadosabertos.camara.leg.br/api/v2/deputados/204468" TargetMode="External"/><Relationship Id="rId1440" Type="http://schemas.openxmlformats.org/officeDocument/2006/relationships/hyperlink" Target="https://dadosabertos.camara.leg.br/api/v2/deputados/141433" TargetMode="External"/><Relationship Id="rId4596" Type="http://schemas.openxmlformats.org/officeDocument/2006/relationships/hyperlink" Target="https://dadosabertos.camara.leg.br/api/v2/deputados/130757" TargetMode="External"/><Relationship Id="rId5647" Type="http://schemas.openxmlformats.org/officeDocument/2006/relationships/hyperlink" Target="https://dadosabertos.camara.leg.br/api/v2/deputados/4554" TargetMode="External"/><Relationship Id="rId3198" Type="http://schemas.openxmlformats.org/officeDocument/2006/relationships/hyperlink" Target="https://dadosabertos.camara.leg.br/api/v2/deputados/1515" TargetMode="External"/><Relationship Id="rId4249" Type="http://schemas.openxmlformats.org/officeDocument/2006/relationships/hyperlink" Target="https://dadosabertos.camara.leg.br/api/v2/deputados/131368" TargetMode="External"/><Relationship Id="rId4663" Type="http://schemas.openxmlformats.org/officeDocument/2006/relationships/hyperlink" Target="https://dadosabertos.camara.leg.br/api/v2/deputados/130832" TargetMode="External"/><Relationship Id="rId5714" Type="http://schemas.openxmlformats.org/officeDocument/2006/relationships/hyperlink" Target="https://dadosabertos.camara.leg.br/api/v2/deputados/2672" TargetMode="External"/><Relationship Id="rId3265" Type="http://schemas.openxmlformats.org/officeDocument/2006/relationships/hyperlink" Target="https://dadosabertos.camara.leg.br/api/v2/deputados/131832" TargetMode="External"/><Relationship Id="rId4316" Type="http://schemas.openxmlformats.org/officeDocument/2006/relationships/hyperlink" Target="https://dadosabertos.camara.leg.br/api/v2/deputados/130927" TargetMode="External"/><Relationship Id="rId4730" Type="http://schemas.openxmlformats.org/officeDocument/2006/relationships/hyperlink" Target="https://dadosabertos.camara.leg.br/api/v2/deputados/130518" TargetMode="External"/><Relationship Id="rId7886" Type="http://schemas.openxmlformats.org/officeDocument/2006/relationships/hyperlink" Target="https://dadosabertos.camara.leg.br/api/v2/deputados/132" TargetMode="External"/><Relationship Id="rId186" Type="http://schemas.openxmlformats.org/officeDocument/2006/relationships/hyperlink" Target="https://dadosabertos.camara.leg.br/api/v2/deputados/227401" TargetMode="External"/><Relationship Id="rId2281" Type="http://schemas.openxmlformats.org/officeDocument/2006/relationships/hyperlink" Target="https://dadosabertos.camara.leg.br/api/v2/deputados/74316" TargetMode="External"/><Relationship Id="rId3332" Type="http://schemas.openxmlformats.org/officeDocument/2006/relationships/hyperlink" Target="https://dadosabertos.camara.leg.br/api/v2/deputados/131890" TargetMode="External"/><Relationship Id="rId6488" Type="http://schemas.openxmlformats.org/officeDocument/2006/relationships/hyperlink" Target="https://dadosabertos.camara.leg.br/api/v2/deputados/1810" TargetMode="External"/><Relationship Id="rId7539" Type="http://schemas.openxmlformats.org/officeDocument/2006/relationships/hyperlink" Target="https://dadosabertos.camara.leg.br/api/v2/deputados/460" TargetMode="External"/><Relationship Id="rId253" Type="http://schemas.openxmlformats.org/officeDocument/2006/relationships/hyperlink" Target="https://dadosabertos.camara.leg.br/api/v2/deputados/204427" TargetMode="External"/><Relationship Id="rId6555" Type="http://schemas.openxmlformats.org/officeDocument/2006/relationships/hyperlink" Target="https://dadosabertos.camara.leg.br/api/v2/deputados/226061" TargetMode="External"/><Relationship Id="rId7953" Type="http://schemas.openxmlformats.org/officeDocument/2006/relationships/hyperlink" Target="https://dadosabertos.camara.leg.br/api/v2/deputados/1276" TargetMode="External"/><Relationship Id="rId320" Type="http://schemas.openxmlformats.org/officeDocument/2006/relationships/hyperlink" Target="https://dadosabertos.camara.leg.br/api/v2/deputados/220527" TargetMode="External"/><Relationship Id="rId2001" Type="http://schemas.openxmlformats.org/officeDocument/2006/relationships/hyperlink" Target="https://dadosabertos.camara.leg.br/api/v2/deputados/74844" TargetMode="External"/><Relationship Id="rId5157" Type="http://schemas.openxmlformats.org/officeDocument/2006/relationships/hyperlink" Target="https://dadosabertos.camara.leg.br/api/v2/deputados/130323" TargetMode="External"/><Relationship Id="rId6208" Type="http://schemas.openxmlformats.org/officeDocument/2006/relationships/hyperlink" Target="https://dadosabertos.camara.leg.br/api/v2/deputados/1631" TargetMode="External"/><Relationship Id="rId7606" Type="http://schemas.openxmlformats.org/officeDocument/2006/relationships/hyperlink" Target="https://dadosabertos.camara.leg.br/api/v2/deputados/449" TargetMode="External"/><Relationship Id="rId5571" Type="http://schemas.openxmlformats.org/officeDocument/2006/relationships/hyperlink" Target="https://dadosabertos.camara.leg.br/api/v2/deputados/4589" TargetMode="External"/><Relationship Id="rId6622" Type="http://schemas.openxmlformats.org/officeDocument/2006/relationships/hyperlink" Target="https://dadosabertos.camara.leg.br/api/v2/deputados/1965" TargetMode="External"/><Relationship Id="rId1767" Type="http://schemas.openxmlformats.org/officeDocument/2006/relationships/hyperlink" Target="https://dadosabertos.camara.leg.br/api/v2/deputados/141443" TargetMode="External"/><Relationship Id="rId2818" Type="http://schemas.openxmlformats.org/officeDocument/2006/relationships/hyperlink" Target="https://dadosabertos.camara.leg.br/api/v2/deputados/133914" TargetMode="External"/><Relationship Id="rId4173" Type="http://schemas.openxmlformats.org/officeDocument/2006/relationships/hyperlink" Target="https://dadosabertos.camara.leg.br/api/v2/deputados/131326" TargetMode="External"/><Relationship Id="rId5224" Type="http://schemas.openxmlformats.org/officeDocument/2006/relationships/hyperlink" Target="https://dadosabertos.camara.leg.br/api/v2/deputados/4870" TargetMode="External"/><Relationship Id="rId59" Type="http://schemas.openxmlformats.org/officeDocument/2006/relationships/hyperlink" Target="https://dadosabertos.camara.leg.br/api/v2/deputados/220549" TargetMode="External"/><Relationship Id="rId1834" Type="http://schemas.openxmlformats.org/officeDocument/2006/relationships/hyperlink" Target="https://dadosabertos.camara.leg.br/api/v2/deputados/139311" TargetMode="External"/><Relationship Id="rId4240" Type="http://schemas.openxmlformats.org/officeDocument/2006/relationships/hyperlink" Target="https://dadosabertos.camara.leg.br/api/v2/deputados/131358" TargetMode="External"/><Relationship Id="rId7396" Type="http://schemas.openxmlformats.org/officeDocument/2006/relationships/hyperlink" Target="https://dadosabertos.camara.leg.br/api/v2/deputados/623" TargetMode="External"/><Relationship Id="rId7049" Type="http://schemas.openxmlformats.org/officeDocument/2006/relationships/hyperlink" Target="https://dadosabertos.camara.leg.br/api/v2/deputados/854" TargetMode="External"/><Relationship Id="rId7463" Type="http://schemas.openxmlformats.org/officeDocument/2006/relationships/hyperlink" Target="https://dadosabertos.camara.leg.br/api/v2/deputados/756" TargetMode="External"/><Relationship Id="rId1901" Type="http://schemas.openxmlformats.org/officeDocument/2006/relationships/hyperlink" Target="https://dadosabertos.camara.leg.br/api/v2/deputados/159257" TargetMode="External"/><Relationship Id="rId3659" Type="http://schemas.openxmlformats.org/officeDocument/2006/relationships/hyperlink" Target="https://dadosabertos.camara.leg.br/api/v2/deputados/131745" TargetMode="External"/><Relationship Id="rId6065" Type="http://schemas.openxmlformats.org/officeDocument/2006/relationships/hyperlink" Target="https://dadosabertos.camara.leg.br/api/v2/deputados/2467" TargetMode="External"/><Relationship Id="rId7116" Type="http://schemas.openxmlformats.org/officeDocument/2006/relationships/hyperlink" Target="https://dadosabertos.camara.leg.br/api/v2/deputados/1096" TargetMode="External"/><Relationship Id="rId5081" Type="http://schemas.openxmlformats.org/officeDocument/2006/relationships/hyperlink" Target="https://dadosabertos.camara.leg.br/api/v2/deputados/130469" TargetMode="External"/><Relationship Id="rId6132" Type="http://schemas.openxmlformats.org/officeDocument/2006/relationships/hyperlink" Target="https://dadosabertos.camara.leg.br/api/v2/deputados/4155" TargetMode="External"/><Relationship Id="rId7530" Type="http://schemas.openxmlformats.org/officeDocument/2006/relationships/hyperlink" Target="https://dadosabertos.camara.leg.br/api/v2/deputados/633" TargetMode="External"/><Relationship Id="rId994" Type="http://schemas.openxmlformats.org/officeDocument/2006/relationships/hyperlink" Target="https://dadosabertos.camara.leg.br/api/v2/deputados/178846" TargetMode="External"/><Relationship Id="rId2675" Type="http://schemas.openxmlformats.org/officeDocument/2006/relationships/hyperlink" Target="https://dadosabertos.camara.leg.br/api/v2/deputados/73970" TargetMode="External"/><Relationship Id="rId3726" Type="http://schemas.openxmlformats.org/officeDocument/2006/relationships/hyperlink" Target="https://dadosabertos.camara.leg.br/api/v2/deputados/131781" TargetMode="External"/><Relationship Id="rId647" Type="http://schemas.openxmlformats.org/officeDocument/2006/relationships/hyperlink" Target="https://dadosabertos.camara.leg.br/api/v2/deputados/160591" TargetMode="External"/><Relationship Id="rId1277" Type="http://schemas.openxmlformats.org/officeDocument/2006/relationships/hyperlink" Target="https://dadosabertos.camara.leg.br/api/v2/deputados/178870" TargetMode="External"/><Relationship Id="rId1691" Type="http://schemas.openxmlformats.org/officeDocument/2006/relationships/hyperlink" Target="https://dadosabertos.camara.leg.br/api/v2/deputados/141449" TargetMode="External"/><Relationship Id="rId2328" Type="http://schemas.openxmlformats.org/officeDocument/2006/relationships/hyperlink" Target="https://dadosabertos.camara.leg.br/api/v2/deputados/74803" TargetMode="External"/><Relationship Id="rId2742" Type="http://schemas.openxmlformats.org/officeDocument/2006/relationships/hyperlink" Target="https://dadosabertos.camara.leg.br/api/v2/deputados/77656" TargetMode="External"/><Relationship Id="rId5898" Type="http://schemas.openxmlformats.org/officeDocument/2006/relationships/hyperlink" Target="https://dadosabertos.camara.leg.br/api/v2/deputados/4432" TargetMode="External"/><Relationship Id="rId6949" Type="http://schemas.openxmlformats.org/officeDocument/2006/relationships/hyperlink" Target="https://dadosabertos.camara.leg.br/api/v2/deputados/1033" TargetMode="External"/><Relationship Id="rId714" Type="http://schemas.openxmlformats.org/officeDocument/2006/relationships/hyperlink" Target="https://dadosabertos.camara.leg.br/api/v2/deputados/204490" TargetMode="External"/><Relationship Id="rId1344" Type="http://schemas.openxmlformats.org/officeDocument/2006/relationships/hyperlink" Target="http://twitter.com/dep_alinecorrea" TargetMode="External"/><Relationship Id="rId5965" Type="http://schemas.openxmlformats.org/officeDocument/2006/relationships/hyperlink" Target="https://dadosabertos.camara.leg.br/api/v2/deputados/2343" TargetMode="External"/><Relationship Id="rId50" Type="http://schemas.openxmlformats.org/officeDocument/2006/relationships/hyperlink" Target="https://dadosabertos.camara.leg.br/api/v2/deputados/178882" TargetMode="External"/><Relationship Id="rId1411" Type="http://schemas.openxmlformats.org/officeDocument/2006/relationships/hyperlink" Target="https://dadosabertos.camara.leg.br/api/v2/deputados/141498" TargetMode="External"/><Relationship Id="rId4567" Type="http://schemas.openxmlformats.org/officeDocument/2006/relationships/hyperlink" Target="https://dadosabertos.camara.leg.br/api/v2/deputados/130734" TargetMode="External"/><Relationship Id="rId5618" Type="http://schemas.openxmlformats.org/officeDocument/2006/relationships/hyperlink" Target="https://dadosabertos.camara.leg.br/api/v2/deputados/4606" TargetMode="External"/><Relationship Id="rId3169" Type="http://schemas.openxmlformats.org/officeDocument/2006/relationships/hyperlink" Target="https://dadosabertos.camara.leg.br/api/v2/deputados/139310" TargetMode="External"/><Relationship Id="rId3583" Type="http://schemas.openxmlformats.org/officeDocument/2006/relationships/hyperlink" Target="https://dadosabertos.camara.leg.br/api/v2/deputados/131739" TargetMode="External"/><Relationship Id="rId4981" Type="http://schemas.openxmlformats.org/officeDocument/2006/relationships/hyperlink" Target="https://dadosabertos.camara.leg.br/api/v2/deputados/2698" TargetMode="External"/><Relationship Id="rId7040" Type="http://schemas.openxmlformats.org/officeDocument/2006/relationships/hyperlink" Target="https://dadosabertos.camara.leg.br/api/v2/deputados/977" TargetMode="External"/><Relationship Id="rId2185" Type="http://schemas.openxmlformats.org/officeDocument/2006/relationships/hyperlink" Target="https://dadosabertos.camara.leg.br/api/v2/deputados/74440" TargetMode="External"/><Relationship Id="rId3236" Type="http://schemas.openxmlformats.org/officeDocument/2006/relationships/hyperlink" Target="https://dadosabertos.camara.leg.br/api/v2/deputados/139369" TargetMode="External"/><Relationship Id="rId4634" Type="http://schemas.openxmlformats.org/officeDocument/2006/relationships/hyperlink" Target="https://dadosabertos.camara.leg.br/api/v2/deputados/130799" TargetMode="External"/><Relationship Id="rId157" Type="http://schemas.openxmlformats.org/officeDocument/2006/relationships/hyperlink" Target="https://dadosabertos.camara.leg.br/api/v2/deputados/220565" TargetMode="External"/><Relationship Id="rId3650" Type="http://schemas.openxmlformats.org/officeDocument/2006/relationships/hyperlink" Target="https://dadosabertos.camara.leg.br/api/v2/deputados/131698" TargetMode="External"/><Relationship Id="rId4701" Type="http://schemas.openxmlformats.org/officeDocument/2006/relationships/hyperlink" Target="https://dadosabertos.camara.leg.br/api/v2/deputados/130858" TargetMode="External"/><Relationship Id="rId7857" Type="http://schemas.openxmlformats.org/officeDocument/2006/relationships/hyperlink" Target="https://dadosabertos.camara.leg.br/api/v2/deputados/306" TargetMode="External"/><Relationship Id="rId571" Type="http://schemas.openxmlformats.org/officeDocument/2006/relationships/hyperlink" Target="https://www.instagram.com/dep.roberiomonteiro" TargetMode="External"/><Relationship Id="rId2252" Type="http://schemas.openxmlformats.org/officeDocument/2006/relationships/hyperlink" Target="https://dadosabertos.camara.leg.br/api/v2/deputados/73597" TargetMode="External"/><Relationship Id="rId3303" Type="http://schemas.openxmlformats.org/officeDocument/2006/relationships/hyperlink" Target="https://dadosabertos.camara.leg.br/api/v2/deputados/131868" TargetMode="External"/><Relationship Id="rId6459" Type="http://schemas.openxmlformats.org/officeDocument/2006/relationships/hyperlink" Target="https://dadosabertos.camara.leg.br/api/v2/deputados/3752" TargetMode="External"/><Relationship Id="rId6873" Type="http://schemas.openxmlformats.org/officeDocument/2006/relationships/hyperlink" Target="https://dadosabertos.camara.leg.br/api/v2/deputados/1009" TargetMode="External"/><Relationship Id="rId7924" Type="http://schemas.openxmlformats.org/officeDocument/2006/relationships/hyperlink" Target="https://dadosabertos.camara.leg.br/api/v2/deputados/260" TargetMode="External"/><Relationship Id="rId224" Type="http://schemas.openxmlformats.org/officeDocument/2006/relationships/hyperlink" Target="https://dadosabertos.camara.leg.br/api/v2/deputados/132504" TargetMode="External"/><Relationship Id="rId5475" Type="http://schemas.openxmlformats.org/officeDocument/2006/relationships/hyperlink" Target="https://dadosabertos.camara.leg.br/api/v2/deputados/2851" TargetMode="External"/><Relationship Id="rId6526" Type="http://schemas.openxmlformats.org/officeDocument/2006/relationships/hyperlink" Target="https://dadosabertos.camara.leg.br/api/v2/deputados/3818" TargetMode="External"/><Relationship Id="rId6940" Type="http://schemas.openxmlformats.org/officeDocument/2006/relationships/hyperlink" Target="https://dadosabertos.camara.leg.br/api/v2/deputados/1234" TargetMode="External"/><Relationship Id="rId4077" Type="http://schemas.openxmlformats.org/officeDocument/2006/relationships/hyperlink" Target="https://dadosabertos.camara.leg.br/api/v2/deputados/131205" TargetMode="External"/><Relationship Id="rId4491" Type="http://schemas.openxmlformats.org/officeDocument/2006/relationships/hyperlink" Target="https://dadosabertos.camara.leg.br/api/v2/deputados/131016" TargetMode="External"/><Relationship Id="rId5128" Type="http://schemas.openxmlformats.org/officeDocument/2006/relationships/hyperlink" Target="https://dadosabertos.camara.leg.br/api/v2/deputados/130309" TargetMode="External"/><Relationship Id="rId5542" Type="http://schemas.openxmlformats.org/officeDocument/2006/relationships/hyperlink" Target="https://dadosabertos.camara.leg.br/api/v2/deputados/130284" TargetMode="External"/><Relationship Id="rId1738" Type="http://schemas.openxmlformats.org/officeDocument/2006/relationships/hyperlink" Target="https://dadosabertos.camara.leg.br/api/v2/deputados/150876" TargetMode="External"/><Relationship Id="rId3093" Type="http://schemas.openxmlformats.org/officeDocument/2006/relationships/hyperlink" Target="https://dadosabertos.camara.leg.br/api/v2/deputados/139246" TargetMode="External"/><Relationship Id="rId4144" Type="http://schemas.openxmlformats.org/officeDocument/2006/relationships/hyperlink" Target="https://dadosabertos.camara.leg.br/api/v2/deputados/131268" TargetMode="External"/><Relationship Id="rId3160" Type="http://schemas.openxmlformats.org/officeDocument/2006/relationships/hyperlink" Target="https://dadosabertos.camara.leg.br/api/v2/deputados/1501" TargetMode="External"/><Relationship Id="rId4211" Type="http://schemas.openxmlformats.org/officeDocument/2006/relationships/hyperlink" Target="https://dadosabertos.camara.leg.br/api/v2/deputados/131329" TargetMode="External"/><Relationship Id="rId7367" Type="http://schemas.openxmlformats.org/officeDocument/2006/relationships/hyperlink" Target="https://dadosabertos.camara.leg.br/api/v2/deputados/821" TargetMode="External"/><Relationship Id="rId1805" Type="http://schemas.openxmlformats.org/officeDocument/2006/relationships/hyperlink" Target="https://dadosabertos.camara.leg.br/api/v2/deputados/141475" TargetMode="External"/><Relationship Id="rId7781" Type="http://schemas.openxmlformats.org/officeDocument/2006/relationships/hyperlink" Target="https://dadosabertos.camara.leg.br/api/v2/deputados/406" TargetMode="External"/><Relationship Id="rId3977" Type="http://schemas.openxmlformats.org/officeDocument/2006/relationships/hyperlink" Target="https://dadosabertos.camara.leg.br/api/v2/deputados/131483" TargetMode="External"/><Relationship Id="rId6036" Type="http://schemas.openxmlformats.org/officeDocument/2006/relationships/hyperlink" Target="https://dadosabertos.camara.leg.br/api/v2/deputados/4270" TargetMode="External"/><Relationship Id="rId6383" Type="http://schemas.openxmlformats.org/officeDocument/2006/relationships/hyperlink" Target="https://dadosabertos.camara.leg.br/api/v2/deputados/3689" TargetMode="External"/><Relationship Id="rId7434" Type="http://schemas.openxmlformats.org/officeDocument/2006/relationships/hyperlink" Target="https://dadosabertos.camara.leg.br/api/v2/deputados/490" TargetMode="External"/><Relationship Id="rId898" Type="http://schemas.openxmlformats.org/officeDocument/2006/relationships/hyperlink" Target="https://dadosabertos.camara.leg.br/api/v2/deputados/215045" TargetMode="External"/><Relationship Id="rId2579" Type="http://schemas.openxmlformats.org/officeDocument/2006/relationships/hyperlink" Target="https://dadosabertos.camara.leg.br/api/v2/deputados/74183" TargetMode="External"/><Relationship Id="rId2993" Type="http://schemas.openxmlformats.org/officeDocument/2006/relationships/hyperlink" Target="https://dadosabertos.camara.leg.br/api/v2/deputados/139158" TargetMode="External"/><Relationship Id="rId6450" Type="http://schemas.openxmlformats.org/officeDocument/2006/relationships/hyperlink" Target="https://dadosabertos.camara.leg.br/api/v2/deputados/2070" TargetMode="External"/><Relationship Id="rId7501" Type="http://schemas.openxmlformats.org/officeDocument/2006/relationships/hyperlink" Target="https://dadosabertos.camara.leg.br/api/v2/deputados/691" TargetMode="External"/><Relationship Id="rId965" Type="http://schemas.openxmlformats.org/officeDocument/2006/relationships/hyperlink" Target="https://dadosabertos.camara.leg.br/api/v2/deputados/195866" TargetMode="External"/><Relationship Id="rId1595" Type="http://schemas.openxmlformats.org/officeDocument/2006/relationships/hyperlink" Target="https://dadosabertos.camara.leg.br/api/v2/deputados/162174" TargetMode="External"/><Relationship Id="rId2646" Type="http://schemas.openxmlformats.org/officeDocument/2006/relationships/hyperlink" Target="https://dadosabertos.camara.leg.br/api/v2/deputados/74123" TargetMode="External"/><Relationship Id="rId5052" Type="http://schemas.openxmlformats.org/officeDocument/2006/relationships/hyperlink" Target="https://dadosabertos.camara.leg.br/api/v2/deputados/3093" TargetMode="External"/><Relationship Id="rId6103" Type="http://schemas.openxmlformats.org/officeDocument/2006/relationships/hyperlink" Target="https://dadosabertos.camara.leg.br/api/v2/deputados/130143" TargetMode="External"/><Relationship Id="rId618" Type="http://schemas.openxmlformats.org/officeDocument/2006/relationships/hyperlink" Target="https://dadosabertos.camara.leg.br/api/v2/deputados/220651" TargetMode="External"/><Relationship Id="rId1248" Type="http://schemas.openxmlformats.org/officeDocument/2006/relationships/hyperlink" Target="https://dadosabertos.camara.leg.br/api/v2/deputados/73786" TargetMode="External"/><Relationship Id="rId1662" Type="http://schemas.openxmlformats.org/officeDocument/2006/relationships/hyperlink" Target="https://dadosabertos.camara.leg.br/api/v2/deputados/74392" TargetMode="External"/><Relationship Id="rId5869" Type="http://schemas.openxmlformats.org/officeDocument/2006/relationships/hyperlink" Target="https://dadosabertos.camara.leg.br/api/v2/deputados/130165" TargetMode="External"/><Relationship Id="rId1315" Type="http://schemas.openxmlformats.org/officeDocument/2006/relationships/hyperlink" Target="https://dadosabertos.camara.leg.br/api/v2/deputados/160631" TargetMode="External"/><Relationship Id="rId2713" Type="http://schemas.openxmlformats.org/officeDocument/2006/relationships/hyperlink" Target="https://dadosabertos.camara.leg.br/api/v2/deputados/73955" TargetMode="External"/><Relationship Id="rId7291" Type="http://schemas.openxmlformats.org/officeDocument/2006/relationships/hyperlink" Target="https://dadosabertos.camara.leg.br/api/v2/deputados/784" TargetMode="External"/><Relationship Id="rId4885" Type="http://schemas.openxmlformats.org/officeDocument/2006/relationships/hyperlink" Target="https://dadosabertos.camara.leg.br/api/v2/deputados/130562" TargetMode="External"/><Relationship Id="rId5936" Type="http://schemas.openxmlformats.org/officeDocument/2006/relationships/hyperlink" Target="https://dadosabertos.camara.leg.br/api/v2/deputados/1766" TargetMode="External"/><Relationship Id="rId21" Type="http://schemas.openxmlformats.org/officeDocument/2006/relationships/hyperlink" Target="https://dadosabertos.camara.leg.br/api/v2/deputados/204501" TargetMode="External"/><Relationship Id="rId2089" Type="http://schemas.openxmlformats.org/officeDocument/2006/relationships/hyperlink" Target="https://dadosabertos.camara.leg.br/api/v2/deputados/74690" TargetMode="External"/><Relationship Id="rId3487" Type="http://schemas.openxmlformats.org/officeDocument/2006/relationships/hyperlink" Target="https://dadosabertos.camara.leg.br/api/v2/deputados/132038" TargetMode="External"/><Relationship Id="rId4538" Type="http://schemas.openxmlformats.org/officeDocument/2006/relationships/hyperlink" Target="https://dadosabertos.camara.leg.br/api/v2/deputados/1557" TargetMode="External"/><Relationship Id="rId4952" Type="http://schemas.openxmlformats.org/officeDocument/2006/relationships/hyperlink" Target="https://dadosabertos.camara.leg.br/api/v2/deputados/130423" TargetMode="External"/><Relationship Id="rId3554" Type="http://schemas.openxmlformats.org/officeDocument/2006/relationships/hyperlink" Target="https://dadosabertos.camara.leg.br/api/v2/deputados/132093" TargetMode="External"/><Relationship Id="rId4605" Type="http://schemas.openxmlformats.org/officeDocument/2006/relationships/hyperlink" Target="https://dadosabertos.camara.leg.br/api/v2/deputados/130853" TargetMode="External"/><Relationship Id="rId7011" Type="http://schemas.openxmlformats.org/officeDocument/2006/relationships/hyperlink" Target="https://dadosabertos.camara.leg.br/api/v2/deputados/1067" TargetMode="External"/><Relationship Id="rId475" Type="http://schemas.openxmlformats.org/officeDocument/2006/relationships/hyperlink" Target="https://dadosabertos.camara.leg.br/api/v2/deputados/178997" TargetMode="External"/><Relationship Id="rId2156" Type="http://schemas.openxmlformats.org/officeDocument/2006/relationships/hyperlink" Target="https://dadosabertos.camara.leg.br/api/v2/deputados/74029" TargetMode="External"/><Relationship Id="rId2570" Type="http://schemas.openxmlformats.org/officeDocument/2006/relationships/hyperlink" Target="https://dadosabertos.camara.leg.br/api/v2/deputados/74245" TargetMode="External"/><Relationship Id="rId3207" Type="http://schemas.openxmlformats.org/officeDocument/2006/relationships/hyperlink" Target="https://dadosabertos.camara.leg.br/api/v2/deputados/139342" TargetMode="External"/><Relationship Id="rId3621" Type="http://schemas.openxmlformats.org/officeDocument/2006/relationships/hyperlink" Target="https://dadosabertos.camara.leg.br/api/v2/deputados/131673" TargetMode="External"/><Relationship Id="rId6777" Type="http://schemas.openxmlformats.org/officeDocument/2006/relationships/hyperlink" Target="https://dadosabertos.camara.leg.br/api/v2/deputados/130135" TargetMode="External"/><Relationship Id="rId7828" Type="http://schemas.openxmlformats.org/officeDocument/2006/relationships/hyperlink" Target="https://dadosabertos.camara.leg.br/api/v2/deputados/263" TargetMode="External"/><Relationship Id="rId128" Type="http://schemas.openxmlformats.org/officeDocument/2006/relationships/hyperlink" Target="https://dadosabertos.camara.leg.br/api/v2/deputados/220595" TargetMode="External"/><Relationship Id="rId542" Type="http://schemas.openxmlformats.org/officeDocument/2006/relationships/hyperlink" Target="https://dadosabertos.camara.leg.br/api/v2/deputados/220580" TargetMode="External"/><Relationship Id="rId1172" Type="http://schemas.openxmlformats.org/officeDocument/2006/relationships/hyperlink" Target="http://www.deputadoheinze.com.br/" TargetMode="External"/><Relationship Id="rId2223" Type="http://schemas.openxmlformats.org/officeDocument/2006/relationships/hyperlink" Target="https://dadosabertos.camara.leg.br/api/v2/deputados/74347" TargetMode="External"/><Relationship Id="rId5379" Type="http://schemas.openxmlformats.org/officeDocument/2006/relationships/hyperlink" Target="https://dadosabertos.camara.leg.br/api/v2/deputados/2911" TargetMode="External"/><Relationship Id="rId5793" Type="http://schemas.openxmlformats.org/officeDocument/2006/relationships/hyperlink" Target="https://dadosabertos.camara.leg.br/api/v2/deputados/4503" TargetMode="External"/><Relationship Id="rId6844" Type="http://schemas.openxmlformats.org/officeDocument/2006/relationships/hyperlink" Target="https://dadosabertos.camara.leg.br/api/v2/deputados/1137" TargetMode="External"/><Relationship Id="rId4395" Type="http://schemas.openxmlformats.org/officeDocument/2006/relationships/hyperlink" Target="https://dadosabertos.camara.leg.br/api/v2/deputados/130990" TargetMode="External"/><Relationship Id="rId5446" Type="http://schemas.openxmlformats.org/officeDocument/2006/relationships/hyperlink" Target="https://dadosabertos.camara.leg.br/api/v2/deputados/4795" TargetMode="External"/><Relationship Id="rId1989" Type="http://schemas.openxmlformats.org/officeDocument/2006/relationships/hyperlink" Target="https://dadosabertos.camara.leg.br/api/v2/deputados/74268" TargetMode="External"/><Relationship Id="rId4048" Type="http://schemas.openxmlformats.org/officeDocument/2006/relationships/hyperlink" Target="https://dadosabertos.camara.leg.br/api/v2/deputados/131190" TargetMode="External"/><Relationship Id="rId5860" Type="http://schemas.openxmlformats.org/officeDocument/2006/relationships/hyperlink" Target="https://dadosabertos.camara.leg.br/api/v2/deputados/4400" TargetMode="External"/><Relationship Id="rId6911" Type="http://schemas.openxmlformats.org/officeDocument/2006/relationships/hyperlink" Target="https://dadosabertos.camara.leg.br/api/v2/deputados/1200" TargetMode="External"/><Relationship Id="rId3064" Type="http://schemas.openxmlformats.org/officeDocument/2006/relationships/hyperlink" Target="https://dadosabertos.camara.leg.br/api/v2/deputados/139221" TargetMode="External"/><Relationship Id="rId4462" Type="http://schemas.openxmlformats.org/officeDocument/2006/relationships/hyperlink" Target="https://dadosabertos.camara.leg.br/api/v2/deputados/131075" TargetMode="External"/><Relationship Id="rId5513" Type="http://schemas.openxmlformats.org/officeDocument/2006/relationships/hyperlink" Target="https://dadosabertos.camara.leg.br/api/v2/deputados/2843" TargetMode="External"/><Relationship Id="rId1709" Type="http://schemas.openxmlformats.org/officeDocument/2006/relationships/hyperlink" Target="https://dadosabertos.camara.leg.br/api/v2/deputados/141336" TargetMode="External"/><Relationship Id="rId4115" Type="http://schemas.openxmlformats.org/officeDocument/2006/relationships/hyperlink" Target="https://dadosabertos.camara.leg.br/api/v2/deputados/131242" TargetMode="External"/><Relationship Id="rId7685" Type="http://schemas.openxmlformats.org/officeDocument/2006/relationships/hyperlink" Target="https://dadosabertos.camara.leg.br/api/v2/deputados/473" TargetMode="External"/><Relationship Id="rId2080" Type="http://schemas.openxmlformats.org/officeDocument/2006/relationships/hyperlink" Target="https://dadosabertos.camara.leg.br/api/v2/deputados/74255" TargetMode="External"/><Relationship Id="rId3131" Type="http://schemas.openxmlformats.org/officeDocument/2006/relationships/hyperlink" Target="https://dadosabertos.camara.leg.br/api/v2/deputados/1509" TargetMode="External"/><Relationship Id="rId6287" Type="http://schemas.openxmlformats.org/officeDocument/2006/relationships/hyperlink" Target="https://dadosabertos.camara.leg.br/api/v2/deputados/2193" TargetMode="External"/><Relationship Id="rId7338" Type="http://schemas.openxmlformats.org/officeDocument/2006/relationships/hyperlink" Target="https://dadosabertos.camara.leg.br/api/v2/deputados/831" TargetMode="External"/><Relationship Id="rId7752" Type="http://schemas.openxmlformats.org/officeDocument/2006/relationships/hyperlink" Target="https://dadosabertos.camara.leg.br/api/v2/deputados/436" TargetMode="External"/><Relationship Id="rId2897" Type="http://schemas.openxmlformats.org/officeDocument/2006/relationships/hyperlink" Target="https://dadosabertos.camara.leg.br/api/v2/deputados/73799" TargetMode="External"/><Relationship Id="rId3948" Type="http://schemas.openxmlformats.org/officeDocument/2006/relationships/hyperlink" Target="https://dadosabertos.camara.leg.br/api/v2/deputados/131423" TargetMode="External"/><Relationship Id="rId6354" Type="http://schemas.openxmlformats.org/officeDocument/2006/relationships/hyperlink" Target="https://dadosabertos.camara.leg.br/api/v2/deputados/3650" TargetMode="External"/><Relationship Id="rId7405" Type="http://schemas.openxmlformats.org/officeDocument/2006/relationships/hyperlink" Target="https://dadosabertos.camara.leg.br/api/v2/deputados/605" TargetMode="External"/><Relationship Id="rId869" Type="http://schemas.openxmlformats.org/officeDocument/2006/relationships/hyperlink" Target="https://dadosabertos.camara.leg.br/api/v2/deputados/92172" TargetMode="External"/><Relationship Id="rId1499" Type="http://schemas.openxmlformats.org/officeDocument/2006/relationships/hyperlink" Target="http://www.facebook.com/deputadojosehumberto" TargetMode="External"/><Relationship Id="rId5370" Type="http://schemas.openxmlformats.org/officeDocument/2006/relationships/hyperlink" Target="https://dadosabertos.camara.leg.br/api/v2/deputados/2364" TargetMode="External"/><Relationship Id="rId6007" Type="http://schemas.openxmlformats.org/officeDocument/2006/relationships/hyperlink" Target="https://dadosabertos.camara.leg.br/api/v2/deputados/2499" TargetMode="External"/><Relationship Id="rId6421" Type="http://schemas.openxmlformats.org/officeDocument/2006/relationships/hyperlink" Target="https://dadosabertos.camara.leg.br/api/v2/deputados/1209" TargetMode="External"/><Relationship Id="rId2964" Type="http://schemas.openxmlformats.org/officeDocument/2006/relationships/hyperlink" Target="https://dadosabertos.camara.leg.br/api/v2/deputados/1524" TargetMode="External"/><Relationship Id="rId5023" Type="http://schemas.openxmlformats.org/officeDocument/2006/relationships/hyperlink" Target="https://dadosabertos.camara.leg.br/api/v2/deputados/130477" TargetMode="External"/><Relationship Id="rId936" Type="http://schemas.openxmlformats.org/officeDocument/2006/relationships/hyperlink" Target="https://dadosabertos.camara.leg.br/api/v2/deputados/214477" TargetMode="External"/><Relationship Id="rId1219" Type="http://schemas.openxmlformats.org/officeDocument/2006/relationships/hyperlink" Target="https://dadosabertos.camara.leg.br/api/v2/deputados/195278" TargetMode="External"/><Relationship Id="rId1566" Type="http://schemas.openxmlformats.org/officeDocument/2006/relationships/hyperlink" Target="https://dadosabertos.camara.leg.br/api/v2/deputados/74750" TargetMode="External"/><Relationship Id="rId1980" Type="http://schemas.openxmlformats.org/officeDocument/2006/relationships/hyperlink" Target="https://dadosabertos.camara.leg.br/api/v2/deputados/74381" TargetMode="External"/><Relationship Id="rId2617" Type="http://schemas.openxmlformats.org/officeDocument/2006/relationships/hyperlink" Target="https://dadosabertos.camara.leg.br/api/v2/deputados/74068" TargetMode="External"/><Relationship Id="rId7195" Type="http://schemas.openxmlformats.org/officeDocument/2006/relationships/hyperlink" Target="https://dadosabertos.camara.leg.br/api/v2/deputados/1007" TargetMode="External"/><Relationship Id="rId1633" Type="http://schemas.openxmlformats.org/officeDocument/2006/relationships/hyperlink" Target="https://dadosabertos.camara.leg.br/api/v2/deputados/160679" TargetMode="External"/><Relationship Id="rId4789" Type="http://schemas.openxmlformats.org/officeDocument/2006/relationships/hyperlink" Target="https://dadosabertos.camara.leg.br/api/v2/deputados/130544" TargetMode="External"/><Relationship Id="rId1700" Type="http://schemas.openxmlformats.org/officeDocument/2006/relationships/hyperlink" Target="https://dadosabertos.camara.leg.br/api/v2/deputados/160318" TargetMode="External"/><Relationship Id="rId4856" Type="http://schemas.openxmlformats.org/officeDocument/2006/relationships/hyperlink" Target="https://dadosabertos.camara.leg.br/api/v2/deputados/130574" TargetMode="External"/><Relationship Id="rId5907" Type="http://schemas.openxmlformats.org/officeDocument/2006/relationships/hyperlink" Target="https://dadosabertos.camara.leg.br/api/v2/deputados/4436" TargetMode="External"/><Relationship Id="rId7262" Type="http://schemas.openxmlformats.org/officeDocument/2006/relationships/hyperlink" Target="https://dadosabertos.camara.leg.br/api/v2/deputados/994" TargetMode="External"/><Relationship Id="rId3458" Type="http://schemas.openxmlformats.org/officeDocument/2006/relationships/hyperlink" Target="https://dadosabertos.camara.leg.br/api/v2/deputados/132017" TargetMode="External"/><Relationship Id="rId3872" Type="http://schemas.openxmlformats.org/officeDocument/2006/relationships/hyperlink" Target="https://dadosabertos.camara.leg.br/api/v2/deputados/131515" TargetMode="External"/><Relationship Id="rId4509" Type="http://schemas.openxmlformats.org/officeDocument/2006/relationships/hyperlink" Target="https://dadosabertos.camara.leg.br/api/v2/deputados/131116" TargetMode="External"/><Relationship Id="rId379" Type="http://schemas.openxmlformats.org/officeDocument/2006/relationships/hyperlink" Target="https://dadosabertos.camara.leg.br/api/v2/deputados/74156" TargetMode="External"/><Relationship Id="rId793" Type="http://schemas.openxmlformats.org/officeDocument/2006/relationships/hyperlink" Target="https://dadosabertos.camara.leg.br/api/v2/deputados/178981" TargetMode="External"/><Relationship Id="rId2474" Type="http://schemas.openxmlformats.org/officeDocument/2006/relationships/hyperlink" Target="https://dadosabertos.camara.leg.br/api/v2/deputados/73657" TargetMode="External"/><Relationship Id="rId3525" Type="http://schemas.openxmlformats.org/officeDocument/2006/relationships/hyperlink" Target="https://dadosabertos.camara.leg.br/api/v2/deputados/132074" TargetMode="External"/><Relationship Id="rId4923" Type="http://schemas.openxmlformats.org/officeDocument/2006/relationships/hyperlink" Target="https://dadosabertos.camara.leg.br/api/v2/deputados/130392" TargetMode="External"/><Relationship Id="rId446" Type="http://schemas.openxmlformats.org/officeDocument/2006/relationships/hyperlink" Target="https://dadosabertos.camara.leg.br/api/v2/deputados/204540" TargetMode="External"/><Relationship Id="rId1076" Type="http://schemas.openxmlformats.org/officeDocument/2006/relationships/hyperlink" Target="https://dadosabertos.camara.leg.br/api/v2/deputados/171782" TargetMode="External"/><Relationship Id="rId1490" Type="http://schemas.openxmlformats.org/officeDocument/2006/relationships/hyperlink" Target="https://dadosabertos.camara.leg.br/api/v2/deputados/74686" TargetMode="External"/><Relationship Id="rId2127" Type="http://schemas.openxmlformats.org/officeDocument/2006/relationships/hyperlink" Target="https://dadosabertos.camara.leg.br/api/v2/deputados/74166" TargetMode="External"/><Relationship Id="rId860" Type="http://schemas.openxmlformats.org/officeDocument/2006/relationships/hyperlink" Target="http://margaridasalomao.com.br/" TargetMode="External"/><Relationship Id="rId1143" Type="http://schemas.openxmlformats.org/officeDocument/2006/relationships/hyperlink" Target="https://dadosabertos.camara.leg.br/api/v2/deputados/74275" TargetMode="External"/><Relationship Id="rId2541" Type="http://schemas.openxmlformats.org/officeDocument/2006/relationships/hyperlink" Target="https://dadosabertos.camara.leg.br/api/v2/deputados/74773" TargetMode="External"/><Relationship Id="rId4299" Type="http://schemas.openxmlformats.org/officeDocument/2006/relationships/hyperlink" Target="https://dadosabertos.camara.leg.br/api/v2/deputados/130911" TargetMode="External"/><Relationship Id="rId5697" Type="http://schemas.openxmlformats.org/officeDocument/2006/relationships/hyperlink" Target="https://dadosabertos.camara.leg.br/api/v2/deputados/2673" TargetMode="External"/><Relationship Id="rId6748" Type="http://schemas.openxmlformats.org/officeDocument/2006/relationships/hyperlink" Target="https://dadosabertos.camara.leg.br/api/v2/deputados/130131" TargetMode="External"/><Relationship Id="rId513" Type="http://schemas.openxmlformats.org/officeDocument/2006/relationships/hyperlink" Target="https://dadosabertos.camara.leg.br/api/v2/deputados/220650" TargetMode="External"/><Relationship Id="rId5764" Type="http://schemas.openxmlformats.org/officeDocument/2006/relationships/hyperlink" Target="https://dadosabertos.camara.leg.br/api/v2/deputados/1932" TargetMode="External"/><Relationship Id="rId6815" Type="http://schemas.openxmlformats.org/officeDocument/2006/relationships/hyperlink" Target="https://dadosabertos.camara.leg.br/api/v2/deputados/1736" TargetMode="External"/><Relationship Id="rId1210" Type="http://schemas.openxmlformats.org/officeDocument/2006/relationships/hyperlink" Target="https://dadosabertos.camara.leg.br/api/v2/deputados/74050" TargetMode="External"/><Relationship Id="rId4366" Type="http://schemas.openxmlformats.org/officeDocument/2006/relationships/hyperlink" Target="https://dadosabertos.camara.leg.br/api/v2/deputados/130968" TargetMode="External"/><Relationship Id="rId4780" Type="http://schemas.openxmlformats.org/officeDocument/2006/relationships/hyperlink" Target="https://dadosabertos.camara.leg.br/api/v2/deputados/130603" TargetMode="External"/><Relationship Id="rId5417" Type="http://schemas.openxmlformats.org/officeDocument/2006/relationships/hyperlink" Target="https://dadosabertos.camara.leg.br/api/v2/deputados/4749" TargetMode="External"/><Relationship Id="rId5831" Type="http://schemas.openxmlformats.org/officeDocument/2006/relationships/hyperlink" Target="https://dadosabertos.camara.leg.br/api/v2/deputados/2601" TargetMode="External"/><Relationship Id="rId3382" Type="http://schemas.openxmlformats.org/officeDocument/2006/relationships/hyperlink" Target="https://dadosabertos.camara.leg.br/api/v2/deputados/131929" TargetMode="External"/><Relationship Id="rId4019" Type="http://schemas.openxmlformats.org/officeDocument/2006/relationships/hyperlink" Target="https://dadosabertos.camara.leg.br/api/v2/deputados/131152" TargetMode="External"/><Relationship Id="rId4433" Type="http://schemas.openxmlformats.org/officeDocument/2006/relationships/hyperlink" Target="https://dadosabertos.camara.leg.br/api/v2/deputados/131050" TargetMode="External"/><Relationship Id="rId7589" Type="http://schemas.openxmlformats.org/officeDocument/2006/relationships/hyperlink" Target="https://dadosabertos.camara.leg.br/api/v2/deputados/472" TargetMode="External"/><Relationship Id="rId3035" Type="http://schemas.openxmlformats.org/officeDocument/2006/relationships/hyperlink" Target="https://dadosabertos.camara.leg.br/api/v2/deputados/139196" TargetMode="External"/><Relationship Id="rId4500" Type="http://schemas.openxmlformats.org/officeDocument/2006/relationships/hyperlink" Target="https://dadosabertos.camara.leg.br/api/v2/deputados/131003" TargetMode="External"/><Relationship Id="rId7656" Type="http://schemas.openxmlformats.org/officeDocument/2006/relationships/hyperlink" Target="https://dadosabertos.camara.leg.br/api/v2/deputados/493" TargetMode="External"/><Relationship Id="rId370" Type="http://schemas.openxmlformats.org/officeDocument/2006/relationships/hyperlink" Target="https://dadosabertos.camara.leg.br/api/v2/deputados/98057" TargetMode="External"/><Relationship Id="rId2051" Type="http://schemas.openxmlformats.org/officeDocument/2006/relationships/hyperlink" Target="https://dadosabertos.camara.leg.br/api/v2/deputados/74287" TargetMode="External"/><Relationship Id="rId3102" Type="http://schemas.openxmlformats.org/officeDocument/2006/relationships/hyperlink" Target="https://dadosabertos.camara.leg.br/api/v2/deputados/139255" TargetMode="External"/><Relationship Id="rId6258" Type="http://schemas.openxmlformats.org/officeDocument/2006/relationships/hyperlink" Target="https://dadosabertos.camara.leg.br/api/v2/deputados/2275" TargetMode="External"/><Relationship Id="rId7309" Type="http://schemas.openxmlformats.org/officeDocument/2006/relationships/hyperlink" Target="https://dadosabertos.camara.leg.br/api/v2/deputados/888" TargetMode="External"/><Relationship Id="rId5274" Type="http://schemas.openxmlformats.org/officeDocument/2006/relationships/hyperlink" Target="https://dadosabertos.camara.leg.br/api/v2/deputados/3012" TargetMode="External"/><Relationship Id="rId6325" Type="http://schemas.openxmlformats.org/officeDocument/2006/relationships/hyperlink" Target="https://dadosabertos.camara.leg.br/api/v2/deputados/3629" TargetMode="External"/><Relationship Id="rId6672" Type="http://schemas.openxmlformats.org/officeDocument/2006/relationships/hyperlink" Target="https://dadosabertos.camara.leg.br/api/v2/deputados/3963" TargetMode="External"/><Relationship Id="rId7723" Type="http://schemas.openxmlformats.org/officeDocument/2006/relationships/hyperlink" Target="https://dadosabertos.camara.leg.br/api/v2/deputados/329" TargetMode="External"/><Relationship Id="rId2868" Type="http://schemas.openxmlformats.org/officeDocument/2006/relationships/hyperlink" Target="https://dadosabertos.camara.leg.br/api/v2/deputados/73847" TargetMode="External"/><Relationship Id="rId3919" Type="http://schemas.openxmlformats.org/officeDocument/2006/relationships/hyperlink" Target="https://dadosabertos.camara.leg.br/api/v2/deputados/131430" TargetMode="External"/><Relationship Id="rId1884" Type="http://schemas.openxmlformats.org/officeDocument/2006/relationships/hyperlink" Target="https://dadosabertos.camara.leg.br/api/v2/deputados/74641" TargetMode="External"/><Relationship Id="rId2935" Type="http://schemas.openxmlformats.org/officeDocument/2006/relationships/hyperlink" Target="https://dadosabertos.camara.leg.br/api/v2/deputados/133850" TargetMode="External"/><Relationship Id="rId4290" Type="http://schemas.openxmlformats.org/officeDocument/2006/relationships/hyperlink" Target="https://dadosabertos.camara.leg.br/api/v2/deputados/131037" TargetMode="External"/><Relationship Id="rId5341" Type="http://schemas.openxmlformats.org/officeDocument/2006/relationships/hyperlink" Target="https://dadosabertos.camara.leg.br/api/v2/deputados/2899" TargetMode="External"/><Relationship Id="rId907" Type="http://schemas.openxmlformats.org/officeDocument/2006/relationships/hyperlink" Target="https://dadosabertos.camara.leg.br/api/v2/deputados/204565" TargetMode="External"/><Relationship Id="rId1537" Type="http://schemas.openxmlformats.org/officeDocument/2006/relationships/hyperlink" Target="https://dadosabertos.camara.leg.br/api/v2/deputados/74143" TargetMode="External"/><Relationship Id="rId1951" Type="http://schemas.openxmlformats.org/officeDocument/2006/relationships/hyperlink" Target="https://dadosabertos.camara.leg.br/api/v2/deputados/74466" TargetMode="External"/><Relationship Id="rId7099" Type="http://schemas.openxmlformats.org/officeDocument/2006/relationships/hyperlink" Target="https://dadosabertos.camara.leg.br/api/v2/deputados/1097" TargetMode="External"/><Relationship Id="rId1604" Type="http://schemas.openxmlformats.org/officeDocument/2006/relationships/hyperlink" Target="https://dadosabertos.camara.leg.br/api/v2/deputados/160623" TargetMode="External"/><Relationship Id="rId4010" Type="http://schemas.openxmlformats.org/officeDocument/2006/relationships/hyperlink" Target="https://dadosabertos.camara.leg.br/api/v2/deputados/131398" TargetMode="External"/><Relationship Id="rId7166" Type="http://schemas.openxmlformats.org/officeDocument/2006/relationships/hyperlink" Target="https://dadosabertos.camara.leg.br/api/v2/deputados/1057" TargetMode="External"/><Relationship Id="rId7580" Type="http://schemas.openxmlformats.org/officeDocument/2006/relationships/hyperlink" Target="https://dadosabertos.camara.leg.br/api/v2/deputados/670" TargetMode="External"/><Relationship Id="rId6182" Type="http://schemas.openxmlformats.org/officeDocument/2006/relationships/hyperlink" Target="https://dadosabertos.camara.leg.br/api/v2/deputados/2149" TargetMode="External"/><Relationship Id="rId7233" Type="http://schemas.openxmlformats.org/officeDocument/2006/relationships/hyperlink" Target="https://dadosabertos.camara.leg.br/api/v2/deputados/1041" TargetMode="External"/><Relationship Id="rId697" Type="http://schemas.openxmlformats.org/officeDocument/2006/relationships/hyperlink" Target="https://dadosabertos.camara.leg.br/api/v2/deputados/141513" TargetMode="External"/><Relationship Id="rId2378" Type="http://schemas.openxmlformats.org/officeDocument/2006/relationships/hyperlink" Target="https://dadosabertos.camara.leg.br/api/v2/deputados/74760" TargetMode="External"/><Relationship Id="rId3429" Type="http://schemas.openxmlformats.org/officeDocument/2006/relationships/hyperlink" Target="https://dadosabertos.camara.leg.br/api/v2/deputados/131991" TargetMode="External"/><Relationship Id="rId3776" Type="http://schemas.openxmlformats.org/officeDocument/2006/relationships/hyperlink" Target="https://dadosabertos.camara.leg.br/api/v2/deputados/131507" TargetMode="External"/><Relationship Id="rId4827" Type="http://schemas.openxmlformats.org/officeDocument/2006/relationships/hyperlink" Target="https://dadosabertos.camara.leg.br/api/v2/deputados/130651" TargetMode="External"/><Relationship Id="rId2792" Type="http://schemas.openxmlformats.org/officeDocument/2006/relationships/hyperlink" Target="https://dadosabertos.camara.leg.br/api/v2/deputados/133891" TargetMode="External"/><Relationship Id="rId3843" Type="http://schemas.openxmlformats.org/officeDocument/2006/relationships/hyperlink" Target="https://dadosabertos.camara.leg.br/api/v2/deputados/131577" TargetMode="External"/><Relationship Id="rId6999" Type="http://schemas.openxmlformats.org/officeDocument/2006/relationships/hyperlink" Target="https://dadosabertos.camara.leg.br/api/v2/deputados/1154" TargetMode="External"/><Relationship Id="rId7300" Type="http://schemas.openxmlformats.org/officeDocument/2006/relationships/hyperlink" Target="https://dadosabertos.camara.leg.br/api/v2/deputados/887" TargetMode="External"/><Relationship Id="rId764" Type="http://schemas.openxmlformats.org/officeDocument/2006/relationships/hyperlink" Target="https://dadosabertos.camara.leg.br/api/v2/deputados/204477" TargetMode="External"/><Relationship Id="rId1394" Type="http://schemas.openxmlformats.org/officeDocument/2006/relationships/hyperlink" Target="https://dadosabertos.camara.leg.br/api/v2/deputados/114586" TargetMode="External"/><Relationship Id="rId2445" Type="http://schemas.openxmlformats.org/officeDocument/2006/relationships/hyperlink" Target="https://dadosabertos.camara.leg.br/api/v2/deputados/74332" TargetMode="External"/><Relationship Id="rId3910" Type="http://schemas.openxmlformats.org/officeDocument/2006/relationships/hyperlink" Target="https://dadosabertos.camara.leg.br/api/v2/deputados/131429" TargetMode="External"/><Relationship Id="rId417" Type="http://schemas.openxmlformats.org/officeDocument/2006/relationships/hyperlink" Target="https://twitter.com/luiziannelinsPT" TargetMode="External"/><Relationship Id="rId831" Type="http://schemas.openxmlformats.org/officeDocument/2006/relationships/hyperlink" Target="https://dadosabertos.camara.leg.br/api/v2/deputados/204523" TargetMode="External"/><Relationship Id="rId1047" Type="http://schemas.openxmlformats.org/officeDocument/2006/relationships/hyperlink" Target="https://dadosabertos.camara.leg.br/api/v2/deputados/73720" TargetMode="External"/><Relationship Id="rId1461" Type="http://schemas.openxmlformats.org/officeDocument/2006/relationships/hyperlink" Target="https://dadosabertos.camara.leg.br/api/v2/deputados/160590" TargetMode="External"/><Relationship Id="rId2512" Type="http://schemas.openxmlformats.org/officeDocument/2006/relationships/hyperlink" Target="https://dadosabertos.camara.leg.br/api/v2/deputados/74409" TargetMode="External"/><Relationship Id="rId5668" Type="http://schemas.openxmlformats.org/officeDocument/2006/relationships/hyperlink" Target="https://dadosabertos.camara.leg.br/api/v2/deputados/130240" TargetMode="External"/><Relationship Id="rId6719" Type="http://schemas.openxmlformats.org/officeDocument/2006/relationships/hyperlink" Target="https://dadosabertos.camara.leg.br/api/v2/deputados/1937" TargetMode="External"/><Relationship Id="rId1114" Type="http://schemas.openxmlformats.org/officeDocument/2006/relationships/hyperlink" Target="https://dadosabertos.camara.leg.br/api/v2/deputados/141389" TargetMode="External"/><Relationship Id="rId4684" Type="http://schemas.openxmlformats.org/officeDocument/2006/relationships/hyperlink" Target="https://dadosabertos.camara.leg.br/api/v2/deputados/130740" TargetMode="External"/><Relationship Id="rId5735" Type="http://schemas.openxmlformats.org/officeDocument/2006/relationships/hyperlink" Target="https://dadosabertos.camara.leg.br/api/v2/deputados/130187" TargetMode="External"/><Relationship Id="rId7090" Type="http://schemas.openxmlformats.org/officeDocument/2006/relationships/hyperlink" Target="https://dadosabertos.camara.leg.br/api/v2/deputados/1080" TargetMode="External"/><Relationship Id="rId3286" Type="http://schemas.openxmlformats.org/officeDocument/2006/relationships/hyperlink" Target="https://dadosabertos.camara.leg.br/api/v2/deputados/131848" TargetMode="External"/><Relationship Id="rId4337" Type="http://schemas.openxmlformats.org/officeDocument/2006/relationships/hyperlink" Target="https://dadosabertos.camara.leg.br/api/v2/deputados/130941" TargetMode="External"/><Relationship Id="rId3353" Type="http://schemas.openxmlformats.org/officeDocument/2006/relationships/hyperlink" Target="https://dadosabertos.camara.leg.br/api/v2/deputados/131908" TargetMode="External"/><Relationship Id="rId4751" Type="http://schemas.openxmlformats.org/officeDocument/2006/relationships/hyperlink" Target="https://dadosabertos.camara.leg.br/api/v2/deputados/130527" TargetMode="External"/><Relationship Id="rId5802" Type="http://schemas.openxmlformats.org/officeDocument/2006/relationships/hyperlink" Target="https://dadosabertos.camara.leg.br/api/v2/deputados/4525" TargetMode="External"/><Relationship Id="rId274" Type="http://schemas.openxmlformats.org/officeDocument/2006/relationships/hyperlink" Target="https://dadosabertos.camara.leg.br/api/v2/deputados/204491" TargetMode="External"/><Relationship Id="rId3006" Type="http://schemas.openxmlformats.org/officeDocument/2006/relationships/hyperlink" Target="https://dadosabertos.camara.leg.br/api/v2/deputados/139171" TargetMode="External"/><Relationship Id="rId4404" Type="http://schemas.openxmlformats.org/officeDocument/2006/relationships/hyperlink" Target="https://dadosabertos.camara.leg.br/api/v2/deputados/131004" TargetMode="External"/><Relationship Id="rId7974" Type="http://schemas.openxmlformats.org/officeDocument/2006/relationships/hyperlink" Target="https://dadosabertos.camara.leg.br/api/v2/deputados/178" TargetMode="External"/><Relationship Id="rId3420" Type="http://schemas.openxmlformats.org/officeDocument/2006/relationships/hyperlink" Target="https://dadosabertos.camara.leg.br/api/v2/deputados/131972" TargetMode="External"/><Relationship Id="rId6576" Type="http://schemas.openxmlformats.org/officeDocument/2006/relationships/hyperlink" Target="https://dadosabertos.camara.leg.br/api/v2/deputados/1873" TargetMode="External"/><Relationship Id="rId6990" Type="http://schemas.openxmlformats.org/officeDocument/2006/relationships/hyperlink" Target="https://dadosabertos.camara.leg.br/api/v2/deputados/1215" TargetMode="External"/><Relationship Id="rId7627" Type="http://schemas.openxmlformats.org/officeDocument/2006/relationships/hyperlink" Target="https://dadosabertos.camara.leg.br/api/v2/deputados/550" TargetMode="External"/><Relationship Id="rId341" Type="http://schemas.openxmlformats.org/officeDocument/2006/relationships/hyperlink" Target="https://dadosabertos.camara.leg.br/api/v2/deputados/204472" TargetMode="External"/><Relationship Id="rId2022" Type="http://schemas.openxmlformats.org/officeDocument/2006/relationships/hyperlink" Target="https://dadosabertos.camara.leg.br/api/v2/deputados/74387" TargetMode="External"/><Relationship Id="rId5178" Type="http://schemas.openxmlformats.org/officeDocument/2006/relationships/hyperlink" Target="https://dadosabertos.camara.leg.br/api/v2/deputados/3030" TargetMode="External"/><Relationship Id="rId5592" Type="http://schemas.openxmlformats.org/officeDocument/2006/relationships/hyperlink" Target="https://dadosabertos.camara.leg.br/api/v2/deputados/130235" TargetMode="External"/><Relationship Id="rId6229" Type="http://schemas.openxmlformats.org/officeDocument/2006/relationships/hyperlink" Target="https://dadosabertos.camara.leg.br/api/v2/deputados/2307" TargetMode="External"/><Relationship Id="rId6643" Type="http://schemas.openxmlformats.org/officeDocument/2006/relationships/hyperlink" Target="https://dadosabertos.camara.leg.br/api/v2/deputados/1832" TargetMode="External"/><Relationship Id="rId1788" Type="http://schemas.openxmlformats.org/officeDocument/2006/relationships/hyperlink" Target="https://dadosabertos.camara.leg.br/api/v2/deputados/74563" TargetMode="External"/><Relationship Id="rId2839" Type="http://schemas.openxmlformats.org/officeDocument/2006/relationships/hyperlink" Target="https://dadosabertos.camara.leg.br/api/v2/deputados/133967" TargetMode="External"/><Relationship Id="rId4194" Type="http://schemas.openxmlformats.org/officeDocument/2006/relationships/hyperlink" Target="https://dadosabertos.camara.leg.br/api/v2/deputados/131316" TargetMode="External"/><Relationship Id="rId5245" Type="http://schemas.openxmlformats.org/officeDocument/2006/relationships/hyperlink" Target="https://dadosabertos.camara.leg.br/api/v2/deputados/4878" TargetMode="External"/><Relationship Id="rId6710" Type="http://schemas.openxmlformats.org/officeDocument/2006/relationships/hyperlink" Target="https://dadosabertos.camara.leg.br/api/v2/deputados/3984" TargetMode="External"/><Relationship Id="rId4261" Type="http://schemas.openxmlformats.org/officeDocument/2006/relationships/hyperlink" Target="https://dadosabertos.camara.leg.br/api/v2/deputados/131376" TargetMode="External"/><Relationship Id="rId5312" Type="http://schemas.openxmlformats.org/officeDocument/2006/relationships/hyperlink" Target="https://dadosabertos.camara.leg.br/api/v2/deputados/2905" TargetMode="External"/><Relationship Id="rId1508" Type="http://schemas.openxmlformats.org/officeDocument/2006/relationships/hyperlink" Target="https://dadosabertos.camara.leg.br/api/v2/deputados/74367" TargetMode="External"/><Relationship Id="rId1855" Type="http://schemas.openxmlformats.org/officeDocument/2006/relationships/hyperlink" Target="http://deppauloroberto.blogspot.com/" TargetMode="External"/><Relationship Id="rId2906" Type="http://schemas.openxmlformats.org/officeDocument/2006/relationships/hyperlink" Target="https://dadosabertos.camara.leg.br/api/v2/deputados/73956" TargetMode="External"/><Relationship Id="rId7484" Type="http://schemas.openxmlformats.org/officeDocument/2006/relationships/hyperlink" Target="https://dadosabertos.camara.leg.br/api/v2/deputados/622" TargetMode="External"/><Relationship Id="rId1922" Type="http://schemas.openxmlformats.org/officeDocument/2006/relationships/hyperlink" Target="https://dadosabertos.camara.leg.br/api/v2/deputados/74675" TargetMode="External"/><Relationship Id="rId6086" Type="http://schemas.openxmlformats.org/officeDocument/2006/relationships/hyperlink" Target="https://dadosabertos.camara.leg.br/api/v2/deputados/1584" TargetMode="External"/><Relationship Id="rId7137" Type="http://schemas.openxmlformats.org/officeDocument/2006/relationships/hyperlink" Target="https://dadosabertos.camara.leg.br/api/v2/deputados/939" TargetMode="External"/><Relationship Id="rId7551" Type="http://schemas.openxmlformats.org/officeDocument/2006/relationships/hyperlink" Target="https://dadosabertos.camara.leg.br/api/v2/deputados/650" TargetMode="External"/><Relationship Id="rId2696" Type="http://schemas.openxmlformats.org/officeDocument/2006/relationships/hyperlink" Target="https://dadosabertos.camara.leg.br/api/v2/deputados/73866" TargetMode="External"/><Relationship Id="rId3747" Type="http://schemas.openxmlformats.org/officeDocument/2006/relationships/hyperlink" Target="https://dadosabertos.camara.leg.br/api/v2/deputados/131799" TargetMode="External"/><Relationship Id="rId6153" Type="http://schemas.openxmlformats.org/officeDocument/2006/relationships/hyperlink" Target="https://dadosabertos.camara.leg.br/api/v2/deputados/4120" TargetMode="External"/><Relationship Id="rId7204" Type="http://schemas.openxmlformats.org/officeDocument/2006/relationships/hyperlink" Target="https://dadosabertos.camara.leg.br/api/v2/deputados/583" TargetMode="External"/><Relationship Id="rId668" Type="http://schemas.openxmlformats.org/officeDocument/2006/relationships/hyperlink" Target="http://www.zecadirceu.com.br/" TargetMode="External"/><Relationship Id="rId1298" Type="http://schemas.openxmlformats.org/officeDocument/2006/relationships/hyperlink" Target="https://dadosabertos.camara.leg.br/api/v2/deputados/73831" TargetMode="External"/><Relationship Id="rId2349" Type="http://schemas.openxmlformats.org/officeDocument/2006/relationships/hyperlink" Target="https://dadosabertos.camara.leg.br/api/v2/deputados/73571" TargetMode="External"/><Relationship Id="rId2763" Type="http://schemas.openxmlformats.org/officeDocument/2006/relationships/hyperlink" Target="https://dadosabertos.camara.leg.br/api/v2/deputados/133873" TargetMode="External"/><Relationship Id="rId3814" Type="http://schemas.openxmlformats.org/officeDocument/2006/relationships/hyperlink" Target="https://dadosabertos.camara.leg.br/api/v2/deputados/131538" TargetMode="External"/><Relationship Id="rId6220" Type="http://schemas.openxmlformats.org/officeDocument/2006/relationships/hyperlink" Target="https://dadosabertos.camara.leg.br/api/v2/deputados/130103" TargetMode="External"/><Relationship Id="rId735" Type="http://schemas.openxmlformats.org/officeDocument/2006/relationships/hyperlink" Target="https://dadosabertos.camara.leg.br/api/v2/deputados/81297" TargetMode="External"/><Relationship Id="rId1365" Type="http://schemas.openxmlformats.org/officeDocument/2006/relationships/hyperlink" Target="https://dadosabertos.camara.leg.br/api/v2/deputados/74222" TargetMode="External"/><Relationship Id="rId2416" Type="http://schemas.openxmlformats.org/officeDocument/2006/relationships/hyperlink" Target="https://dadosabertos.camara.leg.br/api/v2/deputados/73661" TargetMode="External"/><Relationship Id="rId1018" Type="http://schemas.openxmlformats.org/officeDocument/2006/relationships/hyperlink" Target="https://dadosabertos.camara.leg.br/api/v2/deputados/178834" TargetMode="External"/><Relationship Id="rId1432" Type="http://schemas.openxmlformats.org/officeDocument/2006/relationships/hyperlink" Target="https://dadosabertos.camara.leg.br/api/v2/deputados/171621" TargetMode="External"/><Relationship Id="rId2830" Type="http://schemas.openxmlformats.org/officeDocument/2006/relationships/hyperlink" Target="https://dadosabertos.camara.leg.br/api/v2/deputados/73869" TargetMode="External"/><Relationship Id="rId4588" Type="http://schemas.openxmlformats.org/officeDocument/2006/relationships/hyperlink" Target="https://dadosabertos.camara.leg.br/api/v2/deputados/130748" TargetMode="External"/><Relationship Id="rId5639" Type="http://schemas.openxmlformats.org/officeDocument/2006/relationships/hyperlink" Target="https://dadosabertos.camara.leg.br/api/v2/deputados/4612" TargetMode="External"/><Relationship Id="rId5986" Type="http://schemas.openxmlformats.org/officeDocument/2006/relationships/hyperlink" Target="https://dadosabertos.camara.leg.br/api/v2/deputados/130151" TargetMode="External"/><Relationship Id="rId71" Type="http://schemas.openxmlformats.org/officeDocument/2006/relationships/hyperlink" Target="https://dadosabertos.camara.leg.br/api/v2/deputados/69871" TargetMode="External"/><Relationship Id="rId802" Type="http://schemas.openxmlformats.org/officeDocument/2006/relationships/hyperlink" Target="https://dadosabertos.camara.leg.br/api/v2/deputados/178839" TargetMode="External"/><Relationship Id="rId7061" Type="http://schemas.openxmlformats.org/officeDocument/2006/relationships/hyperlink" Target="https://dadosabertos.camara.leg.br/api/v2/deputados/1100" TargetMode="External"/><Relationship Id="rId4655" Type="http://schemas.openxmlformats.org/officeDocument/2006/relationships/hyperlink" Target="https://dadosabertos.camara.leg.br/api/v2/deputados/130829" TargetMode="External"/><Relationship Id="rId5706" Type="http://schemas.openxmlformats.org/officeDocument/2006/relationships/hyperlink" Target="https://dadosabertos.camara.leg.br/api/v2/deputados/130181" TargetMode="External"/><Relationship Id="rId178" Type="http://schemas.openxmlformats.org/officeDocument/2006/relationships/hyperlink" Target="https://dadosabertos.camara.leg.br/api/v2/deputados/220671" TargetMode="External"/><Relationship Id="rId3257" Type="http://schemas.openxmlformats.org/officeDocument/2006/relationships/hyperlink" Target="https://dadosabertos.camara.leg.br/api/v2/deputados/139386" TargetMode="External"/><Relationship Id="rId3671" Type="http://schemas.openxmlformats.org/officeDocument/2006/relationships/hyperlink" Target="https://dadosabertos.camara.leg.br/api/v2/deputados/131728" TargetMode="External"/><Relationship Id="rId4308" Type="http://schemas.openxmlformats.org/officeDocument/2006/relationships/hyperlink" Target="https://dadosabertos.camara.leg.br/api/v2/deputados/130920" TargetMode="External"/><Relationship Id="rId4722" Type="http://schemas.openxmlformats.org/officeDocument/2006/relationships/hyperlink" Target="https://dadosabertos.camara.leg.br/api/v2/deputados/130505" TargetMode="External"/><Relationship Id="rId7878" Type="http://schemas.openxmlformats.org/officeDocument/2006/relationships/hyperlink" Target="https://dadosabertos.camara.leg.br/api/v2/deputados/305" TargetMode="External"/><Relationship Id="rId592" Type="http://schemas.openxmlformats.org/officeDocument/2006/relationships/hyperlink" Target="https://dadosabertos.camara.leg.br/api/v2/deputados/220620" TargetMode="External"/><Relationship Id="rId2273" Type="http://schemas.openxmlformats.org/officeDocument/2006/relationships/hyperlink" Target="https://dadosabertos.camara.leg.br/api/v2/deputados/74546" TargetMode="External"/><Relationship Id="rId3324" Type="http://schemas.openxmlformats.org/officeDocument/2006/relationships/hyperlink" Target="https://dadosabertos.camara.leg.br/api/v2/deputados/131999" TargetMode="External"/><Relationship Id="rId6894" Type="http://schemas.openxmlformats.org/officeDocument/2006/relationships/hyperlink" Target="https://dadosabertos.camara.leg.br/api/v2/deputados/1602" TargetMode="External"/><Relationship Id="rId7945" Type="http://schemas.openxmlformats.org/officeDocument/2006/relationships/hyperlink" Target="https://dadosabertos.camara.leg.br/api/v2/deputados/46" TargetMode="External"/><Relationship Id="rId245" Type="http://schemas.openxmlformats.org/officeDocument/2006/relationships/hyperlink" Target="https://dadosabertos.camara.leg.br/api/v2/deputados/204398" TargetMode="External"/><Relationship Id="rId2340" Type="http://schemas.openxmlformats.org/officeDocument/2006/relationships/hyperlink" Target="https://dadosabertos.camara.leg.br/api/v2/deputados/74021" TargetMode="External"/><Relationship Id="rId5496" Type="http://schemas.openxmlformats.org/officeDocument/2006/relationships/hyperlink" Target="https://dadosabertos.camara.leg.br/api/v2/deputados/4825" TargetMode="External"/><Relationship Id="rId6547" Type="http://schemas.openxmlformats.org/officeDocument/2006/relationships/hyperlink" Target="https://dadosabertos.camara.leg.br/api/v2/deputados/1600" TargetMode="External"/><Relationship Id="rId312" Type="http://schemas.openxmlformats.org/officeDocument/2006/relationships/hyperlink" Target="https://dadosabertos.camara.leg.br/api/v2/deputados/204533" TargetMode="External"/><Relationship Id="rId4098" Type="http://schemas.openxmlformats.org/officeDocument/2006/relationships/hyperlink" Target="https://dadosabertos.camara.leg.br/api/v2/deputados/131221" TargetMode="External"/><Relationship Id="rId5149" Type="http://schemas.openxmlformats.org/officeDocument/2006/relationships/hyperlink" Target="https://dadosabertos.camara.leg.br/api/v2/deputados/130317" TargetMode="External"/><Relationship Id="rId5563" Type="http://schemas.openxmlformats.org/officeDocument/2006/relationships/hyperlink" Target="https://dadosabertos.camara.leg.br/api/v2/deputados/130226" TargetMode="External"/><Relationship Id="rId6961" Type="http://schemas.openxmlformats.org/officeDocument/2006/relationships/hyperlink" Target="https://dadosabertos.camara.leg.br/api/v2/deputados/657" TargetMode="External"/><Relationship Id="rId4165" Type="http://schemas.openxmlformats.org/officeDocument/2006/relationships/hyperlink" Target="https://dadosabertos.camara.leg.br/api/v2/deputados/131295" TargetMode="External"/><Relationship Id="rId5216" Type="http://schemas.openxmlformats.org/officeDocument/2006/relationships/hyperlink" Target="https://dadosabertos.camara.leg.br/api/v2/deputados/2876" TargetMode="External"/><Relationship Id="rId6614" Type="http://schemas.openxmlformats.org/officeDocument/2006/relationships/hyperlink" Target="https://dadosabertos.camara.leg.br/api/v2/deputados/130120" TargetMode="External"/><Relationship Id="rId1759" Type="http://schemas.openxmlformats.org/officeDocument/2006/relationships/hyperlink" Target="https://dadosabertos.camara.leg.br/api/v2/deputados/141436" TargetMode="External"/><Relationship Id="rId3181" Type="http://schemas.openxmlformats.org/officeDocument/2006/relationships/hyperlink" Target="https://dadosabertos.camara.leg.br/api/v2/deputados/132142" TargetMode="External"/><Relationship Id="rId5630" Type="http://schemas.openxmlformats.org/officeDocument/2006/relationships/hyperlink" Target="https://dadosabertos.camara.leg.br/api/v2/deputados/4620" TargetMode="External"/><Relationship Id="rId1826" Type="http://schemas.openxmlformats.org/officeDocument/2006/relationships/hyperlink" Target="https://dadosabertos.camara.leg.br/api/v2/deputados/74586" TargetMode="External"/><Relationship Id="rId4232" Type="http://schemas.openxmlformats.org/officeDocument/2006/relationships/hyperlink" Target="https://dadosabertos.camara.leg.br/api/v2/deputados/131349" TargetMode="External"/><Relationship Id="rId7388" Type="http://schemas.openxmlformats.org/officeDocument/2006/relationships/hyperlink" Target="https://dadosabertos.camara.leg.br/api/v2/deputados/866" TargetMode="External"/><Relationship Id="rId3998" Type="http://schemas.openxmlformats.org/officeDocument/2006/relationships/hyperlink" Target="https://dadosabertos.camara.leg.br/api/v2/deputados/131484" TargetMode="External"/><Relationship Id="rId7455" Type="http://schemas.openxmlformats.org/officeDocument/2006/relationships/hyperlink" Target="https://dadosabertos.camara.leg.br/api/v2/deputados/682" TargetMode="External"/><Relationship Id="rId6057" Type="http://schemas.openxmlformats.org/officeDocument/2006/relationships/hyperlink" Target="https://dadosabertos.camara.leg.br/api/v2/deputados/1653" TargetMode="External"/><Relationship Id="rId6471" Type="http://schemas.openxmlformats.org/officeDocument/2006/relationships/hyperlink" Target="https://dadosabertos.camara.leg.br/api/v2/deputados/3763" TargetMode="External"/><Relationship Id="rId7108" Type="http://schemas.openxmlformats.org/officeDocument/2006/relationships/hyperlink" Target="https://dadosabertos.camara.leg.br/api/v2/deputados/863" TargetMode="External"/><Relationship Id="rId7522" Type="http://schemas.openxmlformats.org/officeDocument/2006/relationships/hyperlink" Target="https://dadosabertos.camara.leg.br/api/v2/deputados/632" TargetMode="External"/><Relationship Id="rId986" Type="http://schemas.openxmlformats.org/officeDocument/2006/relationships/hyperlink" Target="https://dadosabertos.camara.leg.br/api/v2/deputados/133374" TargetMode="External"/><Relationship Id="rId2667" Type="http://schemas.openxmlformats.org/officeDocument/2006/relationships/hyperlink" Target="https://dadosabertos.camara.leg.br/api/v2/deputados/133875" TargetMode="External"/><Relationship Id="rId3718" Type="http://schemas.openxmlformats.org/officeDocument/2006/relationships/hyperlink" Target="https://dadosabertos.camara.leg.br/api/v2/deputados/131776" TargetMode="External"/><Relationship Id="rId5073" Type="http://schemas.openxmlformats.org/officeDocument/2006/relationships/hyperlink" Target="https://dadosabertos.camara.leg.br/api/v2/deputados/130409" TargetMode="External"/><Relationship Id="rId6124" Type="http://schemas.openxmlformats.org/officeDocument/2006/relationships/hyperlink" Target="https://dadosabertos.camara.leg.br/api/v2/deputados/2353" TargetMode="External"/><Relationship Id="rId639" Type="http://schemas.openxmlformats.org/officeDocument/2006/relationships/hyperlink" Target="https://dadosabertos.camara.leg.br/api/v2/deputados/157130" TargetMode="External"/><Relationship Id="rId1269" Type="http://schemas.openxmlformats.org/officeDocument/2006/relationships/hyperlink" Target="https://dadosabertos.camara.leg.br/api/v2/deputados/141535" TargetMode="External"/><Relationship Id="rId5140" Type="http://schemas.openxmlformats.org/officeDocument/2006/relationships/hyperlink" Target="https://dadosabertos.camara.leg.br/api/v2/deputados/130312" TargetMode="External"/><Relationship Id="rId1683" Type="http://schemas.openxmlformats.org/officeDocument/2006/relationships/hyperlink" Target="https://dadosabertos.camara.leg.br/api/v2/deputados/141388" TargetMode="External"/><Relationship Id="rId2734" Type="http://schemas.openxmlformats.org/officeDocument/2006/relationships/hyperlink" Target="https://dadosabertos.camara.leg.br/api/v2/deputados/73726" TargetMode="External"/><Relationship Id="rId706" Type="http://schemas.openxmlformats.org/officeDocument/2006/relationships/hyperlink" Target="https://www.instagram.com/fabioabreu.oficial/" TargetMode="External"/><Relationship Id="rId1336" Type="http://schemas.openxmlformats.org/officeDocument/2006/relationships/hyperlink" Target="https://dadosabertos.camara.leg.br/api/v2/deputados/73428" TargetMode="External"/><Relationship Id="rId1750" Type="http://schemas.openxmlformats.org/officeDocument/2006/relationships/hyperlink" Target="https://dadosabertos.camara.leg.br/api/v2/deputados/73471" TargetMode="External"/><Relationship Id="rId2801" Type="http://schemas.openxmlformats.org/officeDocument/2006/relationships/hyperlink" Target="https://dadosabertos.camara.leg.br/api/v2/deputados/73710" TargetMode="External"/><Relationship Id="rId5957" Type="http://schemas.openxmlformats.org/officeDocument/2006/relationships/hyperlink" Target="https://dadosabertos.camara.leg.br/api/v2/deputados/2292" TargetMode="External"/><Relationship Id="rId42" Type="http://schemas.openxmlformats.org/officeDocument/2006/relationships/hyperlink" Target="https://dadosabertos.camara.leg.br/api/v2/deputados/107970" TargetMode="External"/><Relationship Id="rId1403" Type="http://schemas.openxmlformats.org/officeDocument/2006/relationships/hyperlink" Target="https://dadosabertos.camara.leg.br/api/v2/deputados/141371" TargetMode="External"/><Relationship Id="rId4559" Type="http://schemas.openxmlformats.org/officeDocument/2006/relationships/hyperlink" Target="https://dadosabertos.camara.leg.br/api/v2/deputados/1553" TargetMode="External"/><Relationship Id="rId4973" Type="http://schemas.openxmlformats.org/officeDocument/2006/relationships/hyperlink" Target="https://dadosabertos.camara.leg.br/api/v2/deputados/130454" TargetMode="External"/><Relationship Id="rId3575" Type="http://schemas.openxmlformats.org/officeDocument/2006/relationships/hyperlink" Target="https://dadosabertos.camara.leg.br/api/v2/deputados/131630" TargetMode="External"/><Relationship Id="rId4626" Type="http://schemas.openxmlformats.org/officeDocument/2006/relationships/hyperlink" Target="https://dadosabertos.camara.leg.br/api/v2/deputados/130788" TargetMode="External"/><Relationship Id="rId7032" Type="http://schemas.openxmlformats.org/officeDocument/2006/relationships/hyperlink" Target="https://dadosabertos.camara.leg.br/api/v2/deputados/1075" TargetMode="External"/><Relationship Id="rId496" Type="http://schemas.openxmlformats.org/officeDocument/2006/relationships/hyperlink" Target="https://dadosabertos.camara.leg.br/api/v2/deputados/204441" TargetMode="External"/><Relationship Id="rId2177" Type="http://schemas.openxmlformats.org/officeDocument/2006/relationships/hyperlink" Target="https://dadosabertos.camara.leg.br/api/v2/deputados/73944" TargetMode="External"/><Relationship Id="rId2591" Type="http://schemas.openxmlformats.org/officeDocument/2006/relationships/hyperlink" Target="https://dadosabertos.camara.leg.br/api/v2/deputados/67105" TargetMode="External"/><Relationship Id="rId3228" Type="http://schemas.openxmlformats.org/officeDocument/2006/relationships/hyperlink" Target="https://dadosabertos.camara.leg.br/api/v2/deputados/139362" TargetMode="External"/><Relationship Id="rId3642" Type="http://schemas.openxmlformats.org/officeDocument/2006/relationships/hyperlink" Target="https://dadosabertos.camara.leg.br/api/v2/deputados/131693" TargetMode="External"/><Relationship Id="rId6798" Type="http://schemas.openxmlformats.org/officeDocument/2006/relationships/hyperlink" Target="https://dadosabertos.camara.leg.br/api/v2/deputados/1635" TargetMode="External"/><Relationship Id="rId7849" Type="http://schemas.openxmlformats.org/officeDocument/2006/relationships/hyperlink" Target="https://dadosabertos.camara.leg.br/api/v2/deputados/293" TargetMode="External"/><Relationship Id="rId149" Type="http://schemas.openxmlformats.org/officeDocument/2006/relationships/hyperlink" Target="https://dadosabertos.camara.leg.br/api/v2/deputados/204459" TargetMode="External"/><Relationship Id="rId563" Type="http://schemas.openxmlformats.org/officeDocument/2006/relationships/hyperlink" Target="https://dadosabertos.camara.leg.br/api/v2/deputados/220543" TargetMode="External"/><Relationship Id="rId1193" Type="http://schemas.openxmlformats.org/officeDocument/2006/relationships/hyperlink" Target="http://blogdotebaldi.blogspot.com/" TargetMode="External"/><Relationship Id="rId2244" Type="http://schemas.openxmlformats.org/officeDocument/2006/relationships/hyperlink" Target="https://dadosabertos.camara.leg.br/api/v2/deputados/73895" TargetMode="External"/><Relationship Id="rId216" Type="http://schemas.openxmlformats.org/officeDocument/2006/relationships/hyperlink" Target="https://dadosabertos.camara.leg.br/api/v2/deputados/229585" TargetMode="External"/><Relationship Id="rId1260" Type="http://schemas.openxmlformats.org/officeDocument/2006/relationships/hyperlink" Target="https://dadosabertos.camara.leg.br/api/v2/deputados/178995" TargetMode="External"/><Relationship Id="rId6865" Type="http://schemas.openxmlformats.org/officeDocument/2006/relationships/hyperlink" Target="https://dadosabertos.camara.leg.br/api/v2/deputados/1261" TargetMode="External"/><Relationship Id="rId7916" Type="http://schemas.openxmlformats.org/officeDocument/2006/relationships/hyperlink" Target="https://dadosabertos.camara.leg.br/api/v2/deputados/274" TargetMode="External"/><Relationship Id="rId630" Type="http://schemas.openxmlformats.org/officeDocument/2006/relationships/hyperlink" Target="https://dadosabertos.camara.leg.br/api/v2/deputados/220598" TargetMode="External"/><Relationship Id="rId2311" Type="http://schemas.openxmlformats.org/officeDocument/2006/relationships/hyperlink" Target="https://dadosabertos.camara.leg.br/api/v2/deputados/65498" TargetMode="External"/><Relationship Id="rId4069" Type="http://schemas.openxmlformats.org/officeDocument/2006/relationships/hyperlink" Target="https://dadosabertos.camara.leg.br/api/v2/deputados/131340" TargetMode="External"/><Relationship Id="rId5467" Type="http://schemas.openxmlformats.org/officeDocument/2006/relationships/hyperlink" Target="https://dadosabertos.camara.leg.br/api/v2/deputados/2352" TargetMode="External"/><Relationship Id="rId5881" Type="http://schemas.openxmlformats.org/officeDocument/2006/relationships/hyperlink" Target="https://dadosabertos.camara.leg.br/api/v2/deputados/4420" TargetMode="External"/><Relationship Id="rId6518" Type="http://schemas.openxmlformats.org/officeDocument/2006/relationships/hyperlink" Target="https://dadosabertos.camara.leg.br/api/v2/deputados/3798" TargetMode="External"/><Relationship Id="rId6932" Type="http://schemas.openxmlformats.org/officeDocument/2006/relationships/hyperlink" Target="https://dadosabertos.camara.leg.br/api/v2/deputados/1253" TargetMode="External"/><Relationship Id="rId4483" Type="http://schemas.openxmlformats.org/officeDocument/2006/relationships/hyperlink" Target="https://dadosabertos.camara.leg.br/api/v2/deputados/131095" TargetMode="External"/><Relationship Id="rId5534" Type="http://schemas.openxmlformats.org/officeDocument/2006/relationships/hyperlink" Target="https://dadosabertos.camara.leg.br/api/v2/deputados/2965" TargetMode="External"/><Relationship Id="rId3085" Type="http://schemas.openxmlformats.org/officeDocument/2006/relationships/hyperlink" Target="https://dadosabertos.camara.leg.br/api/v2/deputados/139239" TargetMode="External"/><Relationship Id="rId4136" Type="http://schemas.openxmlformats.org/officeDocument/2006/relationships/hyperlink" Target="https://dadosabertos.camara.leg.br/api/v2/deputados/131262" TargetMode="External"/><Relationship Id="rId4550" Type="http://schemas.openxmlformats.org/officeDocument/2006/relationships/hyperlink" Target="https://dadosabertos.camara.leg.br/api/v2/deputados/130715" TargetMode="External"/><Relationship Id="rId5601" Type="http://schemas.openxmlformats.org/officeDocument/2006/relationships/hyperlink" Target="https://dadosabertos.camara.leg.br/api/v2/deputados/2786" TargetMode="External"/><Relationship Id="rId3152" Type="http://schemas.openxmlformats.org/officeDocument/2006/relationships/hyperlink" Target="https://dadosabertos.camara.leg.br/api/v2/deputados/139295" TargetMode="External"/><Relationship Id="rId4203" Type="http://schemas.openxmlformats.org/officeDocument/2006/relationships/hyperlink" Target="https://dadosabertos.camara.leg.br/api/v2/deputados/131323" TargetMode="External"/><Relationship Id="rId7359" Type="http://schemas.openxmlformats.org/officeDocument/2006/relationships/hyperlink" Target="https://dadosabertos.camara.leg.br/api/v2/deputados/865" TargetMode="External"/><Relationship Id="rId7773" Type="http://schemas.openxmlformats.org/officeDocument/2006/relationships/hyperlink" Target="https://dadosabertos.camara.leg.br/api/v2/deputados/11" TargetMode="External"/><Relationship Id="rId6375" Type="http://schemas.openxmlformats.org/officeDocument/2006/relationships/hyperlink" Target="https://dadosabertos.camara.leg.br/api/v2/deputados/1620" TargetMode="External"/><Relationship Id="rId7426" Type="http://schemas.openxmlformats.org/officeDocument/2006/relationships/hyperlink" Target="https://dadosabertos.camara.leg.br/api/v2/deputados/792" TargetMode="External"/><Relationship Id="rId140" Type="http://schemas.openxmlformats.org/officeDocument/2006/relationships/hyperlink" Target="https://dadosabertos.camara.leg.br/api/v2/deputados/220629" TargetMode="External"/><Relationship Id="rId3969" Type="http://schemas.openxmlformats.org/officeDocument/2006/relationships/hyperlink" Target="https://dadosabertos.camara.leg.br/api/v2/deputados/131458" TargetMode="External"/><Relationship Id="rId5391" Type="http://schemas.openxmlformats.org/officeDocument/2006/relationships/hyperlink" Target="https://dadosabertos.camara.leg.br/api/v2/deputados/2880" TargetMode="External"/><Relationship Id="rId6028" Type="http://schemas.openxmlformats.org/officeDocument/2006/relationships/hyperlink" Target="https://dadosabertos.camara.leg.br/api/v2/deputados/2534" TargetMode="External"/><Relationship Id="rId7840" Type="http://schemas.openxmlformats.org/officeDocument/2006/relationships/hyperlink" Target="https://dadosabertos.camara.leg.br/api/v2/deputados/232" TargetMode="External"/><Relationship Id="rId6" Type="http://schemas.openxmlformats.org/officeDocument/2006/relationships/hyperlink" Target="https://dadosabertos.camara.leg.br/api/v2/deputados/204528" TargetMode="External"/><Relationship Id="rId2985" Type="http://schemas.openxmlformats.org/officeDocument/2006/relationships/hyperlink" Target="https://dadosabertos.camara.leg.br/api/v2/deputados/139152" TargetMode="External"/><Relationship Id="rId5044" Type="http://schemas.openxmlformats.org/officeDocument/2006/relationships/hyperlink" Target="https://dadosabertos.camara.leg.br/api/v2/deputados/130455" TargetMode="External"/><Relationship Id="rId6442" Type="http://schemas.openxmlformats.org/officeDocument/2006/relationships/hyperlink" Target="https://dadosabertos.camara.leg.br/api/v2/deputados/2069" TargetMode="External"/><Relationship Id="rId957" Type="http://schemas.openxmlformats.org/officeDocument/2006/relationships/hyperlink" Target="https://dadosabertos.camara.leg.br/api/v2/deputados/178862" TargetMode="External"/><Relationship Id="rId1587" Type="http://schemas.openxmlformats.org/officeDocument/2006/relationships/hyperlink" Target="https://dadosabertos.camara.leg.br/api/v2/deputados/160593" TargetMode="External"/><Relationship Id="rId2638" Type="http://schemas.openxmlformats.org/officeDocument/2006/relationships/hyperlink" Target="https://dadosabertos.camara.leg.br/api/v2/deputados/74178" TargetMode="External"/><Relationship Id="rId1654" Type="http://schemas.openxmlformats.org/officeDocument/2006/relationships/hyperlink" Target="https://dadosabertos.camara.leg.br/api/v2/deputados/179387" TargetMode="External"/><Relationship Id="rId2705" Type="http://schemas.openxmlformats.org/officeDocument/2006/relationships/hyperlink" Target="https://dadosabertos.camara.leg.br/api/v2/deputados/73640" TargetMode="External"/><Relationship Id="rId4060" Type="http://schemas.openxmlformats.org/officeDocument/2006/relationships/hyperlink" Target="https://dadosabertos.camara.leg.br/api/v2/deputados/131195" TargetMode="External"/><Relationship Id="rId5111" Type="http://schemas.openxmlformats.org/officeDocument/2006/relationships/hyperlink" Target="https://dadosabertos.camara.leg.br/api/v2/deputados/3023" TargetMode="External"/><Relationship Id="rId1307" Type="http://schemas.openxmlformats.org/officeDocument/2006/relationships/hyperlink" Target="https://dadosabertos.camara.leg.br/api/v2/deputados/74308" TargetMode="External"/><Relationship Id="rId1721" Type="http://schemas.openxmlformats.org/officeDocument/2006/relationships/hyperlink" Target="https://dadosabertos.camara.leg.br/api/v2/deputados/74026" TargetMode="External"/><Relationship Id="rId4877" Type="http://schemas.openxmlformats.org/officeDocument/2006/relationships/hyperlink" Target="https://dadosabertos.camara.leg.br/api/v2/deputados/130677" TargetMode="External"/><Relationship Id="rId5928" Type="http://schemas.openxmlformats.org/officeDocument/2006/relationships/hyperlink" Target="https://dadosabertos.camara.leg.br/api/v2/deputados/2490" TargetMode="External"/><Relationship Id="rId7283" Type="http://schemas.openxmlformats.org/officeDocument/2006/relationships/hyperlink" Target="https://dadosabertos.camara.leg.br/api/v2/deputados/597" TargetMode="External"/><Relationship Id="rId13" Type="http://schemas.openxmlformats.org/officeDocument/2006/relationships/hyperlink" Target="https://dadosabertos.camara.leg.br/api/v2/deputados/204495" TargetMode="External"/><Relationship Id="rId3479" Type="http://schemas.openxmlformats.org/officeDocument/2006/relationships/hyperlink" Target="https://dadosabertos.camara.leg.br/api/v2/deputados/132033" TargetMode="External"/><Relationship Id="rId7350" Type="http://schemas.openxmlformats.org/officeDocument/2006/relationships/hyperlink" Target="https://dadosabertos.camara.leg.br/api/v2/deputados/413" TargetMode="External"/><Relationship Id="rId2495" Type="http://schemas.openxmlformats.org/officeDocument/2006/relationships/hyperlink" Target="https://dadosabertos.camara.leg.br/api/v2/deputados/74336" TargetMode="External"/><Relationship Id="rId3893" Type="http://schemas.openxmlformats.org/officeDocument/2006/relationships/hyperlink" Target="https://dadosabertos.camara.leg.br/api/v2/deputados/131539" TargetMode="External"/><Relationship Id="rId4944" Type="http://schemas.openxmlformats.org/officeDocument/2006/relationships/hyperlink" Target="https://dadosabertos.camara.leg.br/api/v2/deputados/130415" TargetMode="External"/><Relationship Id="rId7003" Type="http://schemas.openxmlformats.org/officeDocument/2006/relationships/hyperlink" Target="https://dadosabertos.camara.leg.br/api/v2/deputados/754" TargetMode="External"/><Relationship Id="rId467" Type="http://schemas.openxmlformats.org/officeDocument/2006/relationships/hyperlink" Target="https://dadosabertos.camara.leg.br/api/v2/deputados/220585" TargetMode="External"/><Relationship Id="rId1097" Type="http://schemas.openxmlformats.org/officeDocument/2006/relationships/hyperlink" Target="https://dadosabertos.camara.leg.br/api/v2/deputados/74189" TargetMode="External"/><Relationship Id="rId2148" Type="http://schemas.openxmlformats.org/officeDocument/2006/relationships/hyperlink" Target="https://dadosabertos.camara.leg.br/api/v2/deputados/74497" TargetMode="External"/><Relationship Id="rId3546" Type="http://schemas.openxmlformats.org/officeDocument/2006/relationships/hyperlink" Target="https://dadosabertos.camara.leg.br/api/v2/deputados/132086" TargetMode="External"/><Relationship Id="rId3960" Type="http://schemas.openxmlformats.org/officeDocument/2006/relationships/hyperlink" Target="https://dadosabertos.camara.leg.br/api/v2/deputados/131450" TargetMode="External"/><Relationship Id="rId881" Type="http://schemas.openxmlformats.org/officeDocument/2006/relationships/hyperlink" Target="https://dadosabertos.camara.leg.br/api/v2/deputados/178868" TargetMode="External"/><Relationship Id="rId2562" Type="http://schemas.openxmlformats.org/officeDocument/2006/relationships/hyperlink" Target="https://dadosabertos.camara.leg.br/api/v2/deputados/74774" TargetMode="External"/><Relationship Id="rId3613" Type="http://schemas.openxmlformats.org/officeDocument/2006/relationships/hyperlink" Target="https://dadosabertos.camara.leg.br/api/v2/deputados/130741" TargetMode="External"/><Relationship Id="rId6769" Type="http://schemas.openxmlformats.org/officeDocument/2006/relationships/hyperlink" Target="https://dadosabertos.camara.leg.br/api/v2/deputados/130123" TargetMode="External"/><Relationship Id="rId534" Type="http://schemas.openxmlformats.org/officeDocument/2006/relationships/hyperlink" Target="https://dadosabertos.camara.leg.br/api/v2/deputados/161440" TargetMode="External"/><Relationship Id="rId1164" Type="http://schemas.openxmlformats.org/officeDocument/2006/relationships/hyperlink" Target="http://www.lindomargarcon.com.br/" TargetMode="External"/><Relationship Id="rId2215" Type="http://schemas.openxmlformats.org/officeDocument/2006/relationships/hyperlink" Target="https://dadosabertos.camara.leg.br/api/v2/deputados/73689" TargetMode="External"/><Relationship Id="rId5785" Type="http://schemas.openxmlformats.org/officeDocument/2006/relationships/hyperlink" Target="https://dadosabertos.camara.leg.br/api/v2/deputados/4528" TargetMode="External"/><Relationship Id="rId6836" Type="http://schemas.openxmlformats.org/officeDocument/2006/relationships/hyperlink" Target="https://dadosabertos.camara.leg.br/api/v2/deputados/930" TargetMode="External"/><Relationship Id="rId601" Type="http://schemas.openxmlformats.org/officeDocument/2006/relationships/hyperlink" Target="https://dadosabertos.camara.leg.br/api/v2/deputados/220631" TargetMode="External"/><Relationship Id="rId1231" Type="http://schemas.openxmlformats.org/officeDocument/2006/relationships/hyperlink" Target="https://dadosabertos.camara.leg.br/api/v2/deputados/180545" TargetMode="External"/><Relationship Id="rId4387" Type="http://schemas.openxmlformats.org/officeDocument/2006/relationships/hyperlink" Target="https://dadosabertos.camara.leg.br/api/v2/deputados/130983" TargetMode="External"/><Relationship Id="rId5438" Type="http://schemas.openxmlformats.org/officeDocument/2006/relationships/hyperlink" Target="https://dadosabertos.camara.leg.br/api/v2/deputados/2921" TargetMode="External"/><Relationship Id="rId5852" Type="http://schemas.openxmlformats.org/officeDocument/2006/relationships/hyperlink" Target="https://dadosabertos.camara.leg.br/api/v2/deputados/2552" TargetMode="External"/><Relationship Id="rId4454" Type="http://schemas.openxmlformats.org/officeDocument/2006/relationships/hyperlink" Target="https://dadosabertos.camara.leg.br/api/v2/deputados/131069" TargetMode="External"/><Relationship Id="rId5505" Type="http://schemas.openxmlformats.org/officeDocument/2006/relationships/hyperlink" Target="https://dadosabertos.camara.leg.br/api/v2/deputados/4832" TargetMode="External"/><Relationship Id="rId6903" Type="http://schemas.openxmlformats.org/officeDocument/2006/relationships/hyperlink" Target="https://dadosabertos.camara.leg.br/api/v2/deputados/1160" TargetMode="External"/><Relationship Id="rId3056" Type="http://schemas.openxmlformats.org/officeDocument/2006/relationships/hyperlink" Target="https://dadosabertos.camara.leg.br/api/v2/deputados/139216" TargetMode="External"/><Relationship Id="rId3470" Type="http://schemas.openxmlformats.org/officeDocument/2006/relationships/hyperlink" Target="https://dadosabertos.camara.leg.br/api/v2/deputados/132026" TargetMode="External"/><Relationship Id="rId4107" Type="http://schemas.openxmlformats.org/officeDocument/2006/relationships/hyperlink" Target="https://dadosabertos.camara.leg.br/api/v2/deputados/131231" TargetMode="External"/><Relationship Id="rId391" Type="http://schemas.openxmlformats.org/officeDocument/2006/relationships/hyperlink" Target="https://dadosabertos.camara.leg.br/api/v2/deputados/103758" TargetMode="External"/><Relationship Id="rId2072" Type="http://schemas.openxmlformats.org/officeDocument/2006/relationships/hyperlink" Target="https://dadosabertos.camara.leg.br/api/v2/deputados/74486" TargetMode="External"/><Relationship Id="rId3123" Type="http://schemas.openxmlformats.org/officeDocument/2006/relationships/hyperlink" Target="https://dadosabertos.camara.leg.br/api/v2/deputados/139272" TargetMode="External"/><Relationship Id="rId4521" Type="http://schemas.openxmlformats.org/officeDocument/2006/relationships/hyperlink" Target="https://dadosabertos.camara.leg.br/api/v2/deputados/130917" TargetMode="External"/><Relationship Id="rId6279" Type="http://schemas.openxmlformats.org/officeDocument/2006/relationships/hyperlink" Target="https://dadosabertos.camara.leg.br/api/v2/deputados/2303" TargetMode="External"/><Relationship Id="rId7677" Type="http://schemas.openxmlformats.org/officeDocument/2006/relationships/hyperlink" Target="https://dadosabertos.camara.leg.br/api/v2/deputados/541" TargetMode="External"/><Relationship Id="rId6693" Type="http://schemas.openxmlformats.org/officeDocument/2006/relationships/hyperlink" Target="https://dadosabertos.camara.leg.br/api/v2/deputados/1830" TargetMode="External"/><Relationship Id="rId7744" Type="http://schemas.openxmlformats.org/officeDocument/2006/relationships/hyperlink" Target="https://dadosabertos.camara.leg.br/api/v2/deputados/464" TargetMode="External"/><Relationship Id="rId2889" Type="http://schemas.openxmlformats.org/officeDocument/2006/relationships/hyperlink" Target="https://dadosabertos.camara.leg.br/api/v2/deputados/73849" TargetMode="External"/><Relationship Id="rId5295" Type="http://schemas.openxmlformats.org/officeDocument/2006/relationships/hyperlink" Target="https://dadosabertos.camara.leg.br/api/v2/deputados/130374" TargetMode="External"/><Relationship Id="rId6346" Type="http://schemas.openxmlformats.org/officeDocument/2006/relationships/hyperlink" Target="https://dadosabertos.camara.leg.br/api/v2/deputados/1797" TargetMode="External"/><Relationship Id="rId6760" Type="http://schemas.openxmlformats.org/officeDocument/2006/relationships/hyperlink" Target="https://dadosabertos.camara.leg.br/api/v2/deputados/1678" TargetMode="External"/><Relationship Id="rId7811" Type="http://schemas.openxmlformats.org/officeDocument/2006/relationships/hyperlink" Target="https://dadosabertos.camara.leg.br/api/v2/deputados/358" TargetMode="External"/><Relationship Id="rId111" Type="http://schemas.openxmlformats.org/officeDocument/2006/relationships/hyperlink" Target="https://dadosabertos.camara.leg.br/api/v2/deputados/178876" TargetMode="External"/><Relationship Id="rId2956" Type="http://schemas.openxmlformats.org/officeDocument/2006/relationships/hyperlink" Target="https://dadosabertos.camara.leg.br/api/v2/deputados/139126" TargetMode="External"/><Relationship Id="rId5362" Type="http://schemas.openxmlformats.org/officeDocument/2006/relationships/hyperlink" Target="https://dadosabertos.camara.leg.br/api/v2/deputados/1573" TargetMode="External"/><Relationship Id="rId6413" Type="http://schemas.openxmlformats.org/officeDocument/2006/relationships/hyperlink" Target="https://dadosabertos.camara.leg.br/api/v2/deputados/2233" TargetMode="External"/><Relationship Id="rId928" Type="http://schemas.openxmlformats.org/officeDocument/2006/relationships/hyperlink" Target="http://www.coelhorodrigo.com.br/" TargetMode="External"/><Relationship Id="rId1558" Type="http://schemas.openxmlformats.org/officeDocument/2006/relationships/hyperlink" Target="https://dadosabertos.camara.leg.br/api/v2/deputados/74238" TargetMode="External"/><Relationship Id="rId2609" Type="http://schemas.openxmlformats.org/officeDocument/2006/relationships/hyperlink" Target="https://dadosabertos.camara.leg.br/api/v2/deputados/74755" TargetMode="External"/><Relationship Id="rId5015" Type="http://schemas.openxmlformats.org/officeDocument/2006/relationships/hyperlink" Target="https://dadosabertos.camara.leg.br/api/v2/deputados/3082" TargetMode="External"/><Relationship Id="rId1972" Type="http://schemas.openxmlformats.org/officeDocument/2006/relationships/hyperlink" Target="https://dadosabertos.camara.leg.br/api/v2/deputados/73704" TargetMode="External"/><Relationship Id="rId4031" Type="http://schemas.openxmlformats.org/officeDocument/2006/relationships/hyperlink" Target="https://dadosabertos.camara.leg.br/api/v2/deputados/131164" TargetMode="External"/><Relationship Id="rId7187" Type="http://schemas.openxmlformats.org/officeDocument/2006/relationships/hyperlink" Target="https://dadosabertos.camara.leg.br/api/v2/deputados/1014" TargetMode="External"/><Relationship Id="rId1625" Type="http://schemas.openxmlformats.org/officeDocument/2006/relationships/hyperlink" Target="https://dadosabertos.camara.leg.br/api/v2/deputados/74039" TargetMode="External"/><Relationship Id="rId7254" Type="http://schemas.openxmlformats.org/officeDocument/2006/relationships/hyperlink" Target="https://dadosabertos.camara.leg.br/api/v2/deputados/331" TargetMode="External"/><Relationship Id="rId3797" Type="http://schemas.openxmlformats.org/officeDocument/2006/relationships/hyperlink" Target="https://dadosabertos.camara.leg.br/api/v2/deputados/131523" TargetMode="External"/><Relationship Id="rId4848" Type="http://schemas.openxmlformats.org/officeDocument/2006/relationships/hyperlink" Target="https://dadosabertos.camara.leg.br/api/v2/deputados/130662" TargetMode="External"/><Relationship Id="rId2399" Type="http://schemas.openxmlformats.org/officeDocument/2006/relationships/hyperlink" Target="https://dadosabertos.camara.leg.br/api/v2/deputados/74644" TargetMode="External"/><Relationship Id="rId3864" Type="http://schemas.openxmlformats.org/officeDocument/2006/relationships/hyperlink" Target="https://dadosabertos.camara.leg.br/api/v2/deputados/131595" TargetMode="External"/><Relationship Id="rId4915" Type="http://schemas.openxmlformats.org/officeDocument/2006/relationships/hyperlink" Target="https://dadosabertos.camara.leg.br/api/v2/deputados/130383" TargetMode="External"/><Relationship Id="rId6270" Type="http://schemas.openxmlformats.org/officeDocument/2006/relationships/hyperlink" Target="https://dadosabertos.camara.leg.br/api/v2/deputados/1917" TargetMode="External"/><Relationship Id="rId7321" Type="http://schemas.openxmlformats.org/officeDocument/2006/relationships/hyperlink" Target="https://dadosabertos.camara.leg.br/api/v2/deputados/881" TargetMode="External"/><Relationship Id="rId785" Type="http://schemas.openxmlformats.org/officeDocument/2006/relationships/hyperlink" Target="https://dadosabertos.camara.leg.br/api/v2/deputados/160667" TargetMode="External"/><Relationship Id="rId2466" Type="http://schemas.openxmlformats.org/officeDocument/2006/relationships/hyperlink" Target="https://dadosabertos.camara.leg.br/api/v2/deputados/74526" TargetMode="External"/><Relationship Id="rId2880" Type="http://schemas.openxmlformats.org/officeDocument/2006/relationships/hyperlink" Target="https://dadosabertos.camara.leg.br/api/v2/deputados/133845" TargetMode="External"/><Relationship Id="rId3517" Type="http://schemas.openxmlformats.org/officeDocument/2006/relationships/hyperlink" Target="https://dadosabertos.camara.leg.br/api/v2/deputados/132062" TargetMode="External"/><Relationship Id="rId3931" Type="http://schemas.openxmlformats.org/officeDocument/2006/relationships/hyperlink" Target="https://dadosabertos.camara.leg.br/api/v2/deputados/131408" TargetMode="External"/><Relationship Id="rId438" Type="http://schemas.openxmlformats.org/officeDocument/2006/relationships/hyperlink" Target="https://dadosabertos.camara.leg.br/api/v2/deputados/160535" TargetMode="External"/><Relationship Id="rId852" Type="http://schemas.openxmlformats.org/officeDocument/2006/relationships/hyperlink" Target="https://dadosabertos.camara.leg.br/api/v2/deputados/221183" TargetMode="External"/><Relationship Id="rId1068" Type="http://schemas.openxmlformats.org/officeDocument/2006/relationships/hyperlink" Target="https://dadosabertos.camara.leg.br/api/v2/deputados/141385" TargetMode="External"/><Relationship Id="rId1482" Type="http://schemas.openxmlformats.org/officeDocument/2006/relationships/hyperlink" Target="https://dadosabertos.camara.leg.br/api/v2/deputados/74559" TargetMode="External"/><Relationship Id="rId2119" Type="http://schemas.openxmlformats.org/officeDocument/2006/relationships/hyperlink" Target="https://dadosabertos.camara.leg.br/api/v2/deputados/74304" TargetMode="External"/><Relationship Id="rId2533" Type="http://schemas.openxmlformats.org/officeDocument/2006/relationships/hyperlink" Target="https://dadosabertos.camara.leg.br/api/v2/deputados/74334" TargetMode="External"/><Relationship Id="rId5689" Type="http://schemas.openxmlformats.org/officeDocument/2006/relationships/hyperlink" Target="https://dadosabertos.camara.leg.br/api/v2/deputados/2398" TargetMode="External"/><Relationship Id="rId505" Type="http://schemas.openxmlformats.org/officeDocument/2006/relationships/hyperlink" Target="https://dadosabertos.camara.leg.br/api/v2/deputados/204553" TargetMode="External"/><Relationship Id="rId1135" Type="http://schemas.openxmlformats.org/officeDocument/2006/relationships/hyperlink" Target="https://dadosabertos.camara.leg.br/api/v2/deputados/178971" TargetMode="External"/><Relationship Id="rId1202" Type="http://schemas.openxmlformats.org/officeDocument/2006/relationships/hyperlink" Target="https://dadosabertos.camara.leg.br/api/v2/deputados/159238" TargetMode="External"/><Relationship Id="rId2600" Type="http://schemas.openxmlformats.org/officeDocument/2006/relationships/hyperlink" Target="https://dadosabertos.camara.leg.br/api/v2/deputados/74251" TargetMode="External"/><Relationship Id="rId4358" Type="http://schemas.openxmlformats.org/officeDocument/2006/relationships/hyperlink" Target="https://dadosabertos.camara.leg.br/api/v2/deputados/130959" TargetMode="External"/><Relationship Id="rId5409" Type="http://schemas.openxmlformats.org/officeDocument/2006/relationships/hyperlink" Target="https://dadosabertos.camara.leg.br/api/v2/deputados/2729" TargetMode="External"/><Relationship Id="rId5756" Type="http://schemas.openxmlformats.org/officeDocument/2006/relationships/hyperlink" Target="https://dadosabertos.camara.leg.br/api/v2/deputados/2666" TargetMode="External"/><Relationship Id="rId6807" Type="http://schemas.openxmlformats.org/officeDocument/2006/relationships/hyperlink" Target="https://dadosabertos.camara.leg.br/api/v2/deputados/4023" TargetMode="External"/><Relationship Id="rId4772" Type="http://schemas.openxmlformats.org/officeDocument/2006/relationships/hyperlink" Target="https://dadosabertos.camara.leg.br/api/v2/deputados/130559" TargetMode="External"/><Relationship Id="rId5823" Type="http://schemas.openxmlformats.org/officeDocument/2006/relationships/hyperlink" Target="https://dadosabertos.camara.leg.br/api/v2/deputados/130222" TargetMode="External"/><Relationship Id="rId295" Type="http://schemas.openxmlformats.org/officeDocument/2006/relationships/hyperlink" Target="https://dadosabertos.camara.leg.br/api/v2/deputados/220568" TargetMode="External"/><Relationship Id="rId3374" Type="http://schemas.openxmlformats.org/officeDocument/2006/relationships/hyperlink" Target="https://dadosabertos.camara.leg.br/api/v2/deputados/132061" TargetMode="External"/><Relationship Id="rId4425" Type="http://schemas.openxmlformats.org/officeDocument/2006/relationships/hyperlink" Target="https://dadosabertos.camara.leg.br/api/v2/deputados/131000" TargetMode="External"/><Relationship Id="rId2390" Type="http://schemas.openxmlformats.org/officeDocument/2006/relationships/hyperlink" Target="https://dadosabertos.camara.leg.br/api/v2/deputados/74458" TargetMode="External"/><Relationship Id="rId3027" Type="http://schemas.openxmlformats.org/officeDocument/2006/relationships/hyperlink" Target="https://dadosabertos.camara.leg.br/api/v2/deputados/139191" TargetMode="External"/><Relationship Id="rId3441" Type="http://schemas.openxmlformats.org/officeDocument/2006/relationships/hyperlink" Target="https://dadosabertos.camara.leg.br/api/v2/deputados/132005" TargetMode="External"/><Relationship Id="rId6597" Type="http://schemas.openxmlformats.org/officeDocument/2006/relationships/hyperlink" Target="https://dadosabertos.camara.leg.br/api/v2/deputados/1924" TargetMode="External"/><Relationship Id="rId7648" Type="http://schemas.openxmlformats.org/officeDocument/2006/relationships/hyperlink" Target="https://dadosabertos.camara.leg.br/api/v2/deputados/548" TargetMode="External"/><Relationship Id="rId362" Type="http://schemas.openxmlformats.org/officeDocument/2006/relationships/hyperlink" Target="https://dadosabertos.camara.leg.br/api/v2/deputados/204574" TargetMode="External"/><Relationship Id="rId2043" Type="http://schemas.openxmlformats.org/officeDocument/2006/relationships/hyperlink" Target="https://dadosabertos.camara.leg.br/api/v2/deputados/73462" TargetMode="External"/><Relationship Id="rId5199" Type="http://schemas.openxmlformats.org/officeDocument/2006/relationships/hyperlink" Target="https://dadosabertos.camara.leg.br/api/v2/deputados/3055" TargetMode="External"/><Relationship Id="rId6664" Type="http://schemas.openxmlformats.org/officeDocument/2006/relationships/hyperlink" Target="https://dadosabertos.camara.leg.br/api/v2/deputados/1663" TargetMode="External"/><Relationship Id="rId7715" Type="http://schemas.openxmlformats.org/officeDocument/2006/relationships/hyperlink" Target="https://dadosabertos.camara.leg.br/api/v2/deputados/295" TargetMode="External"/><Relationship Id="rId2110" Type="http://schemas.openxmlformats.org/officeDocument/2006/relationships/hyperlink" Target="https://dadosabertos.camara.leg.br/api/v2/deputados/73784" TargetMode="External"/><Relationship Id="rId5266" Type="http://schemas.openxmlformats.org/officeDocument/2006/relationships/hyperlink" Target="https://dadosabertos.camara.leg.br/api/v2/deputados/4871" TargetMode="External"/><Relationship Id="rId5680" Type="http://schemas.openxmlformats.org/officeDocument/2006/relationships/hyperlink" Target="https://dadosabertos.camara.leg.br/api/v2/deputados/2577" TargetMode="External"/><Relationship Id="rId6317" Type="http://schemas.openxmlformats.org/officeDocument/2006/relationships/hyperlink" Target="https://dadosabertos.camara.leg.br/api/v2/deputados/2186" TargetMode="External"/><Relationship Id="rId4282" Type="http://schemas.openxmlformats.org/officeDocument/2006/relationships/hyperlink" Target="https://dadosabertos.camara.leg.br/api/v2/deputados/130888" TargetMode="External"/><Relationship Id="rId5333" Type="http://schemas.openxmlformats.org/officeDocument/2006/relationships/hyperlink" Target="https://dadosabertos.camara.leg.br/api/v2/deputados/2949" TargetMode="External"/><Relationship Id="rId6731" Type="http://schemas.openxmlformats.org/officeDocument/2006/relationships/hyperlink" Target="https://dadosabertos.camara.leg.br/api/v2/deputados/130128" TargetMode="External"/><Relationship Id="rId1876" Type="http://schemas.openxmlformats.org/officeDocument/2006/relationships/hyperlink" Target="https://dadosabertos.camara.leg.br/api/v2/deputados/74042" TargetMode="External"/><Relationship Id="rId2927" Type="http://schemas.openxmlformats.org/officeDocument/2006/relationships/hyperlink" Target="https://dadosabertos.camara.leg.br/api/v2/deputados/73510" TargetMode="External"/><Relationship Id="rId1529" Type="http://schemas.openxmlformats.org/officeDocument/2006/relationships/hyperlink" Target="https://dadosabertos.camara.leg.br/api/v2/deputados/149327" TargetMode="External"/><Relationship Id="rId1943" Type="http://schemas.openxmlformats.org/officeDocument/2006/relationships/hyperlink" Target="https://dadosabertos.camara.leg.br/api/v2/deputados/73889" TargetMode="External"/><Relationship Id="rId5400" Type="http://schemas.openxmlformats.org/officeDocument/2006/relationships/hyperlink" Target="https://dadosabertos.camara.leg.br/api/v2/deputados/4726" TargetMode="External"/><Relationship Id="rId4002" Type="http://schemas.openxmlformats.org/officeDocument/2006/relationships/hyperlink" Target="https://dadosabertos.camara.leg.br/api/v2/deputados/131457" TargetMode="External"/><Relationship Id="rId7158" Type="http://schemas.openxmlformats.org/officeDocument/2006/relationships/hyperlink" Target="https://dadosabertos.camara.leg.br/api/v2/deputados/1028" TargetMode="External"/><Relationship Id="rId7572" Type="http://schemas.openxmlformats.org/officeDocument/2006/relationships/hyperlink" Target="https://dadosabertos.camara.leg.br/api/v2/deputados/485" TargetMode="External"/><Relationship Id="rId3768" Type="http://schemas.openxmlformats.org/officeDocument/2006/relationships/hyperlink" Target="https://dadosabertos.camara.leg.br/api/v2/deputados/131817" TargetMode="External"/><Relationship Id="rId4819" Type="http://schemas.openxmlformats.org/officeDocument/2006/relationships/hyperlink" Target="https://dadosabertos.camara.leg.br/api/v2/deputados/130612" TargetMode="External"/><Relationship Id="rId6174" Type="http://schemas.openxmlformats.org/officeDocument/2006/relationships/hyperlink" Target="https://dadosabertos.camara.leg.br/api/v2/deputados/2434" TargetMode="External"/><Relationship Id="rId7225" Type="http://schemas.openxmlformats.org/officeDocument/2006/relationships/hyperlink" Target="https://dadosabertos.camara.leg.br/api/v2/deputados/1040" TargetMode="External"/><Relationship Id="rId689" Type="http://schemas.openxmlformats.org/officeDocument/2006/relationships/hyperlink" Target="https://dadosabertos.camara.leg.br/api/v2/deputados/74212" TargetMode="External"/><Relationship Id="rId2784" Type="http://schemas.openxmlformats.org/officeDocument/2006/relationships/hyperlink" Target="https://dadosabertos.camara.leg.br/api/v2/deputados/73954" TargetMode="External"/><Relationship Id="rId5190" Type="http://schemas.openxmlformats.org/officeDocument/2006/relationships/hyperlink" Target="https://dadosabertos.camara.leg.br/api/v2/deputados/3015" TargetMode="External"/><Relationship Id="rId6241" Type="http://schemas.openxmlformats.org/officeDocument/2006/relationships/hyperlink" Target="https://dadosabertos.camara.leg.br/api/v2/deputados/3537" TargetMode="External"/><Relationship Id="rId756" Type="http://schemas.openxmlformats.org/officeDocument/2006/relationships/hyperlink" Target="https://dadosabertos.camara.leg.br/api/v2/deputados/204537" TargetMode="External"/><Relationship Id="rId1386" Type="http://schemas.openxmlformats.org/officeDocument/2006/relationships/hyperlink" Target="https://dadosabertos.camara.leg.br/api/v2/deputados/160664" TargetMode="External"/><Relationship Id="rId2437" Type="http://schemas.openxmlformats.org/officeDocument/2006/relationships/hyperlink" Target="https://dadosabertos.camara.leg.br/api/v2/deputados/74832" TargetMode="External"/><Relationship Id="rId3835" Type="http://schemas.openxmlformats.org/officeDocument/2006/relationships/hyperlink" Target="https://dadosabertos.camara.leg.br/api/v2/deputados/131558" TargetMode="External"/><Relationship Id="rId409" Type="http://schemas.openxmlformats.org/officeDocument/2006/relationships/hyperlink" Target="https://www.instagram.com/luizfernandovampiro" TargetMode="External"/><Relationship Id="rId1039" Type="http://schemas.openxmlformats.org/officeDocument/2006/relationships/hyperlink" Target="https://dadosabertos.camara.leg.br/api/v2/deputados/74163" TargetMode="External"/><Relationship Id="rId2851" Type="http://schemas.openxmlformats.org/officeDocument/2006/relationships/hyperlink" Target="https://dadosabertos.camara.leg.br/api/v2/deputados/73796" TargetMode="External"/><Relationship Id="rId3902" Type="http://schemas.openxmlformats.org/officeDocument/2006/relationships/hyperlink" Target="https://dadosabertos.camara.leg.br/api/v2/deputados/131626" TargetMode="External"/><Relationship Id="rId92" Type="http://schemas.openxmlformats.org/officeDocument/2006/relationships/hyperlink" Target="https://dadosabertos.camara.leg.br/api/v2/deputados/178829" TargetMode="External"/><Relationship Id="rId823" Type="http://schemas.openxmlformats.org/officeDocument/2006/relationships/hyperlink" Target="https://www.facebook.com/leodopt1331" TargetMode="External"/><Relationship Id="rId1453" Type="http://schemas.openxmlformats.org/officeDocument/2006/relationships/hyperlink" Target="https://dadosabertos.camara.leg.br/api/v2/deputados/74581" TargetMode="External"/><Relationship Id="rId2504" Type="http://schemas.openxmlformats.org/officeDocument/2006/relationships/hyperlink" Target="https://dadosabertos.camara.leg.br/api/v2/deputados/73770" TargetMode="External"/><Relationship Id="rId7082" Type="http://schemas.openxmlformats.org/officeDocument/2006/relationships/hyperlink" Target="https://dadosabertos.camara.leg.br/api/v2/deputados/1074" TargetMode="External"/><Relationship Id="rId1106" Type="http://schemas.openxmlformats.org/officeDocument/2006/relationships/hyperlink" Target="https://dadosabertos.camara.leg.br/api/v2/deputados/178980" TargetMode="External"/><Relationship Id="rId1520" Type="http://schemas.openxmlformats.org/officeDocument/2006/relationships/hyperlink" Target="https://dadosabertos.camara.leg.br/api/v2/deputados/160547" TargetMode="External"/><Relationship Id="rId4676" Type="http://schemas.openxmlformats.org/officeDocument/2006/relationships/hyperlink" Target="https://dadosabertos.camara.leg.br/api/v2/deputados/130841" TargetMode="External"/><Relationship Id="rId5727" Type="http://schemas.openxmlformats.org/officeDocument/2006/relationships/hyperlink" Target="https://dadosabertos.camara.leg.br/api/v2/deputados/130185" TargetMode="External"/><Relationship Id="rId3278" Type="http://schemas.openxmlformats.org/officeDocument/2006/relationships/hyperlink" Target="https://dadosabertos.camara.leg.br/api/v2/deputados/132113" TargetMode="External"/><Relationship Id="rId3692" Type="http://schemas.openxmlformats.org/officeDocument/2006/relationships/hyperlink" Target="https://dadosabertos.camara.leg.br/api/v2/deputados/131741" TargetMode="External"/><Relationship Id="rId4329" Type="http://schemas.openxmlformats.org/officeDocument/2006/relationships/hyperlink" Target="https://dadosabertos.camara.leg.br/api/v2/deputados/130934" TargetMode="External"/><Relationship Id="rId4743" Type="http://schemas.openxmlformats.org/officeDocument/2006/relationships/hyperlink" Target="https://dadosabertos.camara.leg.br/api/v2/deputados/130524" TargetMode="External"/><Relationship Id="rId7899" Type="http://schemas.openxmlformats.org/officeDocument/2006/relationships/hyperlink" Target="https://dadosabertos.camara.leg.br/api/v2/deputados/264" TargetMode="External"/><Relationship Id="rId199" Type="http://schemas.openxmlformats.org/officeDocument/2006/relationships/hyperlink" Target="https://dadosabertos.camara.leg.br/api/v2/deputados/228616" TargetMode="External"/><Relationship Id="rId2294" Type="http://schemas.openxmlformats.org/officeDocument/2006/relationships/hyperlink" Target="https://dadosabertos.camara.leg.br/api/v2/deputados/74853" TargetMode="External"/><Relationship Id="rId3345" Type="http://schemas.openxmlformats.org/officeDocument/2006/relationships/hyperlink" Target="https://dadosabertos.camara.leg.br/api/v2/deputados/131901" TargetMode="External"/><Relationship Id="rId266" Type="http://schemas.openxmlformats.org/officeDocument/2006/relationships/hyperlink" Target="https://dadosabertos.camara.leg.br/api/v2/deputados/220611" TargetMode="External"/><Relationship Id="rId680" Type="http://schemas.openxmlformats.org/officeDocument/2006/relationships/hyperlink" Target="https://dadosabertos.camara.leg.br/api/v2/deputados/160511" TargetMode="External"/><Relationship Id="rId2361" Type="http://schemas.openxmlformats.org/officeDocument/2006/relationships/hyperlink" Target="https://dadosabertos.camara.leg.br/api/v2/deputados/74805" TargetMode="External"/><Relationship Id="rId3412" Type="http://schemas.openxmlformats.org/officeDocument/2006/relationships/hyperlink" Target="https://dadosabertos.camara.leg.br/api/v2/deputados/131959" TargetMode="External"/><Relationship Id="rId4810" Type="http://schemas.openxmlformats.org/officeDocument/2006/relationships/hyperlink" Target="https://dadosabertos.camara.leg.br/api/v2/deputados/130595" TargetMode="External"/><Relationship Id="rId6568" Type="http://schemas.openxmlformats.org/officeDocument/2006/relationships/hyperlink" Target="https://dadosabertos.camara.leg.br/api/v2/deputados/1837" TargetMode="External"/><Relationship Id="rId7619" Type="http://schemas.openxmlformats.org/officeDocument/2006/relationships/hyperlink" Target="https://dadosabertos.camara.leg.br/api/v2/deputados/601" TargetMode="External"/><Relationship Id="rId7966" Type="http://schemas.openxmlformats.org/officeDocument/2006/relationships/hyperlink" Target="https://dadosabertos.camara.leg.br/api/v2/deputados/181" TargetMode="External"/><Relationship Id="rId333" Type="http://schemas.openxmlformats.org/officeDocument/2006/relationships/hyperlink" Target="https://dadosabertos.camara.leg.br/api/v2/deputados/178910" TargetMode="External"/><Relationship Id="rId2014" Type="http://schemas.openxmlformats.org/officeDocument/2006/relationships/hyperlink" Target="https://dadosabertos.camara.leg.br/api/v2/deputados/74325" TargetMode="External"/><Relationship Id="rId6982" Type="http://schemas.openxmlformats.org/officeDocument/2006/relationships/hyperlink" Target="https://dadosabertos.camara.leg.br/api/v2/deputados/1149" TargetMode="External"/><Relationship Id="rId1030" Type="http://schemas.openxmlformats.org/officeDocument/2006/relationships/hyperlink" Target="https://dadosabertos.camara.leg.br/api/v2/deputados/178865" TargetMode="External"/><Relationship Id="rId4186" Type="http://schemas.openxmlformats.org/officeDocument/2006/relationships/hyperlink" Target="https://dadosabertos.camara.leg.br/api/v2/deputados/131181" TargetMode="External"/><Relationship Id="rId5584" Type="http://schemas.openxmlformats.org/officeDocument/2006/relationships/hyperlink" Target="https://dadosabertos.camara.leg.br/api/v2/deputados/2785" TargetMode="External"/><Relationship Id="rId6635" Type="http://schemas.openxmlformats.org/officeDocument/2006/relationships/hyperlink" Target="https://dadosabertos.camara.leg.br/api/v2/deputados/3929" TargetMode="External"/><Relationship Id="rId400" Type="http://schemas.openxmlformats.org/officeDocument/2006/relationships/hyperlink" Target="https://dadosabertos.camara.leg.br/api/v2/deputados/160510" TargetMode="External"/><Relationship Id="rId5237" Type="http://schemas.openxmlformats.org/officeDocument/2006/relationships/hyperlink" Target="https://dadosabertos.camara.leg.br/api/v2/deputados/130369" TargetMode="External"/><Relationship Id="rId5651" Type="http://schemas.openxmlformats.org/officeDocument/2006/relationships/hyperlink" Target="https://dadosabertos.camara.leg.br/api/v2/deputados/4634" TargetMode="External"/><Relationship Id="rId6702" Type="http://schemas.openxmlformats.org/officeDocument/2006/relationships/hyperlink" Target="https://dadosabertos.camara.leg.br/api/v2/deputados/3998" TargetMode="External"/><Relationship Id="rId1847" Type="http://schemas.openxmlformats.org/officeDocument/2006/relationships/hyperlink" Target="https://dadosabertos.camara.leg.br/api/v2/deputados/141491" TargetMode="External"/><Relationship Id="rId4253" Type="http://schemas.openxmlformats.org/officeDocument/2006/relationships/hyperlink" Target="https://dadosabertos.camara.leg.br/api/v2/deputados/131370" TargetMode="External"/><Relationship Id="rId5304" Type="http://schemas.openxmlformats.org/officeDocument/2006/relationships/hyperlink" Target="https://dadosabertos.camara.leg.br/api/v2/deputados/2947" TargetMode="External"/><Relationship Id="rId4320" Type="http://schemas.openxmlformats.org/officeDocument/2006/relationships/hyperlink" Target="https://dadosabertos.camara.leg.br/api/v2/deputados/130930" TargetMode="External"/><Relationship Id="rId7476" Type="http://schemas.openxmlformats.org/officeDocument/2006/relationships/hyperlink" Target="https://dadosabertos.camara.leg.br/api/v2/deputados/749" TargetMode="External"/><Relationship Id="rId7890" Type="http://schemas.openxmlformats.org/officeDocument/2006/relationships/hyperlink" Target="https://dadosabertos.camara.leg.br/api/v2/deputados/222" TargetMode="External"/><Relationship Id="rId190" Type="http://schemas.openxmlformats.org/officeDocument/2006/relationships/hyperlink" Target="https://dadosabertos.camara.leg.br/api/v2/deputados/220614" TargetMode="External"/><Relationship Id="rId1914" Type="http://schemas.openxmlformats.org/officeDocument/2006/relationships/hyperlink" Target="https://dadosabertos.camara.leg.br/api/v2/deputados/74386" TargetMode="External"/><Relationship Id="rId6078" Type="http://schemas.openxmlformats.org/officeDocument/2006/relationships/hyperlink" Target="https://dadosabertos.camara.leg.br/api/v2/deputados/2476" TargetMode="External"/><Relationship Id="rId6492" Type="http://schemas.openxmlformats.org/officeDocument/2006/relationships/hyperlink" Target="https://dadosabertos.camara.leg.br/api/v2/deputados/1819" TargetMode="External"/><Relationship Id="rId7129" Type="http://schemas.openxmlformats.org/officeDocument/2006/relationships/hyperlink" Target="https://dadosabertos.camara.leg.br/api/v2/deputados/1001" TargetMode="External"/><Relationship Id="rId7543" Type="http://schemas.openxmlformats.org/officeDocument/2006/relationships/hyperlink" Target="https://dadosabertos.camara.leg.br/api/v2/deputados/663" TargetMode="External"/><Relationship Id="rId5094" Type="http://schemas.openxmlformats.org/officeDocument/2006/relationships/hyperlink" Target="https://dadosabertos.camara.leg.br/api/v2/deputados/130291" TargetMode="External"/><Relationship Id="rId6145" Type="http://schemas.openxmlformats.org/officeDocument/2006/relationships/hyperlink" Target="https://dadosabertos.camara.leg.br/api/v2/deputados/4115" TargetMode="External"/><Relationship Id="rId2688" Type="http://schemas.openxmlformats.org/officeDocument/2006/relationships/hyperlink" Target="https://dadosabertos.camara.leg.br/api/v2/deputados/73634" TargetMode="External"/><Relationship Id="rId3739" Type="http://schemas.openxmlformats.org/officeDocument/2006/relationships/hyperlink" Target="https://dadosabertos.camara.leg.br/api/v2/deputados/131750" TargetMode="External"/><Relationship Id="rId5161" Type="http://schemas.openxmlformats.org/officeDocument/2006/relationships/hyperlink" Target="https://dadosabertos.camara.leg.br/api/v2/deputados/3010" TargetMode="External"/><Relationship Id="rId7610" Type="http://schemas.openxmlformats.org/officeDocument/2006/relationships/hyperlink" Target="https://dadosabertos.camara.leg.br/api/v2/deputados/378" TargetMode="External"/><Relationship Id="rId2755" Type="http://schemas.openxmlformats.org/officeDocument/2006/relationships/hyperlink" Target="https://dadosabertos.camara.leg.br/api/v2/deputados/65472" TargetMode="External"/><Relationship Id="rId3806" Type="http://schemas.openxmlformats.org/officeDocument/2006/relationships/hyperlink" Target="https://dadosabertos.camara.leg.br/api/v2/deputados/131574" TargetMode="External"/><Relationship Id="rId6212" Type="http://schemas.openxmlformats.org/officeDocument/2006/relationships/hyperlink" Target="https://dadosabertos.camara.leg.br/api/v2/deputados/2156" TargetMode="External"/><Relationship Id="rId727" Type="http://schemas.openxmlformats.org/officeDocument/2006/relationships/hyperlink" Target="https://dadosabertos.camara.leg.br/api/v2/deputados/204569" TargetMode="External"/><Relationship Id="rId1357" Type="http://schemas.openxmlformats.org/officeDocument/2006/relationships/hyperlink" Target="http://www.blogdogarotinho.com.br/" TargetMode="External"/><Relationship Id="rId1771" Type="http://schemas.openxmlformats.org/officeDocument/2006/relationships/hyperlink" Target="https://dadosabertos.camara.leg.br/api/v2/deputados/159265" TargetMode="External"/><Relationship Id="rId2408" Type="http://schemas.openxmlformats.org/officeDocument/2006/relationships/hyperlink" Target="https://dadosabertos.camara.leg.br/api/v2/deputados/73567" TargetMode="External"/><Relationship Id="rId2822" Type="http://schemas.openxmlformats.org/officeDocument/2006/relationships/hyperlink" Target="https://dadosabertos.camara.leg.br/api/v2/deputados/133782" TargetMode="External"/><Relationship Id="rId5978" Type="http://schemas.openxmlformats.org/officeDocument/2006/relationships/hyperlink" Target="https://dadosabertos.camara.leg.br/api/v2/deputados/4360" TargetMode="External"/><Relationship Id="rId63" Type="http://schemas.openxmlformats.org/officeDocument/2006/relationships/hyperlink" Target="https://dadosabertos.camara.leg.br/api/v2/deputados/160600" TargetMode="External"/><Relationship Id="rId1424" Type="http://schemas.openxmlformats.org/officeDocument/2006/relationships/hyperlink" Target="https://dadosabertos.camara.leg.br/api/v2/deputados/74382" TargetMode="External"/><Relationship Id="rId4994" Type="http://schemas.openxmlformats.org/officeDocument/2006/relationships/hyperlink" Target="https://dadosabertos.camara.leg.br/api/v2/deputados/3098" TargetMode="External"/><Relationship Id="rId3596" Type="http://schemas.openxmlformats.org/officeDocument/2006/relationships/hyperlink" Target="https://dadosabertos.camara.leg.br/api/v2/deputados/131655" TargetMode="External"/><Relationship Id="rId4647" Type="http://schemas.openxmlformats.org/officeDocument/2006/relationships/hyperlink" Target="https://dadosabertos.camara.leg.br/api/v2/deputados/130816" TargetMode="External"/><Relationship Id="rId7053" Type="http://schemas.openxmlformats.org/officeDocument/2006/relationships/hyperlink" Target="https://dadosabertos.camara.leg.br/api/v2/deputados/1099" TargetMode="External"/><Relationship Id="rId2198" Type="http://schemas.openxmlformats.org/officeDocument/2006/relationships/hyperlink" Target="https://dadosabertos.camara.leg.br/api/v2/deputados/74186" TargetMode="External"/><Relationship Id="rId3249" Type="http://schemas.openxmlformats.org/officeDocument/2006/relationships/hyperlink" Target="https://dadosabertos.camara.leg.br/api/v2/deputados/139379" TargetMode="External"/><Relationship Id="rId7120" Type="http://schemas.openxmlformats.org/officeDocument/2006/relationships/hyperlink" Target="https://dadosabertos.camara.leg.br/api/v2/deputados/833" TargetMode="External"/><Relationship Id="rId584" Type="http://schemas.openxmlformats.org/officeDocument/2006/relationships/hyperlink" Target="https://dadosabertos.camara.leg.br/api/v2/deputados/220695" TargetMode="External"/><Relationship Id="rId2265" Type="http://schemas.openxmlformats.org/officeDocument/2006/relationships/hyperlink" Target="https://dadosabertos.camara.leg.br/api/v2/deputados/74361" TargetMode="External"/><Relationship Id="rId3663" Type="http://schemas.openxmlformats.org/officeDocument/2006/relationships/hyperlink" Target="https://dadosabertos.camara.leg.br/api/v2/deputados/131712" TargetMode="External"/><Relationship Id="rId4714" Type="http://schemas.openxmlformats.org/officeDocument/2006/relationships/hyperlink" Target="https://dadosabertos.camara.leg.br/api/v2/deputados/130870" TargetMode="External"/><Relationship Id="rId237" Type="http://schemas.openxmlformats.org/officeDocument/2006/relationships/hyperlink" Target="https://dadosabertos.camara.leg.br/api/v2/deputados/171623" TargetMode="External"/><Relationship Id="rId3316" Type="http://schemas.openxmlformats.org/officeDocument/2006/relationships/hyperlink" Target="https://dadosabertos.camara.leg.br/api/v2/deputados/131878" TargetMode="External"/><Relationship Id="rId3730" Type="http://schemas.openxmlformats.org/officeDocument/2006/relationships/hyperlink" Target="https://dadosabertos.camara.leg.br/api/v2/deputados/131784" TargetMode="External"/><Relationship Id="rId6886" Type="http://schemas.openxmlformats.org/officeDocument/2006/relationships/hyperlink" Target="https://dadosabertos.camara.leg.br/api/v2/deputados/1011" TargetMode="External"/><Relationship Id="rId7937" Type="http://schemas.openxmlformats.org/officeDocument/2006/relationships/hyperlink" Target="https://dadosabertos.camara.leg.br/api/v2/deputados/119" TargetMode="External"/><Relationship Id="rId651" Type="http://schemas.openxmlformats.org/officeDocument/2006/relationships/hyperlink" Target="https://dadosabertos.camara.leg.br/api/v2/deputados/220601" TargetMode="External"/><Relationship Id="rId1281" Type="http://schemas.openxmlformats.org/officeDocument/2006/relationships/hyperlink" Target="https://dadosabertos.camara.leg.br/api/v2/deputados/160630" TargetMode="External"/><Relationship Id="rId2332" Type="http://schemas.openxmlformats.org/officeDocument/2006/relationships/hyperlink" Target="https://dadosabertos.camara.leg.br/api/v2/deputados/74689" TargetMode="External"/><Relationship Id="rId5488" Type="http://schemas.openxmlformats.org/officeDocument/2006/relationships/hyperlink" Target="https://dadosabertos.camara.leg.br/api/v2/deputados/130278" TargetMode="External"/><Relationship Id="rId6539" Type="http://schemas.openxmlformats.org/officeDocument/2006/relationships/hyperlink" Target="https://dadosabertos.camara.leg.br/api/v2/deputados/2067" TargetMode="External"/><Relationship Id="rId6953" Type="http://schemas.openxmlformats.org/officeDocument/2006/relationships/hyperlink" Target="https://dadosabertos.camara.leg.br/api/v2/deputados/1136" TargetMode="External"/><Relationship Id="rId304" Type="http://schemas.openxmlformats.org/officeDocument/2006/relationships/hyperlink" Target="https://dadosabertos.camara.leg.br/api/v2/deputados/220672" TargetMode="External"/><Relationship Id="rId5555" Type="http://schemas.openxmlformats.org/officeDocument/2006/relationships/hyperlink" Target="https://dadosabertos.camara.leg.br/api/v2/deputados/4596" TargetMode="External"/><Relationship Id="rId6606" Type="http://schemas.openxmlformats.org/officeDocument/2006/relationships/hyperlink" Target="https://dadosabertos.camara.leg.br/api/v2/deputados/1911" TargetMode="External"/><Relationship Id="rId1001" Type="http://schemas.openxmlformats.org/officeDocument/2006/relationships/hyperlink" Target="https://dadosabertos.camara.leg.br/api/v2/deputados/192120" TargetMode="External"/><Relationship Id="rId4157" Type="http://schemas.openxmlformats.org/officeDocument/2006/relationships/hyperlink" Target="https://dadosabertos.camara.leg.br/api/v2/deputados/131279" TargetMode="External"/><Relationship Id="rId4571" Type="http://schemas.openxmlformats.org/officeDocument/2006/relationships/hyperlink" Target="https://dadosabertos.camara.leg.br/api/v2/deputados/130735" TargetMode="External"/><Relationship Id="rId5208" Type="http://schemas.openxmlformats.org/officeDocument/2006/relationships/hyperlink" Target="https://dadosabertos.camara.leg.br/api/v2/deputados/2991" TargetMode="External"/><Relationship Id="rId5622" Type="http://schemas.openxmlformats.org/officeDocument/2006/relationships/hyperlink" Target="https://dadosabertos.camara.leg.br/api/v2/deputados/2748" TargetMode="External"/><Relationship Id="rId3173" Type="http://schemas.openxmlformats.org/officeDocument/2006/relationships/hyperlink" Target="https://dadosabertos.camara.leg.br/api/v2/deputados/139315" TargetMode="External"/><Relationship Id="rId4224" Type="http://schemas.openxmlformats.org/officeDocument/2006/relationships/hyperlink" Target="https://dadosabertos.camara.leg.br/api/v2/deputados/131288" TargetMode="External"/><Relationship Id="rId1818" Type="http://schemas.openxmlformats.org/officeDocument/2006/relationships/hyperlink" Target="https://dadosabertos.camara.leg.br/api/v2/deputados/73936" TargetMode="External"/><Relationship Id="rId3240" Type="http://schemas.openxmlformats.org/officeDocument/2006/relationships/hyperlink" Target="https://dadosabertos.camara.leg.br/api/v2/deputados/1504" TargetMode="External"/><Relationship Id="rId6396" Type="http://schemas.openxmlformats.org/officeDocument/2006/relationships/hyperlink" Target="https://dadosabertos.camara.leg.br/api/v2/deputados/2189" TargetMode="External"/><Relationship Id="rId7794" Type="http://schemas.openxmlformats.org/officeDocument/2006/relationships/hyperlink" Target="https://dadosabertos.camara.leg.br/api/v2/deputados/342" TargetMode="External"/><Relationship Id="rId161" Type="http://schemas.openxmlformats.org/officeDocument/2006/relationships/hyperlink" Target="https://dadosabertos.camara.leg.br/api/v2/deputados/220673" TargetMode="External"/><Relationship Id="rId6049" Type="http://schemas.openxmlformats.org/officeDocument/2006/relationships/hyperlink" Target="https://dadosabertos.camara.leg.br/api/v2/deputados/2110" TargetMode="External"/><Relationship Id="rId7447" Type="http://schemas.openxmlformats.org/officeDocument/2006/relationships/hyperlink" Target="https://dadosabertos.camara.leg.br/api/v2/deputados/770" TargetMode="External"/><Relationship Id="rId7861" Type="http://schemas.openxmlformats.org/officeDocument/2006/relationships/hyperlink" Target="https://dadosabertos.camara.leg.br/api/v2/deputados/286" TargetMode="External"/><Relationship Id="rId6463" Type="http://schemas.openxmlformats.org/officeDocument/2006/relationships/hyperlink" Target="https://dadosabertos.camara.leg.br/api/v2/deputados/3729" TargetMode="External"/><Relationship Id="rId7514" Type="http://schemas.openxmlformats.org/officeDocument/2006/relationships/hyperlink" Target="https://dadosabertos.camara.leg.br/api/v2/deputados/385" TargetMode="External"/><Relationship Id="rId978" Type="http://schemas.openxmlformats.org/officeDocument/2006/relationships/hyperlink" Target="https://dadosabertos.camara.leg.br/api/v2/deputados/191945" TargetMode="External"/><Relationship Id="rId2659" Type="http://schemas.openxmlformats.org/officeDocument/2006/relationships/hyperlink" Target="https://dadosabertos.camara.leg.br/api/v2/deputados/74118" TargetMode="External"/><Relationship Id="rId5065" Type="http://schemas.openxmlformats.org/officeDocument/2006/relationships/hyperlink" Target="https://dadosabertos.camara.leg.br/api/v2/deputados/130486" TargetMode="External"/><Relationship Id="rId6116" Type="http://schemas.openxmlformats.org/officeDocument/2006/relationships/hyperlink" Target="https://dadosabertos.camara.leg.br/api/v2/deputados/4176" TargetMode="External"/><Relationship Id="rId6530" Type="http://schemas.openxmlformats.org/officeDocument/2006/relationships/hyperlink" Target="https://dadosabertos.camara.leg.br/api/v2/deputados/3823" TargetMode="External"/><Relationship Id="rId1675" Type="http://schemas.openxmlformats.org/officeDocument/2006/relationships/hyperlink" Target="https://dadosabertos.camara.leg.br/api/v2/deputados/141380" TargetMode="External"/><Relationship Id="rId2726" Type="http://schemas.openxmlformats.org/officeDocument/2006/relationships/hyperlink" Target="https://dadosabertos.camara.leg.br/api/v2/deputados/133856" TargetMode="External"/><Relationship Id="rId4081" Type="http://schemas.openxmlformats.org/officeDocument/2006/relationships/hyperlink" Target="https://dadosabertos.camara.leg.br/api/v2/deputados/131276" TargetMode="External"/><Relationship Id="rId5132" Type="http://schemas.openxmlformats.org/officeDocument/2006/relationships/hyperlink" Target="https://dadosabertos.camara.leg.br/api/v2/deputados/130339" TargetMode="External"/><Relationship Id="rId1328" Type="http://schemas.openxmlformats.org/officeDocument/2006/relationships/hyperlink" Target="https://dadosabertos.camara.leg.br/api/v2/deputados/178902" TargetMode="External"/><Relationship Id="rId1742" Type="http://schemas.openxmlformats.org/officeDocument/2006/relationships/hyperlink" Target="https://dadosabertos.camara.leg.br/api/v2/deputados/153384" TargetMode="External"/><Relationship Id="rId4898" Type="http://schemas.openxmlformats.org/officeDocument/2006/relationships/hyperlink" Target="https://dadosabertos.camara.leg.br/api/v2/deputados/130687" TargetMode="External"/><Relationship Id="rId5949" Type="http://schemas.openxmlformats.org/officeDocument/2006/relationships/hyperlink" Target="https://dadosabertos.camara.leg.br/api/v2/deputados/2464" TargetMode="External"/><Relationship Id="rId7371" Type="http://schemas.openxmlformats.org/officeDocument/2006/relationships/hyperlink" Target="https://dadosabertos.camara.leg.br/api/v2/deputados/735" TargetMode="External"/><Relationship Id="rId34" Type="http://schemas.openxmlformats.org/officeDocument/2006/relationships/hyperlink" Target="https://dadosabertos.camara.leg.br/api/v2/deputados/226708" TargetMode="External"/><Relationship Id="rId4965" Type="http://schemas.openxmlformats.org/officeDocument/2006/relationships/hyperlink" Target="https://dadosabertos.camara.leg.br/api/v2/deputados/130431" TargetMode="External"/><Relationship Id="rId7024" Type="http://schemas.openxmlformats.org/officeDocument/2006/relationships/hyperlink" Target="https://dadosabertos.camara.leg.br/api/v2/deputados/1101" TargetMode="External"/><Relationship Id="rId3567" Type="http://schemas.openxmlformats.org/officeDocument/2006/relationships/hyperlink" Target="https://dadosabertos.camara.leg.br/api/v2/deputados/132105" TargetMode="External"/><Relationship Id="rId3981" Type="http://schemas.openxmlformats.org/officeDocument/2006/relationships/hyperlink" Target="https://dadosabertos.camara.leg.br/api/v2/deputados/131467" TargetMode="External"/><Relationship Id="rId4618" Type="http://schemas.openxmlformats.org/officeDocument/2006/relationships/hyperlink" Target="https://dadosabertos.camara.leg.br/api/v2/deputados/130782" TargetMode="External"/><Relationship Id="rId488" Type="http://schemas.openxmlformats.org/officeDocument/2006/relationships/hyperlink" Target="https://dadosabertos.camara.leg.br/api/v2/deputados/178986" TargetMode="External"/><Relationship Id="rId2169" Type="http://schemas.openxmlformats.org/officeDocument/2006/relationships/hyperlink" Target="https://dadosabertos.camara.leg.br/api/v2/deputados/74702" TargetMode="External"/><Relationship Id="rId2583" Type="http://schemas.openxmlformats.org/officeDocument/2006/relationships/hyperlink" Target="https://dadosabertos.camara.leg.br/api/v2/deputados/74015" TargetMode="External"/><Relationship Id="rId3634" Type="http://schemas.openxmlformats.org/officeDocument/2006/relationships/hyperlink" Target="https://dadosabertos.camara.leg.br/api/v2/deputados/131649" TargetMode="External"/><Relationship Id="rId6040" Type="http://schemas.openxmlformats.org/officeDocument/2006/relationships/hyperlink" Target="https://dadosabertos.camara.leg.br/api/v2/deputados/130105" TargetMode="External"/><Relationship Id="rId555" Type="http://schemas.openxmlformats.org/officeDocument/2006/relationships/hyperlink" Target="https://dadosabertos.camara.leg.br/api/v2/deputados/205865" TargetMode="External"/><Relationship Id="rId1185" Type="http://schemas.openxmlformats.org/officeDocument/2006/relationships/hyperlink" Target="https://dadosabertos.camara.leg.br/api/v2/deputados/74460" TargetMode="External"/><Relationship Id="rId2236" Type="http://schemas.openxmlformats.org/officeDocument/2006/relationships/hyperlink" Target="https://dadosabertos.camara.leg.br/api/v2/deputados/73470" TargetMode="External"/><Relationship Id="rId2650" Type="http://schemas.openxmlformats.org/officeDocument/2006/relationships/hyperlink" Target="https://dadosabertos.camara.leg.br/api/v2/deputados/73791" TargetMode="External"/><Relationship Id="rId3701" Type="http://schemas.openxmlformats.org/officeDocument/2006/relationships/hyperlink" Target="https://dadosabertos.camara.leg.br/api/v2/deputados/131760" TargetMode="External"/><Relationship Id="rId6857" Type="http://schemas.openxmlformats.org/officeDocument/2006/relationships/hyperlink" Target="https://dadosabertos.camara.leg.br/api/v2/deputados/1256" TargetMode="External"/><Relationship Id="rId7908" Type="http://schemas.openxmlformats.org/officeDocument/2006/relationships/hyperlink" Target="https://dadosabertos.camara.leg.br/api/v2/deputados/265" TargetMode="External"/><Relationship Id="rId208" Type="http://schemas.openxmlformats.org/officeDocument/2006/relationships/hyperlink" Target="https://dadosabertos.camara.leg.br/api/v2/deputados/204541" TargetMode="External"/><Relationship Id="rId622" Type="http://schemas.openxmlformats.org/officeDocument/2006/relationships/hyperlink" Target="https://dadosabertos.camara.leg.br/api/v2/deputados/220575" TargetMode="External"/><Relationship Id="rId1252" Type="http://schemas.openxmlformats.org/officeDocument/2006/relationships/hyperlink" Target="https://dadosabertos.camara.leg.br/api/v2/deputados/160654" TargetMode="External"/><Relationship Id="rId2303" Type="http://schemas.openxmlformats.org/officeDocument/2006/relationships/hyperlink" Target="https://dadosabertos.camara.leg.br/api/v2/deputados/74529" TargetMode="External"/><Relationship Id="rId5459" Type="http://schemas.openxmlformats.org/officeDocument/2006/relationships/hyperlink" Target="https://dadosabertos.camara.leg.br/api/v2/deputados/2700" TargetMode="External"/><Relationship Id="rId4475" Type="http://schemas.openxmlformats.org/officeDocument/2006/relationships/hyperlink" Target="https://dadosabertos.camara.leg.br/api/v2/deputados/131091" TargetMode="External"/><Relationship Id="rId5873" Type="http://schemas.openxmlformats.org/officeDocument/2006/relationships/hyperlink" Target="https://dadosabertos.camara.leg.br/api/v2/deputados/2444" TargetMode="External"/><Relationship Id="rId6924" Type="http://schemas.openxmlformats.org/officeDocument/2006/relationships/hyperlink" Target="https://dadosabertos.camara.leg.br/api/v2/deputados/1161" TargetMode="External"/><Relationship Id="rId3077" Type="http://schemas.openxmlformats.org/officeDocument/2006/relationships/hyperlink" Target="https://dadosabertos.camara.leg.br/api/v2/deputados/139232" TargetMode="External"/><Relationship Id="rId4128" Type="http://schemas.openxmlformats.org/officeDocument/2006/relationships/hyperlink" Target="https://dadosabertos.camara.leg.br/api/v2/deputados/131254" TargetMode="External"/><Relationship Id="rId5526" Type="http://schemas.openxmlformats.org/officeDocument/2006/relationships/hyperlink" Target="https://dadosabertos.camara.leg.br/api/v2/deputados/2957" TargetMode="External"/><Relationship Id="rId5940" Type="http://schemas.openxmlformats.org/officeDocument/2006/relationships/hyperlink" Target="https://dadosabertos.camara.leg.br/api/v2/deputados/2452" TargetMode="External"/><Relationship Id="rId2093" Type="http://schemas.openxmlformats.org/officeDocument/2006/relationships/hyperlink" Target="https://dadosabertos.camara.leg.br/api/v2/deputados/74464" TargetMode="External"/><Relationship Id="rId3491" Type="http://schemas.openxmlformats.org/officeDocument/2006/relationships/hyperlink" Target="https://dadosabertos.camara.leg.br/api/v2/deputados/132042" TargetMode="External"/><Relationship Id="rId4542" Type="http://schemas.openxmlformats.org/officeDocument/2006/relationships/hyperlink" Target="https://dadosabertos.camara.leg.br/api/v2/deputados/130705" TargetMode="External"/><Relationship Id="rId7698" Type="http://schemas.openxmlformats.org/officeDocument/2006/relationships/hyperlink" Target="https://dadosabertos.camara.leg.br/api/v2/deputados/506" TargetMode="External"/><Relationship Id="rId3144" Type="http://schemas.openxmlformats.org/officeDocument/2006/relationships/hyperlink" Target="https://dadosabertos.camara.leg.br/api/v2/deputados/139290" TargetMode="External"/><Relationship Id="rId7765" Type="http://schemas.openxmlformats.org/officeDocument/2006/relationships/hyperlink" Target="https://dadosabertos.camara.leg.br/api/v2/deputados/351" TargetMode="External"/><Relationship Id="rId2160" Type="http://schemas.openxmlformats.org/officeDocument/2006/relationships/hyperlink" Target="https://dadosabertos.camara.leg.br/api/v2/deputados/74070" TargetMode="External"/><Relationship Id="rId3211" Type="http://schemas.openxmlformats.org/officeDocument/2006/relationships/hyperlink" Target="https://dadosabertos.camara.leg.br/api/v2/deputados/139345" TargetMode="External"/><Relationship Id="rId6367" Type="http://schemas.openxmlformats.org/officeDocument/2006/relationships/hyperlink" Target="https://dadosabertos.camara.leg.br/api/v2/deputados/2139" TargetMode="External"/><Relationship Id="rId6781" Type="http://schemas.openxmlformats.org/officeDocument/2006/relationships/hyperlink" Target="https://dadosabertos.camara.leg.br/api/v2/deputados/4052" TargetMode="External"/><Relationship Id="rId7418" Type="http://schemas.openxmlformats.org/officeDocument/2006/relationships/hyperlink" Target="https://dadosabertos.camara.leg.br/api/v2/deputados/569" TargetMode="External"/><Relationship Id="rId7832" Type="http://schemas.openxmlformats.org/officeDocument/2006/relationships/hyperlink" Target="https://dadosabertos.camara.leg.br/api/v2/deputados/290" TargetMode="External"/><Relationship Id="rId132" Type="http://schemas.openxmlformats.org/officeDocument/2006/relationships/hyperlink" Target="https://dadosabertos.camara.leg.br/api/v2/deputados/220590" TargetMode="External"/><Relationship Id="rId5383" Type="http://schemas.openxmlformats.org/officeDocument/2006/relationships/hyperlink" Target="https://dadosabertos.camara.leg.br/api/v2/deputados/4716" TargetMode="External"/><Relationship Id="rId6434" Type="http://schemas.openxmlformats.org/officeDocument/2006/relationships/hyperlink" Target="https://dadosabertos.camara.leg.br/api/v2/deputados/2128" TargetMode="External"/><Relationship Id="rId1579" Type="http://schemas.openxmlformats.org/officeDocument/2006/relationships/hyperlink" Target="https://dadosabertos.camara.leg.br/api/v2/deputados/160650" TargetMode="External"/><Relationship Id="rId2977" Type="http://schemas.openxmlformats.org/officeDocument/2006/relationships/hyperlink" Target="https://dadosabertos.camara.leg.br/api/v2/deputados/139145" TargetMode="External"/><Relationship Id="rId5036" Type="http://schemas.openxmlformats.org/officeDocument/2006/relationships/hyperlink" Target="https://dadosabertos.camara.leg.br/api/v2/deputados/3112" TargetMode="External"/><Relationship Id="rId5450" Type="http://schemas.openxmlformats.org/officeDocument/2006/relationships/hyperlink" Target="https://dadosabertos.camara.leg.br/api/v2/deputados/4799" TargetMode="External"/><Relationship Id="rId949" Type="http://schemas.openxmlformats.org/officeDocument/2006/relationships/hyperlink" Target="https://dadosabertos.camara.leg.br/api/v2/deputados/168175" TargetMode="External"/><Relationship Id="rId1993" Type="http://schemas.openxmlformats.org/officeDocument/2006/relationships/hyperlink" Target="https://dadosabertos.camara.leg.br/api/v2/deputados/74408" TargetMode="External"/><Relationship Id="rId4052" Type="http://schemas.openxmlformats.org/officeDocument/2006/relationships/hyperlink" Target="https://dadosabertos.camara.leg.br/api/v2/deputados/3145" TargetMode="External"/><Relationship Id="rId5103" Type="http://schemas.openxmlformats.org/officeDocument/2006/relationships/hyperlink" Target="https://dadosabertos.camara.leg.br/api/v2/deputados/4857" TargetMode="External"/><Relationship Id="rId6501" Type="http://schemas.openxmlformats.org/officeDocument/2006/relationships/hyperlink" Target="https://dadosabertos.camara.leg.br/api/v2/deputados/3795" TargetMode="External"/><Relationship Id="rId1646" Type="http://schemas.openxmlformats.org/officeDocument/2006/relationships/hyperlink" Target="https://dadosabertos.camara.leg.br/api/v2/deputados/73677" TargetMode="External"/><Relationship Id="rId1713" Type="http://schemas.openxmlformats.org/officeDocument/2006/relationships/hyperlink" Target="https://dadosabertos.camara.leg.br/api/v2/deputados/160365" TargetMode="External"/><Relationship Id="rId4869" Type="http://schemas.openxmlformats.org/officeDocument/2006/relationships/hyperlink" Target="https://dadosabertos.camara.leg.br/api/v2/deputados/130669" TargetMode="External"/><Relationship Id="rId7275" Type="http://schemas.openxmlformats.org/officeDocument/2006/relationships/hyperlink" Target="https://dadosabertos.camara.leg.br/api/v2/deputados/774" TargetMode="External"/><Relationship Id="rId3885" Type="http://schemas.openxmlformats.org/officeDocument/2006/relationships/hyperlink" Target="https://dadosabertos.camara.leg.br/api/v2/deputados/131573" TargetMode="External"/><Relationship Id="rId4936" Type="http://schemas.openxmlformats.org/officeDocument/2006/relationships/hyperlink" Target="https://dadosabertos.camara.leg.br/api/v2/deputados/3094" TargetMode="External"/><Relationship Id="rId6291" Type="http://schemas.openxmlformats.org/officeDocument/2006/relationships/hyperlink" Target="https://dadosabertos.camara.leg.br/api/v2/deputados/3637" TargetMode="External"/><Relationship Id="rId7342" Type="http://schemas.openxmlformats.org/officeDocument/2006/relationships/hyperlink" Target="https://dadosabertos.camara.leg.br/api/v2/deputados/895" TargetMode="External"/><Relationship Id="rId2487" Type="http://schemas.openxmlformats.org/officeDocument/2006/relationships/hyperlink" Target="https://dadosabertos.camara.leg.br/api/v2/deputados/74292" TargetMode="External"/><Relationship Id="rId3538" Type="http://schemas.openxmlformats.org/officeDocument/2006/relationships/hyperlink" Target="https://dadosabertos.camara.leg.br/api/v2/deputados/132080" TargetMode="External"/><Relationship Id="rId459" Type="http://schemas.openxmlformats.org/officeDocument/2006/relationships/hyperlink" Target="https://dadosabertos.camara.leg.br/api/v2/deputados/220628" TargetMode="External"/><Relationship Id="rId873" Type="http://schemas.openxmlformats.org/officeDocument/2006/relationships/hyperlink" Target="https://dadosabertos.camara.leg.br/api/v2/deputados/146307" TargetMode="External"/><Relationship Id="rId1089" Type="http://schemas.openxmlformats.org/officeDocument/2006/relationships/hyperlink" Target="https://dadosabertos.camara.leg.br/api/v2/deputados/73481" TargetMode="External"/><Relationship Id="rId2554" Type="http://schemas.openxmlformats.org/officeDocument/2006/relationships/hyperlink" Target="https://dadosabertos.camara.leg.br/api/v2/deputados/73544" TargetMode="External"/><Relationship Id="rId3952" Type="http://schemas.openxmlformats.org/officeDocument/2006/relationships/hyperlink" Target="https://dadosabertos.camara.leg.br/api/v2/deputados/131428" TargetMode="External"/><Relationship Id="rId6011" Type="http://schemas.openxmlformats.org/officeDocument/2006/relationships/hyperlink" Target="https://dadosabertos.camara.leg.br/api/v2/deputados/2524" TargetMode="External"/><Relationship Id="rId526" Type="http://schemas.openxmlformats.org/officeDocument/2006/relationships/hyperlink" Target="https://dadosabertos.camara.leg.br/api/v2/deputados/220667" TargetMode="External"/><Relationship Id="rId1156" Type="http://schemas.openxmlformats.org/officeDocument/2006/relationships/hyperlink" Target="https://dadosabertos.camara.leg.br/api/v2/deputados/74570" TargetMode="External"/><Relationship Id="rId2207" Type="http://schemas.openxmlformats.org/officeDocument/2006/relationships/hyperlink" Target="https://dadosabertos.camara.leg.br/api/v2/deputados/74814" TargetMode="External"/><Relationship Id="rId3605" Type="http://schemas.openxmlformats.org/officeDocument/2006/relationships/hyperlink" Target="https://dadosabertos.camara.leg.br/api/v2/deputados/131663" TargetMode="External"/><Relationship Id="rId940" Type="http://schemas.openxmlformats.org/officeDocument/2006/relationships/hyperlink" Target="https://dadosabertos.camara.leg.br/api/v2/deputados/90842" TargetMode="External"/><Relationship Id="rId1570" Type="http://schemas.openxmlformats.org/officeDocument/2006/relationships/hyperlink" Target="https://dadosabertos.camara.leg.br/api/v2/deputados/73594" TargetMode="External"/><Relationship Id="rId2621" Type="http://schemas.openxmlformats.org/officeDocument/2006/relationships/hyperlink" Target="https://dadosabertos.camara.leg.br/api/v2/deputados/73787" TargetMode="External"/><Relationship Id="rId5777" Type="http://schemas.openxmlformats.org/officeDocument/2006/relationships/hyperlink" Target="https://dadosabertos.camara.leg.br/api/v2/deputados/4520" TargetMode="External"/><Relationship Id="rId6828" Type="http://schemas.openxmlformats.org/officeDocument/2006/relationships/hyperlink" Target="https://dadosabertos.camara.leg.br/api/v2/deputados/4069" TargetMode="External"/><Relationship Id="rId1223" Type="http://schemas.openxmlformats.org/officeDocument/2006/relationships/hyperlink" Target="https://dadosabertos.camara.leg.br/api/v2/deputados/73781" TargetMode="External"/><Relationship Id="rId4379" Type="http://schemas.openxmlformats.org/officeDocument/2006/relationships/hyperlink" Target="https://dadosabertos.camara.leg.br/api/v2/deputados/130977" TargetMode="External"/><Relationship Id="rId4793" Type="http://schemas.openxmlformats.org/officeDocument/2006/relationships/hyperlink" Target="https://dadosabertos.camara.leg.br/api/v2/deputados/130576" TargetMode="External"/><Relationship Id="rId5844" Type="http://schemas.openxmlformats.org/officeDocument/2006/relationships/hyperlink" Target="https://dadosabertos.camara.leg.br/api/v2/deputados/130156" TargetMode="External"/><Relationship Id="rId3395" Type="http://schemas.openxmlformats.org/officeDocument/2006/relationships/hyperlink" Target="https://dadosabertos.camara.leg.br/api/v2/deputados/131940" TargetMode="External"/><Relationship Id="rId4446" Type="http://schemas.openxmlformats.org/officeDocument/2006/relationships/hyperlink" Target="https://dadosabertos.camara.leg.br/api/v2/deputados/131064" TargetMode="External"/><Relationship Id="rId4860" Type="http://schemas.openxmlformats.org/officeDocument/2006/relationships/hyperlink" Target="https://dadosabertos.camara.leg.br/api/v2/deputados/130666" TargetMode="External"/><Relationship Id="rId5911" Type="http://schemas.openxmlformats.org/officeDocument/2006/relationships/hyperlink" Target="https://dadosabertos.camara.leg.br/api/v2/deputados/130152" TargetMode="External"/><Relationship Id="rId3048" Type="http://schemas.openxmlformats.org/officeDocument/2006/relationships/hyperlink" Target="https://dadosabertos.camara.leg.br/api/v2/deputados/139208" TargetMode="External"/><Relationship Id="rId3462" Type="http://schemas.openxmlformats.org/officeDocument/2006/relationships/hyperlink" Target="https://dadosabertos.camara.leg.br/api/v2/deputados/132021" TargetMode="External"/><Relationship Id="rId4513" Type="http://schemas.openxmlformats.org/officeDocument/2006/relationships/hyperlink" Target="https://dadosabertos.camara.leg.br/api/v2/deputados/131142" TargetMode="External"/><Relationship Id="rId7669" Type="http://schemas.openxmlformats.org/officeDocument/2006/relationships/hyperlink" Target="https://dadosabertos.camara.leg.br/api/v2/deputados/393" TargetMode="External"/><Relationship Id="rId383" Type="http://schemas.openxmlformats.org/officeDocument/2006/relationships/hyperlink" Target="https://dadosabertos.camara.leg.br/api/v2/deputados/74585" TargetMode="External"/><Relationship Id="rId2064" Type="http://schemas.openxmlformats.org/officeDocument/2006/relationships/hyperlink" Target="https://dadosabertos.camara.leg.br/api/v2/deputados/65987" TargetMode="External"/><Relationship Id="rId3115" Type="http://schemas.openxmlformats.org/officeDocument/2006/relationships/hyperlink" Target="https://dadosabertos.camara.leg.br/api/v2/deputados/139265" TargetMode="External"/><Relationship Id="rId6685" Type="http://schemas.openxmlformats.org/officeDocument/2006/relationships/hyperlink" Target="https://dadosabertos.camara.leg.br/api/v2/deputados/1938" TargetMode="External"/><Relationship Id="rId450" Type="http://schemas.openxmlformats.org/officeDocument/2006/relationships/hyperlink" Target="https://dadosabertos.camara.leg.br/api/v2/deputados/220655" TargetMode="External"/><Relationship Id="rId1080" Type="http://schemas.openxmlformats.org/officeDocument/2006/relationships/hyperlink" Target="https://dadosabertos.camara.leg.br/api/v2/deputados/178904" TargetMode="External"/><Relationship Id="rId2131" Type="http://schemas.openxmlformats.org/officeDocument/2006/relationships/hyperlink" Target="https://dadosabertos.camara.leg.br/api/v2/deputados/64224" TargetMode="External"/><Relationship Id="rId5287" Type="http://schemas.openxmlformats.org/officeDocument/2006/relationships/hyperlink" Target="https://dadosabertos.camara.leg.br/api/v2/deputados/4911" TargetMode="External"/><Relationship Id="rId6338" Type="http://schemas.openxmlformats.org/officeDocument/2006/relationships/hyperlink" Target="https://dadosabertos.camara.leg.br/api/v2/deputados/2215" TargetMode="External"/><Relationship Id="rId7736" Type="http://schemas.openxmlformats.org/officeDocument/2006/relationships/hyperlink" Target="https://dadosabertos.camara.leg.br/api/v2/deputados/409" TargetMode="External"/><Relationship Id="rId103" Type="http://schemas.openxmlformats.org/officeDocument/2006/relationships/hyperlink" Target="https://dadosabertos.camara.leg.br/api/v2/deputados/74262" TargetMode="External"/><Relationship Id="rId6752" Type="http://schemas.openxmlformats.org/officeDocument/2006/relationships/hyperlink" Target="https://dadosabertos.camara.leg.br/api/v2/deputados/4060" TargetMode="External"/><Relationship Id="rId7803" Type="http://schemas.openxmlformats.org/officeDocument/2006/relationships/hyperlink" Target="https://dadosabertos.camara.leg.br/api/v2/deputados/323" TargetMode="External"/><Relationship Id="rId1897" Type="http://schemas.openxmlformats.org/officeDocument/2006/relationships/hyperlink" Target="https://dadosabertos.camara.leg.br/api/v2/deputados/74357" TargetMode="External"/><Relationship Id="rId2948" Type="http://schemas.openxmlformats.org/officeDocument/2006/relationships/hyperlink" Target="https://dadosabertos.camara.leg.br/api/v2/deputados/133928" TargetMode="External"/><Relationship Id="rId5354" Type="http://schemas.openxmlformats.org/officeDocument/2006/relationships/hyperlink" Target="https://dadosabertos.camara.leg.br/api/v2/deputados/130248" TargetMode="External"/><Relationship Id="rId6405" Type="http://schemas.openxmlformats.org/officeDocument/2006/relationships/hyperlink" Target="https://dadosabertos.camara.leg.br/api/v2/deputados/2224" TargetMode="External"/><Relationship Id="rId1964" Type="http://schemas.openxmlformats.org/officeDocument/2006/relationships/hyperlink" Target="https://dadosabertos.camara.leg.br/api/v2/deputados/74380" TargetMode="External"/><Relationship Id="rId4370" Type="http://schemas.openxmlformats.org/officeDocument/2006/relationships/hyperlink" Target="https://dadosabertos.camara.leg.br/api/v2/deputados/130969" TargetMode="External"/><Relationship Id="rId5007" Type="http://schemas.openxmlformats.org/officeDocument/2006/relationships/hyperlink" Target="https://dadosabertos.camara.leg.br/api/v2/deputados/130442" TargetMode="External"/><Relationship Id="rId5421" Type="http://schemas.openxmlformats.org/officeDocument/2006/relationships/hyperlink" Target="https://dadosabertos.camara.leg.br/api/v2/deputados/130260" TargetMode="External"/><Relationship Id="rId1617" Type="http://schemas.openxmlformats.org/officeDocument/2006/relationships/hyperlink" Target="https://dadosabertos.camara.leg.br/api/v2/deputados/74813" TargetMode="External"/><Relationship Id="rId4023" Type="http://schemas.openxmlformats.org/officeDocument/2006/relationships/hyperlink" Target="https://dadosabertos.camara.leg.br/api/v2/deputados/131155" TargetMode="External"/><Relationship Id="rId7179" Type="http://schemas.openxmlformats.org/officeDocument/2006/relationships/hyperlink" Target="https://dadosabertos.camara.leg.br/api/v2/deputados/794" TargetMode="External"/><Relationship Id="rId7593" Type="http://schemas.openxmlformats.org/officeDocument/2006/relationships/hyperlink" Target="https://dadosabertos.camara.leg.br/api/v2/deputados/595" TargetMode="External"/><Relationship Id="rId3789" Type="http://schemas.openxmlformats.org/officeDocument/2006/relationships/hyperlink" Target="https://dadosabertos.camara.leg.br/api/v2/deputados/131518" TargetMode="External"/><Relationship Id="rId6195" Type="http://schemas.openxmlformats.org/officeDocument/2006/relationships/hyperlink" Target="https://dadosabertos.camara.leg.br/api/v2/deputados/1833" TargetMode="External"/><Relationship Id="rId7246" Type="http://schemas.openxmlformats.org/officeDocument/2006/relationships/hyperlink" Target="https://dadosabertos.camara.leg.br/api/v2/deputados/953" TargetMode="External"/><Relationship Id="rId7660" Type="http://schemas.openxmlformats.org/officeDocument/2006/relationships/hyperlink" Target="https://dadosabertos.camara.leg.br/api/v2/deputados/487" TargetMode="External"/><Relationship Id="rId6262" Type="http://schemas.openxmlformats.org/officeDocument/2006/relationships/hyperlink" Target="https://dadosabertos.camara.leg.br/api/v2/deputados/2368" TargetMode="External"/><Relationship Id="rId7313" Type="http://schemas.openxmlformats.org/officeDocument/2006/relationships/hyperlink" Target="https://dadosabertos.camara.leg.br/api/v2/deputados/535" TargetMode="External"/><Relationship Id="rId3856" Type="http://schemas.openxmlformats.org/officeDocument/2006/relationships/hyperlink" Target="https://dadosabertos.camara.leg.br/api/v2/deputados/131588" TargetMode="External"/><Relationship Id="rId4907" Type="http://schemas.openxmlformats.org/officeDocument/2006/relationships/hyperlink" Target="https://dadosabertos.camara.leg.br/api/v2/deputados/130659" TargetMode="External"/><Relationship Id="rId777" Type="http://schemas.openxmlformats.org/officeDocument/2006/relationships/hyperlink" Target="https://dadosabertos.camara.leg.br/api/v2/deputados/160669" TargetMode="External"/><Relationship Id="rId2458" Type="http://schemas.openxmlformats.org/officeDocument/2006/relationships/hyperlink" Target="https://dadosabertos.camara.leg.br/api/v2/deputados/74246" TargetMode="External"/><Relationship Id="rId2872" Type="http://schemas.openxmlformats.org/officeDocument/2006/relationships/hyperlink" Target="https://dadosabertos.camara.leg.br/api/v2/deputados/133882" TargetMode="External"/><Relationship Id="rId3509" Type="http://schemas.openxmlformats.org/officeDocument/2006/relationships/hyperlink" Target="https://dadosabertos.camara.leg.br/api/v2/deputados/132055" TargetMode="External"/><Relationship Id="rId3923" Type="http://schemas.openxmlformats.org/officeDocument/2006/relationships/hyperlink" Target="https://dadosabertos.camara.leg.br/api/v2/deputados/131490" TargetMode="External"/><Relationship Id="rId844" Type="http://schemas.openxmlformats.org/officeDocument/2006/relationships/hyperlink" Target="https://dadosabertos.camara.leg.br/api/v2/deputados/212749" TargetMode="External"/><Relationship Id="rId1474" Type="http://schemas.openxmlformats.org/officeDocument/2006/relationships/hyperlink" Target="https://dadosabertos.camara.leg.br/api/v2/deputados/74152" TargetMode="External"/><Relationship Id="rId2525" Type="http://schemas.openxmlformats.org/officeDocument/2006/relationships/hyperlink" Target="https://dadosabertos.camara.leg.br/api/v2/deputados/74121" TargetMode="External"/><Relationship Id="rId911" Type="http://schemas.openxmlformats.org/officeDocument/2006/relationships/hyperlink" Target="https://dadosabertos.camara.leg.br/api/v2/deputados/215361" TargetMode="External"/><Relationship Id="rId1127" Type="http://schemas.openxmlformats.org/officeDocument/2006/relationships/hyperlink" Target="https://dadosabertos.camara.leg.br/api/v2/deputados/178965" TargetMode="External"/><Relationship Id="rId1541" Type="http://schemas.openxmlformats.org/officeDocument/2006/relationships/hyperlink" Target="https://dadosabertos.camara.leg.br/api/v2/deputados/141496" TargetMode="External"/><Relationship Id="rId4697" Type="http://schemas.openxmlformats.org/officeDocument/2006/relationships/hyperlink" Target="https://dadosabertos.camara.leg.br/api/v2/deputados/130854" TargetMode="External"/><Relationship Id="rId5748" Type="http://schemas.openxmlformats.org/officeDocument/2006/relationships/hyperlink" Target="https://dadosabertos.camara.leg.br/api/v2/deputados/2098" TargetMode="External"/><Relationship Id="rId3299" Type="http://schemas.openxmlformats.org/officeDocument/2006/relationships/hyperlink" Target="https://dadosabertos.camara.leg.br/api/v2/deputados/131969" TargetMode="External"/><Relationship Id="rId4764" Type="http://schemas.openxmlformats.org/officeDocument/2006/relationships/hyperlink" Target="https://dadosabertos.camara.leg.br/api/v2/deputados/130555" TargetMode="External"/><Relationship Id="rId7170" Type="http://schemas.openxmlformats.org/officeDocument/2006/relationships/hyperlink" Target="https://dadosabertos.camara.leg.br/api/v2/deputados/1054" TargetMode="External"/><Relationship Id="rId3366" Type="http://schemas.openxmlformats.org/officeDocument/2006/relationships/hyperlink" Target="https://dadosabertos.camara.leg.br/api/v2/deputados/131920" TargetMode="External"/><Relationship Id="rId4417" Type="http://schemas.openxmlformats.org/officeDocument/2006/relationships/hyperlink" Target="https://dadosabertos.camara.leg.br/api/v2/deputados/131018" TargetMode="External"/><Relationship Id="rId5815" Type="http://schemas.openxmlformats.org/officeDocument/2006/relationships/hyperlink" Target="https://dadosabertos.camara.leg.br/api/v2/deputados/130219" TargetMode="External"/><Relationship Id="rId287" Type="http://schemas.openxmlformats.org/officeDocument/2006/relationships/hyperlink" Target="https://dadosabertos.camara.leg.br/api/v2/deputados/107283" TargetMode="External"/><Relationship Id="rId2382" Type="http://schemas.openxmlformats.org/officeDocument/2006/relationships/hyperlink" Target="https://dadosabertos.camara.leg.br/api/v2/deputados/73986" TargetMode="External"/><Relationship Id="rId3019" Type="http://schemas.openxmlformats.org/officeDocument/2006/relationships/hyperlink" Target="https://dadosabertos.camara.leg.br/api/v2/deputados/139183" TargetMode="External"/><Relationship Id="rId3780" Type="http://schemas.openxmlformats.org/officeDocument/2006/relationships/hyperlink" Target="https://dadosabertos.camara.leg.br/api/v2/deputados/131500" TargetMode="External"/><Relationship Id="rId4831" Type="http://schemas.openxmlformats.org/officeDocument/2006/relationships/hyperlink" Target="https://dadosabertos.camara.leg.br/api/v2/deputados/130625" TargetMode="External"/><Relationship Id="rId7987" Type="http://schemas.openxmlformats.org/officeDocument/2006/relationships/hyperlink" Target="https://dadosabertos.camara.leg.br/api/v2/deputados/183" TargetMode="External"/><Relationship Id="rId354" Type="http://schemas.openxmlformats.org/officeDocument/2006/relationships/hyperlink" Target="https://dadosabertos.camara.leg.br/api/v2/deputados/66385" TargetMode="External"/><Relationship Id="rId2035" Type="http://schemas.openxmlformats.org/officeDocument/2006/relationships/hyperlink" Target="https://dadosabertos.camara.leg.br/api/v2/deputados/74240" TargetMode="External"/><Relationship Id="rId3433" Type="http://schemas.openxmlformats.org/officeDocument/2006/relationships/hyperlink" Target="https://dadosabertos.camara.leg.br/api/v2/deputados/131952" TargetMode="External"/><Relationship Id="rId6589" Type="http://schemas.openxmlformats.org/officeDocument/2006/relationships/hyperlink" Target="https://dadosabertos.camara.leg.br/api/v2/deputados/3880" TargetMode="External"/><Relationship Id="rId3500" Type="http://schemas.openxmlformats.org/officeDocument/2006/relationships/hyperlink" Target="https://dadosabertos.camara.leg.br/api/v2/deputados/132048" TargetMode="External"/><Relationship Id="rId6656" Type="http://schemas.openxmlformats.org/officeDocument/2006/relationships/hyperlink" Target="https://dadosabertos.camara.leg.br/api/v2/deputados/1646" TargetMode="External"/><Relationship Id="rId7707" Type="http://schemas.openxmlformats.org/officeDocument/2006/relationships/hyperlink" Target="https://dadosabertos.camara.leg.br/api/v2/deputados/514" TargetMode="External"/><Relationship Id="rId421" Type="http://schemas.openxmlformats.org/officeDocument/2006/relationships/hyperlink" Target="https://dadosabertos.camara.leg.br/api/v2/deputados/156190" TargetMode="External"/><Relationship Id="rId1051" Type="http://schemas.openxmlformats.org/officeDocument/2006/relationships/hyperlink" Target="https://dadosabertos.camara.leg.br/api/v2/deputados/205302" TargetMode="External"/><Relationship Id="rId2102" Type="http://schemas.openxmlformats.org/officeDocument/2006/relationships/hyperlink" Target="https://dadosabertos.camara.leg.br/api/v2/deputados/73684" TargetMode="External"/><Relationship Id="rId5258" Type="http://schemas.openxmlformats.org/officeDocument/2006/relationships/hyperlink" Target="https://dadosabertos.camara.leg.br/api/v2/deputados/4896" TargetMode="External"/><Relationship Id="rId5672" Type="http://schemas.openxmlformats.org/officeDocument/2006/relationships/hyperlink" Target="https://dadosabertos.camara.leg.br/api/v2/deputados/4644" TargetMode="External"/><Relationship Id="rId6309" Type="http://schemas.openxmlformats.org/officeDocument/2006/relationships/hyperlink" Target="https://dadosabertos.camara.leg.br/api/v2/deputados/2185" TargetMode="External"/><Relationship Id="rId6723" Type="http://schemas.openxmlformats.org/officeDocument/2006/relationships/hyperlink" Target="https://dadosabertos.camara.leg.br/api/v2/deputados/4002" TargetMode="External"/><Relationship Id="rId1868" Type="http://schemas.openxmlformats.org/officeDocument/2006/relationships/hyperlink" Target="https://dadosabertos.camara.leg.br/api/v2/deputados/73490" TargetMode="External"/><Relationship Id="rId4274" Type="http://schemas.openxmlformats.org/officeDocument/2006/relationships/hyperlink" Target="https://dadosabertos.camara.leg.br/api/v2/deputados/130880" TargetMode="External"/><Relationship Id="rId5325" Type="http://schemas.openxmlformats.org/officeDocument/2006/relationships/hyperlink" Target="https://dadosabertos.camara.leg.br/api/v2/deputados/4678" TargetMode="External"/><Relationship Id="rId2919" Type="http://schemas.openxmlformats.org/officeDocument/2006/relationships/hyperlink" Target="https://dadosabertos.camara.leg.br/api/v2/deputados/133924" TargetMode="External"/><Relationship Id="rId3290" Type="http://schemas.openxmlformats.org/officeDocument/2006/relationships/hyperlink" Target="https://dadosabertos.camara.leg.br/api/v2/deputados/131860" TargetMode="External"/><Relationship Id="rId4341" Type="http://schemas.openxmlformats.org/officeDocument/2006/relationships/hyperlink" Target="https://dadosabertos.camara.leg.br/api/v2/deputados/130943" TargetMode="External"/><Relationship Id="rId7497" Type="http://schemas.openxmlformats.org/officeDocument/2006/relationships/hyperlink" Target="https://dadosabertos.camara.leg.br/api/v2/deputados/726" TargetMode="External"/><Relationship Id="rId1935" Type="http://schemas.openxmlformats.org/officeDocument/2006/relationships/hyperlink" Target="https://dadosabertos.camara.leg.br/api/v2/deputados/133371" TargetMode="External"/><Relationship Id="rId6099" Type="http://schemas.openxmlformats.org/officeDocument/2006/relationships/hyperlink" Target="https://dadosabertos.camara.leg.br/api/v2/deputados/1633" TargetMode="External"/><Relationship Id="rId3010" Type="http://schemas.openxmlformats.org/officeDocument/2006/relationships/hyperlink" Target="https://dadosabertos.camara.leg.br/api/v2/deputados/139174" TargetMode="External"/><Relationship Id="rId6166" Type="http://schemas.openxmlformats.org/officeDocument/2006/relationships/hyperlink" Target="https://dadosabertos.camara.leg.br/api/v2/deputados/2399" TargetMode="External"/><Relationship Id="rId7564" Type="http://schemas.openxmlformats.org/officeDocument/2006/relationships/hyperlink" Target="https://dadosabertos.camara.leg.br/api/v2/deputados/616" TargetMode="External"/><Relationship Id="rId6580" Type="http://schemas.openxmlformats.org/officeDocument/2006/relationships/hyperlink" Target="https://dadosabertos.camara.leg.br/api/v2/deputados/1654" TargetMode="External"/><Relationship Id="rId7217" Type="http://schemas.openxmlformats.org/officeDocument/2006/relationships/hyperlink" Target="https://dadosabertos.camara.leg.br/api/v2/deputados/1030" TargetMode="External"/><Relationship Id="rId7631" Type="http://schemas.openxmlformats.org/officeDocument/2006/relationships/hyperlink" Target="https://dadosabertos.camara.leg.br/api/v2/deputados/390" TargetMode="External"/><Relationship Id="rId2776" Type="http://schemas.openxmlformats.org/officeDocument/2006/relationships/hyperlink" Target="https://dadosabertos.camara.leg.br/api/v2/deputados/73739" TargetMode="External"/><Relationship Id="rId3827" Type="http://schemas.openxmlformats.org/officeDocument/2006/relationships/hyperlink" Target="https://dadosabertos.camara.leg.br/api/v2/deputados/131550" TargetMode="External"/><Relationship Id="rId5182" Type="http://schemas.openxmlformats.org/officeDocument/2006/relationships/hyperlink" Target="https://dadosabertos.camara.leg.br/api/v2/deputados/3020" TargetMode="External"/><Relationship Id="rId6233" Type="http://schemas.openxmlformats.org/officeDocument/2006/relationships/hyperlink" Target="https://dadosabertos.camara.leg.br/api/v2/deputados/2290" TargetMode="External"/><Relationship Id="rId748" Type="http://schemas.openxmlformats.org/officeDocument/2006/relationships/hyperlink" Target="https://dadosabertos.camara.leg.br/api/v2/deputados/141422" TargetMode="External"/><Relationship Id="rId1378" Type="http://schemas.openxmlformats.org/officeDocument/2006/relationships/hyperlink" Target="https://dadosabertos.camara.leg.br/api/v2/deputados/160585" TargetMode="External"/><Relationship Id="rId1792" Type="http://schemas.openxmlformats.org/officeDocument/2006/relationships/hyperlink" Target="https://dadosabertos.camara.leg.br/api/v2/deputados/74055" TargetMode="External"/><Relationship Id="rId2429" Type="http://schemas.openxmlformats.org/officeDocument/2006/relationships/hyperlink" Target="https://dadosabertos.camara.leg.br/api/v2/deputados/74244" TargetMode="External"/><Relationship Id="rId2843" Type="http://schemas.openxmlformats.org/officeDocument/2006/relationships/hyperlink" Target="https://dadosabertos.camara.leg.br/api/v2/deputados/73820" TargetMode="External"/><Relationship Id="rId5999" Type="http://schemas.openxmlformats.org/officeDocument/2006/relationships/hyperlink" Target="https://dadosabertos.camara.leg.br/api/v2/deputados/4244" TargetMode="External"/><Relationship Id="rId6300" Type="http://schemas.openxmlformats.org/officeDocument/2006/relationships/hyperlink" Target="https://dadosabertos.camara.leg.br/api/v2/deputados/2217" TargetMode="External"/><Relationship Id="rId84" Type="http://schemas.openxmlformats.org/officeDocument/2006/relationships/hyperlink" Target="https://dadosabertos.camara.leg.br/api/v2/deputados/74052" TargetMode="External"/><Relationship Id="rId815" Type="http://schemas.openxmlformats.org/officeDocument/2006/relationships/hyperlink" Target="https://dadosabertos.camara.leg.br/api/v2/deputados/204555" TargetMode="External"/><Relationship Id="rId1445" Type="http://schemas.openxmlformats.org/officeDocument/2006/relationships/hyperlink" Target="https://dadosabertos.camara.leg.br/api/v2/deputados/141438" TargetMode="External"/><Relationship Id="rId2910" Type="http://schemas.openxmlformats.org/officeDocument/2006/relationships/hyperlink" Target="https://dadosabertos.camara.leg.br/api/v2/deputados/73804" TargetMode="External"/><Relationship Id="rId7074" Type="http://schemas.openxmlformats.org/officeDocument/2006/relationships/hyperlink" Target="https://dadosabertos.camara.leg.br/api/v2/deputados/816" TargetMode="External"/><Relationship Id="rId1512" Type="http://schemas.openxmlformats.org/officeDocument/2006/relationships/hyperlink" Target="https://dadosabertos.camara.leg.br/api/v2/deputados/160533" TargetMode="External"/><Relationship Id="rId4668" Type="http://schemas.openxmlformats.org/officeDocument/2006/relationships/hyperlink" Target="https://dadosabertos.camara.leg.br/api/v2/deputados/130777" TargetMode="External"/><Relationship Id="rId5719" Type="http://schemas.openxmlformats.org/officeDocument/2006/relationships/hyperlink" Target="https://dadosabertos.camara.leg.br/api/v2/deputados/130184" TargetMode="External"/><Relationship Id="rId6090" Type="http://schemas.openxmlformats.org/officeDocument/2006/relationships/hyperlink" Target="https://dadosabertos.camara.leg.br/api/v2/deputados/2477" TargetMode="External"/><Relationship Id="rId7141" Type="http://schemas.openxmlformats.org/officeDocument/2006/relationships/hyperlink" Target="https://dadosabertos.camara.leg.br/api/v2/deputados/797" TargetMode="External"/><Relationship Id="rId3684" Type="http://schemas.openxmlformats.org/officeDocument/2006/relationships/hyperlink" Target="https://dadosabertos.camara.leg.br/api/v2/deputados/131737" TargetMode="External"/><Relationship Id="rId4735" Type="http://schemas.openxmlformats.org/officeDocument/2006/relationships/hyperlink" Target="https://dadosabertos.camara.leg.br/api/v2/deputados/130538" TargetMode="External"/><Relationship Id="rId2286" Type="http://schemas.openxmlformats.org/officeDocument/2006/relationships/hyperlink" Target="https://dadosabertos.camara.leg.br/api/v2/deputados/74350" TargetMode="External"/><Relationship Id="rId3337" Type="http://schemas.openxmlformats.org/officeDocument/2006/relationships/hyperlink" Target="https://dadosabertos.camara.leg.br/api/v2/deputados/131894" TargetMode="External"/><Relationship Id="rId3751" Type="http://schemas.openxmlformats.org/officeDocument/2006/relationships/hyperlink" Target="https://dadosabertos.camara.leg.br/api/v2/deputados/131752" TargetMode="External"/><Relationship Id="rId4802" Type="http://schemas.openxmlformats.org/officeDocument/2006/relationships/hyperlink" Target="https://dadosabertos.camara.leg.br/api/v2/deputados/130585" TargetMode="External"/><Relationship Id="rId7958" Type="http://schemas.openxmlformats.org/officeDocument/2006/relationships/hyperlink" Target="https://dadosabertos.camara.leg.br/api/v2/deputados/161" TargetMode="External"/><Relationship Id="rId258" Type="http://schemas.openxmlformats.org/officeDocument/2006/relationships/hyperlink" Target="https://dadosabertos.camara.leg.br/api/v2/deputados/191923" TargetMode="External"/><Relationship Id="rId672" Type="http://schemas.openxmlformats.org/officeDocument/2006/relationships/hyperlink" Target="https://dadosabertos.camara.leg.br/api/v2/deputados/204554" TargetMode="External"/><Relationship Id="rId2353" Type="http://schemas.openxmlformats.org/officeDocument/2006/relationships/hyperlink" Target="https://dadosabertos.camara.leg.br/api/v2/deputados/73576" TargetMode="External"/><Relationship Id="rId3404" Type="http://schemas.openxmlformats.org/officeDocument/2006/relationships/hyperlink" Target="https://dadosabertos.camara.leg.br/api/v2/deputados/131946" TargetMode="External"/><Relationship Id="rId6974" Type="http://schemas.openxmlformats.org/officeDocument/2006/relationships/hyperlink" Target="https://dadosabertos.camara.leg.br/api/v2/deputados/892" TargetMode="External"/><Relationship Id="rId325" Type="http://schemas.openxmlformats.org/officeDocument/2006/relationships/hyperlink" Target="https://dadosabertos.camara.leg.br/api/v2/deputados/160531" TargetMode="External"/><Relationship Id="rId2006" Type="http://schemas.openxmlformats.org/officeDocument/2006/relationships/hyperlink" Target="https://dadosabertos.camara.leg.br/api/v2/deputados/74066" TargetMode="External"/><Relationship Id="rId2420" Type="http://schemas.openxmlformats.org/officeDocument/2006/relationships/hyperlink" Target="https://dadosabertos.camara.leg.br/api/v2/deputados/73678" TargetMode="External"/><Relationship Id="rId5576" Type="http://schemas.openxmlformats.org/officeDocument/2006/relationships/hyperlink" Target="https://dadosabertos.camara.leg.br/api/v2/deputados/2763" TargetMode="External"/><Relationship Id="rId6627" Type="http://schemas.openxmlformats.org/officeDocument/2006/relationships/hyperlink" Target="https://dadosabertos.camara.leg.br/api/v2/deputados/1899" TargetMode="External"/><Relationship Id="rId1022" Type="http://schemas.openxmlformats.org/officeDocument/2006/relationships/hyperlink" Target="http://www.betinhogomes.com.br/" TargetMode="External"/><Relationship Id="rId4178" Type="http://schemas.openxmlformats.org/officeDocument/2006/relationships/hyperlink" Target="https://dadosabertos.camara.leg.br/api/v2/deputados/131308" TargetMode="External"/><Relationship Id="rId4592" Type="http://schemas.openxmlformats.org/officeDocument/2006/relationships/hyperlink" Target="https://dadosabertos.camara.leg.br/api/v2/deputados/130752" TargetMode="External"/><Relationship Id="rId5229" Type="http://schemas.openxmlformats.org/officeDocument/2006/relationships/hyperlink" Target="https://dadosabertos.camara.leg.br/api/v2/deputados/2411" TargetMode="External"/><Relationship Id="rId5990" Type="http://schemas.openxmlformats.org/officeDocument/2006/relationships/hyperlink" Target="https://dadosabertos.camara.leg.br/api/v2/deputados/2523" TargetMode="External"/><Relationship Id="rId3194" Type="http://schemas.openxmlformats.org/officeDocument/2006/relationships/hyperlink" Target="https://dadosabertos.camara.leg.br/api/v2/deputados/139330" TargetMode="External"/><Relationship Id="rId4245" Type="http://schemas.openxmlformats.org/officeDocument/2006/relationships/hyperlink" Target="https://dadosabertos.camara.leg.br/api/v2/deputados/131364" TargetMode="External"/><Relationship Id="rId5643" Type="http://schemas.openxmlformats.org/officeDocument/2006/relationships/hyperlink" Target="https://dadosabertos.camara.leg.br/api/v2/deputados/177636" TargetMode="External"/><Relationship Id="rId1839" Type="http://schemas.openxmlformats.org/officeDocument/2006/relationships/hyperlink" Target="https://dadosabertos.camara.leg.br/api/v2/deputados/73761" TargetMode="External"/><Relationship Id="rId5710" Type="http://schemas.openxmlformats.org/officeDocument/2006/relationships/hyperlink" Target="https://dadosabertos.camara.leg.br/api/v2/deputados/130197" TargetMode="External"/><Relationship Id="rId182" Type="http://schemas.openxmlformats.org/officeDocument/2006/relationships/hyperlink" Target="https://dadosabertos.camara.leg.br/api/v2/deputados/160758" TargetMode="External"/><Relationship Id="rId1906" Type="http://schemas.openxmlformats.org/officeDocument/2006/relationships/hyperlink" Target="https://dadosabertos.camara.leg.br/api/v2/deputados/141559" TargetMode="External"/><Relationship Id="rId3261" Type="http://schemas.openxmlformats.org/officeDocument/2006/relationships/hyperlink" Target="https://dadosabertos.camara.leg.br/api/v2/deputados/131828" TargetMode="External"/><Relationship Id="rId4312" Type="http://schemas.openxmlformats.org/officeDocument/2006/relationships/hyperlink" Target="https://dadosabertos.camara.leg.br/api/v2/deputados/131094" TargetMode="External"/><Relationship Id="rId7468" Type="http://schemas.openxmlformats.org/officeDocument/2006/relationships/hyperlink" Target="https://dadosabertos.camara.leg.br/api/v2/deputados/696" TargetMode="External"/><Relationship Id="rId7882" Type="http://schemas.openxmlformats.org/officeDocument/2006/relationships/hyperlink" Target="https://dadosabertos.camara.leg.br/api/v2/deputados/31" TargetMode="External"/><Relationship Id="rId6484" Type="http://schemas.openxmlformats.org/officeDocument/2006/relationships/hyperlink" Target="https://dadosabertos.camara.leg.br/api/v2/deputados/1982" TargetMode="External"/><Relationship Id="rId7535" Type="http://schemas.openxmlformats.org/officeDocument/2006/relationships/hyperlink" Target="https://dadosabertos.camara.leg.br/api/v2/deputados/658" TargetMode="External"/><Relationship Id="rId999" Type="http://schemas.openxmlformats.org/officeDocument/2006/relationships/hyperlink" Target="http://twitter.com/andremourapsc" TargetMode="External"/><Relationship Id="rId5086" Type="http://schemas.openxmlformats.org/officeDocument/2006/relationships/hyperlink" Target="https://dadosabertos.camara.leg.br/api/v2/deputados/130436" TargetMode="External"/><Relationship Id="rId6137" Type="http://schemas.openxmlformats.org/officeDocument/2006/relationships/hyperlink" Target="https://dadosabertos.camara.leg.br/api/v2/deputados/2320" TargetMode="External"/><Relationship Id="rId6551" Type="http://schemas.openxmlformats.org/officeDocument/2006/relationships/hyperlink" Target="https://dadosabertos.camara.leg.br/api/v2/deputados/2102" TargetMode="External"/><Relationship Id="rId7602" Type="http://schemas.openxmlformats.org/officeDocument/2006/relationships/hyperlink" Target="https://dadosabertos.camara.leg.br/api/v2/deputados/606" TargetMode="External"/><Relationship Id="rId1696" Type="http://schemas.openxmlformats.org/officeDocument/2006/relationships/hyperlink" Target="https://dadosabertos.camara.leg.br/api/v2/deputados/3155" TargetMode="External"/><Relationship Id="rId5153" Type="http://schemas.openxmlformats.org/officeDocument/2006/relationships/hyperlink" Target="https://dadosabertos.camara.leg.br/api/v2/deputados/130320" TargetMode="External"/><Relationship Id="rId6204" Type="http://schemas.openxmlformats.org/officeDocument/2006/relationships/hyperlink" Target="https://dadosabertos.camara.leg.br/api/v2/deputados/2112" TargetMode="External"/><Relationship Id="rId1349" Type="http://schemas.openxmlformats.org/officeDocument/2006/relationships/hyperlink" Target="https://dadosabertos.camara.leg.br/api/v2/deputados/141377" TargetMode="External"/><Relationship Id="rId2747" Type="http://schemas.openxmlformats.org/officeDocument/2006/relationships/hyperlink" Target="https://dadosabertos.camara.leg.br/api/v2/deputados/73824" TargetMode="External"/><Relationship Id="rId5220" Type="http://schemas.openxmlformats.org/officeDocument/2006/relationships/hyperlink" Target="https://dadosabertos.camara.leg.br/api/v2/deputados/4872" TargetMode="External"/><Relationship Id="rId719" Type="http://schemas.openxmlformats.org/officeDocument/2006/relationships/hyperlink" Target="https://dadosabertos.camara.leg.br/api/v2/deputados/178939" TargetMode="External"/><Relationship Id="rId1763" Type="http://schemas.openxmlformats.org/officeDocument/2006/relationships/hyperlink" Target="https://dadosabertos.camara.leg.br/api/v2/deputados/86634" TargetMode="External"/><Relationship Id="rId2814" Type="http://schemas.openxmlformats.org/officeDocument/2006/relationships/hyperlink" Target="https://dadosabertos.camara.leg.br/api/v2/deputados/133861" TargetMode="External"/><Relationship Id="rId55" Type="http://schemas.openxmlformats.org/officeDocument/2006/relationships/hyperlink" Target="https://dadosabertos.camara.leg.br/api/v2/deputados/160553" TargetMode="External"/><Relationship Id="rId1416" Type="http://schemas.openxmlformats.org/officeDocument/2006/relationships/hyperlink" Target="https://dadosabertos.camara.leg.br/api/v2/deputados/74580" TargetMode="External"/><Relationship Id="rId1830" Type="http://schemas.openxmlformats.org/officeDocument/2006/relationships/hyperlink" Target="https://dadosabertos.camara.leg.br/api/v2/deputados/73780" TargetMode="External"/><Relationship Id="rId4986" Type="http://schemas.openxmlformats.org/officeDocument/2006/relationships/hyperlink" Target="https://dadosabertos.camara.leg.br/api/v2/deputados/130449" TargetMode="External"/><Relationship Id="rId7392" Type="http://schemas.openxmlformats.org/officeDocument/2006/relationships/hyperlink" Target="https://dadosabertos.camara.leg.br/api/v2/deputados/838" TargetMode="External"/><Relationship Id="rId3588" Type="http://schemas.openxmlformats.org/officeDocument/2006/relationships/hyperlink" Target="https://dadosabertos.camara.leg.br/api/v2/deputados/131822" TargetMode="External"/><Relationship Id="rId4639" Type="http://schemas.openxmlformats.org/officeDocument/2006/relationships/hyperlink" Target="https://dadosabertos.camara.leg.br/api/v2/deputados/130805" TargetMode="External"/><Relationship Id="rId7045" Type="http://schemas.openxmlformats.org/officeDocument/2006/relationships/hyperlink" Target="https://dadosabertos.camara.leg.br/api/v2/deputados/1226" TargetMode="External"/><Relationship Id="rId3655" Type="http://schemas.openxmlformats.org/officeDocument/2006/relationships/hyperlink" Target="https://dadosabertos.camara.leg.br/api/v2/deputados/131704" TargetMode="External"/><Relationship Id="rId4706" Type="http://schemas.openxmlformats.org/officeDocument/2006/relationships/hyperlink" Target="https://dadosabertos.camara.leg.br/api/v2/deputados/130700" TargetMode="External"/><Relationship Id="rId6061" Type="http://schemas.openxmlformats.org/officeDocument/2006/relationships/hyperlink" Target="https://dadosabertos.camara.leg.br/api/v2/deputados/2176" TargetMode="External"/><Relationship Id="rId7112" Type="http://schemas.openxmlformats.org/officeDocument/2006/relationships/hyperlink" Target="https://dadosabertos.camara.leg.br/api/v2/deputados/1126" TargetMode="External"/><Relationship Id="rId576" Type="http://schemas.openxmlformats.org/officeDocument/2006/relationships/hyperlink" Target="https://dadosabertos.camara.leg.br/api/v2/deputados/220546" TargetMode="External"/><Relationship Id="rId990" Type="http://schemas.openxmlformats.org/officeDocument/2006/relationships/hyperlink" Target="https://dadosabertos.camara.leg.br/api/v2/deputados/73458" TargetMode="External"/><Relationship Id="rId2257" Type="http://schemas.openxmlformats.org/officeDocument/2006/relationships/hyperlink" Target="https://dadosabertos.camara.leg.br/api/v2/deputados/73897" TargetMode="External"/><Relationship Id="rId2671" Type="http://schemas.openxmlformats.org/officeDocument/2006/relationships/hyperlink" Target="https://dadosabertos.camara.leg.br/api/v2/deputados/73968" TargetMode="External"/><Relationship Id="rId3308" Type="http://schemas.openxmlformats.org/officeDocument/2006/relationships/hyperlink" Target="https://dadosabertos.camara.leg.br/api/v2/deputados/131871" TargetMode="External"/><Relationship Id="rId229" Type="http://schemas.openxmlformats.org/officeDocument/2006/relationships/hyperlink" Target="https://dadosabertos.camara.leg.br/api/v2/deputados/160640" TargetMode="External"/><Relationship Id="rId643" Type="http://schemas.openxmlformats.org/officeDocument/2006/relationships/hyperlink" Target="https://dadosabertos.camara.leg.br/api/v2/deputados/204396" TargetMode="External"/><Relationship Id="rId1273" Type="http://schemas.openxmlformats.org/officeDocument/2006/relationships/hyperlink" Target="https://dadosabertos.camara.leg.br/api/v2/deputados/160515" TargetMode="External"/><Relationship Id="rId2324" Type="http://schemas.openxmlformats.org/officeDocument/2006/relationships/hyperlink" Target="https://dadosabertos.camara.leg.br/api/v2/deputados/74333" TargetMode="External"/><Relationship Id="rId3722" Type="http://schemas.openxmlformats.org/officeDocument/2006/relationships/hyperlink" Target="https://dadosabertos.camara.leg.br/api/v2/deputados/131726" TargetMode="External"/><Relationship Id="rId6878" Type="http://schemas.openxmlformats.org/officeDocument/2006/relationships/hyperlink" Target="https://dadosabertos.camara.leg.br/api/v2/deputados/1044" TargetMode="External"/><Relationship Id="rId7929" Type="http://schemas.openxmlformats.org/officeDocument/2006/relationships/hyperlink" Target="https://dadosabertos.camara.leg.br/api/v2/deputados/220" TargetMode="External"/><Relationship Id="rId5894" Type="http://schemas.openxmlformats.org/officeDocument/2006/relationships/hyperlink" Target="https://dadosabertos.camara.leg.br/api/v2/deputados/2172" TargetMode="External"/><Relationship Id="rId6945" Type="http://schemas.openxmlformats.org/officeDocument/2006/relationships/hyperlink" Target="https://dadosabertos.camara.leg.br/api/v2/deputados/945" TargetMode="External"/><Relationship Id="rId710" Type="http://schemas.openxmlformats.org/officeDocument/2006/relationships/hyperlink" Target="https://dadosabertos.camara.leg.br/api/v2/deputados/204380" TargetMode="External"/><Relationship Id="rId1340" Type="http://schemas.openxmlformats.org/officeDocument/2006/relationships/hyperlink" Target="https://dadosabertos.camara.leg.br/api/v2/deputados/141374" TargetMode="External"/><Relationship Id="rId3098" Type="http://schemas.openxmlformats.org/officeDocument/2006/relationships/hyperlink" Target="https://dadosabertos.camara.leg.br/api/v2/deputados/139251" TargetMode="External"/><Relationship Id="rId4496" Type="http://schemas.openxmlformats.org/officeDocument/2006/relationships/hyperlink" Target="https://dadosabertos.camara.leg.br/api/v2/deputados/131106" TargetMode="External"/><Relationship Id="rId5547" Type="http://schemas.openxmlformats.org/officeDocument/2006/relationships/hyperlink" Target="https://dadosabertos.camara.leg.br/api/v2/deputados/130270" TargetMode="External"/><Relationship Id="rId5961" Type="http://schemas.openxmlformats.org/officeDocument/2006/relationships/hyperlink" Target="https://dadosabertos.camara.leg.br/api/v2/deputados/2240" TargetMode="External"/><Relationship Id="rId4149" Type="http://schemas.openxmlformats.org/officeDocument/2006/relationships/hyperlink" Target="https://dadosabertos.camara.leg.br/api/v2/deputados/3129" TargetMode="External"/><Relationship Id="rId4563" Type="http://schemas.openxmlformats.org/officeDocument/2006/relationships/hyperlink" Target="https://dadosabertos.camara.leg.br/api/v2/deputados/130877" TargetMode="External"/><Relationship Id="rId5614" Type="http://schemas.openxmlformats.org/officeDocument/2006/relationships/hyperlink" Target="https://dadosabertos.camara.leg.br/api/v2/deputados/4598" TargetMode="External"/><Relationship Id="rId3165" Type="http://schemas.openxmlformats.org/officeDocument/2006/relationships/hyperlink" Target="https://dadosabertos.camara.leg.br/api/v2/deputados/139306" TargetMode="External"/><Relationship Id="rId4216" Type="http://schemas.openxmlformats.org/officeDocument/2006/relationships/hyperlink" Target="https://dadosabertos.camara.leg.br/api/v2/deputados/131338" TargetMode="External"/><Relationship Id="rId4630" Type="http://schemas.openxmlformats.org/officeDocument/2006/relationships/hyperlink" Target="https://dadosabertos.camara.leg.br/api/v2/deputados/130792" TargetMode="External"/><Relationship Id="rId7786" Type="http://schemas.openxmlformats.org/officeDocument/2006/relationships/hyperlink" Target="https://dadosabertos.camara.leg.br/api/v2/deputados/354" TargetMode="External"/><Relationship Id="rId2181" Type="http://schemas.openxmlformats.org/officeDocument/2006/relationships/hyperlink" Target="https://dadosabertos.camara.leg.br/api/v2/deputados/74450" TargetMode="External"/><Relationship Id="rId3232" Type="http://schemas.openxmlformats.org/officeDocument/2006/relationships/hyperlink" Target="https://dadosabertos.camara.leg.br/api/v2/deputados/139365" TargetMode="External"/><Relationship Id="rId6388" Type="http://schemas.openxmlformats.org/officeDocument/2006/relationships/hyperlink" Target="https://dadosabertos.camara.leg.br/api/v2/deputados/2256" TargetMode="External"/><Relationship Id="rId7439" Type="http://schemas.openxmlformats.org/officeDocument/2006/relationships/hyperlink" Target="https://dadosabertos.camara.leg.br/api/v2/deputados/753" TargetMode="External"/><Relationship Id="rId153" Type="http://schemas.openxmlformats.org/officeDocument/2006/relationships/hyperlink" Target="https://dadosabertos.camara.leg.br/api/v2/deputados/116379" TargetMode="External"/><Relationship Id="rId6455" Type="http://schemas.openxmlformats.org/officeDocument/2006/relationships/hyperlink" Target="https://dadosabertos.camara.leg.br/api/v2/deputados/2015" TargetMode="External"/><Relationship Id="rId7853" Type="http://schemas.openxmlformats.org/officeDocument/2006/relationships/hyperlink" Target="https://dadosabertos.camara.leg.br/api/v2/deputados/235" TargetMode="External"/><Relationship Id="rId220" Type="http://schemas.openxmlformats.org/officeDocument/2006/relationships/hyperlink" Target="https://dadosabertos.camara.leg.br/api/v2/deputados/198783" TargetMode="External"/><Relationship Id="rId2998" Type="http://schemas.openxmlformats.org/officeDocument/2006/relationships/hyperlink" Target="https://dadosabertos.camara.leg.br/api/v2/deputados/139163" TargetMode="External"/><Relationship Id="rId5057" Type="http://schemas.openxmlformats.org/officeDocument/2006/relationships/hyperlink" Target="https://dadosabertos.camara.leg.br/api/v2/deputados/130485" TargetMode="External"/><Relationship Id="rId6108" Type="http://schemas.openxmlformats.org/officeDocument/2006/relationships/hyperlink" Target="https://dadosabertos.camara.leg.br/api/v2/deputados/4221" TargetMode="External"/><Relationship Id="rId7506" Type="http://schemas.openxmlformats.org/officeDocument/2006/relationships/hyperlink" Target="https://dadosabertos.camara.leg.br/api/v2/deputados/692" TargetMode="External"/><Relationship Id="rId7920" Type="http://schemas.openxmlformats.org/officeDocument/2006/relationships/hyperlink" Target="https://dadosabertos.camara.leg.br/api/v2/deputados/257" TargetMode="External"/><Relationship Id="rId4073" Type="http://schemas.openxmlformats.org/officeDocument/2006/relationships/hyperlink" Target="https://dadosabertos.camara.leg.br/api/v2/deputados/3124" TargetMode="External"/><Relationship Id="rId5471" Type="http://schemas.openxmlformats.org/officeDocument/2006/relationships/hyperlink" Target="https://dadosabertos.camara.leg.br/api/v2/deputados/4675" TargetMode="External"/><Relationship Id="rId6522" Type="http://schemas.openxmlformats.org/officeDocument/2006/relationships/hyperlink" Target="https://dadosabertos.camara.leg.br/api/v2/deputados/2047" TargetMode="External"/><Relationship Id="rId1667" Type="http://schemas.openxmlformats.org/officeDocument/2006/relationships/hyperlink" Target="https://dadosabertos.camara.leg.br/api/v2/deputados/74358" TargetMode="External"/><Relationship Id="rId2718" Type="http://schemas.openxmlformats.org/officeDocument/2006/relationships/hyperlink" Target="https://dadosabertos.camara.leg.br/api/v2/deputados/73813" TargetMode="External"/><Relationship Id="rId5124" Type="http://schemas.openxmlformats.org/officeDocument/2006/relationships/hyperlink" Target="https://dadosabertos.camara.leg.br/api/v2/deputados/130326" TargetMode="External"/><Relationship Id="rId1734" Type="http://schemas.openxmlformats.org/officeDocument/2006/relationships/hyperlink" Target="https://dadosabertos.camara.leg.br/api/v2/deputados/139187" TargetMode="External"/><Relationship Id="rId4140" Type="http://schemas.openxmlformats.org/officeDocument/2006/relationships/hyperlink" Target="https://dadosabertos.camara.leg.br/api/v2/deputados/131266" TargetMode="External"/><Relationship Id="rId7296" Type="http://schemas.openxmlformats.org/officeDocument/2006/relationships/hyperlink" Target="https://dadosabertos.camara.leg.br/api/v2/deputados/812" TargetMode="External"/><Relationship Id="rId26" Type="http://schemas.openxmlformats.org/officeDocument/2006/relationships/hyperlink" Target="https://dadosabertos.camara.leg.br/api/v2/deputados/220554" TargetMode="External"/><Relationship Id="rId7363" Type="http://schemas.openxmlformats.org/officeDocument/2006/relationships/hyperlink" Target="https://dadosabertos.camara.leg.br/api/v2/deputados/842" TargetMode="External"/><Relationship Id="rId1801" Type="http://schemas.openxmlformats.org/officeDocument/2006/relationships/hyperlink" Target="https://dadosabertos.camara.leg.br/api/v2/deputados/74741" TargetMode="External"/><Relationship Id="rId3559" Type="http://schemas.openxmlformats.org/officeDocument/2006/relationships/hyperlink" Target="https://dadosabertos.camara.leg.br/api/v2/deputados/132097" TargetMode="External"/><Relationship Id="rId4957" Type="http://schemas.openxmlformats.org/officeDocument/2006/relationships/hyperlink" Target="https://dadosabertos.camara.leg.br/api/v2/deputados/130421" TargetMode="External"/><Relationship Id="rId7016" Type="http://schemas.openxmlformats.org/officeDocument/2006/relationships/hyperlink" Target="https://dadosabertos.camara.leg.br/api/v2/deputados/1180" TargetMode="External"/><Relationship Id="rId7430" Type="http://schemas.openxmlformats.org/officeDocument/2006/relationships/hyperlink" Target="https://dadosabertos.camara.leg.br/api/v2/deputados/759" TargetMode="External"/><Relationship Id="rId3973" Type="http://schemas.openxmlformats.org/officeDocument/2006/relationships/hyperlink" Target="https://dadosabertos.camara.leg.br/api/v2/deputados/131462" TargetMode="External"/><Relationship Id="rId6032" Type="http://schemas.openxmlformats.org/officeDocument/2006/relationships/hyperlink" Target="https://dadosabertos.camara.leg.br/api/v2/deputados/1660" TargetMode="External"/><Relationship Id="rId894" Type="http://schemas.openxmlformats.org/officeDocument/2006/relationships/hyperlink" Target="https://dadosabertos.camara.leg.br/api/v2/deputados/204461" TargetMode="External"/><Relationship Id="rId1177" Type="http://schemas.openxmlformats.org/officeDocument/2006/relationships/hyperlink" Target="https://dadosabertos.camara.leg.br/api/v2/deputados/198198" TargetMode="External"/><Relationship Id="rId2575" Type="http://schemas.openxmlformats.org/officeDocument/2006/relationships/hyperlink" Target="https://dadosabertos.camara.leg.br/api/v2/deputados/74114" TargetMode="External"/><Relationship Id="rId3626" Type="http://schemas.openxmlformats.org/officeDocument/2006/relationships/hyperlink" Target="https://dadosabertos.camara.leg.br/api/v2/deputados/131679" TargetMode="External"/><Relationship Id="rId547" Type="http://schemas.openxmlformats.org/officeDocument/2006/relationships/hyperlink" Target="https://dadosabertos.camara.leg.br/api/v2/deputados/220532" TargetMode="External"/><Relationship Id="rId961" Type="http://schemas.openxmlformats.org/officeDocument/2006/relationships/hyperlink" Target="http://www.tiagomitraud.com.br/" TargetMode="External"/><Relationship Id="rId1591" Type="http://schemas.openxmlformats.org/officeDocument/2006/relationships/hyperlink" Target="https://dadosabertos.camara.leg.br/api/v2/deputados/74207" TargetMode="External"/><Relationship Id="rId2228" Type="http://schemas.openxmlformats.org/officeDocument/2006/relationships/hyperlink" Target="https://dadosabertos.camara.leg.br/api/v2/deputados/73828" TargetMode="External"/><Relationship Id="rId2642" Type="http://schemas.openxmlformats.org/officeDocument/2006/relationships/hyperlink" Target="https://dadosabertos.camara.leg.br/api/v2/deputados/74827" TargetMode="External"/><Relationship Id="rId5798" Type="http://schemas.openxmlformats.org/officeDocument/2006/relationships/hyperlink" Target="https://dadosabertos.camara.leg.br/api/v2/deputados/4531" TargetMode="External"/><Relationship Id="rId6849" Type="http://schemas.openxmlformats.org/officeDocument/2006/relationships/hyperlink" Target="https://dadosabertos.camara.leg.br/api/v2/deputados/1248" TargetMode="External"/><Relationship Id="rId614" Type="http://schemas.openxmlformats.org/officeDocument/2006/relationships/hyperlink" Target="https://dadosabertos.camara.leg.br/api/v2/deputados/220579" TargetMode="External"/><Relationship Id="rId1244" Type="http://schemas.openxmlformats.org/officeDocument/2006/relationships/hyperlink" Target="https://dadosabertos.camara.leg.br/api/v2/deputados/148134" TargetMode="External"/><Relationship Id="rId5865" Type="http://schemas.openxmlformats.org/officeDocument/2006/relationships/hyperlink" Target="https://dadosabertos.camara.leg.br/api/v2/deputados/4405" TargetMode="External"/><Relationship Id="rId6916" Type="http://schemas.openxmlformats.org/officeDocument/2006/relationships/hyperlink" Target="https://dadosabertos.camara.leg.br/api/v2/deputados/1169" TargetMode="External"/><Relationship Id="rId1311" Type="http://schemas.openxmlformats.org/officeDocument/2006/relationships/hyperlink" Target="https://dadosabertos.camara.leg.br/api/v2/deputados/178869" TargetMode="External"/><Relationship Id="rId4467" Type="http://schemas.openxmlformats.org/officeDocument/2006/relationships/hyperlink" Target="https://dadosabertos.camara.leg.br/api/v2/deputados/131083" TargetMode="External"/><Relationship Id="rId4881" Type="http://schemas.openxmlformats.org/officeDocument/2006/relationships/hyperlink" Target="https://dadosabertos.camara.leg.br/api/v2/deputados/130650" TargetMode="External"/><Relationship Id="rId5518" Type="http://schemas.openxmlformats.org/officeDocument/2006/relationships/hyperlink" Target="https://dadosabertos.camara.leg.br/api/v2/deputados/2831" TargetMode="External"/><Relationship Id="rId3069" Type="http://schemas.openxmlformats.org/officeDocument/2006/relationships/hyperlink" Target="https://dadosabertos.camara.leg.br/api/v2/deputados/139225" TargetMode="External"/><Relationship Id="rId3483" Type="http://schemas.openxmlformats.org/officeDocument/2006/relationships/hyperlink" Target="https://dadosabertos.camara.leg.br/api/v2/deputados/132134" TargetMode="External"/><Relationship Id="rId4534" Type="http://schemas.openxmlformats.org/officeDocument/2006/relationships/hyperlink" Target="https://dadosabertos.camara.leg.br/api/v2/deputados/132147" TargetMode="External"/><Relationship Id="rId5932" Type="http://schemas.openxmlformats.org/officeDocument/2006/relationships/hyperlink" Target="https://dadosabertos.camara.leg.br/api/v2/deputados/4317" TargetMode="External"/><Relationship Id="rId2085" Type="http://schemas.openxmlformats.org/officeDocument/2006/relationships/hyperlink" Target="https://dadosabertos.camara.leg.br/api/v2/deputados/74786" TargetMode="External"/><Relationship Id="rId3136" Type="http://schemas.openxmlformats.org/officeDocument/2006/relationships/hyperlink" Target="https://dadosabertos.camara.leg.br/api/v2/deputados/139283" TargetMode="External"/><Relationship Id="rId471" Type="http://schemas.openxmlformats.org/officeDocument/2006/relationships/hyperlink" Target="https://dadosabertos.camara.leg.br/api/v2/deputados/154178" TargetMode="External"/><Relationship Id="rId2152" Type="http://schemas.openxmlformats.org/officeDocument/2006/relationships/hyperlink" Target="https://dadosabertos.camara.leg.br/api/v2/deputados/73718" TargetMode="External"/><Relationship Id="rId3550" Type="http://schemas.openxmlformats.org/officeDocument/2006/relationships/hyperlink" Target="https://dadosabertos.camara.leg.br/api/v2/deputados/132090" TargetMode="External"/><Relationship Id="rId4601" Type="http://schemas.openxmlformats.org/officeDocument/2006/relationships/hyperlink" Target="https://dadosabertos.camara.leg.br/api/v2/deputados/130762" TargetMode="External"/><Relationship Id="rId7757" Type="http://schemas.openxmlformats.org/officeDocument/2006/relationships/hyperlink" Target="https://dadosabertos.camara.leg.br/api/v2/deputados/145" TargetMode="External"/><Relationship Id="rId124" Type="http://schemas.openxmlformats.org/officeDocument/2006/relationships/hyperlink" Target="https://dadosabertos.camara.leg.br/api/v2/deputados/98148" TargetMode="External"/><Relationship Id="rId3203" Type="http://schemas.openxmlformats.org/officeDocument/2006/relationships/hyperlink" Target="https://dadosabertos.camara.leg.br/api/v2/deputados/139338" TargetMode="External"/><Relationship Id="rId6359" Type="http://schemas.openxmlformats.org/officeDocument/2006/relationships/hyperlink" Target="https://dadosabertos.camara.leg.br/api/v2/deputados/2230" TargetMode="External"/><Relationship Id="rId6773" Type="http://schemas.openxmlformats.org/officeDocument/2006/relationships/hyperlink" Target="https://dadosabertos.camara.leg.br/api/v2/deputados/1637" TargetMode="External"/><Relationship Id="rId7824" Type="http://schemas.openxmlformats.org/officeDocument/2006/relationships/hyperlink" Target="https://dadosabertos.camara.leg.br/api/v2/deputados/154" TargetMode="External"/><Relationship Id="rId2969" Type="http://schemas.openxmlformats.org/officeDocument/2006/relationships/hyperlink" Target="https://dadosabertos.camara.leg.br/api/v2/deputados/139138" TargetMode="External"/><Relationship Id="rId5375" Type="http://schemas.openxmlformats.org/officeDocument/2006/relationships/hyperlink" Target="https://dadosabertos.camara.leg.br/api/v2/deputados/2734" TargetMode="External"/><Relationship Id="rId6426" Type="http://schemas.openxmlformats.org/officeDocument/2006/relationships/hyperlink" Target="https://dadosabertos.camara.leg.br/api/v2/deputados/2121" TargetMode="External"/><Relationship Id="rId6840" Type="http://schemas.openxmlformats.org/officeDocument/2006/relationships/hyperlink" Target="https://dadosabertos.camara.leg.br/api/v2/deputados/1108" TargetMode="External"/><Relationship Id="rId1985" Type="http://schemas.openxmlformats.org/officeDocument/2006/relationships/hyperlink" Target="https://dadosabertos.camara.leg.br/api/v2/deputados/74416" TargetMode="External"/><Relationship Id="rId4391" Type="http://schemas.openxmlformats.org/officeDocument/2006/relationships/hyperlink" Target="https://dadosabertos.camara.leg.br/api/v2/deputados/130987" TargetMode="External"/><Relationship Id="rId5028" Type="http://schemas.openxmlformats.org/officeDocument/2006/relationships/hyperlink" Target="https://dadosabertos.camara.leg.br/api/v2/deputados/3116" TargetMode="External"/><Relationship Id="rId5442" Type="http://schemas.openxmlformats.org/officeDocument/2006/relationships/hyperlink" Target="https://dadosabertos.camara.leg.br/api/v2/deputados/4792" TargetMode="External"/><Relationship Id="rId1638" Type="http://schemas.openxmlformats.org/officeDocument/2006/relationships/hyperlink" Target="https://dadosabertos.camara.leg.br/api/v2/deputados/73565" TargetMode="External"/><Relationship Id="rId4044" Type="http://schemas.openxmlformats.org/officeDocument/2006/relationships/hyperlink" Target="https://dadosabertos.camara.leg.br/api/v2/deputados/131185" TargetMode="External"/><Relationship Id="rId3060" Type="http://schemas.openxmlformats.org/officeDocument/2006/relationships/hyperlink" Target="https://dadosabertos.camara.leg.br/api/v2/deputados/1505" TargetMode="External"/><Relationship Id="rId4111" Type="http://schemas.openxmlformats.org/officeDocument/2006/relationships/hyperlink" Target="https://dadosabertos.camara.leg.br/api/v2/deputados/131238" TargetMode="External"/><Relationship Id="rId7267" Type="http://schemas.openxmlformats.org/officeDocument/2006/relationships/hyperlink" Target="https://dadosabertos.camara.leg.br/api/v2/deputados/577" TargetMode="External"/><Relationship Id="rId1705" Type="http://schemas.openxmlformats.org/officeDocument/2006/relationships/hyperlink" Target="https://dadosabertos.camara.leg.br/api/v2/deputados/141404" TargetMode="External"/><Relationship Id="rId6283" Type="http://schemas.openxmlformats.org/officeDocument/2006/relationships/hyperlink" Target="https://dadosabertos.camara.leg.br/api/v2/deputados/1575" TargetMode="External"/><Relationship Id="rId7681" Type="http://schemas.openxmlformats.org/officeDocument/2006/relationships/hyperlink" Target="https://dadosabertos.camara.leg.br/api/v2/deputados/526" TargetMode="External"/><Relationship Id="rId3877" Type="http://schemas.openxmlformats.org/officeDocument/2006/relationships/hyperlink" Target="https://dadosabertos.camara.leg.br/api/v2/deputados/131605" TargetMode="External"/><Relationship Id="rId4928" Type="http://schemas.openxmlformats.org/officeDocument/2006/relationships/hyperlink" Target="https://dadosabertos.camara.leg.br/api/v2/deputados/130397" TargetMode="External"/><Relationship Id="rId7334" Type="http://schemas.openxmlformats.org/officeDocument/2006/relationships/hyperlink" Target="https://dadosabertos.camara.leg.br/api/v2/deputados/871" TargetMode="External"/><Relationship Id="rId798" Type="http://schemas.openxmlformats.org/officeDocument/2006/relationships/hyperlink" Target="https://dadosabertos.camara.leg.br/api/v2/deputados/204564" TargetMode="External"/><Relationship Id="rId2479" Type="http://schemas.openxmlformats.org/officeDocument/2006/relationships/hyperlink" Target="https://dadosabertos.camara.leg.br/api/v2/deputados/74231" TargetMode="External"/><Relationship Id="rId2893" Type="http://schemas.openxmlformats.org/officeDocument/2006/relationships/hyperlink" Target="https://dadosabertos.camara.leg.br/api/v2/deputados/73870" TargetMode="External"/><Relationship Id="rId3944" Type="http://schemas.openxmlformats.org/officeDocument/2006/relationships/hyperlink" Target="https://dadosabertos.camara.leg.br/api/v2/deputados/131419" TargetMode="External"/><Relationship Id="rId6350" Type="http://schemas.openxmlformats.org/officeDocument/2006/relationships/hyperlink" Target="https://dadosabertos.camara.leg.br/api/v2/deputados/2315" TargetMode="External"/><Relationship Id="rId7401" Type="http://schemas.openxmlformats.org/officeDocument/2006/relationships/hyperlink" Target="https://dadosabertos.camara.leg.br/api/v2/deputados/397" TargetMode="External"/><Relationship Id="rId865" Type="http://schemas.openxmlformats.org/officeDocument/2006/relationships/hyperlink" Target="https://dadosabertos.camara.leg.br/api/v2/deputados/75431" TargetMode="External"/><Relationship Id="rId1495" Type="http://schemas.openxmlformats.org/officeDocument/2006/relationships/hyperlink" Target="https://dadosabertos.camara.leg.br/api/v2/deputados/74423" TargetMode="External"/><Relationship Id="rId2546" Type="http://schemas.openxmlformats.org/officeDocument/2006/relationships/hyperlink" Target="https://dadosabertos.camara.leg.br/api/v2/deputados/74250" TargetMode="External"/><Relationship Id="rId2960" Type="http://schemas.openxmlformats.org/officeDocument/2006/relationships/hyperlink" Target="https://dadosabertos.camara.leg.br/api/v2/deputados/139129" TargetMode="External"/><Relationship Id="rId6003" Type="http://schemas.openxmlformats.org/officeDocument/2006/relationships/hyperlink" Target="https://dadosabertos.camara.leg.br/api/v2/deputados/1671" TargetMode="External"/><Relationship Id="rId518" Type="http://schemas.openxmlformats.org/officeDocument/2006/relationships/hyperlink" Target="https://dadosabertos.camara.leg.br/api/v2/deputados/204492" TargetMode="External"/><Relationship Id="rId932" Type="http://schemas.openxmlformats.org/officeDocument/2006/relationships/hyperlink" Target="https://dadosabertos.camara.leg.br/api/v2/deputados/178861" TargetMode="External"/><Relationship Id="rId1148" Type="http://schemas.openxmlformats.org/officeDocument/2006/relationships/hyperlink" Target="https://dadosabertos.camara.leg.br/api/v2/deputados/74351" TargetMode="External"/><Relationship Id="rId1562" Type="http://schemas.openxmlformats.org/officeDocument/2006/relationships/hyperlink" Target="https://dadosabertos.camara.leg.br/api/v2/deputados/133372" TargetMode="External"/><Relationship Id="rId2613" Type="http://schemas.openxmlformats.org/officeDocument/2006/relationships/hyperlink" Target="https://dadosabertos.camara.leg.br/api/v2/deputados/74083" TargetMode="External"/><Relationship Id="rId5769" Type="http://schemas.openxmlformats.org/officeDocument/2006/relationships/hyperlink" Target="https://dadosabertos.camara.leg.br/api/v2/deputados/130202" TargetMode="External"/><Relationship Id="rId1215" Type="http://schemas.openxmlformats.org/officeDocument/2006/relationships/hyperlink" Target="https://dadosabertos.camara.leg.br/api/v2/deputados/141509" TargetMode="External"/><Relationship Id="rId7191" Type="http://schemas.openxmlformats.org/officeDocument/2006/relationships/hyperlink" Target="https://dadosabertos.camara.leg.br/api/v2/deputados/1043" TargetMode="External"/><Relationship Id="rId3387" Type="http://schemas.openxmlformats.org/officeDocument/2006/relationships/hyperlink" Target="https://dadosabertos.camara.leg.br/api/v2/deputados/131934" TargetMode="External"/><Relationship Id="rId4785" Type="http://schemas.openxmlformats.org/officeDocument/2006/relationships/hyperlink" Target="https://dadosabertos.camara.leg.br/api/v2/deputados/130661" TargetMode="External"/><Relationship Id="rId5836" Type="http://schemas.openxmlformats.org/officeDocument/2006/relationships/hyperlink" Target="https://dadosabertos.camara.leg.br/api/v2/deputados/2159" TargetMode="External"/><Relationship Id="rId4438" Type="http://schemas.openxmlformats.org/officeDocument/2006/relationships/hyperlink" Target="https://dadosabertos.camara.leg.br/api/v2/deputados/131056" TargetMode="External"/><Relationship Id="rId4852" Type="http://schemas.openxmlformats.org/officeDocument/2006/relationships/hyperlink" Target="https://dadosabertos.camara.leg.br/api/v2/deputados/130531" TargetMode="External"/><Relationship Id="rId5903" Type="http://schemas.openxmlformats.org/officeDocument/2006/relationships/hyperlink" Target="https://dadosabertos.camara.leg.br/api/v2/deputados/130169" TargetMode="External"/><Relationship Id="rId3454" Type="http://schemas.openxmlformats.org/officeDocument/2006/relationships/hyperlink" Target="https://dadosabertos.camara.leg.br/api/v2/deputados/132015" TargetMode="External"/><Relationship Id="rId4505" Type="http://schemas.openxmlformats.org/officeDocument/2006/relationships/hyperlink" Target="https://dadosabertos.camara.leg.br/api/v2/deputados/131113" TargetMode="External"/><Relationship Id="rId375" Type="http://schemas.openxmlformats.org/officeDocument/2006/relationships/hyperlink" Target="https://dadosabertos.camara.leg.br/api/v2/deputados/220566" TargetMode="External"/><Relationship Id="rId2056" Type="http://schemas.openxmlformats.org/officeDocument/2006/relationships/hyperlink" Target="https://dadosabertos.camara.leg.br/api/v2/deputados/73942" TargetMode="External"/><Relationship Id="rId2470" Type="http://schemas.openxmlformats.org/officeDocument/2006/relationships/hyperlink" Target="https://dadosabertos.camara.leg.br/api/v2/deputados/74518" TargetMode="External"/><Relationship Id="rId3107" Type="http://schemas.openxmlformats.org/officeDocument/2006/relationships/hyperlink" Target="https://dadosabertos.camara.leg.br/api/v2/deputados/139258" TargetMode="External"/><Relationship Id="rId3521" Type="http://schemas.openxmlformats.org/officeDocument/2006/relationships/hyperlink" Target="https://dadosabertos.camara.leg.br/api/v2/deputados/132069" TargetMode="External"/><Relationship Id="rId6677" Type="http://schemas.openxmlformats.org/officeDocument/2006/relationships/hyperlink" Target="https://dadosabertos.camara.leg.br/api/v2/deputados/3967" TargetMode="External"/><Relationship Id="rId7728" Type="http://schemas.openxmlformats.org/officeDocument/2006/relationships/hyperlink" Target="https://dadosabertos.camara.leg.br/api/v2/deputados/35" TargetMode="External"/><Relationship Id="rId442" Type="http://schemas.openxmlformats.org/officeDocument/2006/relationships/hyperlink" Target="https://dadosabertos.camara.leg.br/api/v2/deputados/178943" TargetMode="External"/><Relationship Id="rId1072" Type="http://schemas.openxmlformats.org/officeDocument/2006/relationships/hyperlink" Target="https://dadosabertos.camara.leg.br/api/v2/deputados/74173" TargetMode="External"/><Relationship Id="rId2123" Type="http://schemas.openxmlformats.org/officeDocument/2006/relationships/hyperlink" Target="https://dadosabertos.camara.leg.br/api/v2/deputados/73574" TargetMode="External"/><Relationship Id="rId5279" Type="http://schemas.openxmlformats.org/officeDocument/2006/relationships/hyperlink" Target="https://dadosabertos.camara.leg.br/api/v2/deputados/130367" TargetMode="External"/><Relationship Id="rId5693" Type="http://schemas.openxmlformats.org/officeDocument/2006/relationships/hyperlink" Target="https://dadosabertos.camara.leg.br/api/v2/deputados/130173" TargetMode="External"/><Relationship Id="rId6744" Type="http://schemas.openxmlformats.org/officeDocument/2006/relationships/hyperlink" Target="https://dadosabertos.camara.leg.br/api/v2/deputados/1617" TargetMode="External"/><Relationship Id="rId4295" Type="http://schemas.openxmlformats.org/officeDocument/2006/relationships/hyperlink" Target="https://dadosabertos.camara.leg.br/api/v2/deputados/130901" TargetMode="External"/><Relationship Id="rId5346" Type="http://schemas.openxmlformats.org/officeDocument/2006/relationships/hyperlink" Target="https://dadosabertos.camara.leg.br/api/v2/deputados/4855" TargetMode="External"/><Relationship Id="rId1889" Type="http://schemas.openxmlformats.org/officeDocument/2006/relationships/hyperlink" Target="https://dadosabertos.camara.leg.br/api/v2/deputados/73577" TargetMode="External"/><Relationship Id="rId4362" Type="http://schemas.openxmlformats.org/officeDocument/2006/relationships/hyperlink" Target="https://dadosabertos.camara.leg.br/api/v2/deputados/130963" TargetMode="External"/><Relationship Id="rId5760" Type="http://schemas.openxmlformats.org/officeDocument/2006/relationships/hyperlink" Target="https://dadosabertos.camara.leg.br/api/v2/deputados/4496" TargetMode="External"/><Relationship Id="rId6811" Type="http://schemas.openxmlformats.org/officeDocument/2006/relationships/hyperlink" Target="https://dadosabertos.camara.leg.br/api/v2/deputados/1716" TargetMode="External"/><Relationship Id="rId1956" Type="http://schemas.openxmlformats.org/officeDocument/2006/relationships/hyperlink" Target="https://dadosabertos.camara.leg.br/api/v2/deputados/74195" TargetMode="External"/><Relationship Id="rId4015" Type="http://schemas.openxmlformats.org/officeDocument/2006/relationships/hyperlink" Target="https://dadosabertos.camara.leg.br/api/v2/deputados/131232" TargetMode="External"/><Relationship Id="rId5413" Type="http://schemas.openxmlformats.org/officeDocument/2006/relationships/hyperlink" Target="https://dadosabertos.camara.leg.br/api/v2/deputados/2884" TargetMode="External"/><Relationship Id="rId1609" Type="http://schemas.openxmlformats.org/officeDocument/2006/relationships/hyperlink" Target="https://dadosabertos.camara.leg.br/api/v2/deputados/74793" TargetMode="External"/><Relationship Id="rId7585" Type="http://schemas.openxmlformats.org/officeDocument/2006/relationships/hyperlink" Target="https://dadosabertos.camara.leg.br/api/v2/deputados/338" TargetMode="External"/><Relationship Id="rId3031" Type="http://schemas.openxmlformats.org/officeDocument/2006/relationships/hyperlink" Target="https://dadosabertos.camara.leg.br/api/v2/deputados/139193" TargetMode="External"/><Relationship Id="rId6187" Type="http://schemas.openxmlformats.org/officeDocument/2006/relationships/hyperlink" Target="https://dadosabertos.camara.leg.br/api/v2/deputados/2276" TargetMode="External"/><Relationship Id="rId7238" Type="http://schemas.openxmlformats.org/officeDocument/2006/relationships/hyperlink" Target="https://dadosabertos.camara.leg.br/api/v2/deputados/981" TargetMode="External"/><Relationship Id="rId7652" Type="http://schemas.openxmlformats.org/officeDocument/2006/relationships/hyperlink" Target="https://dadosabertos.camara.leg.br/api/v2/deputados/376" TargetMode="External"/><Relationship Id="rId2797" Type="http://schemas.openxmlformats.org/officeDocument/2006/relationships/hyperlink" Target="https://dadosabertos.camara.leg.br/api/v2/deputados/133935" TargetMode="External"/><Relationship Id="rId3848" Type="http://schemas.openxmlformats.org/officeDocument/2006/relationships/hyperlink" Target="https://dadosabertos.camara.leg.br/api/v2/deputados/131582" TargetMode="External"/><Relationship Id="rId6254" Type="http://schemas.openxmlformats.org/officeDocument/2006/relationships/hyperlink" Target="https://dadosabertos.camara.leg.br/api/v2/deputados/2145" TargetMode="External"/><Relationship Id="rId7305" Type="http://schemas.openxmlformats.org/officeDocument/2006/relationships/hyperlink" Target="https://dadosabertos.camara.leg.br/api/v2/deputados/197" TargetMode="External"/><Relationship Id="rId769" Type="http://schemas.openxmlformats.org/officeDocument/2006/relationships/hyperlink" Target="https://dadosabertos.camara.leg.br/api/v2/deputados/141434" TargetMode="External"/><Relationship Id="rId1399" Type="http://schemas.openxmlformats.org/officeDocument/2006/relationships/hyperlink" Target="https://dadosabertos.camara.leg.br/api/v2/deputados/174854" TargetMode="External"/><Relationship Id="rId5270" Type="http://schemas.openxmlformats.org/officeDocument/2006/relationships/hyperlink" Target="https://dadosabertos.camara.leg.br/api/v2/deputados/3134" TargetMode="External"/><Relationship Id="rId6321" Type="http://schemas.openxmlformats.org/officeDocument/2006/relationships/hyperlink" Target="https://dadosabertos.camara.leg.br/api/v2/deputados/3621" TargetMode="External"/><Relationship Id="rId1466" Type="http://schemas.openxmlformats.org/officeDocument/2006/relationships/hyperlink" Target="https://dadosabertos.camara.leg.br/api/v2/deputados/160974" TargetMode="External"/><Relationship Id="rId2864" Type="http://schemas.openxmlformats.org/officeDocument/2006/relationships/hyperlink" Target="https://dadosabertos.camara.leg.br/api/v2/deputados/133859" TargetMode="External"/><Relationship Id="rId3915" Type="http://schemas.openxmlformats.org/officeDocument/2006/relationships/hyperlink" Target="https://dadosabertos.camara.leg.br/api/v2/deputados/131400" TargetMode="External"/><Relationship Id="rId836" Type="http://schemas.openxmlformats.org/officeDocument/2006/relationships/hyperlink" Target="https://dadosabertos.camara.leg.br/api/v2/deputados/204543" TargetMode="External"/><Relationship Id="rId1119" Type="http://schemas.openxmlformats.org/officeDocument/2006/relationships/hyperlink" Target="https://dadosabertos.camara.leg.br/api/v2/deputados/74665" TargetMode="External"/><Relationship Id="rId1880" Type="http://schemas.openxmlformats.org/officeDocument/2006/relationships/hyperlink" Target="https://dadosabertos.camara.leg.br/api/v2/deputados/74258" TargetMode="External"/><Relationship Id="rId2517" Type="http://schemas.openxmlformats.org/officeDocument/2006/relationships/hyperlink" Target="https://dadosabertos.camara.leg.br/api/v2/deputados/73773" TargetMode="External"/><Relationship Id="rId2931" Type="http://schemas.openxmlformats.org/officeDocument/2006/relationships/hyperlink" Target="https://dadosabertos.camara.leg.br/api/v2/deputados/133919" TargetMode="External"/><Relationship Id="rId7095" Type="http://schemas.openxmlformats.org/officeDocument/2006/relationships/hyperlink" Target="https://dadosabertos.camara.leg.br/api/v2/deputados/1095" TargetMode="External"/><Relationship Id="rId903" Type="http://schemas.openxmlformats.org/officeDocument/2006/relationships/hyperlink" Target="https://twitter.com/depperpetua" TargetMode="External"/><Relationship Id="rId1533" Type="http://schemas.openxmlformats.org/officeDocument/2006/relationships/hyperlink" Target="https://dadosabertos.camara.leg.br/api/v2/deputados/141492" TargetMode="External"/><Relationship Id="rId4689" Type="http://schemas.openxmlformats.org/officeDocument/2006/relationships/hyperlink" Target="https://dadosabertos.camara.leg.br/api/v2/deputados/3132" TargetMode="External"/><Relationship Id="rId1600" Type="http://schemas.openxmlformats.org/officeDocument/2006/relationships/hyperlink" Target="https://dadosabertos.camara.leg.br/api/v2/deputados/160656" TargetMode="External"/><Relationship Id="rId4756" Type="http://schemas.openxmlformats.org/officeDocument/2006/relationships/hyperlink" Target="https://dadosabertos.camara.leg.br/api/v2/deputados/130528" TargetMode="External"/><Relationship Id="rId5807" Type="http://schemas.openxmlformats.org/officeDocument/2006/relationships/hyperlink" Target="https://dadosabertos.camara.leg.br/api/v2/deputados/4471" TargetMode="External"/><Relationship Id="rId7162" Type="http://schemas.openxmlformats.org/officeDocument/2006/relationships/hyperlink" Target="https://dadosabertos.camara.leg.br/api/v2/deputados/813" TargetMode="External"/><Relationship Id="rId3358" Type="http://schemas.openxmlformats.org/officeDocument/2006/relationships/hyperlink" Target="https://dadosabertos.camara.leg.br/api/v2/deputados/132130" TargetMode="External"/><Relationship Id="rId3772" Type="http://schemas.openxmlformats.org/officeDocument/2006/relationships/hyperlink" Target="https://dadosabertos.camara.leg.br/api/v2/deputados/131499" TargetMode="External"/><Relationship Id="rId4409" Type="http://schemas.openxmlformats.org/officeDocument/2006/relationships/hyperlink" Target="https://dadosabertos.camara.leg.br/api/v2/deputados/131013" TargetMode="External"/><Relationship Id="rId4823" Type="http://schemas.openxmlformats.org/officeDocument/2006/relationships/hyperlink" Target="https://dadosabertos.camara.leg.br/api/v2/deputados/130657" TargetMode="External"/><Relationship Id="rId7979" Type="http://schemas.openxmlformats.org/officeDocument/2006/relationships/hyperlink" Target="https://dadosabertos.camara.leg.br/api/v2/deputados/164" TargetMode="External"/><Relationship Id="rId279" Type="http://schemas.openxmlformats.org/officeDocument/2006/relationships/hyperlink" Target="https://dadosabertos.camara.leg.br/api/v2/deputados/220526" TargetMode="External"/><Relationship Id="rId693" Type="http://schemas.openxmlformats.org/officeDocument/2006/relationships/hyperlink" Target="https://dadosabertos.camara.leg.br/api/v2/deputados/204509" TargetMode="External"/><Relationship Id="rId2374" Type="http://schemas.openxmlformats.org/officeDocument/2006/relationships/hyperlink" Target="https://dadosabertos.camara.leg.br/api/v2/deputados/73580" TargetMode="External"/><Relationship Id="rId3425" Type="http://schemas.openxmlformats.org/officeDocument/2006/relationships/hyperlink" Target="https://dadosabertos.camara.leg.br/api/v2/deputados/131976" TargetMode="External"/><Relationship Id="rId346" Type="http://schemas.openxmlformats.org/officeDocument/2006/relationships/hyperlink" Target="https://dadosabertos.camara.leg.br/api/v2/deputados/220578" TargetMode="External"/><Relationship Id="rId760" Type="http://schemas.openxmlformats.org/officeDocument/2006/relationships/hyperlink" Target="https://dadosabertos.camara.leg.br/api/v2/deputados/141428" TargetMode="External"/><Relationship Id="rId1390" Type="http://schemas.openxmlformats.org/officeDocument/2006/relationships/hyperlink" Target="http://www.twitter.com/cidaborghetti_" TargetMode="External"/><Relationship Id="rId2027" Type="http://schemas.openxmlformats.org/officeDocument/2006/relationships/hyperlink" Target="https://dadosabertos.camara.leg.br/api/v2/deputados/74261" TargetMode="External"/><Relationship Id="rId2441" Type="http://schemas.openxmlformats.org/officeDocument/2006/relationships/hyperlink" Target="https://dadosabertos.camara.leg.br/api/v2/deputados/74073" TargetMode="External"/><Relationship Id="rId5597" Type="http://schemas.openxmlformats.org/officeDocument/2006/relationships/hyperlink" Target="https://dadosabertos.camara.leg.br/api/v2/deputados/2684" TargetMode="External"/><Relationship Id="rId6995" Type="http://schemas.openxmlformats.org/officeDocument/2006/relationships/hyperlink" Target="https://dadosabertos.camara.leg.br/api/v2/deputados/1190" TargetMode="External"/><Relationship Id="rId413" Type="http://schemas.openxmlformats.org/officeDocument/2006/relationships/hyperlink" Target="https://dadosabertos.camara.leg.br/api/v2/deputados/162332" TargetMode="External"/><Relationship Id="rId1043" Type="http://schemas.openxmlformats.org/officeDocument/2006/relationships/hyperlink" Target="https://dadosabertos.camara.leg.br/api/v2/deputados/73568" TargetMode="External"/><Relationship Id="rId4199" Type="http://schemas.openxmlformats.org/officeDocument/2006/relationships/hyperlink" Target="https://dadosabertos.camara.leg.br/api/v2/deputados/131217" TargetMode="External"/><Relationship Id="rId6648" Type="http://schemas.openxmlformats.org/officeDocument/2006/relationships/hyperlink" Target="https://dadosabertos.camara.leg.br/api/v2/deputados/1921" TargetMode="External"/><Relationship Id="rId5664" Type="http://schemas.openxmlformats.org/officeDocument/2006/relationships/hyperlink" Target="https://dadosabertos.camara.leg.br/api/v2/deputados/2669" TargetMode="External"/><Relationship Id="rId6715" Type="http://schemas.openxmlformats.org/officeDocument/2006/relationships/hyperlink" Target="https://dadosabertos.camara.leg.br/api/v2/deputados/1818" TargetMode="External"/><Relationship Id="rId1110" Type="http://schemas.openxmlformats.org/officeDocument/2006/relationships/hyperlink" Target="http://www.heraclitofortes.com/" TargetMode="External"/><Relationship Id="rId4266" Type="http://schemas.openxmlformats.org/officeDocument/2006/relationships/hyperlink" Target="https://dadosabertos.camara.leg.br/api/v2/deputados/131380" TargetMode="External"/><Relationship Id="rId4680" Type="http://schemas.openxmlformats.org/officeDocument/2006/relationships/hyperlink" Target="https://dadosabertos.camara.leg.br/api/v2/deputados/130846" TargetMode="External"/><Relationship Id="rId5317" Type="http://schemas.openxmlformats.org/officeDocument/2006/relationships/hyperlink" Target="https://dadosabertos.camara.leg.br/api/v2/deputados/4663" TargetMode="External"/><Relationship Id="rId5731" Type="http://schemas.openxmlformats.org/officeDocument/2006/relationships/hyperlink" Target="https://dadosabertos.camara.leg.br/api/v2/deputados/130319" TargetMode="External"/><Relationship Id="rId1927" Type="http://schemas.openxmlformats.org/officeDocument/2006/relationships/hyperlink" Target="https://dadosabertos.camara.leg.br/api/v2/deputados/74260" TargetMode="External"/><Relationship Id="rId3282" Type="http://schemas.openxmlformats.org/officeDocument/2006/relationships/hyperlink" Target="https://dadosabertos.camara.leg.br/api/v2/deputados/131849" TargetMode="External"/><Relationship Id="rId4333" Type="http://schemas.openxmlformats.org/officeDocument/2006/relationships/hyperlink" Target="https://dadosabertos.camara.leg.br/api/v2/deputados/130895" TargetMode="External"/><Relationship Id="rId7489" Type="http://schemas.openxmlformats.org/officeDocument/2006/relationships/hyperlink" Target="https://dadosabertos.camara.leg.br/api/v2/deputados/758" TargetMode="External"/><Relationship Id="rId4400" Type="http://schemas.openxmlformats.org/officeDocument/2006/relationships/hyperlink" Target="https://dadosabertos.camara.leg.br/api/v2/deputados/130994" TargetMode="External"/><Relationship Id="rId7556" Type="http://schemas.openxmlformats.org/officeDocument/2006/relationships/hyperlink" Target="https://dadosabertos.camara.leg.br/api/v2/deputados/642" TargetMode="External"/><Relationship Id="rId270" Type="http://schemas.openxmlformats.org/officeDocument/2006/relationships/hyperlink" Target="http://www.depgeraldo.wordpress.com/" TargetMode="External"/><Relationship Id="rId3002" Type="http://schemas.openxmlformats.org/officeDocument/2006/relationships/hyperlink" Target="https://dadosabertos.camara.leg.br/api/v2/deputados/139167" TargetMode="External"/><Relationship Id="rId6158" Type="http://schemas.openxmlformats.org/officeDocument/2006/relationships/hyperlink" Target="https://dadosabertos.camara.leg.br/api/v2/deputados/2109" TargetMode="External"/><Relationship Id="rId6572" Type="http://schemas.openxmlformats.org/officeDocument/2006/relationships/hyperlink" Target="https://dadosabertos.camara.leg.br/api/v2/deputados/3848" TargetMode="External"/><Relationship Id="rId7209" Type="http://schemas.openxmlformats.org/officeDocument/2006/relationships/hyperlink" Target="https://dadosabertos.camara.leg.br/api/v2/deputados/1013" TargetMode="External"/><Relationship Id="rId7970" Type="http://schemas.openxmlformats.org/officeDocument/2006/relationships/hyperlink" Target="https://dadosabertos.camara.leg.br/api/v2/deputados/120" TargetMode="External"/><Relationship Id="rId5174" Type="http://schemas.openxmlformats.org/officeDocument/2006/relationships/hyperlink" Target="https://dadosabertos.camara.leg.br/api/v2/deputados/2980" TargetMode="External"/><Relationship Id="rId6225" Type="http://schemas.openxmlformats.org/officeDocument/2006/relationships/hyperlink" Target="https://dadosabertos.camara.leg.br/api/v2/deputados/2356" TargetMode="External"/><Relationship Id="rId7623" Type="http://schemas.openxmlformats.org/officeDocument/2006/relationships/hyperlink" Target="https://dadosabertos.camara.leg.br/api/v2/deputados/208" TargetMode="External"/><Relationship Id="rId2768" Type="http://schemas.openxmlformats.org/officeDocument/2006/relationships/hyperlink" Target="https://dadosabertos.camara.leg.br/api/v2/deputados/65480" TargetMode="External"/><Relationship Id="rId3819" Type="http://schemas.openxmlformats.org/officeDocument/2006/relationships/hyperlink" Target="https://dadosabertos.camara.leg.br/api/v2/deputados/131545" TargetMode="External"/><Relationship Id="rId1784" Type="http://schemas.openxmlformats.org/officeDocument/2006/relationships/hyperlink" Target="https://dadosabertos.camara.leg.br/api/v2/deputados/74781" TargetMode="External"/><Relationship Id="rId2835" Type="http://schemas.openxmlformats.org/officeDocument/2006/relationships/hyperlink" Target="https://dadosabertos.camara.leg.br/api/v2/deputados/133937" TargetMode="External"/><Relationship Id="rId4190" Type="http://schemas.openxmlformats.org/officeDocument/2006/relationships/hyperlink" Target="https://dadosabertos.camara.leg.br/api/v2/deputados/131314" TargetMode="External"/><Relationship Id="rId5241" Type="http://schemas.openxmlformats.org/officeDocument/2006/relationships/hyperlink" Target="https://dadosabertos.camara.leg.br/api/v2/deputados/4879" TargetMode="External"/><Relationship Id="rId76" Type="http://schemas.openxmlformats.org/officeDocument/2006/relationships/hyperlink" Target="https://dadosabertos.camara.leg.br/api/v2/deputados/73701" TargetMode="External"/><Relationship Id="rId807" Type="http://schemas.openxmlformats.org/officeDocument/2006/relationships/hyperlink" Target="https://dadosabertos.camara.leg.br/api/v2/deputados/112437" TargetMode="External"/><Relationship Id="rId1437" Type="http://schemas.openxmlformats.org/officeDocument/2006/relationships/hyperlink" Target="https://dadosabertos.camara.leg.br/api/v2/deputados/74417" TargetMode="External"/><Relationship Id="rId1851" Type="http://schemas.openxmlformats.org/officeDocument/2006/relationships/hyperlink" Target="https://dadosabertos.camara.leg.br/api/v2/deputados/73555" TargetMode="External"/><Relationship Id="rId2902" Type="http://schemas.openxmlformats.org/officeDocument/2006/relationships/hyperlink" Target="https://dadosabertos.camara.leg.br/api/v2/deputados/133953" TargetMode="External"/><Relationship Id="rId1504" Type="http://schemas.openxmlformats.org/officeDocument/2006/relationships/hyperlink" Target="https://dadosabertos.camara.leg.br/api/v2/deputados/160648" TargetMode="External"/><Relationship Id="rId7066" Type="http://schemas.openxmlformats.org/officeDocument/2006/relationships/hyperlink" Target="https://dadosabertos.camara.leg.br/api/v2/deputados/684" TargetMode="External"/><Relationship Id="rId7480" Type="http://schemas.openxmlformats.org/officeDocument/2006/relationships/hyperlink" Target="https://dadosabertos.camara.leg.br/api/v2/deputados/709" TargetMode="External"/><Relationship Id="rId3676" Type="http://schemas.openxmlformats.org/officeDocument/2006/relationships/hyperlink" Target="https://dadosabertos.camara.leg.br/api/v2/deputados/131727" TargetMode="External"/><Relationship Id="rId6082" Type="http://schemas.openxmlformats.org/officeDocument/2006/relationships/hyperlink" Target="https://dadosabertos.camara.leg.br/api/v2/deputados/4192" TargetMode="External"/><Relationship Id="rId7133" Type="http://schemas.openxmlformats.org/officeDocument/2006/relationships/hyperlink" Target="https://dadosabertos.camara.leg.br/api/v2/deputados/986" TargetMode="External"/><Relationship Id="rId597" Type="http://schemas.openxmlformats.org/officeDocument/2006/relationships/hyperlink" Target="https://dadosabertos.camara.leg.br/api/v2/deputados/73604" TargetMode="External"/><Relationship Id="rId2278" Type="http://schemas.openxmlformats.org/officeDocument/2006/relationships/hyperlink" Target="https://dadosabertos.camara.leg.br/api/v2/deputados/74422" TargetMode="External"/><Relationship Id="rId3329" Type="http://schemas.openxmlformats.org/officeDocument/2006/relationships/hyperlink" Target="https://dadosabertos.camara.leg.br/api/v2/deputados/131887" TargetMode="External"/><Relationship Id="rId4727" Type="http://schemas.openxmlformats.org/officeDocument/2006/relationships/hyperlink" Target="https://dadosabertos.camara.leg.br/api/v2/deputados/130511" TargetMode="External"/><Relationship Id="rId7200" Type="http://schemas.openxmlformats.org/officeDocument/2006/relationships/hyperlink" Target="https://dadosabertos.camara.leg.br/api/v2/deputados/1037" TargetMode="External"/><Relationship Id="rId1294" Type="http://schemas.openxmlformats.org/officeDocument/2006/relationships/hyperlink" Target="https://dadosabertos.camara.leg.br/api/v2/deputados/73424" TargetMode="External"/><Relationship Id="rId2692" Type="http://schemas.openxmlformats.org/officeDocument/2006/relationships/hyperlink" Target="https://dadosabertos.camara.leg.br/api/v2/deputados/133866" TargetMode="External"/><Relationship Id="rId3743" Type="http://schemas.openxmlformats.org/officeDocument/2006/relationships/hyperlink" Target="https://dadosabertos.camara.leg.br/api/v2/deputados/131795" TargetMode="External"/><Relationship Id="rId6899" Type="http://schemas.openxmlformats.org/officeDocument/2006/relationships/hyperlink" Target="https://dadosabertos.camara.leg.br/api/v2/deputados/1174" TargetMode="External"/><Relationship Id="rId664" Type="http://schemas.openxmlformats.org/officeDocument/2006/relationships/hyperlink" Target="https://dadosabertos.camara.leg.br/api/v2/deputados/160632" TargetMode="External"/><Relationship Id="rId2345" Type="http://schemas.openxmlformats.org/officeDocument/2006/relationships/hyperlink" Target="https://dadosabertos.camara.leg.br/api/v2/deputados/74572" TargetMode="External"/><Relationship Id="rId3810" Type="http://schemas.openxmlformats.org/officeDocument/2006/relationships/hyperlink" Target="https://dadosabertos.camara.leg.br/api/v2/deputados/131534" TargetMode="External"/><Relationship Id="rId6966" Type="http://schemas.openxmlformats.org/officeDocument/2006/relationships/hyperlink" Target="https://dadosabertos.camara.leg.br/api/v2/deputados/1139" TargetMode="External"/><Relationship Id="rId317" Type="http://schemas.openxmlformats.org/officeDocument/2006/relationships/hyperlink" Target="https://dadosabertos.camara.leg.br/api/v2/deputados/73531" TargetMode="External"/><Relationship Id="rId731" Type="http://schemas.openxmlformats.org/officeDocument/2006/relationships/hyperlink" Target="https://dadosabertos.camara.leg.br/api/v2/deputados/213854" TargetMode="External"/><Relationship Id="rId1361" Type="http://schemas.openxmlformats.org/officeDocument/2006/relationships/hyperlink" Target="https://dadosabertos.camara.leg.br/api/v2/deputados/74648" TargetMode="External"/><Relationship Id="rId2412" Type="http://schemas.openxmlformats.org/officeDocument/2006/relationships/hyperlink" Target="https://dadosabertos.camara.leg.br/api/v2/deputados/74668" TargetMode="External"/><Relationship Id="rId5568" Type="http://schemas.openxmlformats.org/officeDocument/2006/relationships/hyperlink" Target="https://dadosabertos.camara.leg.br/api/v2/deputados/4561" TargetMode="External"/><Relationship Id="rId5982" Type="http://schemas.openxmlformats.org/officeDocument/2006/relationships/hyperlink" Target="https://dadosabertos.camara.leg.br/api/v2/deputados/2403" TargetMode="External"/><Relationship Id="rId6619" Type="http://schemas.openxmlformats.org/officeDocument/2006/relationships/hyperlink" Target="https://dadosabertos.camara.leg.br/api/v2/deputados/1778" TargetMode="External"/><Relationship Id="rId1014" Type="http://schemas.openxmlformats.org/officeDocument/2006/relationships/hyperlink" Target="https://dadosabertos.camara.leg.br/api/v2/deputados/74378" TargetMode="External"/><Relationship Id="rId4584" Type="http://schemas.openxmlformats.org/officeDocument/2006/relationships/hyperlink" Target="https://dadosabertos.camara.leg.br/api/v2/deputados/130796" TargetMode="External"/><Relationship Id="rId5635" Type="http://schemas.openxmlformats.org/officeDocument/2006/relationships/hyperlink" Target="https://dadosabertos.camara.leg.br/api/v2/deputados/2702" TargetMode="External"/><Relationship Id="rId3186" Type="http://schemas.openxmlformats.org/officeDocument/2006/relationships/hyperlink" Target="https://dadosabertos.camara.leg.br/api/v2/deputados/139326" TargetMode="External"/><Relationship Id="rId4237" Type="http://schemas.openxmlformats.org/officeDocument/2006/relationships/hyperlink" Target="https://dadosabertos.camara.leg.br/api/v2/deputados/131303" TargetMode="External"/><Relationship Id="rId4651" Type="http://schemas.openxmlformats.org/officeDocument/2006/relationships/hyperlink" Target="https://dadosabertos.camara.leg.br/api/v2/deputados/130825" TargetMode="External"/><Relationship Id="rId3253" Type="http://schemas.openxmlformats.org/officeDocument/2006/relationships/hyperlink" Target="https://dadosabertos.camara.leg.br/api/v2/deputados/139383" TargetMode="External"/><Relationship Id="rId4304" Type="http://schemas.openxmlformats.org/officeDocument/2006/relationships/hyperlink" Target="https://dadosabertos.camara.leg.br/api/v2/deputados/130915" TargetMode="External"/><Relationship Id="rId5702" Type="http://schemas.openxmlformats.org/officeDocument/2006/relationships/hyperlink" Target="https://dadosabertos.camara.leg.br/api/v2/deputados/4464" TargetMode="External"/><Relationship Id="rId174" Type="http://schemas.openxmlformats.org/officeDocument/2006/relationships/hyperlink" Target="https://dadosabertos.camara.leg.br/api/v2/deputados/160588" TargetMode="External"/><Relationship Id="rId7874" Type="http://schemas.openxmlformats.org/officeDocument/2006/relationships/hyperlink" Target="https://dadosabertos.camara.leg.br/api/v2/deputados/102" TargetMode="External"/><Relationship Id="rId241" Type="http://schemas.openxmlformats.org/officeDocument/2006/relationships/hyperlink" Target="https://dadosabertos.camara.leg.br/api/v2/deputados/66828" TargetMode="External"/><Relationship Id="rId3320" Type="http://schemas.openxmlformats.org/officeDocument/2006/relationships/hyperlink" Target="https://dadosabertos.camara.leg.br/api/v2/deputados/131880" TargetMode="External"/><Relationship Id="rId5078" Type="http://schemas.openxmlformats.org/officeDocument/2006/relationships/hyperlink" Target="https://dadosabertos.camara.leg.br/api/v2/deputados/130494" TargetMode="External"/><Relationship Id="rId6476" Type="http://schemas.openxmlformats.org/officeDocument/2006/relationships/hyperlink" Target="https://dadosabertos.camara.leg.br/api/v2/deputados/1595" TargetMode="External"/><Relationship Id="rId6890" Type="http://schemas.openxmlformats.org/officeDocument/2006/relationships/hyperlink" Target="https://dadosabertos.camara.leg.br/api/v2/deputados/1249" TargetMode="External"/><Relationship Id="rId7527" Type="http://schemas.openxmlformats.org/officeDocument/2006/relationships/hyperlink" Target="https://dadosabertos.camara.leg.br/api/v2/deputados/668" TargetMode="External"/><Relationship Id="rId7941" Type="http://schemas.openxmlformats.org/officeDocument/2006/relationships/hyperlink" Target="https://dadosabertos.camara.leg.br/api/v2/deputados/108" TargetMode="External"/><Relationship Id="rId5492" Type="http://schemas.openxmlformats.org/officeDocument/2006/relationships/hyperlink" Target="https://dadosabertos.camara.leg.br/api/v2/deputados/2845" TargetMode="External"/><Relationship Id="rId6129" Type="http://schemas.openxmlformats.org/officeDocument/2006/relationships/hyperlink" Target="https://dadosabertos.camara.leg.br/api/v2/deputados/2468" TargetMode="External"/><Relationship Id="rId6543" Type="http://schemas.openxmlformats.org/officeDocument/2006/relationships/hyperlink" Target="https://dadosabertos.camara.leg.br/api/v2/deputados/3846" TargetMode="External"/><Relationship Id="rId1688" Type="http://schemas.openxmlformats.org/officeDocument/2006/relationships/hyperlink" Target="https://dadosabertos.camara.leg.br/api/v2/deputados/74441" TargetMode="External"/><Relationship Id="rId2739" Type="http://schemas.openxmlformats.org/officeDocument/2006/relationships/hyperlink" Target="https://dadosabertos.camara.leg.br/api/v2/deputados/133972" TargetMode="External"/><Relationship Id="rId4094" Type="http://schemas.openxmlformats.org/officeDocument/2006/relationships/hyperlink" Target="https://dadosabertos.camara.leg.br/api/v2/deputados/131218" TargetMode="External"/><Relationship Id="rId5145" Type="http://schemas.openxmlformats.org/officeDocument/2006/relationships/hyperlink" Target="https://dadosabertos.camara.leg.br/api/v2/deputados/130344" TargetMode="External"/><Relationship Id="rId6610" Type="http://schemas.openxmlformats.org/officeDocument/2006/relationships/hyperlink" Target="https://dadosabertos.camara.leg.br/api/v2/deputados/1690" TargetMode="External"/><Relationship Id="rId1755" Type="http://schemas.openxmlformats.org/officeDocument/2006/relationships/hyperlink" Target="https://dadosabertos.camara.leg.br/api/v2/deputados/141432" TargetMode="External"/><Relationship Id="rId4161" Type="http://schemas.openxmlformats.org/officeDocument/2006/relationships/hyperlink" Target="https://dadosabertos.camara.leg.br/api/v2/deputados/131256" TargetMode="External"/><Relationship Id="rId5212" Type="http://schemas.openxmlformats.org/officeDocument/2006/relationships/hyperlink" Target="https://dadosabertos.camara.leg.br/api/v2/deputados/130355" TargetMode="External"/><Relationship Id="rId1408" Type="http://schemas.openxmlformats.org/officeDocument/2006/relationships/hyperlink" Target="https://dadosabertos.camara.leg.br/api/v2/deputados/74094" TargetMode="External"/><Relationship Id="rId2806" Type="http://schemas.openxmlformats.org/officeDocument/2006/relationships/hyperlink" Target="https://dadosabertos.camara.leg.br/api/v2/deputados/73711" TargetMode="External"/><Relationship Id="rId7384" Type="http://schemas.openxmlformats.org/officeDocument/2006/relationships/hyperlink" Target="https://dadosabertos.camara.leg.br/api/v2/deputados/380" TargetMode="External"/><Relationship Id="rId47" Type="http://schemas.openxmlformats.org/officeDocument/2006/relationships/hyperlink" Target="https://dadosabertos.camara.leg.br/api/v2/deputados/220657" TargetMode="External"/><Relationship Id="rId1822" Type="http://schemas.openxmlformats.org/officeDocument/2006/relationships/hyperlink" Target="https://dadosabertos.camara.leg.br/api/v2/deputados/141493" TargetMode="External"/><Relationship Id="rId4978" Type="http://schemas.openxmlformats.org/officeDocument/2006/relationships/hyperlink" Target="https://dadosabertos.camara.leg.br/api/v2/deputados/130444" TargetMode="External"/><Relationship Id="rId7037" Type="http://schemas.openxmlformats.org/officeDocument/2006/relationships/hyperlink" Target="https://dadosabertos.camara.leg.br/api/v2/deputados/1063" TargetMode="External"/><Relationship Id="rId3994" Type="http://schemas.openxmlformats.org/officeDocument/2006/relationships/hyperlink" Target="https://dadosabertos.camara.leg.br/api/v2/deputados/131480" TargetMode="External"/><Relationship Id="rId6053" Type="http://schemas.openxmlformats.org/officeDocument/2006/relationships/hyperlink" Target="https://dadosabertos.camara.leg.br/api/v2/deputados/4301" TargetMode="External"/><Relationship Id="rId7451" Type="http://schemas.openxmlformats.org/officeDocument/2006/relationships/hyperlink" Target="https://dadosabertos.camara.leg.br/api/v2/deputados/705" TargetMode="External"/><Relationship Id="rId2596" Type="http://schemas.openxmlformats.org/officeDocument/2006/relationships/hyperlink" Target="https://dadosabertos.camara.leg.br/api/v2/deputados/73417" TargetMode="External"/><Relationship Id="rId3647" Type="http://schemas.openxmlformats.org/officeDocument/2006/relationships/hyperlink" Target="https://dadosabertos.camara.leg.br/api/v2/deputados/131680" TargetMode="External"/><Relationship Id="rId7104" Type="http://schemas.openxmlformats.org/officeDocument/2006/relationships/hyperlink" Target="https://dadosabertos.camara.leg.br/api/v2/deputados/1103" TargetMode="External"/><Relationship Id="rId568" Type="http://schemas.openxmlformats.org/officeDocument/2006/relationships/hyperlink" Target="https://dadosabertos.camara.leg.br/api/v2/deputados/213274" TargetMode="External"/><Relationship Id="rId982" Type="http://schemas.openxmlformats.org/officeDocument/2006/relationships/hyperlink" Target="https://dadosabertos.camara.leg.br/api/v2/deputados/178864" TargetMode="External"/><Relationship Id="rId1198" Type="http://schemas.openxmlformats.org/officeDocument/2006/relationships/hyperlink" Target="https://dadosabertos.camara.leg.br/api/v2/deputados/178852" TargetMode="External"/><Relationship Id="rId2249" Type="http://schemas.openxmlformats.org/officeDocument/2006/relationships/hyperlink" Target="https://dadosabertos.camara.leg.br/api/v2/deputados/73758" TargetMode="External"/><Relationship Id="rId2663" Type="http://schemas.openxmlformats.org/officeDocument/2006/relationships/hyperlink" Target="https://dadosabertos.camara.leg.br/api/v2/deputados/133939" TargetMode="External"/><Relationship Id="rId3714" Type="http://schemas.openxmlformats.org/officeDocument/2006/relationships/hyperlink" Target="https://dadosabertos.camara.leg.br/api/v2/deputados/131773" TargetMode="External"/><Relationship Id="rId6120" Type="http://schemas.openxmlformats.org/officeDocument/2006/relationships/hyperlink" Target="https://dadosabertos.camara.leg.br/api/v2/deputados/2469" TargetMode="External"/><Relationship Id="rId635" Type="http://schemas.openxmlformats.org/officeDocument/2006/relationships/hyperlink" Target="https://www.facebook.com/tiagodimas7788" TargetMode="External"/><Relationship Id="rId1265" Type="http://schemas.openxmlformats.org/officeDocument/2006/relationships/hyperlink" Target="https://dadosabertos.camara.leg.br/api/v2/deputados/141532" TargetMode="External"/><Relationship Id="rId2316" Type="http://schemas.openxmlformats.org/officeDocument/2006/relationships/hyperlink" Target="https://dadosabertos.camara.leg.br/api/v2/deputados/74632" TargetMode="External"/><Relationship Id="rId2730" Type="http://schemas.openxmlformats.org/officeDocument/2006/relationships/hyperlink" Target="https://dadosabertos.camara.leg.br/api/v2/deputados/73724" TargetMode="External"/><Relationship Id="rId5886" Type="http://schemas.openxmlformats.org/officeDocument/2006/relationships/hyperlink" Target="https://dadosabertos.camara.leg.br/api/v2/deputados/2584" TargetMode="External"/><Relationship Id="rId702" Type="http://schemas.openxmlformats.org/officeDocument/2006/relationships/hyperlink" Target="https://dadosabertos.camara.leg.br/api/v2/deputados/160589" TargetMode="External"/><Relationship Id="rId1332" Type="http://schemas.openxmlformats.org/officeDocument/2006/relationships/hyperlink" Target="https://dadosabertos.camara.leg.br/api/v2/deputados/161907" TargetMode="External"/><Relationship Id="rId4488" Type="http://schemas.openxmlformats.org/officeDocument/2006/relationships/hyperlink" Target="https://dadosabertos.camara.leg.br/api/v2/deputados/131103" TargetMode="External"/><Relationship Id="rId5539" Type="http://schemas.openxmlformats.org/officeDocument/2006/relationships/hyperlink" Target="https://dadosabertos.camara.leg.br/api/v2/deputados/2804" TargetMode="External"/><Relationship Id="rId6937" Type="http://schemas.openxmlformats.org/officeDocument/2006/relationships/hyperlink" Target="https://dadosabertos.camara.leg.br/api/v2/deputados/461" TargetMode="External"/><Relationship Id="rId5953" Type="http://schemas.openxmlformats.org/officeDocument/2006/relationships/hyperlink" Target="https://dadosabertos.camara.leg.br/api/v2/deputados/4351" TargetMode="External"/><Relationship Id="rId3157" Type="http://schemas.openxmlformats.org/officeDocument/2006/relationships/hyperlink" Target="https://dadosabertos.camara.leg.br/api/v2/deputados/1500" TargetMode="External"/><Relationship Id="rId4555" Type="http://schemas.openxmlformats.org/officeDocument/2006/relationships/hyperlink" Target="https://dadosabertos.camara.leg.br/api/v2/deputados/130723" TargetMode="External"/><Relationship Id="rId5606" Type="http://schemas.openxmlformats.org/officeDocument/2006/relationships/hyperlink" Target="https://dadosabertos.camara.leg.br/api/v2/deputados/4853" TargetMode="External"/><Relationship Id="rId3571" Type="http://schemas.openxmlformats.org/officeDocument/2006/relationships/hyperlink" Target="https://dadosabertos.camara.leg.br/api/v2/deputados/132109" TargetMode="External"/><Relationship Id="rId4208" Type="http://schemas.openxmlformats.org/officeDocument/2006/relationships/hyperlink" Target="https://dadosabertos.camara.leg.br/api/v2/deputados/131325" TargetMode="External"/><Relationship Id="rId4622" Type="http://schemas.openxmlformats.org/officeDocument/2006/relationships/hyperlink" Target="https://dadosabertos.camara.leg.br/api/v2/deputados/130784" TargetMode="External"/><Relationship Id="rId7778" Type="http://schemas.openxmlformats.org/officeDocument/2006/relationships/hyperlink" Target="https://dadosabertos.camara.leg.br/api/v2/deputados/401" TargetMode="External"/><Relationship Id="rId492" Type="http://schemas.openxmlformats.org/officeDocument/2006/relationships/hyperlink" Target="https://dadosabertos.camara.leg.br/api/v2/deputados/204498" TargetMode="External"/><Relationship Id="rId2173" Type="http://schemas.openxmlformats.org/officeDocument/2006/relationships/hyperlink" Target="https://dadosabertos.camara.leg.br/api/v2/deputados/74797" TargetMode="External"/><Relationship Id="rId3224" Type="http://schemas.openxmlformats.org/officeDocument/2006/relationships/hyperlink" Target="https://dadosabertos.camara.leg.br/api/v2/deputados/139358" TargetMode="External"/><Relationship Id="rId6794" Type="http://schemas.openxmlformats.org/officeDocument/2006/relationships/hyperlink" Target="https://dadosabertos.camara.leg.br/api/v2/deputados/1558" TargetMode="External"/><Relationship Id="rId7845" Type="http://schemas.openxmlformats.org/officeDocument/2006/relationships/hyperlink" Target="https://dadosabertos.camara.leg.br/api/v2/deputados/207" TargetMode="External"/><Relationship Id="rId145" Type="http://schemas.openxmlformats.org/officeDocument/2006/relationships/hyperlink" Target="https://dadosabertos.camara.leg.br/api/v2/deputados/220582" TargetMode="External"/><Relationship Id="rId2240" Type="http://schemas.openxmlformats.org/officeDocument/2006/relationships/hyperlink" Target="https://dadosabertos.camara.leg.br/api/v2/deputados/74807" TargetMode="External"/><Relationship Id="rId5396" Type="http://schemas.openxmlformats.org/officeDocument/2006/relationships/hyperlink" Target="https://dadosabertos.camara.leg.br/api/v2/deputados/2932" TargetMode="External"/><Relationship Id="rId6447" Type="http://schemas.openxmlformats.org/officeDocument/2006/relationships/hyperlink" Target="https://dadosabertos.camara.leg.br/api/v2/deputados/1926" TargetMode="External"/><Relationship Id="rId6861" Type="http://schemas.openxmlformats.org/officeDocument/2006/relationships/hyperlink" Target="https://dadosabertos.camara.leg.br/api/v2/deputados/795" TargetMode="External"/><Relationship Id="rId212" Type="http://schemas.openxmlformats.org/officeDocument/2006/relationships/hyperlink" Target="https://dadosabertos.camara.leg.br/api/v2/deputados/74075" TargetMode="External"/><Relationship Id="rId5049" Type="http://schemas.openxmlformats.org/officeDocument/2006/relationships/hyperlink" Target="https://dadosabertos.camara.leg.br/api/v2/deputados/130483" TargetMode="External"/><Relationship Id="rId5463" Type="http://schemas.openxmlformats.org/officeDocument/2006/relationships/hyperlink" Target="https://dadosabertos.camara.leg.br/api/v2/deputados/4811" TargetMode="External"/><Relationship Id="rId6514" Type="http://schemas.openxmlformats.org/officeDocument/2006/relationships/hyperlink" Target="https://dadosabertos.camara.leg.br/api/v2/deputados/2032" TargetMode="External"/><Relationship Id="rId7912" Type="http://schemas.openxmlformats.org/officeDocument/2006/relationships/hyperlink" Target="https://dadosabertos.camara.leg.br/api/v2/deputados/254" TargetMode="External"/><Relationship Id="rId4065" Type="http://schemas.openxmlformats.org/officeDocument/2006/relationships/hyperlink" Target="https://dadosabertos.camara.leg.br/api/v2/deputados/131199" TargetMode="External"/><Relationship Id="rId5116" Type="http://schemas.openxmlformats.org/officeDocument/2006/relationships/hyperlink" Target="https://dadosabertos.camara.leg.br/api/v2/deputados/3029" TargetMode="External"/><Relationship Id="rId1659" Type="http://schemas.openxmlformats.org/officeDocument/2006/relationships/hyperlink" Target="https://dadosabertos.camara.leg.br/api/v2/deputados/73933" TargetMode="External"/><Relationship Id="rId3081" Type="http://schemas.openxmlformats.org/officeDocument/2006/relationships/hyperlink" Target="https://dadosabertos.camara.leg.br/api/v2/deputados/139236" TargetMode="External"/><Relationship Id="rId4132" Type="http://schemas.openxmlformats.org/officeDocument/2006/relationships/hyperlink" Target="https://dadosabertos.camara.leg.br/api/v2/deputados/131258" TargetMode="External"/><Relationship Id="rId5530" Type="http://schemas.openxmlformats.org/officeDocument/2006/relationships/hyperlink" Target="https://dadosabertos.camara.leg.br/api/v2/deputados/2297" TargetMode="External"/><Relationship Id="rId7288" Type="http://schemas.openxmlformats.org/officeDocument/2006/relationships/hyperlink" Target="https://dadosabertos.camara.leg.br/api/v2/deputados/525" TargetMode="External"/><Relationship Id="rId1726" Type="http://schemas.openxmlformats.org/officeDocument/2006/relationships/hyperlink" Target="https://dadosabertos.camara.leg.br/api/v2/deputados/141414" TargetMode="External"/><Relationship Id="rId18" Type="http://schemas.openxmlformats.org/officeDocument/2006/relationships/hyperlink" Target="https://dadosabertos.camara.leg.br/api/v2/deputados/220538" TargetMode="External"/><Relationship Id="rId3898" Type="http://schemas.openxmlformats.org/officeDocument/2006/relationships/hyperlink" Target="https://dadosabertos.camara.leg.br/api/v2/deputados/131623" TargetMode="External"/><Relationship Id="rId4949" Type="http://schemas.openxmlformats.org/officeDocument/2006/relationships/hyperlink" Target="https://dadosabertos.camara.leg.br/api/v2/deputados/130460" TargetMode="External"/><Relationship Id="rId7355" Type="http://schemas.openxmlformats.org/officeDocument/2006/relationships/hyperlink" Target="https://dadosabertos.camara.leg.br/api/v2/deputados/557" TargetMode="External"/><Relationship Id="rId3965" Type="http://schemas.openxmlformats.org/officeDocument/2006/relationships/hyperlink" Target="https://dadosabertos.camara.leg.br/api/v2/deputados/131454" TargetMode="External"/><Relationship Id="rId6371" Type="http://schemas.openxmlformats.org/officeDocument/2006/relationships/hyperlink" Target="https://dadosabertos.camara.leg.br/api/v2/deputados/3664" TargetMode="External"/><Relationship Id="rId7008" Type="http://schemas.openxmlformats.org/officeDocument/2006/relationships/hyperlink" Target="https://dadosabertos.camara.leg.br/api/v2/deputados/764" TargetMode="External"/><Relationship Id="rId7422" Type="http://schemas.openxmlformats.org/officeDocument/2006/relationships/hyperlink" Target="https://dadosabertos.camara.leg.br/api/v2/deputados/1544" TargetMode="External"/><Relationship Id="rId886" Type="http://schemas.openxmlformats.org/officeDocument/2006/relationships/hyperlink" Target="https://dadosabertos.camara.leg.br/api/v2/deputados/204475" TargetMode="External"/><Relationship Id="rId2567" Type="http://schemas.openxmlformats.org/officeDocument/2006/relationships/hyperlink" Target="https://dadosabertos.camara.leg.br/api/v2/deputados/74859" TargetMode="External"/><Relationship Id="rId3618" Type="http://schemas.openxmlformats.org/officeDocument/2006/relationships/hyperlink" Target="https://dadosabertos.camara.leg.br/api/v2/deputados/131669" TargetMode="External"/><Relationship Id="rId6024" Type="http://schemas.openxmlformats.org/officeDocument/2006/relationships/hyperlink" Target="https://dadosabertos.camara.leg.br/api/v2/deputados/2494" TargetMode="External"/><Relationship Id="rId2" Type="http://schemas.openxmlformats.org/officeDocument/2006/relationships/hyperlink" Target="https://dadosabertos.camara.leg.br/api/v2/deputados/204379" TargetMode="External"/><Relationship Id="rId539" Type="http://schemas.openxmlformats.org/officeDocument/2006/relationships/hyperlink" Target="https://dadosabertos.camara.leg.br/api/v2/deputados/89536" TargetMode="External"/><Relationship Id="rId1169" Type="http://schemas.openxmlformats.org/officeDocument/2006/relationships/hyperlink" Target="https://dadosabertos.camara.leg.br/api/v2/deputados/94931" TargetMode="External"/><Relationship Id="rId1583" Type="http://schemas.openxmlformats.org/officeDocument/2006/relationships/hyperlink" Target="https://dadosabertos.camara.leg.br/api/v2/deputados/109372" TargetMode="External"/><Relationship Id="rId2981" Type="http://schemas.openxmlformats.org/officeDocument/2006/relationships/hyperlink" Target="https://dadosabertos.camara.leg.br/api/v2/deputados/139149" TargetMode="External"/><Relationship Id="rId5040" Type="http://schemas.openxmlformats.org/officeDocument/2006/relationships/hyperlink" Target="https://dadosabertos.camara.leg.br/api/v2/deputados/3103" TargetMode="External"/><Relationship Id="rId953" Type="http://schemas.openxmlformats.org/officeDocument/2006/relationships/hyperlink" Target="https://dadosabertos.camara.leg.br/api/v2/deputados/206231" TargetMode="External"/><Relationship Id="rId1236" Type="http://schemas.openxmlformats.org/officeDocument/2006/relationships/hyperlink" Target="https://dadosabertos.camara.leg.br/api/v2/deputados/132056" TargetMode="External"/><Relationship Id="rId2634" Type="http://schemas.openxmlformats.org/officeDocument/2006/relationships/hyperlink" Target="https://dadosabertos.camara.leg.br/api/v2/deputados/74761" TargetMode="External"/><Relationship Id="rId606" Type="http://schemas.openxmlformats.org/officeDocument/2006/relationships/hyperlink" Target="https://dadosabertos.camara.leg.br/api/v2/deputados/220618" TargetMode="External"/><Relationship Id="rId1650" Type="http://schemas.openxmlformats.org/officeDocument/2006/relationships/hyperlink" Target="https://dadosabertos.camara.leg.br/api/v2/deputados/160609" TargetMode="External"/><Relationship Id="rId2701" Type="http://schemas.openxmlformats.org/officeDocument/2006/relationships/hyperlink" Target="https://dadosabertos.camara.leg.br/api/v2/deputados/73637" TargetMode="External"/><Relationship Id="rId5857" Type="http://schemas.openxmlformats.org/officeDocument/2006/relationships/hyperlink" Target="https://dadosabertos.camara.leg.br/api/v2/deputados/130161" TargetMode="External"/><Relationship Id="rId6908" Type="http://schemas.openxmlformats.org/officeDocument/2006/relationships/hyperlink" Target="https://dadosabertos.camara.leg.br/api/v2/deputados/1225" TargetMode="External"/><Relationship Id="rId1303" Type="http://schemas.openxmlformats.org/officeDocument/2006/relationships/hyperlink" Target="https://dadosabertos.camara.leg.br/api/v2/deputados/141384" TargetMode="External"/><Relationship Id="rId4459" Type="http://schemas.openxmlformats.org/officeDocument/2006/relationships/hyperlink" Target="https://dadosabertos.camara.leg.br/api/v2/deputados/131002" TargetMode="External"/><Relationship Id="rId4873" Type="http://schemas.openxmlformats.org/officeDocument/2006/relationships/hyperlink" Target="https://dadosabertos.camara.leg.br/api/v2/deputados/130532" TargetMode="External"/><Relationship Id="rId5924" Type="http://schemas.openxmlformats.org/officeDocument/2006/relationships/hyperlink" Target="https://dadosabertos.camara.leg.br/api/v2/deputados/2554" TargetMode="External"/><Relationship Id="rId3475" Type="http://schemas.openxmlformats.org/officeDocument/2006/relationships/hyperlink" Target="https://dadosabertos.camara.leg.br/api/v2/deputados/132030" TargetMode="External"/><Relationship Id="rId4526" Type="http://schemas.openxmlformats.org/officeDocument/2006/relationships/hyperlink" Target="https://dadosabertos.camara.leg.br/api/v2/deputados/131129" TargetMode="External"/><Relationship Id="rId4940" Type="http://schemas.openxmlformats.org/officeDocument/2006/relationships/hyperlink" Target="https://dadosabertos.camara.leg.br/api/v2/deputados/130411" TargetMode="External"/><Relationship Id="rId396" Type="http://schemas.openxmlformats.org/officeDocument/2006/relationships/hyperlink" Target="https://dadosabertos.camara.leg.br/api/v2/deputados/220616" TargetMode="External"/><Relationship Id="rId2077" Type="http://schemas.openxmlformats.org/officeDocument/2006/relationships/hyperlink" Target="https://dadosabertos.camara.leg.br/api/v2/deputados/74860" TargetMode="External"/><Relationship Id="rId2491" Type="http://schemas.openxmlformats.org/officeDocument/2006/relationships/hyperlink" Target="https://dadosabertos.camara.leg.br/api/v2/deputados/73769" TargetMode="External"/><Relationship Id="rId3128" Type="http://schemas.openxmlformats.org/officeDocument/2006/relationships/hyperlink" Target="https://dadosabertos.camara.leg.br/api/v2/deputados/139277" TargetMode="External"/><Relationship Id="rId3542" Type="http://schemas.openxmlformats.org/officeDocument/2006/relationships/hyperlink" Target="https://dadosabertos.camara.leg.br/api/v2/deputados/131958" TargetMode="External"/><Relationship Id="rId6698" Type="http://schemas.openxmlformats.org/officeDocument/2006/relationships/hyperlink" Target="https://dadosabertos.camara.leg.br/api/v2/deputados/1843" TargetMode="External"/><Relationship Id="rId7749" Type="http://schemas.openxmlformats.org/officeDocument/2006/relationships/hyperlink" Target="https://dadosabertos.camara.leg.br/api/v2/deputados/434" TargetMode="External"/><Relationship Id="rId463" Type="http://schemas.openxmlformats.org/officeDocument/2006/relationships/hyperlink" Target="https://dadosabertos.camara.leg.br/api/v2/deputados/220607" TargetMode="External"/><Relationship Id="rId1093" Type="http://schemas.openxmlformats.org/officeDocument/2006/relationships/hyperlink" Target="https://dadosabertos.camara.leg.br/api/v2/deputados/178907" TargetMode="External"/><Relationship Id="rId2144" Type="http://schemas.openxmlformats.org/officeDocument/2006/relationships/hyperlink" Target="https://dadosabertos.camara.leg.br/api/v2/deputados/74482" TargetMode="External"/><Relationship Id="rId116" Type="http://schemas.openxmlformats.org/officeDocument/2006/relationships/hyperlink" Target="https://dadosabertos.camara.leg.br/api/v2/deputados/205476" TargetMode="External"/><Relationship Id="rId530" Type="http://schemas.openxmlformats.org/officeDocument/2006/relationships/hyperlink" Target="https://dadosabertos.camara.leg.br/api/v2/deputados/122158" TargetMode="External"/><Relationship Id="rId1160" Type="http://schemas.openxmlformats.org/officeDocument/2006/relationships/hyperlink" Target="https://dadosabertos.camara.leg.br/api/v2/deputados/141562" TargetMode="External"/><Relationship Id="rId2211" Type="http://schemas.openxmlformats.org/officeDocument/2006/relationships/hyperlink" Target="https://dadosabertos.camara.leg.br/api/v2/deputados/74652" TargetMode="External"/><Relationship Id="rId5367" Type="http://schemas.openxmlformats.org/officeDocument/2006/relationships/hyperlink" Target="https://dadosabertos.camara.leg.br/api/v2/deputados/2862" TargetMode="External"/><Relationship Id="rId6765" Type="http://schemas.openxmlformats.org/officeDocument/2006/relationships/hyperlink" Target="https://dadosabertos.camara.leg.br/api/v2/deputados/4039" TargetMode="External"/><Relationship Id="rId7816" Type="http://schemas.openxmlformats.org/officeDocument/2006/relationships/hyperlink" Target="https://dadosabertos.camara.leg.br/api/v2/deputados/149" TargetMode="External"/><Relationship Id="rId5781" Type="http://schemas.openxmlformats.org/officeDocument/2006/relationships/hyperlink" Target="https://dadosabertos.camara.leg.br/api/v2/deputados/2625" TargetMode="External"/><Relationship Id="rId6418" Type="http://schemas.openxmlformats.org/officeDocument/2006/relationships/hyperlink" Target="https://dadosabertos.camara.leg.br/api/v2/deputados/1569" TargetMode="External"/><Relationship Id="rId6832" Type="http://schemas.openxmlformats.org/officeDocument/2006/relationships/hyperlink" Target="https://dadosabertos.camara.leg.br/api/v2/deputados/1191" TargetMode="External"/><Relationship Id="rId1977" Type="http://schemas.openxmlformats.org/officeDocument/2006/relationships/hyperlink" Target="https://dadosabertos.camara.leg.br/api/v2/deputados/74680" TargetMode="External"/><Relationship Id="rId4383" Type="http://schemas.openxmlformats.org/officeDocument/2006/relationships/hyperlink" Target="https://dadosabertos.camara.leg.br/api/v2/deputados/130979" TargetMode="External"/><Relationship Id="rId5434" Type="http://schemas.openxmlformats.org/officeDocument/2006/relationships/hyperlink" Target="https://dadosabertos.camara.leg.br/api/v2/deputados/4767" TargetMode="External"/><Relationship Id="rId4036" Type="http://schemas.openxmlformats.org/officeDocument/2006/relationships/hyperlink" Target="https://dadosabertos.camara.leg.br/api/v2/deputados/131169" TargetMode="External"/><Relationship Id="rId4450" Type="http://schemas.openxmlformats.org/officeDocument/2006/relationships/hyperlink" Target="https://dadosabertos.camara.leg.br/api/v2/deputados/131029" TargetMode="External"/><Relationship Id="rId5501" Type="http://schemas.openxmlformats.org/officeDocument/2006/relationships/hyperlink" Target="https://dadosabertos.camara.leg.br/api/v2/deputados/2117" TargetMode="External"/><Relationship Id="rId3052" Type="http://schemas.openxmlformats.org/officeDocument/2006/relationships/hyperlink" Target="https://dadosabertos.camara.leg.br/api/v2/deputados/1517" TargetMode="External"/><Relationship Id="rId4103" Type="http://schemas.openxmlformats.org/officeDocument/2006/relationships/hyperlink" Target="https://dadosabertos.camara.leg.br/api/v2/deputados/131229" TargetMode="External"/><Relationship Id="rId7259" Type="http://schemas.openxmlformats.org/officeDocument/2006/relationships/hyperlink" Target="https://dadosabertos.camara.leg.br/api/v2/deputados/608" TargetMode="External"/><Relationship Id="rId7673" Type="http://schemas.openxmlformats.org/officeDocument/2006/relationships/hyperlink" Target="https://dadosabertos.camara.leg.br/api/v2/deputados/1273" TargetMode="External"/><Relationship Id="rId6275" Type="http://schemas.openxmlformats.org/officeDocument/2006/relationships/hyperlink" Target="https://dadosabertos.camara.leg.br/api/v2/deputados/2283" TargetMode="External"/><Relationship Id="rId7326" Type="http://schemas.openxmlformats.org/officeDocument/2006/relationships/hyperlink" Target="https://dadosabertos.camara.leg.br/api/v2/deputados/902" TargetMode="External"/><Relationship Id="rId3869" Type="http://schemas.openxmlformats.org/officeDocument/2006/relationships/hyperlink" Target="https://dadosabertos.camara.leg.br/api/v2/deputados/131600" TargetMode="External"/><Relationship Id="rId5291" Type="http://schemas.openxmlformats.org/officeDocument/2006/relationships/hyperlink" Target="https://dadosabertos.camara.leg.br/api/v2/deputados/3039" TargetMode="External"/><Relationship Id="rId6342" Type="http://schemas.openxmlformats.org/officeDocument/2006/relationships/hyperlink" Target="https://dadosabertos.camara.leg.br/api/v2/deputados/3644" TargetMode="External"/><Relationship Id="rId7740" Type="http://schemas.openxmlformats.org/officeDocument/2006/relationships/hyperlink" Target="https://dadosabertos.camara.leg.br/api/v2/deputados/421" TargetMode="External"/><Relationship Id="rId2885" Type="http://schemas.openxmlformats.org/officeDocument/2006/relationships/hyperlink" Target="https://dadosabertos.camara.leg.br/api/v2/deputados/133923" TargetMode="External"/><Relationship Id="rId3936" Type="http://schemas.openxmlformats.org/officeDocument/2006/relationships/hyperlink" Target="https://dadosabertos.camara.leg.br/api/v2/deputados/131413" TargetMode="External"/><Relationship Id="rId857" Type="http://schemas.openxmlformats.org/officeDocument/2006/relationships/hyperlink" Target="https://dadosabertos.camara.leg.br/api/v2/deputados/204011" TargetMode="External"/><Relationship Id="rId1487" Type="http://schemas.openxmlformats.org/officeDocument/2006/relationships/hyperlink" Target="https://dadosabertos.camara.leg.br/api/v2/deputados/160549" TargetMode="External"/><Relationship Id="rId2538" Type="http://schemas.openxmlformats.org/officeDocument/2006/relationships/hyperlink" Target="https://dadosabertos.camara.leg.br/api/v2/deputados/73664" TargetMode="External"/><Relationship Id="rId2952" Type="http://schemas.openxmlformats.org/officeDocument/2006/relationships/hyperlink" Target="https://dadosabertos.camara.leg.br/api/v2/deputados/1516" TargetMode="External"/><Relationship Id="rId924" Type="http://schemas.openxmlformats.org/officeDocument/2006/relationships/hyperlink" Target="https://dadosabertos.camara.leg.br/api/v2/deputados/74305" TargetMode="External"/><Relationship Id="rId1554" Type="http://schemas.openxmlformats.org/officeDocument/2006/relationships/hyperlink" Target="https://dadosabertos.camara.leg.br/api/v2/deputados/73904" TargetMode="External"/><Relationship Id="rId2605" Type="http://schemas.openxmlformats.org/officeDocument/2006/relationships/hyperlink" Target="https://dadosabertos.camara.leg.br/api/v2/deputados/74117" TargetMode="External"/><Relationship Id="rId5011" Type="http://schemas.openxmlformats.org/officeDocument/2006/relationships/hyperlink" Target="https://dadosabertos.camara.leg.br/api/v2/deputados/3115" TargetMode="External"/><Relationship Id="rId1207" Type="http://schemas.openxmlformats.org/officeDocument/2006/relationships/hyperlink" Target="https://www.facebook.com/marinaldorosendo" TargetMode="External"/><Relationship Id="rId1621" Type="http://schemas.openxmlformats.org/officeDocument/2006/relationships/hyperlink" Target="https://dadosabertos.camara.leg.br/api/v2/deputados/179379" TargetMode="External"/><Relationship Id="rId4777" Type="http://schemas.openxmlformats.org/officeDocument/2006/relationships/hyperlink" Target="https://dadosabertos.camara.leg.br/api/v2/deputados/130564" TargetMode="External"/><Relationship Id="rId5828" Type="http://schemas.openxmlformats.org/officeDocument/2006/relationships/hyperlink" Target="https://dadosabertos.camara.leg.br/api/v2/deputados/130223" TargetMode="External"/><Relationship Id="rId7183" Type="http://schemas.openxmlformats.org/officeDocument/2006/relationships/hyperlink" Target="https://dadosabertos.camara.leg.br/api/v2/deputados/420" TargetMode="External"/><Relationship Id="rId3379" Type="http://schemas.openxmlformats.org/officeDocument/2006/relationships/hyperlink" Target="https://dadosabertos.camara.leg.br/api/v2/deputados/131926" TargetMode="External"/><Relationship Id="rId3793" Type="http://schemas.openxmlformats.org/officeDocument/2006/relationships/hyperlink" Target="https://dadosabertos.camara.leg.br/api/v2/deputados/131554" TargetMode="External"/><Relationship Id="rId7250" Type="http://schemas.openxmlformats.org/officeDocument/2006/relationships/hyperlink" Target="https://dadosabertos.camara.leg.br/api/v2/deputados/926" TargetMode="External"/><Relationship Id="rId2395" Type="http://schemas.openxmlformats.org/officeDocument/2006/relationships/hyperlink" Target="https://dadosabertos.camara.leg.br/api/v2/deputados/73989" TargetMode="External"/><Relationship Id="rId3446" Type="http://schemas.openxmlformats.org/officeDocument/2006/relationships/hyperlink" Target="https://dadosabertos.camara.leg.br/api/v2/deputados/131982" TargetMode="External"/><Relationship Id="rId4844" Type="http://schemas.openxmlformats.org/officeDocument/2006/relationships/hyperlink" Target="https://dadosabertos.camara.leg.br/api/v2/deputados/130641" TargetMode="External"/><Relationship Id="rId367" Type="http://schemas.openxmlformats.org/officeDocument/2006/relationships/hyperlink" Target="https://dadosabertos.camara.leg.br/api/v2/deputados/220677" TargetMode="External"/><Relationship Id="rId2048" Type="http://schemas.openxmlformats.org/officeDocument/2006/relationships/hyperlink" Target="https://dadosabertos.camara.leg.br/api/v2/deputados/73776" TargetMode="External"/><Relationship Id="rId3860" Type="http://schemas.openxmlformats.org/officeDocument/2006/relationships/hyperlink" Target="https://dadosabertos.camara.leg.br/api/v2/deputados/131591" TargetMode="External"/><Relationship Id="rId4911" Type="http://schemas.openxmlformats.org/officeDocument/2006/relationships/hyperlink" Target="https://dadosabertos.camara.leg.br/api/v2/deputados/130695" TargetMode="External"/><Relationship Id="rId781" Type="http://schemas.openxmlformats.org/officeDocument/2006/relationships/hyperlink" Target="https://dadosabertos.camara.leg.br/api/v2/deputados/178996" TargetMode="External"/><Relationship Id="rId2462" Type="http://schemas.openxmlformats.org/officeDocument/2006/relationships/hyperlink" Target="https://dadosabertos.camara.leg.br/api/v2/deputados/73438" TargetMode="External"/><Relationship Id="rId3513" Type="http://schemas.openxmlformats.org/officeDocument/2006/relationships/hyperlink" Target="https://dadosabertos.camara.leg.br/api/v2/deputados/132057" TargetMode="External"/><Relationship Id="rId6669" Type="http://schemas.openxmlformats.org/officeDocument/2006/relationships/hyperlink" Target="https://dadosabertos.camara.leg.br/api/v2/deputados/1909" TargetMode="External"/><Relationship Id="rId434" Type="http://schemas.openxmlformats.org/officeDocument/2006/relationships/hyperlink" Target="http://deputadomarciomarinho.com.br/site/" TargetMode="External"/><Relationship Id="rId1064" Type="http://schemas.openxmlformats.org/officeDocument/2006/relationships/hyperlink" Target="https://dadosabertos.camara.leg.br/api/v2/deputados/74172" TargetMode="External"/><Relationship Id="rId2115" Type="http://schemas.openxmlformats.org/officeDocument/2006/relationships/hyperlink" Target="https://dadosabertos.camara.leg.br/api/v2/deputados/74431" TargetMode="External"/><Relationship Id="rId5685" Type="http://schemas.openxmlformats.org/officeDocument/2006/relationships/hyperlink" Target="https://dadosabertos.camara.leg.br/api/v2/deputados/2342" TargetMode="External"/><Relationship Id="rId6736" Type="http://schemas.openxmlformats.org/officeDocument/2006/relationships/hyperlink" Target="https://dadosabertos.camara.leg.br/api/v2/deputados/995" TargetMode="External"/><Relationship Id="rId501" Type="http://schemas.openxmlformats.org/officeDocument/2006/relationships/hyperlink" Target="https://dadosabertos.camara.leg.br/api/v2/deputados/180214" TargetMode="External"/><Relationship Id="rId1131" Type="http://schemas.openxmlformats.org/officeDocument/2006/relationships/hyperlink" Target="https://dadosabertos.camara.leg.br/api/v2/deputados/178988" TargetMode="External"/><Relationship Id="rId4287" Type="http://schemas.openxmlformats.org/officeDocument/2006/relationships/hyperlink" Target="https://dadosabertos.camara.leg.br/api/v2/deputados/130894" TargetMode="External"/><Relationship Id="rId5338" Type="http://schemas.openxmlformats.org/officeDocument/2006/relationships/hyperlink" Target="https://dadosabertos.camara.leg.br/api/v2/deputados/4800" TargetMode="External"/><Relationship Id="rId5752" Type="http://schemas.openxmlformats.org/officeDocument/2006/relationships/hyperlink" Target="https://dadosabertos.camara.leg.br/api/v2/deputados/130195" TargetMode="External"/><Relationship Id="rId6803" Type="http://schemas.openxmlformats.org/officeDocument/2006/relationships/hyperlink" Target="https://dadosabertos.camara.leg.br/api/v2/deputados/4084" TargetMode="External"/><Relationship Id="rId4354" Type="http://schemas.openxmlformats.org/officeDocument/2006/relationships/hyperlink" Target="https://dadosabertos.camara.leg.br/api/v2/deputados/130956" TargetMode="External"/><Relationship Id="rId5405" Type="http://schemas.openxmlformats.org/officeDocument/2006/relationships/hyperlink" Target="https://dadosabertos.camara.leg.br/api/v2/deputados/4801" TargetMode="External"/><Relationship Id="rId1948" Type="http://schemas.openxmlformats.org/officeDocument/2006/relationships/hyperlink" Target="https://dadosabertos.camara.leg.br/api/v2/deputados/74577" TargetMode="External"/><Relationship Id="rId3370" Type="http://schemas.openxmlformats.org/officeDocument/2006/relationships/hyperlink" Target="https://dadosabertos.camara.leg.br/api/v2/deputados/131921" TargetMode="External"/><Relationship Id="rId4007" Type="http://schemas.openxmlformats.org/officeDocument/2006/relationships/hyperlink" Target="https://dadosabertos.camara.leg.br/api/v2/deputados/131432" TargetMode="External"/><Relationship Id="rId4421" Type="http://schemas.openxmlformats.org/officeDocument/2006/relationships/hyperlink" Target="https://dadosabertos.camara.leg.br/api/v2/deputados/131026" TargetMode="External"/><Relationship Id="rId7577" Type="http://schemas.openxmlformats.org/officeDocument/2006/relationships/hyperlink" Target="https://dadosabertos.camara.leg.br/api/v2/deputados/656" TargetMode="External"/><Relationship Id="rId291" Type="http://schemas.openxmlformats.org/officeDocument/2006/relationships/hyperlink" Target="https://dadosabertos.camara.leg.br/api/v2/deputados/204531" TargetMode="External"/><Relationship Id="rId3023" Type="http://schemas.openxmlformats.org/officeDocument/2006/relationships/hyperlink" Target="https://dadosabertos.camara.leg.br/api/v2/deputados/139186" TargetMode="External"/><Relationship Id="rId6179" Type="http://schemas.openxmlformats.org/officeDocument/2006/relationships/hyperlink" Target="https://dadosabertos.camara.leg.br/api/v2/deputados/4144" TargetMode="External"/><Relationship Id="rId5195" Type="http://schemas.openxmlformats.org/officeDocument/2006/relationships/hyperlink" Target="https://dadosabertos.camara.leg.br/api/v2/deputados/130341" TargetMode="External"/><Relationship Id="rId6593" Type="http://schemas.openxmlformats.org/officeDocument/2006/relationships/hyperlink" Target="https://dadosabertos.camara.leg.br/api/v2/deputados/130115" TargetMode="External"/><Relationship Id="rId7644" Type="http://schemas.openxmlformats.org/officeDocument/2006/relationships/hyperlink" Target="https://dadosabertos.camara.leg.br/api/v2/deputados/546" TargetMode="External"/><Relationship Id="rId2789" Type="http://schemas.openxmlformats.org/officeDocument/2006/relationships/hyperlink" Target="https://dadosabertos.camara.leg.br/api/v2/deputados/73967" TargetMode="External"/><Relationship Id="rId6246" Type="http://schemas.openxmlformats.org/officeDocument/2006/relationships/hyperlink" Target="https://dadosabertos.camara.leg.br/api/v2/deputados/2337" TargetMode="External"/><Relationship Id="rId6660" Type="http://schemas.openxmlformats.org/officeDocument/2006/relationships/hyperlink" Target="https://dadosabertos.camara.leg.br/api/v2/deputados/1787" TargetMode="External"/><Relationship Id="rId7711" Type="http://schemas.openxmlformats.org/officeDocument/2006/relationships/hyperlink" Target="https://dadosabertos.camara.leg.br/api/v2/deputados/470" TargetMode="External"/><Relationship Id="rId2856" Type="http://schemas.openxmlformats.org/officeDocument/2006/relationships/hyperlink" Target="https://dadosabertos.camara.leg.br/api/v2/deputados/133871" TargetMode="External"/><Relationship Id="rId3907" Type="http://schemas.openxmlformats.org/officeDocument/2006/relationships/hyperlink" Target="https://dadosabertos.camara.leg.br/api/v2/deputados/131392" TargetMode="External"/><Relationship Id="rId5262" Type="http://schemas.openxmlformats.org/officeDocument/2006/relationships/hyperlink" Target="https://dadosabertos.camara.leg.br/api/v2/deputados/130375" TargetMode="External"/><Relationship Id="rId6313" Type="http://schemas.openxmlformats.org/officeDocument/2006/relationships/hyperlink" Target="https://dadosabertos.camara.leg.br/api/v2/deputados/2301" TargetMode="External"/><Relationship Id="rId97" Type="http://schemas.openxmlformats.org/officeDocument/2006/relationships/hyperlink" Target="https://dadosabertos.camara.leg.br/api/v2/deputados/204361" TargetMode="External"/><Relationship Id="rId828" Type="http://schemas.openxmlformats.org/officeDocument/2006/relationships/hyperlink" Target="https://dadosabertos.camara.leg.br/api/v2/deputados/204382" TargetMode="External"/><Relationship Id="rId1458" Type="http://schemas.openxmlformats.org/officeDocument/2006/relationships/hyperlink" Target="https://dadosabertos.camara.leg.br/api/v2/deputados/176120" TargetMode="External"/><Relationship Id="rId1872" Type="http://schemas.openxmlformats.org/officeDocument/2006/relationships/hyperlink" Target="https://dadosabertos.camara.leg.br/api/v2/deputados/73558" TargetMode="External"/><Relationship Id="rId2509" Type="http://schemas.openxmlformats.org/officeDocument/2006/relationships/hyperlink" Target="https://dadosabertos.camara.leg.br/api/v2/deputados/73997" TargetMode="External"/><Relationship Id="rId1525" Type="http://schemas.openxmlformats.org/officeDocument/2006/relationships/hyperlink" Target="https://dadosabertos.camara.leg.br/api/v2/deputados/161962" TargetMode="External"/><Relationship Id="rId2923" Type="http://schemas.openxmlformats.org/officeDocument/2006/relationships/hyperlink" Target="https://dadosabertos.camara.leg.br/api/v2/deputados/73855" TargetMode="External"/><Relationship Id="rId7087" Type="http://schemas.openxmlformats.org/officeDocument/2006/relationships/hyperlink" Target="https://dadosabertos.camara.leg.br/api/v2/deputados/1093" TargetMode="External"/><Relationship Id="rId7154" Type="http://schemas.openxmlformats.org/officeDocument/2006/relationships/hyperlink" Target="https://dadosabertos.camara.leg.br/api/v2/deputados/1024" TargetMode="External"/><Relationship Id="rId2299" Type="http://schemas.openxmlformats.org/officeDocument/2006/relationships/hyperlink" Target="https://dadosabertos.camara.leg.br/api/v2/deputados/74093" TargetMode="External"/><Relationship Id="rId3697" Type="http://schemas.openxmlformats.org/officeDocument/2006/relationships/hyperlink" Target="https://dadosabertos.camara.leg.br/api/v2/deputados/131746" TargetMode="External"/><Relationship Id="rId4748" Type="http://schemas.openxmlformats.org/officeDocument/2006/relationships/hyperlink" Target="https://dadosabertos.camara.leg.br/api/v2/deputados/130557" TargetMode="External"/><Relationship Id="rId3764" Type="http://schemas.openxmlformats.org/officeDocument/2006/relationships/hyperlink" Target="https://dadosabertos.camara.leg.br/api/v2/deputados/131813" TargetMode="External"/><Relationship Id="rId4815" Type="http://schemas.openxmlformats.org/officeDocument/2006/relationships/hyperlink" Target="https://dadosabertos.camara.leg.br/api/v2/deputados/130600" TargetMode="External"/><Relationship Id="rId6170" Type="http://schemas.openxmlformats.org/officeDocument/2006/relationships/hyperlink" Target="https://dadosabertos.camara.leg.br/api/v2/deputados/4139" TargetMode="External"/><Relationship Id="rId7221" Type="http://schemas.openxmlformats.org/officeDocument/2006/relationships/hyperlink" Target="https://dadosabertos.camara.leg.br/api/v2/deputados/1045" TargetMode="External"/><Relationship Id="rId685" Type="http://schemas.openxmlformats.org/officeDocument/2006/relationships/hyperlink" Target="https://dadosabertos.camara.leg.br/api/v2/deputados/204400" TargetMode="External"/><Relationship Id="rId2366" Type="http://schemas.openxmlformats.org/officeDocument/2006/relationships/hyperlink" Target="https://dadosabertos.camara.leg.br/api/v2/deputados/74237" TargetMode="External"/><Relationship Id="rId2780" Type="http://schemas.openxmlformats.org/officeDocument/2006/relationships/hyperlink" Target="https://dadosabertos.camara.leg.br/api/v2/deputados/73708" TargetMode="External"/><Relationship Id="rId3417" Type="http://schemas.openxmlformats.org/officeDocument/2006/relationships/hyperlink" Target="https://dadosabertos.camara.leg.br/api/v2/deputados/132133" TargetMode="External"/><Relationship Id="rId3831" Type="http://schemas.openxmlformats.org/officeDocument/2006/relationships/hyperlink" Target="https://dadosabertos.camara.leg.br/api/v2/deputados/131555" TargetMode="External"/><Relationship Id="rId6987" Type="http://schemas.openxmlformats.org/officeDocument/2006/relationships/hyperlink" Target="https://dadosabertos.camara.leg.br/api/v2/deputados/783" TargetMode="External"/><Relationship Id="rId338" Type="http://schemas.openxmlformats.org/officeDocument/2006/relationships/hyperlink" Target="https://dadosabertos.camara.leg.br/api/v2/deputados/178857" TargetMode="External"/><Relationship Id="rId752" Type="http://schemas.openxmlformats.org/officeDocument/2006/relationships/hyperlink" Target="https://dadosabertos.camara.leg.br/api/v2/deputados/204389" TargetMode="External"/><Relationship Id="rId1382" Type="http://schemas.openxmlformats.org/officeDocument/2006/relationships/hyperlink" Target="https://dadosabertos.camara.leg.br/api/v2/deputados/160605" TargetMode="External"/><Relationship Id="rId2019" Type="http://schemas.openxmlformats.org/officeDocument/2006/relationships/hyperlink" Target="https://dadosabertos.camara.leg.br/api/v2/deputados/138512" TargetMode="External"/><Relationship Id="rId2433" Type="http://schemas.openxmlformats.org/officeDocument/2006/relationships/hyperlink" Target="https://dadosabertos.camara.leg.br/api/v2/deputados/73429" TargetMode="External"/><Relationship Id="rId5589" Type="http://schemas.openxmlformats.org/officeDocument/2006/relationships/hyperlink" Target="https://dadosabertos.camara.leg.br/api/v2/deputados/4572" TargetMode="External"/><Relationship Id="rId405" Type="http://schemas.openxmlformats.org/officeDocument/2006/relationships/hyperlink" Target="https://dadosabertos.camara.leg.br/api/v2/deputados/204485" TargetMode="External"/><Relationship Id="rId1035" Type="http://schemas.openxmlformats.org/officeDocument/2006/relationships/hyperlink" Target="https://dadosabertos.camara.leg.br/api/v2/deputados/194261" TargetMode="External"/><Relationship Id="rId2500" Type="http://schemas.openxmlformats.org/officeDocument/2006/relationships/hyperlink" Target="https://dadosabertos.camara.leg.br/api/v2/deputados/73450" TargetMode="External"/><Relationship Id="rId5656" Type="http://schemas.openxmlformats.org/officeDocument/2006/relationships/hyperlink" Target="https://dadosabertos.camara.leg.br/api/v2/deputados/2802" TargetMode="External"/><Relationship Id="rId1102" Type="http://schemas.openxmlformats.org/officeDocument/2006/relationships/hyperlink" Target="https://dadosabertos.camara.leg.br/api/v2/deputados/74077" TargetMode="External"/><Relationship Id="rId4258" Type="http://schemas.openxmlformats.org/officeDocument/2006/relationships/hyperlink" Target="https://dadosabertos.camara.leg.br/api/v2/deputados/131374" TargetMode="External"/><Relationship Id="rId5309" Type="http://schemas.openxmlformats.org/officeDocument/2006/relationships/hyperlink" Target="https://dadosabertos.camara.leg.br/api/v2/deputados/4651" TargetMode="External"/><Relationship Id="rId6707" Type="http://schemas.openxmlformats.org/officeDocument/2006/relationships/hyperlink" Target="https://dadosabertos.camara.leg.br/api/v2/deputados/1743" TargetMode="External"/><Relationship Id="rId3274" Type="http://schemas.openxmlformats.org/officeDocument/2006/relationships/hyperlink" Target="https://dadosabertos.camara.leg.br/api/v2/deputados/131840" TargetMode="External"/><Relationship Id="rId4672" Type="http://schemas.openxmlformats.org/officeDocument/2006/relationships/hyperlink" Target="https://dadosabertos.camara.leg.br/api/v2/deputados/130819" TargetMode="External"/><Relationship Id="rId5723" Type="http://schemas.openxmlformats.org/officeDocument/2006/relationships/hyperlink" Target="https://dadosabertos.camara.leg.br/api/v2/deputados/4501" TargetMode="External"/><Relationship Id="rId195" Type="http://schemas.openxmlformats.org/officeDocument/2006/relationships/hyperlink" Target="https://dadosabertos.camara.leg.br/api/v2/deputados/212625" TargetMode="External"/><Relationship Id="rId1919" Type="http://schemas.openxmlformats.org/officeDocument/2006/relationships/hyperlink" Target="https://dadosabertos.camara.leg.br/api/v2/deputados/74828" TargetMode="External"/><Relationship Id="rId4325" Type="http://schemas.openxmlformats.org/officeDocument/2006/relationships/hyperlink" Target="https://dadosabertos.camara.leg.br/api/v2/deputados/130976" TargetMode="External"/><Relationship Id="rId7895" Type="http://schemas.openxmlformats.org/officeDocument/2006/relationships/hyperlink" Target="https://dadosabertos.camara.leg.br/api/v2/deputados/56" TargetMode="External"/><Relationship Id="rId2290" Type="http://schemas.openxmlformats.org/officeDocument/2006/relationships/hyperlink" Target="https://dadosabertos.camara.leg.br/api/v2/deputados/74851" TargetMode="External"/><Relationship Id="rId3341" Type="http://schemas.openxmlformats.org/officeDocument/2006/relationships/hyperlink" Target="https://dadosabertos.camara.leg.br/api/v2/deputados/132128" TargetMode="External"/><Relationship Id="rId6497" Type="http://schemas.openxmlformats.org/officeDocument/2006/relationships/hyperlink" Target="https://dadosabertos.camara.leg.br/api/v2/deputados/3767" TargetMode="External"/><Relationship Id="rId7548" Type="http://schemas.openxmlformats.org/officeDocument/2006/relationships/hyperlink" Target="https://dadosabertos.camara.leg.br/api/v2/deputados/570" TargetMode="External"/><Relationship Id="rId7962" Type="http://schemas.openxmlformats.org/officeDocument/2006/relationships/hyperlink" Target="https://dadosabertos.camara.leg.br/api/v2/deputados/175" TargetMode="External"/><Relationship Id="rId262" Type="http://schemas.openxmlformats.org/officeDocument/2006/relationships/hyperlink" Target="https://dadosabertos.camara.leg.br/api/v2/deputados/220534" TargetMode="External"/><Relationship Id="rId5099" Type="http://schemas.openxmlformats.org/officeDocument/2006/relationships/hyperlink" Target="https://dadosabertos.camara.leg.br/api/v2/deputados/130296" TargetMode="External"/><Relationship Id="rId6564" Type="http://schemas.openxmlformats.org/officeDocument/2006/relationships/hyperlink" Target="https://dadosabertos.camara.leg.br/api/v2/deputados/1566" TargetMode="External"/><Relationship Id="rId7615" Type="http://schemas.openxmlformats.org/officeDocument/2006/relationships/hyperlink" Target="https://dadosabertos.camara.leg.br/api/v2/deputados/325" TargetMode="External"/><Relationship Id="rId2010" Type="http://schemas.openxmlformats.org/officeDocument/2006/relationships/hyperlink" Target="https://dadosabertos.camara.leg.br/api/v2/deputados/73582" TargetMode="External"/><Relationship Id="rId5166" Type="http://schemas.openxmlformats.org/officeDocument/2006/relationships/hyperlink" Target="https://dadosabertos.camara.leg.br/api/v2/deputados/130382" TargetMode="External"/><Relationship Id="rId5580" Type="http://schemas.openxmlformats.org/officeDocument/2006/relationships/hyperlink" Target="https://dadosabertos.camara.leg.br/api/v2/deputados/4566" TargetMode="External"/><Relationship Id="rId6217" Type="http://schemas.openxmlformats.org/officeDocument/2006/relationships/hyperlink" Target="https://dadosabertos.camara.leg.br/api/v2/deputados/3520" TargetMode="External"/><Relationship Id="rId6631" Type="http://schemas.openxmlformats.org/officeDocument/2006/relationships/hyperlink" Target="https://dadosabertos.camara.leg.br/api/v2/deputados/3889" TargetMode="External"/><Relationship Id="rId4182" Type="http://schemas.openxmlformats.org/officeDocument/2006/relationships/hyperlink" Target="https://dadosabertos.camara.leg.br/api/v2/deputados/1543" TargetMode="External"/><Relationship Id="rId5233" Type="http://schemas.openxmlformats.org/officeDocument/2006/relationships/hyperlink" Target="https://dadosabertos.camara.leg.br/api/v2/deputados/4883" TargetMode="External"/><Relationship Id="rId1776" Type="http://schemas.openxmlformats.org/officeDocument/2006/relationships/hyperlink" Target="https://dadosabertos.camara.leg.br/api/v2/deputados/73461" TargetMode="External"/><Relationship Id="rId2827" Type="http://schemas.openxmlformats.org/officeDocument/2006/relationships/hyperlink" Target="https://dadosabertos.camara.leg.br/api/v2/deputados/73630" TargetMode="External"/><Relationship Id="rId68" Type="http://schemas.openxmlformats.org/officeDocument/2006/relationships/hyperlink" Target="https://dadosabertos.camara.leg.br/api/v2/deputados/220577" TargetMode="External"/><Relationship Id="rId1429" Type="http://schemas.openxmlformats.org/officeDocument/2006/relationships/hyperlink" Target="https://dadosabertos.camara.leg.br/api/v2/deputados/154997" TargetMode="External"/><Relationship Id="rId1843" Type="http://schemas.openxmlformats.org/officeDocument/2006/relationships/hyperlink" Target="https://dadosabertos.camara.leg.br/api/v2/deputados/73660" TargetMode="External"/><Relationship Id="rId4999" Type="http://schemas.openxmlformats.org/officeDocument/2006/relationships/hyperlink" Target="https://dadosabertos.camara.leg.br/api/v2/deputados/3077" TargetMode="External"/><Relationship Id="rId5300" Type="http://schemas.openxmlformats.org/officeDocument/2006/relationships/hyperlink" Target="https://dadosabertos.camara.leg.br/api/v2/deputados/130368" TargetMode="External"/><Relationship Id="rId7058" Type="http://schemas.openxmlformats.org/officeDocument/2006/relationships/hyperlink" Target="https://dadosabertos.camara.leg.br/api/v2/deputados/880" TargetMode="External"/><Relationship Id="rId1910" Type="http://schemas.openxmlformats.org/officeDocument/2006/relationships/hyperlink" Target="https://dadosabertos.camara.leg.br/api/v2/deputados/74414" TargetMode="External"/><Relationship Id="rId7472" Type="http://schemas.openxmlformats.org/officeDocument/2006/relationships/hyperlink" Target="https://dadosabertos.camara.leg.br/api/v2/deputados/719" TargetMode="External"/><Relationship Id="rId3668" Type="http://schemas.openxmlformats.org/officeDocument/2006/relationships/hyperlink" Target="https://dadosabertos.camara.leg.br/api/v2/deputados/131717" TargetMode="External"/><Relationship Id="rId4719" Type="http://schemas.openxmlformats.org/officeDocument/2006/relationships/hyperlink" Target="https://dadosabertos.camara.leg.br/api/v2/deputados/130874" TargetMode="External"/><Relationship Id="rId6074" Type="http://schemas.openxmlformats.org/officeDocument/2006/relationships/hyperlink" Target="https://dadosabertos.camara.leg.br/api/v2/deputados/2214" TargetMode="External"/><Relationship Id="rId7125" Type="http://schemas.openxmlformats.org/officeDocument/2006/relationships/hyperlink" Target="https://dadosabertos.camara.leg.br/api/v2/deputados/625" TargetMode="External"/><Relationship Id="rId589" Type="http://schemas.openxmlformats.org/officeDocument/2006/relationships/hyperlink" Target="https://dadosabertos.camara.leg.br/api/v2/deputados/178945" TargetMode="External"/><Relationship Id="rId2684" Type="http://schemas.openxmlformats.org/officeDocument/2006/relationships/hyperlink" Target="https://dadosabertos.camara.leg.br/api/v2/deputados/133996" TargetMode="External"/><Relationship Id="rId3735" Type="http://schemas.openxmlformats.org/officeDocument/2006/relationships/hyperlink" Target="https://dadosabertos.camara.leg.br/api/v2/deputados/131789" TargetMode="External"/><Relationship Id="rId5090" Type="http://schemas.openxmlformats.org/officeDocument/2006/relationships/hyperlink" Target="https://dadosabertos.camara.leg.br/api/v2/deputados/4856" TargetMode="External"/><Relationship Id="rId6141" Type="http://schemas.openxmlformats.org/officeDocument/2006/relationships/hyperlink" Target="https://dadosabertos.camara.leg.br/api/v2/deputados/2423" TargetMode="External"/><Relationship Id="rId656" Type="http://schemas.openxmlformats.org/officeDocument/2006/relationships/hyperlink" Target="https://dadosabertos.camara.leg.br/api/v2/deputados/224333" TargetMode="External"/><Relationship Id="rId1286" Type="http://schemas.openxmlformats.org/officeDocument/2006/relationships/hyperlink" Target="https://dadosabertos.camara.leg.br/api/v2/deputados/178991" TargetMode="External"/><Relationship Id="rId2337" Type="http://schemas.openxmlformats.org/officeDocument/2006/relationships/hyperlink" Target="https://dadosabertos.camara.leg.br/api/v2/deputados/73601" TargetMode="External"/><Relationship Id="rId309" Type="http://schemas.openxmlformats.org/officeDocument/2006/relationships/hyperlink" Target="https://dadosabertos.camara.leg.br/api/v2/deputados/141450" TargetMode="External"/><Relationship Id="rId2751" Type="http://schemas.openxmlformats.org/officeDocument/2006/relationships/hyperlink" Target="https://dadosabertos.camara.leg.br/api/v2/deputados/73712" TargetMode="External"/><Relationship Id="rId3802" Type="http://schemas.openxmlformats.org/officeDocument/2006/relationships/hyperlink" Target="https://dadosabertos.camara.leg.br/api/v2/deputados/131528" TargetMode="External"/><Relationship Id="rId6958" Type="http://schemas.openxmlformats.org/officeDocument/2006/relationships/hyperlink" Target="https://dadosabertos.camara.leg.br/api/v2/deputados/1143" TargetMode="External"/><Relationship Id="rId723" Type="http://schemas.openxmlformats.org/officeDocument/2006/relationships/hyperlink" Target="https://dadosabertos.camara.leg.br/api/v2/deputados/160528" TargetMode="External"/><Relationship Id="rId1006" Type="http://schemas.openxmlformats.org/officeDocument/2006/relationships/hyperlink" Target="https://dadosabertos.camara.leg.br/api/v2/deputados/160530" TargetMode="External"/><Relationship Id="rId1353" Type="http://schemas.openxmlformats.org/officeDocument/2006/relationships/hyperlink" Target="https://dadosabertos.camara.leg.br/api/v2/deputados/160638" TargetMode="External"/><Relationship Id="rId2404" Type="http://schemas.openxmlformats.org/officeDocument/2006/relationships/hyperlink" Target="https://dadosabertos.camara.leg.br/api/v2/deputados/74233" TargetMode="External"/><Relationship Id="rId5974" Type="http://schemas.openxmlformats.org/officeDocument/2006/relationships/hyperlink" Target="https://dadosabertos.camara.leg.br/api/v2/deputados/4369" TargetMode="External"/><Relationship Id="rId1420" Type="http://schemas.openxmlformats.org/officeDocument/2006/relationships/hyperlink" Target="https://dadosabertos.camara.leg.br/api/v2/deputados/141419" TargetMode="External"/><Relationship Id="rId4576" Type="http://schemas.openxmlformats.org/officeDocument/2006/relationships/hyperlink" Target="https://dadosabertos.camara.leg.br/api/v2/deputados/130739" TargetMode="External"/><Relationship Id="rId4990" Type="http://schemas.openxmlformats.org/officeDocument/2006/relationships/hyperlink" Target="https://dadosabertos.camara.leg.br/api/v2/deputados/130451" TargetMode="External"/><Relationship Id="rId5627" Type="http://schemas.openxmlformats.org/officeDocument/2006/relationships/hyperlink" Target="https://dadosabertos.camara.leg.br/api/v2/deputados/2380" TargetMode="External"/><Relationship Id="rId3178" Type="http://schemas.openxmlformats.org/officeDocument/2006/relationships/hyperlink" Target="https://dadosabertos.camara.leg.br/api/v2/deputados/139320" TargetMode="External"/><Relationship Id="rId3592" Type="http://schemas.openxmlformats.org/officeDocument/2006/relationships/hyperlink" Target="https://dadosabertos.camara.leg.br/api/v2/deputados/131644" TargetMode="External"/><Relationship Id="rId4229" Type="http://schemas.openxmlformats.org/officeDocument/2006/relationships/hyperlink" Target="https://dadosabertos.camara.leg.br/api/v2/deputados/131347" TargetMode="External"/><Relationship Id="rId4643" Type="http://schemas.openxmlformats.org/officeDocument/2006/relationships/hyperlink" Target="https://dadosabertos.camara.leg.br/api/v2/deputados/130810" TargetMode="External"/><Relationship Id="rId7799" Type="http://schemas.openxmlformats.org/officeDocument/2006/relationships/hyperlink" Target="https://dadosabertos.camara.leg.br/api/v2/deputados/158" TargetMode="External"/><Relationship Id="rId2194" Type="http://schemas.openxmlformats.org/officeDocument/2006/relationships/hyperlink" Target="https://dadosabertos.camara.leg.br/api/v2/deputados/73468" TargetMode="External"/><Relationship Id="rId3245" Type="http://schemas.openxmlformats.org/officeDocument/2006/relationships/hyperlink" Target="https://dadosabertos.camara.leg.br/api/v2/deputados/139375" TargetMode="External"/><Relationship Id="rId4710" Type="http://schemas.openxmlformats.org/officeDocument/2006/relationships/hyperlink" Target="https://dadosabertos.camara.leg.br/api/v2/deputados/130826" TargetMode="External"/><Relationship Id="rId7866" Type="http://schemas.openxmlformats.org/officeDocument/2006/relationships/hyperlink" Target="https://dadosabertos.camara.leg.br/api/v2/deputados/212" TargetMode="External"/><Relationship Id="rId166" Type="http://schemas.openxmlformats.org/officeDocument/2006/relationships/hyperlink" Target="https://dadosabertos.camara.leg.br/api/v2/deputados/220701" TargetMode="External"/><Relationship Id="rId580" Type="http://schemas.openxmlformats.org/officeDocument/2006/relationships/hyperlink" Target="https://dadosabertos.camara.leg.br/api/v2/deputados/223128" TargetMode="External"/><Relationship Id="rId2261" Type="http://schemas.openxmlformats.org/officeDocument/2006/relationships/hyperlink" Target="https://dadosabertos.camara.leg.br/api/v2/deputados/73913" TargetMode="External"/><Relationship Id="rId3312" Type="http://schemas.openxmlformats.org/officeDocument/2006/relationships/hyperlink" Target="https://dadosabertos.camara.leg.br/api/v2/deputados/131948" TargetMode="External"/><Relationship Id="rId6468" Type="http://schemas.openxmlformats.org/officeDocument/2006/relationships/hyperlink" Target="https://dadosabertos.camara.leg.br/api/v2/deputados/130110" TargetMode="External"/><Relationship Id="rId7519" Type="http://schemas.openxmlformats.org/officeDocument/2006/relationships/hyperlink" Target="https://dadosabertos.camara.leg.br/api/v2/deputados/624" TargetMode="External"/><Relationship Id="rId233" Type="http://schemas.openxmlformats.org/officeDocument/2006/relationships/hyperlink" Target="https://dadosabertos.camara.leg.br/api/v2/deputados/178871" TargetMode="External"/><Relationship Id="rId5484" Type="http://schemas.openxmlformats.org/officeDocument/2006/relationships/hyperlink" Target="https://dadosabertos.camara.leg.br/api/v2/deputados/4818" TargetMode="External"/><Relationship Id="rId6882" Type="http://schemas.openxmlformats.org/officeDocument/2006/relationships/hyperlink" Target="https://dadosabertos.camara.leg.br/api/v2/deputados/996" TargetMode="External"/><Relationship Id="rId7933" Type="http://schemas.openxmlformats.org/officeDocument/2006/relationships/hyperlink" Target="https://dadosabertos.camara.leg.br/api/v2/deputados/107" TargetMode="External"/><Relationship Id="rId300" Type="http://schemas.openxmlformats.org/officeDocument/2006/relationships/hyperlink" Target="https://dadosabertos.camara.leg.br/api/v2/deputados/220537" TargetMode="External"/><Relationship Id="rId4086" Type="http://schemas.openxmlformats.org/officeDocument/2006/relationships/hyperlink" Target="https://dadosabertos.camara.leg.br/api/v2/deputados/131299" TargetMode="External"/><Relationship Id="rId5137" Type="http://schemas.openxmlformats.org/officeDocument/2006/relationships/hyperlink" Target="https://dadosabertos.camara.leg.br/api/v2/deputados/3069" TargetMode="External"/><Relationship Id="rId6535" Type="http://schemas.openxmlformats.org/officeDocument/2006/relationships/hyperlink" Target="https://dadosabertos.camara.leg.br/api/v2/deputados/3826" TargetMode="External"/><Relationship Id="rId5551" Type="http://schemas.openxmlformats.org/officeDocument/2006/relationships/hyperlink" Target="https://dadosabertos.camara.leg.br/api/v2/deputados/2808" TargetMode="External"/><Relationship Id="rId6602" Type="http://schemas.openxmlformats.org/officeDocument/2006/relationships/hyperlink" Target="https://dadosabertos.camara.leg.br/api/v2/deputados/1838" TargetMode="External"/><Relationship Id="rId1747" Type="http://schemas.openxmlformats.org/officeDocument/2006/relationships/hyperlink" Target="https://dadosabertos.camara.leg.br/api/v2/deputados/74542" TargetMode="External"/><Relationship Id="rId4153" Type="http://schemas.openxmlformats.org/officeDocument/2006/relationships/hyperlink" Target="https://dadosabertos.camara.leg.br/api/v2/deputados/131274" TargetMode="External"/><Relationship Id="rId5204" Type="http://schemas.openxmlformats.org/officeDocument/2006/relationships/hyperlink" Target="https://dadosabertos.camara.leg.br/api/v2/deputados/3011" TargetMode="External"/><Relationship Id="rId39" Type="http://schemas.openxmlformats.org/officeDocument/2006/relationships/hyperlink" Target="https://dadosabertos.camara.leg.br/api/v2/deputados/204356" TargetMode="External"/><Relationship Id="rId1814" Type="http://schemas.openxmlformats.org/officeDocument/2006/relationships/hyperlink" Target="https://dadosabertos.camara.leg.br/api/v2/deputados/74059" TargetMode="External"/><Relationship Id="rId4220" Type="http://schemas.openxmlformats.org/officeDocument/2006/relationships/hyperlink" Target="https://dadosabertos.camara.leg.br/api/v2/deputados/131336" TargetMode="External"/><Relationship Id="rId7376" Type="http://schemas.openxmlformats.org/officeDocument/2006/relationships/hyperlink" Target="https://dadosabertos.camara.leg.br/api/v2/deputados/836" TargetMode="External"/><Relationship Id="rId7790" Type="http://schemas.openxmlformats.org/officeDocument/2006/relationships/hyperlink" Target="https://dadosabertos.camara.leg.br/api/v2/deputados/392" TargetMode="External"/><Relationship Id="rId6392" Type="http://schemas.openxmlformats.org/officeDocument/2006/relationships/hyperlink" Target="https://dadosabertos.camara.leg.br/api/v2/deputados/3673" TargetMode="External"/><Relationship Id="rId7029" Type="http://schemas.openxmlformats.org/officeDocument/2006/relationships/hyperlink" Target="https://dadosabertos.camara.leg.br/api/v2/deputados/1135" TargetMode="External"/><Relationship Id="rId7443" Type="http://schemas.openxmlformats.org/officeDocument/2006/relationships/hyperlink" Target="https://dadosabertos.camara.leg.br/api/v2/deputados/637" TargetMode="External"/><Relationship Id="rId2588" Type="http://schemas.openxmlformats.org/officeDocument/2006/relationships/hyperlink" Target="https://dadosabertos.camara.leg.br/api/v2/deputados/74129" TargetMode="External"/><Relationship Id="rId3986" Type="http://schemas.openxmlformats.org/officeDocument/2006/relationships/hyperlink" Target="https://dadosabertos.camara.leg.br/api/v2/deputados/131475" TargetMode="External"/><Relationship Id="rId6045" Type="http://schemas.openxmlformats.org/officeDocument/2006/relationships/hyperlink" Target="https://dadosabertos.camara.leg.br/api/v2/deputados/4295" TargetMode="External"/><Relationship Id="rId3639" Type="http://schemas.openxmlformats.org/officeDocument/2006/relationships/hyperlink" Target="https://dadosabertos.camara.leg.br/api/v2/deputados/131691" TargetMode="External"/><Relationship Id="rId5061" Type="http://schemas.openxmlformats.org/officeDocument/2006/relationships/hyperlink" Target="https://dadosabertos.camara.leg.br/api/v2/deputados/3109" TargetMode="External"/><Relationship Id="rId6112" Type="http://schemas.openxmlformats.org/officeDocument/2006/relationships/hyperlink" Target="https://dadosabertos.camara.leg.br/api/v2/deputados/2484" TargetMode="External"/><Relationship Id="rId7510" Type="http://schemas.openxmlformats.org/officeDocument/2006/relationships/hyperlink" Target="https://dadosabertos.camara.leg.br/api/v2/deputados/446" TargetMode="External"/><Relationship Id="rId974" Type="http://schemas.openxmlformats.org/officeDocument/2006/relationships/hyperlink" Target="https://dadosabertos.camara.leg.br/api/v2/deputados/215044" TargetMode="External"/><Relationship Id="rId2655" Type="http://schemas.openxmlformats.org/officeDocument/2006/relationships/hyperlink" Target="https://dadosabertos.camara.leg.br/api/v2/deputados/73644" TargetMode="External"/><Relationship Id="rId3706" Type="http://schemas.openxmlformats.org/officeDocument/2006/relationships/hyperlink" Target="https://dadosabertos.camara.leg.br/api/v2/deputados/131764" TargetMode="External"/><Relationship Id="rId627" Type="http://schemas.openxmlformats.org/officeDocument/2006/relationships/hyperlink" Target="https://dadosabertos.camara.leg.br/api/v2/deputados/230177" TargetMode="External"/><Relationship Id="rId1257" Type="http://schemas.openxmlformats.org/officeDocument/2006/relationships/hyperlink" Target="https://dadosabertos.camara.leg.br/api/v2/deputados/73674" TargetMode="External"/><Relationship Id="rId1671" Type="http://schemas.openxmlformats.org/officeDocument/2006/relationships/hyperlink" Target="https://dadosabertos.camara.leg.br/api/v2/deputados/74310" TargetMode="External"/><Relationship Id="rId2308" Type="http://schemas.openxmlformats.org/officeDocument/2006/relationships/hyperlink" Target="https://dadosabertos.camara.leg.br/api/v2/deputados/74134" TargetMode="External"/><Relationship Id="rId2722" Type="http://schemas.openxmlformats.org/officeDocument/2006/relationships/hyperlink" Target="https://dadosabertos.camara.leg.br/api/v2/deputados/73722" TargetMode="External"/><Relationship Id="rId5878" Type="http://schemas.openxmlformats.org/officeDocument/2006/relationships/hyperlink" Target="https://dadosabertos.camara.leg.br/api/v2/deputados/2615" TargetMode="External"/><Relationship Id="rId6929" Type="http://schemas.openxmlformats.org/officeDocument/2006/relationships/hyperlink" Target="https://dadosabertos.camara.leg.br/api/v2/deputados/1258" TargetMode="External"/><Relationship Id="rId1324" Type="http://schemas.openxmlformats.org/officeDocument/2006/relationships/hyperlink" Target="https://dadosabertos.camara.leg.br/api/v2/deputados/73930" TargetMode="External"/><Relationship Id="rId4894" Type="http://schemas.openxmlformats.org/officeDocument/2006/relationships/hyperlink" Target="https://dadosabertos.camara.leg.br/api/v2/deputados/130693" TargetMode="External"/><Relationship Id="rId5945" Type="http://schemas.openxmlformats.org/officeDocument/2006/relationships/hyperlink" Target="https://dadosabertos.camara.leg.br/api/v2/deputados/1931" TargetMode="External"/><Relationship Id="rId30" Type="http://schemas.openxmlformats.org/officeDocument/2006/relationships/hyperlink" Target="https://dadosabertos.camara.leg.br/api/v2/deputados/220576" TargetMode="External"/><Relationship Id="rId3496" Type="http://schemas.openxmlformats.org/officeDocument/2006/relationships/hyperlink" Target="https://dadosabertos.camara.leg.br/api/v2/deputados/132045" TargetMode="External"/><Relationship Id="rId4547" Type="http://schemas.openxmlformats.org/officeDocument/2006/relationships/hyperlink" Target="https://dadosabertos.camara.leg.br/api/v2/deputados/130710" TargetMode="External"/><Relationship Id="rId2098" Type="http://schemas.openxmlformats.org/officeDocument/2006/relationships/hyperlink" Target="https://dadosabertos.camara.leg.br/api/v2/deputados/74327" TargetMode="External"/><Relationship Id="rId3149" Type="http://schemas.openxmlformats.org/officeDocument/2006/relationships/hyperlink" Target="https://dadosabertos.camara.leg.br/api/v2/deputados/1532" TargetMode="External"/><Relationship Id="rId3563" Type="http://schemas.openxmlformats.org/officeDocument/2006/relationships/hyperlink" Target="https://dadosabertos.camara.leg.br/api/v2/deputados/132066" TargetMode="External"/><Relationship Id="rId4961" Type="http://schemas.openxmlformats.org/officeDocument/2006/relationships/hyperlink" Target="https://dadosabertos.camara.leg.br/api/v2/deputados/130428" TargetMode="External"/><Relationship Id="rId7020" Type="http://schemas.openxmlformats.org/officeDocument/2006/relationships/hyperlink" Target="https://dadosabertos.camara.leg.br/api/v2/deputados/1105" TargetMode="External"/><Relationship Id="rId484" Type="http://schemas.openxmlformats.org/officeDocument/2006/relationships/hyperlink" Target="https://dadosabertos.camara.leg.br/api/v2/deputados/229939" TargetMode="External"/><Relationship Id="rId2165" Type="http://schemas.openxmlformats.org/officeDocument/2006/relationships/hyperlink" Target="https://dadosabertos.camara.leg.br/api/v2/deputados/134893" TargetMode="External"/><Relationship Id="rId3216" Type="http://schemas.openxmlformats.org/officeDocument/2006/relationships/hyperlink" Target="https://dadosabertos.camara.leg.br/api/v2/deputados/139350" TargetMode="External"/><Relationship Id="rId4614" Type="http://schemas.openxmlformats.org/officeDocument/2006/relationships/hyperlink" Target="https://dadosabertos.camara.leg.br/api/v2/deputados/130778" TargetMode="External"/><Relationship Id="rId137" Type="http://schemas.openxmlformats.org/officeDocument/2006/relationships/hyperlink" Target="https://dadosabertos.camara.leg.br/api/v2/deputados/220555" TargetMode="External"/><Relationship Id="rId3630" Type="http://schemas.openxmlformats.org/officeDocument/2006/relationships/hyperlink" Target="https://dadosabertos.camara.leg.br/api/v2/deputados/131683" TargetMode="External"/><Relationship Id="rId6786" Type="http://schemas.openxmlformats.org/officeDocument/2006/relationships/hyperlink" Target="https://dadosabertos.camara.leg.br/api/v2/deputados/4058" TargetMode="External"/><Relationship Id="rId7837" Type="http://schemas.openxmlformats.org/officeDocument/2006/relationships/hyperlink" Target="https://dadosabertos.camara.leg.br/api/v2/deputados/224" TargetMode="External"/><Relationship Id="rId551" Type="http://schemas.openxmlformats.org/officeDocument/2006/relationships/hyperlink" Target="https://dadosabertos.camara.leg.br/api/v2/deputados/115200" TargetMode="External"/><Relationship Id="rId1181" Type="http://schemas.openxmlformats.org/officeDocument/2006/relationships/hyperlink" Target="https://dadosabertos.camara.leg.br/api/v2/deputados/141490" TargetMode="External"/><Relationship Id="rId2232" Type="http://schemas.openxmlformats.org/officeDocument/2006/relationships/hyperlink" Target="https://dadosabertos.camara.leg.br/api/v2/deputados/74407" TargetMode="External"/><Relationship Id="rId5388" Type="http://schemas.openxmlformats.org/officeDocument/2006/relationships/hyperlink" Target="https://dadosabertos.camara.leg.br/api/v2/deputados/130254" TargetMode="External"/><Relationship Id="rId6439" Type="http://schemas.openxmlformats.org/officeDocument/2006/relationships/hyperlink" Target="https://dadosabertos.camara.leg.br/api/v2/deputados/1867" TargetMode="External"/><Relationship Id="rId6853" Type="http://schemas.openxmlformats.org/officeDocument/2006/relationships/hyperlink" Target="https://dadosabertos.camara.leg.br/api/v2/deputados/1222" TargetMode="External"/><Relationship Id="rId7904" Type="http://schemas.openxmlformats.org/officeDocument/2006/relationships/hyperlink" Target="https://dadosabertos.camara.leg.br/api/v2/deputados/209" TargetMode="External"/><Relationship Id="rId204" Type="http://schemas.openxmlformats.org/officeDocument/2006/relationships/hyperlink" Target="https://dadosabertos.camara.leg.br/api/v2/deputados/227800" TargetMode="External"/><Relationship Id="rId1998" Type="http://schemas.openxmlformats.org/officeDocument/2006/relationships/hyperlink" Target="https://dadosabertos.camara.leg.br/api/v2/deputados/74700" TargetMode="External"/><Relationship Id="rId5455" Type="http://schemas.openxmlformats.org/officeDocument/2006/relationships/hyperlink" Target="https://dadosabertos.camara.leg.br/api/v2/deputados/4804" TargetMode="External"/><Relationship Id="rId6506" Type="http://schemas.openxmlformats.org/officeDocument/2006/relationships/hyperlink" Target="https://dadosabertos.camara.leg.br/api/v2/deputados/130112" TargetMode="External"/><Relationship Id="rId6920" Type="http://schemas.openxmlformats.org/officeDocument/2006/relationships/hyperlink" Target="https://dadosabertos.camara.leg.br/api/v2/deputados/1068" TargetMode="External"/><Relationship Id="rId4057" Type="http://schemas.openxmlformats.org/officeDocument/2006/relationships/hyperlink" Target="https://dadosabertos.camara.leg.br/api/v2/deputados/131386" TargetMode="External"/><Relationship Id="rId4471" Type="http://schemas.openxmlformats.org/officeDocument/2006/relationships/hyperlink" Target="https://dadosabertos.camara.leg.br/api/v2/deputados/131087" TargetMode="External"/><Relationship Id="rId5108" Type="http://schemas.openxmlformats.org/officeDocument/2006/relationships/hyperlink" Target="https://dadosabertos.camara.leg.br/api/v2/deputados/4858" TargetMode="External"/><Relationship Id="rId5522" Type="http://schemas.openxmlformats.org/officeDocument/2006/relationships/hyperlink" Target="https://dadosabertos.camara.leg.br/api/v2/deputados/4773" TargetMode="External"/><Relationship Id="rId3073" Type="http://schemas.openxmlformats.org/officeDocument/2006/relationships/hyperlink" Target="https://dadosabertos.camara.leg.br/api/v2/deputados/139229" TargetMode="External"/><Relationship Id="rId4124" Type="http://schemas.openxmlformats.org/officeDocument/2006/relationships/hyperlink" Target="https://dadosabertos.camara.leg.br/api/v2/deputados/131251" TargetMode="External"/><Relationship Id="rId7694" Type="http://schemas.openxmlformats.org/officeDocument/2006/relationships/hyperlink" Target="https://dadosabertos.camara.leg.br/api/v2/deputados/486" TargetMode="External"/><Relationship Id="rId1718" Type="http://schemas.openxmlformats.org/officeDocument/2006/relationships/hyperlink" Target="https://dadosabertos.camara.leg.br/api/v2/deputados/141057" TargetMode="External"/><Relationship Id="rId3140" Type="http://schemas.openxmlformats.org/officeDocument/2006/relationships/hyperlink" Target="https://dadosabertos.camara.leg.br/api/v2/deputados/139286" TargetMode="External"/><Relationship Id="rId6296" Type="http://schemas.openxmlformats.org/officeDocument/2006/relationships/hyperlink" Target="https://dadosabertos.camara.leg.br/api/v2/deputados/3589" TargetMode="External"/><Relationship Id="rId7347" Type="http://schemas.openxmlformats.org/officeDocument/2006/relationships/hyperlink" Target="https://dadosabertos.camara.leg.br/api/v2/deputados/873" TargetMode="External"/><Relationship Id="rId7761" Type="http://schemas.openxmlformats.org/officeDocument/2006/relationships/hyperlink" Target="https://dadosabertos.camara.leg.br/api/v2/deputados/344" TargetMode="External"/><Relationship Id="rId3957" Type="http://schemas.openxmlformats.org/officeDocument/2006/relationships/hyperlink" Target="https://dadosabertos.camara.leg.br/api/v2/deputados/131444" TargetMode="External"/><Relationship Id="rId6363" Type="http://schemas.openxmlformats.org/officeDocument/2006/relationships/hyperlink" Target="https://dadosabertos.camara.leg.br/api/v2/deputados/3682" TargetMode="External"/><Relationship Id="rId7414" Type="http://schemas.openxmlformats.org/officeDocument/2006/relationships/hyperlink" Target="https://dadosabertos.camara.leg.br/api/v2/deputados/787" TargetMode="External"/><Relationship Id="rId878" Type="http://schemas.openxmlformats.org/officeDocument/2006/relationships/hyperlink" Target="https://dadosabertos.camara.leg.br/api/v2/deputados/194260" TargetMode="External"/><Relationship Id="rId2559" Type="http://schemas.openxmlformats.org/officeDocument/2006/relationships/hyperlink" Target="https://dadosabertos.camara.leg.br/api/v2/deputados/74630" TargetMode="External"/><Relationship Id="rId2973" Type="http://schemas.openxmlformats.org/officeDocument/2006/relationships/hyperlink" Target="https://dadosabertos.camara.leg.br/api/v2/deputados/139141" TargetMode="External"/><Relationship Id="rId6016" Type="http://schemas.openxmlformats.org/officeDocument/2006/relationships/hyperlink" Target="https://dadosabertos.camara.leg.br/api/v2/deputados/4258" TargetMode="External"/><Relationship Id="rId6430" Type="http://schemas.openxmlformats.org/officeDocument/2006/relationships/hyperlink" Target="https://dadosabertos.camara.leg.br/api/v2/deputados/3728" TargetMode="External"/><Relationship Id="rId945" Type="http://schemas.openxmlformats.org/officeDocument/2006/relationships/hyperlink" Target="https://dadosabertos.camara.leg.br/api/v2/deputados/178874" TargetMode="External"/><Relationship Id="rId1575" Type="http://schemas.openxmlformats.org/officeDocument/2006/relationships/hyperlink" Target="https://dadosabertos.camara.leg.br/api/v2/deputados/141514" TargetMode="External"/><Relationship Id="rId2626" Type="http://schemas.openxmlformats.org/officeDocument/2006/relationships/hyperlink" Target="https://dadosabertos.camara.leg.br/api/v2/deputados/74432" TargetMode="External"/><Relationship Id="rId5032" Type="http://schemas.openxmlformats.org/officeDocument/2006/relationships/hyperlink" Target="https://dadosabertos.camara.leg.br/api/v2/deputados/130466" TargetMode="External"/><Relationship Id="rId1228" Type="http://schemas.openxmlformats.org/officeDocument/2006/relationships/hyperlink" Target="https://dadosabertos.camara.leg.br/api/v2/deputados/74359" TargetMode="External"/><Relationship Id="rId4798" Type="http://schemas.openxmlformats.org/officeDocument/2006/relationships/hyperlink" Target="https://dadosabertos.camara.leg.br/api/v2/deputados/130520" TargetMode="External"/><Relationship Id="rId1642" Type="http://schemas.openxmlformats.org/officeDocument/2006/relationships/hyperlink" Target="https://dadosabertos.camara.leg.br/api/v2/deputados/160595" TargetMode="External"/><Relationship Id="rId5849" Type="http://schemas.openxmlformats.org/officeDocument/2006/relationships/hyperlink" Target="https://dadosabertos.camara.leg.br/api/v2/deputados/2575" TargetMode="External"/><Relationship Id="rId7271" Type="http://schemas.openxmlformats.org/officeDocument/2006/relationships/hyperlink" Target="https://dadosabertos.camara.leg.br/api/v2/deputados/920" TargetMode="External"/><Relationship Id="rId4865" Type="http://schemas.openxmlformats.org/officeDocument/2006/relationships/hyperlink" Target="https://dadosabertos.camara.leg.br/api/v2/deputados/130632" TargetMode="External"/><Relationship Id="rId5916" Type="http://schemas.openxmlformats.org/officeDocument/2006/relationships/hyperlink" Target="https://dadosabertos.camara.leg.br/api/v2/deputados/4332" TargetMode="External"/><Relationship Id="rId388" Type="http://schemas.openxmlformats.org/officeDocument/2006/relationships/hyperlink" Target="http://www.lucasredecker.com/" TargetMode="External"/><Relationship Id="rId2069" Type="http://schemas.openxmlformats.org/officeDocument/2006/relationships/hyperlink" Target="https://dadosabertos.camara.leg.br/api/v2/deputados/74137" TargetMode="External"/><Relationship Id="rId3467" Type="http://schemas.openxmlformats.org/officeDocument/2006/relationships/hyperlink" Target="https://dadosabertos.camara.leg.br/api/v2/deputados/132024" TargetMode="External"/><Relationship Id="rId3881" Type="http://schemas.openxmlformats.org/officeDocument/2006/relationships/hyperlink" Target="https://dadosabertos.camara.leg.br/api/v2/deputados/131609" TargetMode="External"/><Relationship Id="rId4518" Type="http://schemas.openxmlformats.org/officeDocument/2006/relationships/hyperlink" Target="https://dadosabertos.camara.leg.br/api/v2/deputados/131143" TargetMode="External"/><Relationship Id="rId4932" Type="http://schemas.openxmlformats.org/officeDocument/2006/relationships/hyperlink" Target="https://dadosabertos.camara.leg.br/api/v2/deputados/130401" TargetMode="External"/><Relationship Id="rId2483" Type="http://schemas.openxmlformats.org/officeDocument/2006/relationships/hyperlink" Target="https://dadosabertos.camara.leg.br/api/v2/deputados/73680" TargetMode="External"/><Relationship Id="rId3534" Type="http://schemas.openxmlformats.org/officeDocument/2006/relationships/hyperlink" Target="https://dadosabertos.camara.leg.br/api/v2/deputados/131856" TargetMode="External"/><Relationship Id="rId455" Type="http://schemas.openxmlformats.org/officeDocument/2006/relationships/hyperlink" Target="https://dadosabertos.camara.leg.br/api/v2/deputados/220572" TargetMode="External"/><Relationship Id="rId1085" Type="http://schemas.openxmlformats.org/officeDocument/2006/relationships/hyperlink" Target="https://dadosabertos.camara.leg.br/api/v2/deputados/141430" TargetMode="External"/><Relationship Id="rId2136" Type="http://schemas.openxmlformats.org/officeDocument/2006/relationships/hyperlink" Target="https://dadosabertos.camara.leg.br/api/v2/deputados/74640" TargetMode="External"/><Relationship Id="rId2550" Type="http://schemas.openxmlformats.org/officeDocument/2006/relationships/hyperlink" Target="https://dadosabertos.camara.leg.br/api/v2/deputados/74854" TargetMode="External"/><Relationship Id="rId3601" Type="http://schemas.openxmlformats.org/officeDocument/2006/relationships/hyperlink" Target="https://dadosabertos.camara.leg.br/api/v2/deputados/131659" TargetMode="External"/><Relationship Id="rId6757" Type="http://schemas.openxmlformats.org/officeDocument/2006/relationships/hyperlink" Target="https://dadosabertos.camara.leg.br/api/v2/deputados/1714" TargetMode="External"/><Relationship Id="rId7808" Type="http://schemas.openxmlformats.org/officeDocument/2006/relationships/hyperlink" Target="https://dadosabertos.camara.leg.br/api/v2/deputados/383" TargetMode="External"/><Relationship Id="rId108" Type="http://schemas.openxmlformats.org/officeDocument/2006/relationships/hyperlink" Target="https://dadosabertos.camara.leg.br/api/v2/deputados/204369" TargetMode="External"/><Relationship Id="rId522" Type="http://schemas.openxmlformats.org/officeDocument/2006/relationships/hyperlink" Target="https://dadosabertos.camara.leg.br/api/v2/deputados/128760" TargetMode="External"/><Relationship Id="rId1152" Type="http://schemas.openxmlformats.org/officeDocument/2006/relationships/hyperlink" Target="https://dadosabertos.camara.leg.br/api/v2/deputados/141474" TargetMode="External"/><Relationship Id="rId2203" Type="http://schemas.openxmlformats.org/officeDocument/2006/relationships/hyperlink" Target="https://dadosabertos.camara.leg.br/api/v2/deputados/74089" TargetMode="External"/><Relationship Id="rId5359" Type="http://schemas.openxmlformats.org/officeDocument/2006/relationships/hyperlink" Target="https://dadosabertos.camara.leg.br/api/v2/deputados/4761" TargetMode="External"/><Relationship Id="rId5773" Type="http://schemas.openxmlformats.org/officeDocument/2006/relationships/hyperlink" Target="https://dadosabertos.camara.leg.br/api/v2/deputados/130203" TargetMode="External"/><Relationship Id="rId4375" Type="http://schemas.openxmlformats.org/officeDocument/2006/relationships/hyperlink" Target="https://dadosabertos.camara.leg.br/api/v2/deputados/130971" TargetMode="External"/><Relationship Id="rId5426" Type="http://schemas.openxmlformats.org/officeDocument/2006/relationships/hyperlink" Target="https://dadosabertos.camara.leg.br/api/v2/deputados/4755" TargetMode="External"/><Relationship Id="rId6824" Type="http://schemas.openxmlformats.org/officeDocument/2006/relationships/hyperlink" Target="https://dadosabertos.camara.leg.br/api/v2/deputados/4099" TargetMode="External"/><Relationship Id="rId1969" Type="http://schemas.openxmlformats.org/officeDocument/2006/relationships/hyperlink" Target="https://dadosabertos.camara.leg.br/api/v2/deputados/74654" TargetMode="External"/><Relationship Id="rId4028" Type="http://schemas.openxmlformats.org/officeDocument/2006/relationships/hyperlink" Target="https://dadosabertos.camara.leg.br/api/v2/deputados/131162" TargetMode="External"/><Relationship Id="rId5840" Type="http://schemas.openxmlformats.org/officeDocument/2006/relationships/hyperlink" Target="https://dadosabertos.camara.leg.br/api/v2/deputados/2565" TargetMode="External"/><Relationship Id="rId3391" Type="http://schemas.openxmlformats.org/officeDocument/2006/relationships/hyperlink" Target="https://dadosabertos.camara.leg.br/api/v2/deputados/131937" TargetMode="External"/><Relationship Id="rId4442" Type="http://schemas.openxmlformats.org/officeDocument/2006/relationships/hyperlink" Target="https://dadosabertos.camara.leg.br/api/v2/deputados/131007" TargetMode="External"/><Relationship Id="rId7598" Type="http://schemas.openxmlformats.org/officeDocument/2006/relationships/hyperlink" Target="https://dadosabertos.camara.leg.br/api/v2/deputados/17" TargetMode="External"/><Relationship Id="rId3044" Type="http://schemas.openxmlformats.org/officeDocument/2006/relationships/hyperlink" Target="https://dadosabertos.camara.leg.br/api/v2/deputados/139204" TargetMode="External"/><Relationship Id="rId7665" Type="http://schemas.openxmlformats.org/officeDocument/2006/relationships/hyperlink" Target="https://dadosabertos.camara.leg.br/api/v2/deputados/1275" TargetMode="External"/><Relationship Id="rId2060" Type="http://schemas.openxmlformats.org/officeDocument/2006/relationships/hyperlink" Target="https://dadosabertos.camara.leg.br/api/v2/deputados/74463" TargetMode="External"/><Relationship Id="rId3111" Type="http://schemas.openxmlformats.org/officeDocument/2006/relationships/hyperlink" Target="https://dadosabertos.camara.leg.br/api/v2/deputados/139261" TargetMode="External"/><Relationship Id="rId6267" Type="http://schemas.openxmlformats.org/officeDocument/2006/relationships/hyperlink" Target="https://dadosabertos.camara.leg.br/api/v2/deputados/2294" TargetMode="External"/><Relationship Id="rId6681" Type="http://schemas.openxmlformats.org/officeDocument/2006/relationships/hyperlink" Target="https://dadosabertos.camara.leg.br/api/v2/deputados/3988" TargetMode="External"/><Relationship Id="rId7318" Type="http://schemas.openxmlformats.org/officeDocument/2006/relationships/hyperlink" Target="https://dadosabertos.camara.leg.br/api/v2/deputados/891" TargetMode="External"/><Relationship Id="rId7732" Type="http://schemas.openxmlformats.org/officeDocument/2006/relationships/hyperlink" Target="https://dadosabertos.camara.leg.br/api/v2/deputados/374" TargetMode="External"/><Relationship Id="rId2877" Type="http://schemas.openxmlformats.org/officeDocument/2006/relationships/hyperlink" Target="https://dadosabertos.camara.leg.br/api/v2/deputados/133874" TargetMode="External"/><Relationship Id="rId5283" Type="http://schemas.openxmlformats.org/officeDocument/2006/relationships/hyperlink" Target="https://dadosabertos.camara.leg.br/api/v2/deputados/3037" TargetMode="External"/><Relationship Id="rId6334" Type="http://schemas.openxmlformats.org/officeDocument/2006/relationships/hyperlink" Target="https://dadosabertos.camara.leg.br/api/v2/deputados/2074" TargetMode="External"/><Relationship Id="rId849" Type="http://schemas.openxmlformats.org/officeDocument/2006/relationships/hyperlink" Target="https://dadosabertos.camara.leg.br/api/v2/deputados/204556" TargetMode="External"/><Relationship Id="rId1479" Type="http://schemas.openxmlformats.org/officeDocument/2006/relationships/hyperlink" Target="https://dadosabertos.camara.leg.br/api/v2/deputados/160671" TargetMode="External"/><Relationship Id="rId3928" Type="http://schemas.openxmlformats.org/officeDocument/2006/relationships/hyperlink" Target="https://dadosabertos.camara.leg.br/api/v2/deputados/131406" TargetMode="External"/><Relationship Id="rId5350" Type="http://schemas.openxmlformats.org/officeDocument/2006/relationships/hyperlink" Target="https://dadosabertos.camara.leg.br/api/v2/deputados/2883" TargetMode="External"/><Relationship Id="rId6401" Type="http://schemas.openxmlformats.org/officeDocument/2006/relationships/hyperlink" Target="https://dadosabertos.camara.leg.br/api/v2/deputados/2090" TargetMode="External"/><Relationship Id="rId1893" Type="http://schemas.openxmlformats.org/officeDocument/2006/relationships/hyperlink" Target="https://dadosabertos.camara.leg.br/api/v2/deputados/74461" TargetMode="External"/><Relationship Id="rId2944" Type="http://schemas.openxmlformats.org/officeDocument/2006/relationships/hyperlink" Target="https://dadosabertos.camara.leg.br/api/v2/deputados/73811" TargetMode="External"/><Relationship Id="rId5003" Type="http://schemas.openxmlformats.org/officeDocument/2006/relationships/hyperlink" Target="https://dadosabertos.camara.leg.br/api/v2/deputados/130462" TargetMode="External"/><Relationship Id="rId916" Type="http://schemas.openxmlformats.org/officeDocument/2006/relationships/hyperlink" Target="https://dadosabertos.camara.leg.br/api/v2/deputados/211498" TargetMode="External"/><Relationship Id="rId1546" Type="http://schemas.openxmlformats.org/officeDocument/2006/relationships/hyperlink" Target="https://dadosabertos.camara.leg.br/api/v2/deputados/74747" TargetMode="External"/><Relationship Id="rId1960" Type="http://schemas.openxmlformats.org/officeDocument/2006/relationships/hyperlink" Target="https://dadosabertos.camara.leg.br/api/v2/deputados/137116" TargetMode="External"/><Relationship Id="rId7175" Type="http://schemas.openxmlformats.org/officeDocument/2006/relationships/hyperlink" Target="https://dadosabertos.camara.leg.br/api/v2/deputados/654" TargetMode="External"/><Relationship Id="rId1613" Type="http://schemas.openxmlformats.org/officeDocument/2006/relationships/hyperlink" Target="https://dadosabertos.camara.leg.br/api/v2/deputados/152865" TargetMode="External"/><Relationship Id="rId4769" Type="http://schemas.openxmlformats.org/officeDocument/2006/relationships/hyperlink" Target="https://dadosabertos.camara.leg.br/api/v2/deputados/1545" TargetMode="External"/><Relationship Id="rId3785" Type="http://schemas.openxmlformats.org/officeDocument/2006/relationships/hyperlink" Target="https://dadosabertos.camara.leg.br/api/v2/deputados/131564" TargetMode="External"/><Relationship Id="rId4836" Type="http://schemas.openxmlformats.org/officeDocument/2006/relationships/hyperlink" Target="https://dadosabertos.camara.leg.br/api/v2/deputados/130655" TargetMode="External"/><Relationship Id="rId6191" Type="http://schemas.openxmlformats.org/officeDocument/2006/relationships/hyperlink" Target="https://dadosabertos.camara.leg.br/api/v2/deputados/2083" TargetMode="External"/><Relationship Id="rId7242" Type="http://schemas.openxmlformats.org/officeDocument/2006/relationships/hyperlink" Target="https://dadosabertos.camara.leg.br/api/v2/deputados/971" TargetMode="External"/><Relationship Id="rId2387" Type="http://schemas.openxmlformats.org/officeDocument/2006/relationships/hyperlink" Target="https://dadosabertos.camara.leg.br/api/v2/deputados/74575" TargetMode="External"/><Relationship Id="rId3438" Type="http://schemas.openxmlformats.org/officeDocument/2006/relationships/hyperlink" Target="https://dadosabertos.camara.leg.br/api/v2/deputados/132002" TargetMode="External"/><Relationship Id="rId3852" Type="http://schemas.openxmlformats.org/officeDocument/2006/relationships/hyperlink" Target="https://dadosabertos.camara.leg.br/api/v2/deputados/131504" TargetMode="External"/><Relationship Id="rId359" Type="http://schemas.openxmlformats.org/officeDocument/2006/relationships/hyperlink" Target="https://dadosabertos.camara.leg.br/api/v2/deputados/204457" TargetMode="External"/><Relationship Id="rId773" Type="http://schemas.openxmlformats.org/officeDocument/2006/relationships/hyperlink" Target="https://dadosabertos.camara.leg.br/api/v2/deputados/204510" TargetMode="External"/><Relationship Id="rId2454" Type="http://schemas.openxmlformats.org/officeDocument/2006/relationships/hyperlink" Target="https://dadosabertos.camara.leg.br/api/v2/deputados/73656" TargetMode="External"/><Relationship Id="rId3505" Type="http://schemas.openxmlformats.org/officeDocument/2006/relationships/hyperlink" Target="https://dadosabertos.camara.leg.br/api/v2/deputados/132119" TargetMode="External"/><Relationship Id="rId4903" Type="http://schemas.openxmlformats.org/officeDocument/2006/relationships/hyperlink" Target="https://dadosabertos.camara.leg.br/api/v2/deputados/130536" TargetMode="External"/><Relationship Id="rId426" Type="http://schemas.openxmlformats.org/officeDocument/2006/relationships/hyperlink" Target="https://dadosabertos.camara.leg.br/api/v2/deputados/133810" TargetMode="External"/><Relationship Id="rId1056" Type="http://schemas.openxmlformats.org/officeDocument/2006/relationships/hyperlink" Target="https://dadosabertos.camara.leg.br/api/v2/deputados/141412" TargetMode="External"/><Relationship Id="rId2107" Type="http://schemas.openxmlformats.org/officeDocument/2006/relationships/hyperlink" Target="https://dadosabertos.camara.leg.br/api/v2/deputados/62926" TargetMode="External"/><Relationship Id="rId840" Type="http://schemas.openxmlformats.org/officeDocument/2006/relationships/hyperlink" Target="https://dadosabertos.camara.leg.br/api/v2/deputados/204458" TargetMode="External"/><Relationship Id="rId1470" Type="http://schemas.openxmlformats.org/officeDocument/2006/relationships/hyperlink" Target="https://dadosabertos.camara.leg.br/api/v2/deputados/173262" TargetMode="External"/><Relationship Id="rId2521" Type="http://schemas.openxmlformats.org/officeDocument/2006/relationships/hyperlink" Target="https://dadosabertos.camara.leg.br/api/v2/deputados/74101" TargetMode="External"/><Relationship Id="rId4279" Type="http://schemas.openxmlformats.org/officeDocument/2006/relationships/hyperlink" Target="https://dadosabertos.camara.leg.br/api/v2/deputados/130905" TargetMode="External"/><Relationship Id="rId5677" Type="http://schemas.openxmlformats.org/officeDocument/2006/relationships/hyperlink" Target="https://dadosabertos.camara.leg.br/api/v2/deputados/2597" TargetMode="External"/><Relationship Id="rId6728" Type="http://schemas.openxmlformats.org/officeDocument/2006/relationships/hyperlink" Target="https://dadosabertos.camara.leg.br/api/v2/deputados/1666" TargetMode="External"/><Relationship Id="rId1123" Type="http://schemas.openxmlformats.org/officeDocument/2006/relationships/hyperlink" Target="https://dadosabertos.camara.leg.br/api/v2/deputados/160672" TargetMode="External"/><Relationship Id="rId4693" Type="http://schemas.openxmlformats.org/officeDocument/2006/relationships/hyperlink" Target="https://dadosabertos.camara.leg.br/api/v2/deputados/130798" TargetMode="External"/><Relationship Id="rId5744" Type="http://schemas.openxmlformats.org/officeDocument/2006/relationships/hyperlink" Target="https://dadosabertos.camara.leg.br/api/v2/deputados/4469" TargetMode="External"/><Relationship Id="rId3295" Type="http://schemas.openxmlformats.org/officeDocument/2006/relationships/hyperlink" Target="https://dadosabertos.camara.leg.br/api/v2/deputados/131864" TargetMode="External"/><Relationship Id="rId4346" Type="http://schemas.openxmlformats.org/officeDocument/2006/relationships/hyperlink" Target="https://dadosabertos.camara.leg.br/api/v2/deputados/130948" TargetMode="External"/><Relationship Id="rId4760" Type="http://schemas.openxmlformats.org/officeDocument/2006/relationships/hyperlink" Target="https://dadosabertos.camara.leg.br/api/v2/deputados/130529" TargetMode="External"/><Relationship Id="rId5811" Type="http://schemas.openxmlformats.org/officeDocument/2006/relationships/hyperlink" Target="https://dadosabertos.camara.leg.br/api/v2/deputados/130216" TargetMode="External"/><Relationship Id="rId3362" Type="http://schemas.openxmlformats.org/officeDocument/2006/relationships/hyperlink" Target="https://dadosabertos.camara.leg.br/api/v2/deputados/132011" TargetMode="External"/><Relationship Id="rId4413" Type="http://schemas.openxmlformats.org/officeDocument/2006/relationships/hyperlink" Target="https://dadosabertos.camara.leg.br/api/v2/deputados/131023" TargetMode="External"/><Relationship Id="rId7569" Type="http://schemas.openxmlformats.org/officeDocument/2006/relationships/hyperlink" Target="https://dadosabertos.camara.leg.br/api/v2/deputados/665" TargetMode="External"/><Relationship Id="rId7983" Type="http://schemas.openxmlformats.org/officeDocument/2006/relationships/hyperlink" Target="https://dadosabertos.camara.leg.br/api/v2/deputados/171" TargetMode="External"/><Relationship Id="rId283" Type="http://schemas.openxmlformats.org/officeDocument/2006/relationships/hyperlink" Target="https://dadosabertos.camara.leg.br/api/v2/deputados/226179" TargetMode="External"/><Relationship Id="rId3015" Type="http://schemas.openxmlformats.org/officeDocument/2006/relationships/hyperlink" Target="https://dadosabertos.camara.leg.br/api/v2/deputados/139179" TargetMode="External"/><Relationship Id="rId6585" Type="http://schemas.openxmlformats.org/officeDocument/2006/relationships/hyperlink" Target="https://dadosabertos.camara.leg.br/api/v2/deputados/1943" TargetMode="External"/><Relationship Id="rId7636" Type="http://schemas.openxmlformats.org/officeDocument/2006/relationships/hyperlink" Target="https://dadosabertos.camara.leg.br/api/v2/deputados/542" TargetMode="External"/><Relationship Id="rId350" Type="http://schemas.openxmlformats.org/officeDocument/2006/relationships/hyperlink" Target="https://dadosabertos.camara.leg.br/api/v2/deputados/204474" TargetMode="External"/><Relationship Id="rId2031" Type="http://schemas.openxmlformats.org/officeDocument/2006/relationships/hyperlink" Target="https://dadosabertos.camara.leg.br/api/v2/deputados/73454" TargetMode="External"/><Relationship Id="rId5187" Type="http://schemas.openxmlformats.org/officeDocument/2006/relationships/hyperlink" Target="https://dadosabertos.camara.leg.br/api/v2/deputados/3031" TargetMode="External"/><Relationship Id="rId6238" Type="http://schemas.openxmlformats.org/officeDocument/2006/relationships/hyperlink" Target="https://dadosabertos.camara.leg.br/api/v2/deputados/2355" TargetMode="External"/><Relationship Id="rId5254" Type="http://schemas.openxmlformats.org/officeDocument/2006/relationships/hyperlink" Target="https://dadosabertos.camara.leg.br/api/v2/deputados/4892" TargetMode="External"/><Relationship Id="rId6652" Type="http://schemas.openxmlformats.org/officeDocument/2006/relationships/hyperlink" Target="https://dadosabertos.camara.leg.br/api/v2/deputados/1827" TargetMode="External"/><Relationship Id="rId7703" Type="http://schemas.openxmlformats.org/officeDocument/2006/relationships/hyperlink" Target="https://dadosabertos.camara.leg.br/api/v2/deputados/167" TargetMode="External"/><Relationship Id="rId1797" Type="http://schemas.openxmlformats.org/officeDocument/2006/relationships/hyperlink" Target="https://dadosabertos.camara.leg.br/api/v2/deputados/74426" TargetMode="External"/><Relationship Id="rId2848" Type="http://schemas.openxmlformats.org/officeDocument/2006/relationships/hyperlink" Target="https://dadosabertos.camara.leg.br/api/v2/deputados/133880" TargetMode="External"/><Relationship Id="rId6305" Type="http://schemas.openxmlformats.org/officeDocument/2006/relationships/hyperlink" Target="https://dadosabertos.camara.leg.br/api/v2/deputados/3598" TargetMode="External"/><Relationship Id="rId89" Type="http://schemas.openxmlformats.org/officeDocument/2006/relationships/hyperlink" Target="https://dadosabertos.camara.leg.br/api/v2/deputados/220548" TargetMode="External"/><Relationship Id="rId1864" Type="http://schemas.openxmlformats.org/officeDocument/2006/relationships/hyperlink" Target="https://dadosabertos.camara.leg.br/api/v2/deputados/141526" TargetMode="External"/><Relationship Id="rId2915" Type="http://schemas.openxmlformats.org/officeDocument/2006/relationships/hyperlink" Target="https://dadosabertos.camara.leg.br/api/v2/deputados/73807" TargetMode="External"/><Relationship Id="rId4270" Type="http://schemas.openxmlformats.org/officeDocument/2006/relationships/hyperlink" Target="https://dadosabertos.camara.leg.br/api/v2/deputados/131354" TargetMode="External"/><Relationship Id="rId5321" Type="http://schemas.openxmlformats.org/officeDocument/2006/relationships/hyperlink" Target="https://dadosabertos.camara.leg.br/api/v2/deputados/1971" TargetMode="External"/><Relationship Id="rId1517" Type="http://schemas.openxmlformats.org/officeDocument/2006/relationships/hyperlink" Target="https://dadosabertos.camara.leg.br/api/v2/deputados/160513" TargetMode="External"/><Relationship Id="rId7079" Type="http://schemas.openxmlformats.org/officeDocument/2006/relationships/hyperlink" Target="https://dadosabertos.camara.leg.br/api/v2/deputados/765" TargetMode="External"/><Relationship Id="rId7493" Type="http://schemas.openxmlformats.org/officeDocument/2006/relationships/hyperlink" Target="https://dadosabertos.camara.leg.br/api/v2/deputados/712" TargetMode="External"/><Relationship Id="rId1931" Type="http://schemas.openxmlformats.org/officeDocument/2006/relationships/hyperlink" Target="https://dadosabertos.camara.leg.br/api/v2/deputados/133377" TargetMode="External"/><Relationship Id="rId3689" Type="http://schemas.openxmlformats.org/officeDocument/2006/relationships/hyperlink" Target="https://dadosabertos.camara.leg.br/api/v2/deputados/131751" TargetMode="External"/><Relationship Id="rId6095" Type="http://schemas.openxmlformats.org/officeDocument/2006/relationships/hyperlink" Target="https://dadosabertos.camara.leg.br/api/v2/deputados/2351" TargetMode="External"/><Relationship Id="rId7146" Type="http://schemas.openxmlformats.org/officeDocument/2006/relationships/hyperlink" Target="https://dadosabertos.camara.leg.br/api/v2/deputados/1065" TargetMode="External"/><Relationship Id="rId7560" Type="http://schemas.openxmlformats.org/officeDocument/2006/relationships/hyperlink" Target="https://dadosabertos.camara.leg.br/api/v2/deputados/476" TargetMode="External"/><Relationship Id="rId6162" Type="http://schemas.openxmlformats.org/officeDocument/2006/relationships/hyperlink" Target="https://dadosabertos.camara.leg.br/api/v2/deputados/2336" TargetMode="External"/><Relationship Id="rId7213" Type="http://schemas.openxmlformats.org/officeDocument/2006/relationships/hyperlink" Target="https://dadosabertos.camara.leg.br/api/v2/deputados/929" TargetMode="External"/><Relationship Id="rId677" Type="http://schemas.openxmlformats.org/officeDocument/2006/relationships/hyperlink" Target="https://dadosabertos.camara.leg.br/api/v2/deputados/178836" TargetMode="External"/><Relationship Id="rId2358" Type="http://schemas.openxmlformats.org/officeDocument/2006/relationships/hyperlink" Target="https://dadosabertos.camara.leg.br/api/v2/deputados/73910" TargetMode="External"/><Relationship Id="rId3756" Type="http://schemas.openxmlformats.org/officeDocument/2006/relationships/hyperlink" Target="https://dadosabertos.camara.leg.br/api/v2/deputados/131808" TargetMode="External"/><Relationship Id="rId4807" Type="http://schemas.openxmlformats.org/officeDocument/2006/relationships/hyperlink" Target="https://dadosabertos.camara.leg.br/api/v2/deputados/130593" TargetMode="External"/><Relationship Id="rId2772" Type="http://schemas.openxmlformats.org/officeDocument/2006/relationships/hyperlink" Target="https://dadosabertos.camara.leg.br/api/v2/deputados/73815" TargetMode="External"/><Relationship Id="rId3409" Type="http://schemas.openxmlformats.org/officeDocument/2006/relationships/hyperlink" Target="https://dadosabertos.camara.leg.br/api/v2/deputados/131951" TargetMode="External"/><Relationship Id="rId3823" Type="http://schemas.openxmlformats.org/officeDocument/2006/relationships/hyperlink" Target="https://dadosabertos.camara.leg.br/api/v2/deputados/131548" TargetMode="External"/><Relationship Id="rId6979" Type="http://schemas.openxmlformats.org/officeDocument/2006/relationships/hyperlink" Target="https://dadosabertos.camara.leg.br/api/v2/deputados/1206" TargetMode="External"/><Relationship Id="rId744" Type="http://schemas.openxmlformats.org/officeDocument/2006/relationships/hyperlink" Target="http://eduardobarbosa.com/" TargetMode="External"/><Relationship Id="rId1374" Type="http://schemas.openxmlformats.org/officeDocument/2006/relationships/hyperlink" Target="https://dadosabertos.camara.leg.br/api/v2/deputados/168034" TargetMode="External"/><Relationship Id="rId2425" Type="http://schemas.openxmlformats.org/officeDocument/2006/relationships/hyperlink" Target="https://dadosabertos.camara.leg.br/api/v2/deputados/74770" TargetMode="External"/><Relationship Id="rId5995" Type="http://schemas.openxmlformats.org/officeDocument/2006/relationships/hyperlink" Target="https://dadosabertos.camara.leg.br/api/v2/deputados/2537" TargetMode="External"/><Relationship Id="rId80" Type="http://schemas.openxmlformats.org/officeDocument/2006/relationships/hyperlink" Target="https://dadosabertos.camara.leg.br/api/v2/deputados/220683" TargetMode="External"/><Relationship Id="rId811" Type="http://schemas.openxmlformats.org/officeDocument/2006/relationships/hyperlink" Target="https://dadosabertos.camara.leg.br/api/v2/deputados/204546" TargetMode="External"/><Relationship Id="rId1027" Type="http://schemas.openxmlformats.org/officeDocument/2006/relationships/hyperlink" Target="https://dadosabertos.camara.leg.br/api/v2/deputados/141394" TargetMode="External"/><Relationship Id="rId1441" Type="http://schemas.openxmlformats.org/officeDocument/2006/relationships/hyperlink" Target="https://dadosabertos.camara.leg.br/api/v2/deputados/165675" TargetMode="External"/><Relationship Id="rId4597" Type="http://schemas.openxmlformats.org/officeDocument/2006/relationships/hyperlink" Target="https://dadosabertos.camara.leg.br/api/v2/deputados/130811" TargetMode="External"/><Relationship Id="rId5648" Type="http://schemas.openxmlformats.org/officeDocument/2006/relationships/hyperlink" Target="https://dadosabertos.camara.leg.br/api/v2/deputados/4205" TargetMode="External"/><Relationship Id="rId3199" Type="http://schemas.openxmlformats.org/officeDocument/2006/relationships/hyperlink" Target="https://dadosabertos.camara.leg.br/api/v2/deputados/139334" TargetMode="External"/><Relationship Id="rId4664" Type="http://schemas.openxmlformats.org/officeDocument/2006/relationships/hyperlink" Target="https://dadosabertos.camara.leg.br/api/v2/deputados/130817" TargetMode="External"/><Relationship Id="rId5715" Type="http://schemas.openxmlformats.org/officeDocument/2006/relationships/hyperlink" Target="https://dadosabertos.camara.leg.br/api/v2/deputados/130183" TargetMode="External"/><Relationship Id="rId7070" Type="http://schemas.openxmlformats.org/officeDocument/2006/relationships/hyperlink" Target="https://dadosabertos.camara.leg.br/api/v2/deputados/1090" TargetMode="External"/><Relationship Id="rId3266" Type="http://schemas.openxmlformats.org/officeDocument/2006/relationships/hyperlink" Target="https://dadosabertos.camara.leg.br/api/v2/deputados/131833" TargetMode="External"/><Relationship Id="rId4317" Type="http://schemas.openxmlformats.org/officeDocument/2006/relationships/hyperlink" Target="https://dadosabertos.camara.leg.br/api/v2/deputados/131085" TargetMode="External"/><Relationship Id="rId187" Type="http://schemas.openxmlformats.org/officeDocument/2006/relationships/hyperlink" Target="https://dadosabertos.camara.leg.br/api/v2/deputados/227991" TargetMode="External"/><Relationship Id="rId2282" Type="http://schemas.openxmlformats.org/officeDocument/2006/relationships/hyperlink" Target="https://dadosabertos.camara.leg.br/api/v2/deputados/74849" TargetMode="External"/><Relationship Id="rId3680" Type="http://schemas.openxmlformats.org/officeDocument/2006/relationships/hyperlink" Target="https://dadosabertos.camara.leg.br/api/v2/deputados/131734" TargetMode="External"/><Relationship Id="rId4731" Type="http://schemas.openxmlformats.org/officeDocument/2006/relationships/hyperlink" Target="https://dadosabertos.camara.leg.br/api/v2/deputados/130530" TargetMode="External"/><Relationship Id="rId6489" Type="http://schemas.openxmlformats.org/officeDocument/2006/relationships/hyperlink" Target="https://dadosabertos.camara.leg.br/api/v2/deputados/1582" TargetMode="External"/><Relationship Id="rId7887" Type="http://schemas.openxmlformats.org/officeDocument/2006/relationships/hyperlink" Target="https://dadosabertos.camara.leg.br/api/v2/deputados/266" TargetMode="External"/><Relationship Id="rId254" Type="http://schemas.openxmlformats.org/officeDocument/2006/relationships/hyperlink" Target="https://dadosabertos.camara.leg.br/api/v2/deputados/204411" TargetMode="External"/><Relationship Id="rId3333" Type="http://schemas.openxmlformats.org/officeDocument/2006/relationships/hyperlink" Target="https://dadosabertos.camara.leg.br/api/v2/deputados/131891" TargetMode="External"/><Relationship Id="rId7954" Type="http://schemas.openxmlformats.org/officeDocument/2006/relationships/hyperlink" Target="https://dadosabertos.camara.leg.br/api/v2/deputados/129" TargetMode="External"/><Relationship Id="rId3400" Type="http://schemas.openxmlformats.org/officeDocument/2006/relationships/hyperlink" Target="https://dadosabertos.camara.leg.br/api/v2/deputados/131942" TargetMode="External"/><Relationship Id="rId6556" Type="http://schemas.openxmlformats.org/officeDocument/2006/relationships/hyperlink" Target="https://dadosabertos.camara.leg.br/api/v2/deputados/2088" TargetMode="External"/><Relationship Id="rId6970" Type="http://schemas.openxmlformats.org/officeDocument/2006/relationships/hyperlink" Target="https://dadosabertos.camara.leg.br/api/v2/deputados/1201" TargetMode="External"/><Relationship Id="rId7607" Type="http://schemas.openxmlformats.org/officeDocument/2006/relationships/hyperlink" Target="https://dadosabertos.camara.leg.br/api/v2/deputados/278" TargetMode="External"/><Relationship Id="rId321" Type="http://schemas.openxmlformats.org/officeDocument/2006/relationships/hyperlink" Target="https://dadosabertos.camara.leg.br/api/v2/deputados/220697" TargetMode="External"/><Relationship Id="rId2002" Type="http://schemas.openxmlformats.org/officeDocument/2006/relationships/hyperlink" Target="https://dadosabertos.camara.leg.br/api/v2/deputados/74355" TargetMode="External"/><Relationship Id="rId5158" Type="http://schemas.openxmlformats.org/officeDocument/2006/relationships/hyperlink" Target="https://dadosabertos.camara.leg.br/api/v2/deputados/130324" TargetMode="External"/><Relationship Id="rId5572" Type="http://schemas.openxmlformats.org/officeDocument/2006/relationships/hyperlink" Target="https://dadosabertos.camara.leg.br/api/v2/deputados/4590" TargetMode="External"/><Relationship Id="rId6209" Type="http://schemas.openxmlformats.org/officeDocument/2006/relationships/hyperlink" Target="https://dadosabertos.camara.leg.br/api/v2/deputados/2362" TargetMode="External"/><Relationship Id="rId6623" Type="http://schemas.openxmlformats.org/officeDocument/2006/relationships/hyperlink" Target="https://dadosabertos.camara.leg.br/api/v2/deputados/2018" TargetMode="External"/><Relationship Id="rId1768" Type="http://schemas.openxmlformats.org/officeDocument/2006/relationships/hyperlink" Target="https://dadosabertos.camara.leg.br/api/v2/deputados/141444" TargetMode="External"/><Relationship Id="rId2819" Type="http://schemas.openxmlformats.org/officeDocument/2006/relationships/hyperlink" Target="https://dadosabertos.camara.leg.br/api/v2/deputados/133975" TargetMode="External"/><Relationship Id="rId4174" Type="http://schemas.openxmlformats.org/officeDocument/2006/relationships/hyperlink" Target="https://dadosabertos.camara.leg.br/api/v2/deputados/131281" TargetMode="External"/><Relationship Id="rId5225" Type="http://schemas.openxmlformats.org/officeDocument/2006/relationships/hyperlink" Target="https://dadosabertos.camara.leg.br/api/v2/deputados/130359" TargetMode="External"/><Relationship Id="rId3190" Type="http://schemas.openxmlformats.org/officeDocument/2006/relationships/hyperlink" Target="https://dadosabertos.camara.leg.br/api/v2/deputados/1503" TargetMode="External"/><Relationship Id="rId4241" Type="http://schemas.openxmlformats.org/officeDocument/2006/relationships/hyperlink" Target="https://dadosabertos.camara.leg.br/api/v2/deputados/131359" TargetMode="External"/><Relationship Id="rId7397" Type="http://schemas.openxmlformats.org/officeDocument/2006/relationships/hyperlink" Target="https://dadosabertos.camara.leg.br/api/v2/deputados/745" TargetMode="External"/><Relationship Id="rId1835" Type="http://schemas.openxmlformats.org/officeDocument/2006/relationships/hyperlink" Target="https://dadosabertos.camara.leg.br/api/v2/deputados/74318" TargetMode="External"/><Relationship Id="rId7464" Type="http://schemas.openxmlformats.org/officeDocument/2006/relationships/hyperlink" Target="https://dadosabertos.camara.leg.br/api/v2/deputados/617" TargetMode="External"/><Relationship Id="rId1902" Type="http://schemas.openxmlformats.org/officeDocument/2006/relationships/hyperlink" Target="https://dadosabertos.camara.leg.br/api/v2/deputados/74391" TargetMode="External"/><Relationship Id="rId6066" Type="http://schemas.openxmlformats.org/officeDocument/2006/relationships/hyperlink" Target="https://dadosabertos.camara.leg.br/api/v2/deputados/2472" TargetMode="External"/><Relationship Id="rId7117" Type="http://schemas.openxmlformats.org/officeDocument/2006/relationships/hyperlink" Target="https://dadosabertos.camara.leg.br/api/v2/deputados/1079" TargetMode="External"/><Relationship Id="rId6480" Type="http://schemas.openxmlformats.org/officeDocument/2006/relationships/hyperlink" Target="https://dadosabertos.camara.leg.br/api/v2/deputados/1738" TargetMode="External"/><Relationship Id="rId7531" Type="http://schemas.openxmlformats.org/officeDocument/2006/relationships/hyperlink" Target="https://dadosabertos.camara.leg.br/api/v2/deputados/630" TargetMode="External"/><Relationship Id="rId995" Type="http://schemas.openxmlformats.org/officeDocument/2006/relationships/hyperlink" Target="https://dadosabertos.camara.leg.br/api/v2/deputados/178973" TargetMode="External"/><Relationship Id="rId2676" Type="http://schemas.openxmlformats.org/officeDocument/2006/relationships/hyperlink" Target="https://dadosabertos.camara.leg.br/api/v2/deputados/73631" TargetMode="External"/><Relationship Id="rId3727" Type="http://schemas.openxmlformats.org/officeDocument/2006/relationships/hyperlink" Target="https://dadosabertos.camara.leg.br/api/v2/deputados/131748" TargetMode="External"/><Relationship Id="rId5082" Type="http://schemas.openxmlformats.org/officeDocument/2006/relationships/hyperlink" Target="https://dadosabertos.camara.leg.br/api/v2/deputados/130499" TargetMode="External"/><Relationship Id="rId6133" Type="http://schemas.openxmlformats.org/officeDocument/2006/relationships/hyperlink" Target="https://dadosabertos.camara.leg.br/api/v2/deputados/2449" TargetMode="External"/><Relationship Id="rId648" Type="http://schemas.openxmlformats.org/officeDocument/2006/relationships/hyperlink" Target="https://dadosabertos.camara.leg.br/api/v2/deputados/178992" TargetMode="External"/><Relationship Id="rId1278" Type="http://schemas.openxmlformats.org/officeDocument/2006/relationships/hyperlink" Target="https://dadosabertos.camara.leg.br/api/v2/deputados/191684" TargetMode="External"/><Relationship Id="rId1692" Type="http://schemas.openxmlformats.org/officeDocument/2006/relationships/hyperlink" Target="https://dadosabertos.camara.leg.br/api/v2/deputados/141376" TargetMode="External"/><Relationship Id="rId2329" Type="http://schemas.openxmlformats.org/officeDocument/2006/relationships/hyperlink" Target="https://dadosabertos.camara.leg.br/api/v2/deputados/74746" TargetMode="External"/><Relationship Id="rId2743" Type="http://schemas.openxmlformats.org/officeDocument/2006/relationships/hyperlink" Target="https://dadosabertos.camara.leg.br/api/v2/deputados/133927" TargetMode="External"/><Relationship Id="rId5899" Type="http://schemas.openxmlformats.org/officeDocument/2006/relationships/hyperlink" Target="https://dadosabertos.camara.leg.br/api/v2/deputados/4387" TargetMode="External"/><Relationship Id="rId6200" Type="http://schemas.openxmlformats.org/officeDocument/2006/relationships/hyperlink" Target="https://dadosabertos.camara.leg.br/api/v2/deputados/2059" TargetMode="External"/><Relationship Id="rId715" Type="http://schemas.openxmlformats.org/officeDocument/2006/relationships/hyperlink" Target="https://www.charllesevangelista.com.br/" TargetMode="External"/><Relationship Id="rId1345" Type="http://schemas.openxmlformats.org/officeDocument/2006/relationships/hyperlink" Target="https://dadosabertos.camara.leg.br/api/v2/deputados/160626" TargetMode="External"/><Relationship Id="rId2810" Type="http://schemas.openxmlformats.org/officeDocument/2006/relationships/hyperlink" Target="https://dadosabertos.camara.leg.br/api/v2/deputados/133976" TargetMode="External"/><Relationship Id="rId4568" Type="http://schemas.openxmlformats.org/officeDocument/2006/relationships/hyperlink" Target="https://dadosabertos.camara.leg.br/api/v2/deputados/130733" TargetMode="External"/><Relationship Id="rId5966" Type="http://schemas.openxmlformats.org/officeDocument/2006/relationships/hyperlink" Target="https://dadosabertos.camara.leg.br/api/v2/deputados/2520" TargetMode="External"/><Relationship Id="rId51" Type="http://schemas.openxmlformats.org/officeDocument/2006/relationships/hyperlink" Target="https://dadosabertos.camara.leg.br/api/v2/deputados/204515" TargetMode="External"/><Relationship Id="rId1412" Type="http://schemas.openxmlformats.org/officeDocument/2006/relationships/hyperlink" Target="https://dadosabertos.camara.leg.br/api/v2/deputados/166727" TargetMode="External"/><Relationship Id="rId4982" Type="http://schemas.openxmlformats.org/officeDocument/2006/relationships/hyperlink" Target="https://dadosabertos.camara.leg.br/api/v2/deputados/130445" TargetMode="External"/><Relationship Id="rId5619" Type="http://schemas.openxmlformats.org/officeDocument/2006/relationships/hyperlink" Target="https://dadosabertos.camara.leg.br/api/v2/deputados/4615" TargetMode="External"/><Relationship Id="rId7041" Type="http://schemas.openxmlformats.org/officeDocument/2006/relationships/hyperlink" Target="https://dadosabertos.camara.leg.br/api/v2/deputados/1187" TargetMode="External"/><Relationship Id="rId3584" Type="http://schemas.openxmlformats.org/officeDocument/2006/relationships/hyperlink" Target="https://dadosabertos.camara.leg.br/api/v2/deputados/131638" TargetMode="External"/><Relationship Id="rId4635" Type="http://schemas.openxmlformats.org/officeDocument/2006/relationships/hyperlink" Target="https://dadosabertos.camara.leg.br/api/v2/deputados/130800" TargetMode="External"/><Relationship Id="rId158" Type="http://schemas.openxmlformats.org/officeDocument/2006/relationships/hyperlink" Target="https://dadosabertos.camara.leg.br/api/v2/deputados/220625" TargetMode="External"/><Relationship Id="rId2186" Type="http://schemas.openxmlformats.org/officeDocument/2006/relationships/hyperlink" Target="https://dadosabertos.camara.leg.br/api/v2/deputados/74014" TargetMode="External"/><Relationship Id="rId3237" Type="http://schemas.openxmlformats.org/officeDocument/2006/relationships/hyperlink" Target="https://dadosabertos.camara.leg.br/api/v2/deputados/1526" TargetMode="External"/><Relationship Id="rId3651" Type="http://schemas.openxmlformats.org/officeDocument/2006/relationships/hyperlink" Target="https://dadosabertos.camara.leg.br/api/v2/deputados/131699" TargetMode="External"/><Relationship Id="rId4702" Type="http://schemas.openxmlformats.org/officeDocument/2006/relationships/hyperlink" Target="https://dadosabertos.camara.leg.br/api/v2/deputados/130771" TargetMode="External"/><Relationship Id="rId7858" Type="http://schemas.openxmlformats.org/officeDocument/2006/relationships/hyperlink" Target="https://dadosabertos.camara.leg.br/api/v2/deputados/343" TargetMode="External"/><Relationship Id="rId572" Type="http://schemas.openxmlformats.org/officeDocument/2006/relationships/hyperlink" Target="https://dadosabertos.camara.leg.br/api/v2/deputados/220693" TargetMode="External"/><Relationship Id="rId2253" Type="http://schemas.openxmlformats.org/officeDocument/2006/relationships/hyperlink" Target="https://dadosabertos.camara.leg.br/api/v2/deputados/74565" TargetMode="External"/><Relationship Id="rId3304" Type="http://schemas.openxmlformats.org/officeDocument/2006/relationships/hyperlink" Target="https://dadosabertos.camara.leg.br/api/v2/deputados/131869" TargetMode="External"/><Relationship Id="rId6874" Type="http://schemas.openxmlformats.org/officeDocument/2006/relationships/hyperlink" Target="https://dadosabertos.camara.leg.br/api/v2/deputados/1238" TargetMode="External"/><Relationship Id="rId7925" Type="http://schemas.openxmlformats.org/officeDocument/2006/relationships/hyperlink" Target="https://dadosabertos.camara.leg.br/api/v2/deputados/275" TargetMode="External"/><Relationship Id="rId225" Type="http://schemas.openxmlformats.org/officeDocument/2006/relationships/hyperlink" Target="http://www.enioverri.com.br/" TargetMode="External"/><Relationship Id="rId2320" Type="http://schemas.openxmlformats.org/officeDocument/2006/relationships/hyperlink" Target="https://dadosabertos.camara.leg.br/api/v2/deputados/73547" TargetMode="External"/><Relationship Id="rId5476" Type="http://schemas.openxmlformats.org/officeDocument/2006/relationships/hyperlink" Target="https://dadosabertos.camara.leg.br/api/v2/deputados/4810" TargetMode="External"/><Relationship Id="rId6527" Type="http://schemas.openxmlformats.org/officeDocument/2006/relationships/hyperlink" Target="https://dadosabertos.camara.leg.br/api/v2/deputados/2081" TargetMode="External"/><Relationship Id="rId4078" Type="http://schemas.openxmlformats.org/officeDocument/2006/relationships/hyperlink" Target="https://dadosabertos.camara.leg.br/api/v2/deputados/131206" TargetMode="External"/><Relationship Id="rId4492" Type="http://schemas.openxmlformats.org/officeDocument/2006/relationships/hyperlink" Target="https://dadosabertos.camara.leg.br/api/v2/deputados/131035" TargetMode="External"/><Relationship Id="rId5129" Type="http://schemas.openxmlformats.org/officeDocument/2006/relationships/hyperlink" Target="https://dadosabertos.camara.leg.br/api/v2/deputados/130358" TargetMode="External"/><Relationship Id="rId5543" Type="http://schemas.openxmlformats.org/officeDocument/2006/relationships/hyperlink" Target="https://dadosabertos.camara.leg.br/api/v2/deputados/4849" TargetMode="External"/><Relationship Id="rId5890" Type="http://schemas.openxmlformats.org/officeDocument/2006/relationships/hyperlink" Target="https://dadosabertos.camara.leg.br/api/v2/deputados/2587" TargetMode="External"/><Relationship Id="rId6941" Type="http://schemas.openxmlformats.org/officeDocument/2006/relationships/hyperlink" Target="https://dadosabertos.camara.leg.br/api/v2/deputados/1069" TargetMode="External"/><Relationship Id="rId3094" Type="http://schemas.openxmlformats.org/officeDocument/2006/relationships/hyperlink" Target="https://dadosabertos.camara.leg.br/api/v2/deputados/139247" TargetMode="External"/><Relationship Id="rId4145" Type="http://schemas.openxmlformats.org/officeDocument/2006/relationships/hyperlink" Target="https://dadosabertos.camara.leg.br/api/v2/deputados/131270" TargetMode="External"/><Relationship Id="rId1739" Type="http://schemas.openxmlformats.org/officeDocument/2006/relationships/hyperlink" Target="https://dadosabertos.camara.leg.br/api/v2/deputados/73938" TargetMode="External"/><Relationship Id="rId5610" Type="http://schemas.openxmlformats.org/officeDocument/2006/relationships/hyperlink" Target="https://dadosabertos.camara.leg.br/api/v2/deputados/4587" TargetMode="External"/><Relationship Id="rId1806" Type="http://schemas.openxmlformats.org/officeDocument/2006/relationships/hyperlink" Target="https://dadosabertos.camara.leg.br/api/v2/deputados/141476" TargetMode="External"/><Relationship Id="rId3161" Type="http://schemas.openxmlformats.org/officeDocument/2006/relationships/hyperlink" Target="https://dadosabertos.camara.leg.br/api/v2/deputados/139302" TargetMode="External"/><Relationship Id="rId4212" Type="http://schemas.openxmlformats.org/officeDocument/2006/relationships/hyperlink" Target="https://dadosabertos.camara.leg.br/api/v2/deputados/131330" TargetMode="External"/><Relationship Id="rId7368" Type="http://schemas.openxmlformats.org/officeDocument/2006/relationships/hyperlink" Target="https://dadosabertos.camara.leg.br/api/v2/deputados/530" TargetMode="External"/><Relationship Id="rId7782" Type="http://schemas.openxmlformats.org/officeDocument/2006/relationships/hyperlink" Target="https://dadosabertos.camara.leg.br/api/v2/deputados/375" TargetMode="External"/><Relationship Id="rId3978" Type="http://schemas.openxmlformats.org/officeDocument/2006/relationships/hyperlink" Target="https://dadosabertos.camara.leg.br/api/v2/deputados/1668" TargetMode="External"/><Relationship Id="rId6384" Type="http://schemas.openxmlformats.org/officeDocument/2006/relationships/hyperlink" Target="https://dadosabertos.camara.leg.br/api/v2/deputados/3693" TargetMode="External"/><Relationship Id="rId7435" Type="http://schemas.openxmlformats.org/officeDocument/2006/relationships/hyperlink" Target="https://dadosabertos.camara.leg.br/api/v2/deputados/501" TargetMode="External"/><Relationship Id="rId899" Type="http://schemas.openxmlformats.org/officeDocument/2006/relationships/hyperlink" Target="https://dadosabertos.camara.leg.br/api/v2/deputados/178912" TargetMode="External"/><Relationship Id="rId6037" Type="http://schemas.openxmlformats.org/officeDocument/2006/relationships/hyperlink" Target="https://dadosabertos.camara.leg.br/api/v2/deputados/2327" TargetMode="External"/><Relationship Id="rId6451" Type="http://schemas.openxmlformats.org/officeDocument/2006/relationships/hyperlink" Target="https://dadosabertos.camara.leg.br/api/v2/deputados/3743" TargetMode="External"/><Relationship Id="rId7502" Type="http://schemas.openxmlformats.org/officeDocument/2006/relationships/hyperlink" Target="https://dadosabertos.camara.leg.br/api/v2/deputados/748" TargetMode="External"/><Relationship Id="rId966" Type="http://schemas.openxmlformats.org/officeDocument/2006/relationships/hyperlink" Target="https://dadosabertos.camara.leg.br/api/v2/deputados/204385" TargetMode="External"/><Relationship Id="rId1596" Type="http://schemas.openxmlformats.org/officeDocument/2006/relationships/hyperlink" Target="http://www.blogdopolicarpo.com.br/" TargetMode="External"/><Relationship Id="rId2647" Type="http://schemas.openxmlformats.org/officeDocument/2006/relationships/hyperlink" Target="https://dadosabertos.camara.leg.br/api/v2/deputados/73563" TargetMode="External"/><Relationship Id="rId2994" Type="http://schemas.openxmlformats.org/officeDocument/2006/relationships/hyperlink" Target="https://dadosabertos.camara.leg.br/api/v2/deputados/139159" TargetMode="External"/><Relationship Id="rId5053" Type="http://schemas.openxmlformats.org/officeDocument/2006/relationships/hyperlink" Target="https://dadosabertos.camara.leg.br/api/v2/deputados/3114" TargetMode="External"/><Relationship Id="rId6104" Type="http://schemas.openxmlformats.org/officeDocument/2006/relationships/hyperlink" Target="https://dadosabertos.camara.leg.br/api/v2/deputados/2504" TargetMode="External"/><Relationship Id="rId619" Type="http://schemas.openxmlformats.org/officeDocument/2006/relationships/hyperlink" Target="https://www.facebook.com/simonemarquetto" TargetMode="External"/><Relationship Id="rId1249" Type="http://schemas.openxmlformats.org/officeDocument/2006/relationships/hyperlink" Target="https://dadosabertos.camara.leg.br/api/v2/deputados/178960" TargetMode="External"/><Relationship Id="rId5120" Type="http://schemas.openxmlformats.org/officeDocument/2006/relationships/hyperlink" Target="https://dadosabertos.camara.leg.br/api/v2/deputados/130306" TargetMode="External"/><Relationship Id="rId1663" Type="http://schemas.openxmlformats.org/officeDocument/2006/relationships/hyperlink" Target="https://dadosabertos.camara.leg.br/api/v2/deputados/131711" TargetMode="External"/><Relationship Id="rId2714" Type="http://schemas.openxmlformats.org/officeDocument/2006/relationships/hyperlink" Target="https://dadosabertos.camara.leg.br/api/v2/deputados/133991" TargetMode="External"/><Relationship Id="rId1316" Type="http://schemas.openxmlformats.org/officeDocument/2006/relationships/hyperlink" Target="https://dadosabertos.camara.leg.br/api/v2/deputados/141560" TargetMode="External"/><Relationship Id="rId1730" Type="http://schemas.openxmlformats.org/officeDocument/2006/relationships/hyperlink" Target="https://dadosabertos.camara.leg.br/api/v2/deputados/141416" TargetMode="External"/><Relationship Id="rId4886" Type="http://schemas.openxmlformats.org/officeDocument/2006/relationships/hyperlink" Target="https://dadosabertos.camara.leg.br/api/v2/deputados/130680" TargetMode="External"/><Relationship Id="rId5937" Type="http://schemas.openxmlformats.org/officeDocument/2006/relationships/hyperlink" Target="https://dadosabertos.camara.leg.br/api/v2/deputados/2518" TargetMode="External"/><Relationship Id="rId7292" Type="http://schemas.openxmlformats.org/officeDocument/2006/relationships/hyperlink" Target="https://dadosabertos.camara.leg.br/api/v2/deputados/255" TargetMode="External"/><Relationship Id="rId22" Type="http://schemas.openxmlformats.org/officeDocument/2006/relationships/hyperlink" Target="https://dadosabertos.camara.leg.br/api/v2/deputados/178972" TargetMode="External"/><Relationship Id="rId3488" Type="http://schemas.openxmlformats.org/officeDocument/2006/relationships/hyperlink" Target="https://dadosabertos.camara.leg.br/api/v2/deputados/132039" TargetMode="External"/><Relationship Id="rId4539" Type="http://schemas.openxmlformats.org/officeDocument/2006/relationships/hyperlink" Target="https://dadosabertos.camara.leg.br/api/v2/deputados/130701" TargetMode="External"/><Relationship Id="rId4953" Type="http://schemas.openxmlformats.org/officeDocument/2006/relationships/hyperlink" Target="https://dadosabertos.camara.leg.br/api/v2/deputados/130403" TargetMode="External"/><Relationship Id="rId3555" Type="http://schemas.openxmlformats.org/officeDocument/2006/relationships/hyperlink" Target="https://dadosabertos.camara.leg.br/api/v2/deputados/132094" TargetMode="External"/><Relationship Id="rId4606" Type="http://schemas.openxmlformats.org/officeDocument/2006/relationships/hyperlink" Target="https://dadosabertos.camara.leg.br/api/v2/deputados/130616" TargetMode="External"/><Relationship Id="rId7012" Type="http://schemas.openxmlformats.org/officeDocument/2006/relationships/hyperlink" Target="https://dadosabertos.camara.leg.br/api/v2/deputados/1179" TargetMode="External"/><Relationship Id="rId476" Type="http://schemas.openxmlformats.org/officeDocument/2006/relationships/hyperlink" Target="https://dadosabertos.camara.leg.br/api/v2/deputados/220617" TargetMode="External"/><Relationship Id="rId890" Type="http://schemas.openxmlformats.org/officeDocument/2006/relationships/hyperlink" Target="https://dadosabertos.camara.leg.br/api/v2/deputados/204377" TargetMode="External"/><Relationship Id="rId2157" Type="http://schemas.openxmlformats.org/officeDocument/2006/relationships/hyperlink" Target="https://dadosabertos.camara.leg.br/api/v2/deputados/73652" TargetMode="External"/><Relationship Id="rId2571" Type="http://schemas.openxmlformats.org/officeDocument/2006/relationships/hyperlink" Target="https://dadosabertos.camara.leg.br/api/v2/deputados/74837" TargetMode="External"/><Relationship Id="rId3208" Type="http://schemas.openxmlformats.org/officeDocument/2006/relationships/hyperlink" Target="https://dadosabertos.camara.leg.br/api/v2/deputados/1536" TargetMode="External"/><Relationship Id="rId6778" Type="http://schemas.openxmlformats.org/officeDocument/2006/relationships/hyperlink" Target="https://dadosabertos.camara.leg.br/api/v2/deputados/1687" TargetMode="External"/><Relationship Id="rId129" Type="http://schemas.openxmlformats.org/officeDocument/2006/relationships/hyperlink" Target="https://dadosabertos.camara.leg.br/api/v2/deputados/220666" TargetMode="External"/><Relationship Id="rId543" Type="http://schemas.openxmlformats.org/officeDocument/2006/relationships/hyperlink" Target="https://dadosabertos.camara.leg.br/api/v2/deputados/221338" TargetMode="External"/><Relationship Id="rId1173" Type="http://schemas.openxmlformats.org/officeDocument/2006/relationships/hyperlink" Target="https://dadosabertos.camara.leg.br/api/v2/deputados/178802" TargetMode="External"/><Relationship Id="rId2224" Type="http://schemas.openxmlformats.org/officeDocument/2006/relationships/hyperlink" Target="https://dadosabertos.camara.leg.br/api/v2/deputados/74679" TargetMode="External"/><Relationship Id="rId3622" Type="http://schemas.openxmlformats.org/officeDocument/2006/relationships/hyperlink" Target="https://dadosabertos.camara.leg.br/api/v2/deputados/131677" TargetMode="External"/><Relationship Id="rId7829" Type="http://schemas.openxmlformats.org/officeDocument/2006/relationships/hyperlink" Target="https://dadosabertos.camara.leg.br/api/v2/deputados/308" TargetMode="External"/><Relationship Id="rId5794" Type="http://schemas.openxmlformats.org/officeDocument/2006/relationships/hyperlink" Target="https://dadosabertos.camara.leg.br/api/v2/deputados/2656" TargetMode="External"/><Relationship Id="rId6845" Type="http://schemas.openxmlformats.org/officeDocument/2006/relationships/hyperlink" Target="https://dadosabertos.camara.leg.br/api/v2/deputados/924" TargetMode="External"/><Relationship Id="rId610" Type="http://schemas.openxmlformats.org/officeDocument/2006/relationships/hyperlink" Target="https://dadosabertos.camara.leg.br/api/v2/deputados/178933" TargetMode="External"/><Relationship Id="rId1240" Type="http://schemas.openxmlformats.org/officeDocument/2006/relationships/hyperlink" Target="https://dadosabertos.camara.leg.br/api/v2/deputados/141445" TargetMode="External"/><Relationship Id="rId4049" Type="http://schemas.openxmlformats.org/officeDocument/2006/relationships/hyperlink" Target="https://dadosabertos.camara.leg.br/api/v2/deputados/131189" TargetMode="External"/><Relationship Id="rId4396" Type="http://schemas.openxmlformats.org/officeDocument/2006/relationships/hyperlink" Target="https://dadosabertos.camara.leg.br/api/v2/deputados/130991" TargetMode="External"/><Relationship Id="rId5447" Type="http://schemas.openxmlformats.org/officeDocument/2006/relationships/hyperlink" Target="https://dadosabertos.camara.leg.br/api/v2/deputados/130272" TargetMode="External"/><Relationship Id="rId5861" Type="http://schemas.openxmlformats.org/officeDocument/2006/relationships/hyperlink" Target="https://dadosabertos.camara.leg.br/api/v2/deputados/4401" TargetMode="External"/><Relationship Id="rId6912" Type="http://schemas.openxmlformats.org/officeDocument/2006/relationships/hyperlink" Target="https://dadosabertos.camara.leg.br/api/v2/deputados/109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869"/>
  <sheetViews>
    <sheetView topLeftCell="A31" workbookViewId="0"/>
  </sheetViews>
  <sheetFormatPr defaultColWidth="12.6640625" defaultRowHeight="15.75" customHeight="1"/>
  <cols>
    <col min="4" max="4" width="16.109375" customWidth="1"/>
    <col min="5" max="5" width="15.21875" customWidth="1"/>
    <col min="6" max="6" width="54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>
      <c r="A2" s="2">
        <v>1</v>
      </c>
      <c r="B2" s="3" t="s">
        <v>14</v>
      </c>
      <c r="C2" s="2" t="s">
        <v>15</v>
      </c>
      <c r="D2" s="2">
        <v>57</v>
      </c>
      <c r="E2" s="2">
        <v>57</v>
      </c>
      <c r="F2" s="2" t="s">
        <v>16</v>
      </c>
      <c r="H2" s="2" t="s">
        <v>17</v>
      </c>
      <c r="K2" s="4">
        <v>30712</v>
      </c>
      <c r="M2" s="2" t="s">
        <v>18</v>
      </c>
      <c r="N2" s="2" t="s">
        <v>19</v>
      </c>
    </row>
    <row r="3" spans="1:16">
      <c r="A3" s="2">
        <v>2</v>
      </c>
      <c r="B3" s="3" t="s">
        <v>20</v>
      </c>
      <c r="C3" s="2" t="s">
        <v>21</v>
      </c>
      <c r="D3" s="2">
        <v>56</v>
      </c>
      <c r="E3" s="2">
        <v>57</v>
      </c>
      <c r="F3" s="2" t="s">
        <v>22</v>
      </c>
      <c r="H3" s="2" t="s">
        <v>17</v>
      </c>
      <c r="I3" s="2" t="s">
        <v>23</v>
      </c>
      <c r="K3" s="4">
        <v>30587</v>
      </c>
      <c r="M3" s="2" t="s">
        <v>24</v>
      </c>
      <c r="N3" s="2" t="s">
        <v>25</v>
      </c>
    </row>
    <row r="4" spans="1:16">
      <c r="A4" s="2">
        <v>3</v>
      </c>
      <c r="B4" s="3" t="s">
        <v>26</v>
      </c>
      <c r="C4" s="2" t="s">
        <v>27</v>
      </c>
      <c r="D4" s="2">
        <v>57</v>
      </c>
      <c r="E4" s="2">
        <v>57</v>
      </c>
      <c r="F4" s="2" t="s">
        <v>28</v>
      </c>
      <c r="H4" s="2" t="s">
        <v>17</v>
      </c>
      <c r="I4" s="2" t="s">
        <v>29</v>
      </c>
      <c r="K4" s="4">
        <v>33650</v>
      </c>
      <c r="M4" s="2" t="s">
        <v>30</v>
      </c>
      <c r="N4" s="2" t="s">
        <v>31</v>
      </c>
    </row>
    <row r="5" spans="1:16">
      <c r="A5" s="2">
        <v>4</v>
      </c>
      <c r="B5" s="3" t="s">
        <v>32</v>
      </c>
      <c r="C5" s="2" t="s">
        <v>33</v>
      </c>
      <c r="D5" s="2">
        <v>57</v>
      </c>
      <c r="E5" s="2">
        <v>57</v>
      </c>
      <c r="F5" s="2" t="s">
        <v>34</v>
      </c>
      <c r="H5" s="2" t="s">
        <v>17</v>
      </c>
      <c r="K5" s="4">
        <v>23542</v>
      </c>
      <c r="M5" s="2" t="s">
        <v>35</v>
      </c>
      <c r="N5" s="2" t="s">
        <v>36</v>
      </c>
    </row>
    <row r="6" spans="1:16">
      <c r="A6" s="2">
        <v>5</v>
      </c>
      <c r="B6" s="3" t="s">
        <v>37</v>
      </c>
      <c r="C6" s="2" t="s">
        <v>38</v>
      </c>
      <c r="D6" s="2">
        <v>56</v>
      </c>
      <c r="E6" s="2">
        <v>57</v>
      </c>
      <c r="F6" s="2" t="s">
        <v>39</v>
      </c>
      <c r="H6" s="2" t="s">
        <v>17</v>
      </c>
      <c r="K6" s="4">
        <v>29619</v>
      </c>
      <c r="M6" s="2" t="s">
        <v>40</v>
      </c>
      <c r="N6" s="2" t="s">
        <v>41</v>
      </c>
    </row>
    <row r="7" spans="1:16">
      <c r="A7" s="2">
        <v>6</v>
      </c>
      <c r="B7" s="3" t="s">
        <v>42</v>
      </c>
      <c r="C7" s="2" t="s">
        <v>43</v>
      </c>
      <c r="D7" s="2">
        <v>56</v>
      </c>
      <c r="E7" s="2">
        <v>57</v>
      </c>
      <c r="F7" s="2" t="s">
        <v>44</v>
      </c>
      <c r="H7" s="2" t="s">
        <v>45</v>
      </c>
      <c r="I7" s="2" t="s">
        <v>46</v>
      </c>
      <c r="K7" s="4">
        <v>25268</v>
      </c>
      <c r="M7" s="2" t="s">
        <v>47</v>
      </c>
      <c r="N7" s="2" t="s">
        <v>48</v>
      </c>
    </row>
    <row r="8" spans="1:16">
      <c r="A8" s="2">
        <v>7</v>
      </c>
      <c r="B8" s="3" t="s">
        <v>49</v>
      </c>
      <c r="C8" s="2" t="s">
        <v>50</v>
      </c>
      <c r="D8" s="2">
        <v>56</v>
      </c>
      <c r="E8" s="2">
        <v>57</v>
      </c>
      <c r="F8" s="2" t="s">
        <v>51</v>
      </c>
      <c r="H8" s="2" t="s">
        <v>17</v>
      </c>
      <c r="I8" s="2" t="s">
        <v>52</v>
      </c>
      <c r="K8" s="4">
        <v>25452</v>
      </c>
      <c r="M8" s="2" t="s">
        <v>53</v>
      </c>
      <c r="N8" s="2" t="s">
        <v>54</v>
      </c>
    </row>
    <row r="9" spans="1:16">
      <c r="A9" s="2">
        <v>8</v>
      </c>
      <c r="B9" s="3" t="s">
        <v>55</v>
      </c>
      <c r="C9" s="2" t="s">
        <v>56</v>
      </c>
      <c r="D9" s="2">
        <v>48</v>
      </c>
      <c r="E9" s="2">
        <v>57</v>
      </c>
      <c r="F9" s="2" t="s">
        <v>57</v>
      </c>
      <c r="H9" s="2" t="s">
        <v>17</v>
      </c>
      <c r="K9" s="4">
        <v>21985</v>
      </c>
      <c r="M9" s="2" t="s">
        <v>35</v>
      </c>
      <c r="N9" s="2" t="s">
        <v>58</v>
      </c>
    </row>
    <row r="10" spans="1:16">
      <c r="A10" s="2">
        <v>9</v>
      </c>
      <c r="B10" s="3" t="s">
        <v>59</v>
      </c>
      <c r="C10" s="2" t="s">
        <v>60</v>
      </c>
      <c r="D10" s="2">
        <v>54</v>
      </c>
      <c r="E10" s="2">
        <v>57</v>
      </c>
      <c r="F10" s="2" t="s">
        <v>61</v>
      </c>
      <c r="H10" s="2" t="s">
        <v>17</v>
      </c>
      <c r="K10" s="4">
        <v>22204</v>
      </c>
      <c r="M10" s="2" t="s">
        <v>40</v>
      </c>
      <c r="N10" s="2" t="s">
        <v>41</v>
      </c>
    </row>
    <row r="11" spans="1:16">
      <c r="A11" s="2">
        <v>10</v>
      </c>
      <c r="B11" s="3" t="s">
        <v>62</v>
      </c>
      <c r="C11" s="2" t="s">
        <v>63</v>
      </c>
      <c r="D11" s="2">
        <v>52</v>
      </c>
      <c r="E11" s="2">
        <v>57</v>
      </c>
      <c r="F11" s="2" t="s">
        <v>64</v>
      </c>
      <c r="H11" s="2" t="s">
        <v>17</v>
      </c>
      <c r="I11" s="2" t="s">
        <v>65</v>
      </c>
      <c r="K11" s="4">
        <v>22761</v>
      </c>
      <c r="M11" s="2" t="s">
        <v>66</v>
      </c>
      <c r="N11" s="2" t="s">
        <v>67</v>
      </c>
    </row>
    <row r="12" spans="1:16">
      <c r="A12" s="2">
        <v>11</v>
      </c>
      <c r="B12" s="3" t="s">
        <v>68</v>
      </c>
      <c r="C12" s="2" t="s">
        <v>69</v>
      </c>
      <c r="D12" s="2">
        <v>54</v>
      </c>
      <c r="E12" s="2">
        <v>57</v>
      </c>
      <c r="F12" s="2" t="s">
        <v>70</v>
      </c>
      <c r="H12" s="2" t="s">
        <v>17</v>
      </c>
      <c r="K12" s="4">
        <v>18271</v>
      </c>
      <c r="M12" s="2" t="s">
        <v>66</v>
      </c>
      <c r="N12" s="2" t="s">
        <v>71</v>
      </c>
    </row>
    <row r="13" spans="1:16">
      <c r="A13" s="2">
        <v>12</v>
      </c>
      <c r="B13" s="3" t="s">
        <v>72</v>
      </c>
      <c r="C13" s="2" t="s">
        <v>73</v>
      </c>
      <c r="D13" s="2">
        <v>54</v>
      </c>
      <c r="E13" s="2">
        <v>57</v>
      </c>
      <c r="F13" s="2" t="s">
        <v>74</v>
      </c>
      <c r="H13" s="2" t="s">
        <v>17</v>
      </c>
      <c r="I13" s="2" t="s">
        <v>75</v>
      </c>
      <c r="K13" s="4">
        <v>25247</v>
      </c>
      <c r="M13" s="2" t="s">
        <v>76</v>
      </c>
      <c r="N13" s="2" t="s">
        <v>77</v>
      </c>
    </row>
    <row r="14" spans="1:16">
      <c r="A14" s="2">
        <v>13</v>
      </c>
      <c r="B14" s="3" t="s">
        <v>78</v>
      </c>
      <c r="C14" s="2" t="s">
        <v>79</v>
      </c>
      <c r="D14" s="2">
        <v>56</v>
      </c>
      <c r="E14" s="2">
        <v>57</v>
      </c>
      <c r="F14" s="2" t="s">
        <v>80</v>
      </c>
      <c r="H14" s="2" t="s">
        <v>17</v>
      </c>
      <c r="K14" s="4">
        <v>21625</v>
      </c>
      <c r="M14" s="2" t="s">
        <v>66</v>
      </c>
      <c r="N14" s="2" t="s">
        <v>81</v>
      </c>
    </row>
    <row r="15" spans="1:16">
      <c r="A15" s="2">
        <v>14</v>
      </c>
      <c r="B15" s="3" t="s">
        <v>82</v>
      </c>
      <c r="C15" s="2" t="s">
        <v>83</v>
      </c>
      <c r="D15" s="2">
        <v>56</v>
      </c>
      <c r="E15" s="2">
        <v>57</v>
      </c>
      <c r="F15" s="2" t="s">
        <v>84</v>
      </c>
      <c r="H15" s="2" t="s">
        <v>17</v>
      </c>
      <c r="K15" s="4">
        <v>30585</v>
      </c>
      <c r="M15" s="2" t="s">
        <v>85</v>
      </c>
      <c r="N15" s="2" t="s">
        <v>86</v>
      </c>
    </row>
    <row r="16" spans="1:16">
      <c r="A16" s="2">
        <v>15</v>
      </c>
      <c r="B16" s="3" t="s">
        <v>87</v>
      </c>
      <c r="C16" s="2" t="s">
        <v>88</v>
      </c>
      <c r="D16" s="2">
        <v>51</v>
      </c>
      <c r="E16" s="2">
        <v>57</v>
      </c>
      <c r="F16" s="2" t="s">
        <v>89</v>
      </c>
      <c r="H16" s="2" t="s">
        <v>17</v>
      </c>
      <c r="I16" s="3" t="s">
        <v>90</v>
      </c>
      <c r="K16" s="4">
        <v>20608</v>
      </c>
      <c r="M16" s="2" t="s">
        <v>91</v>
      </c>
      <c r="N16" s="2" t="s">
        <v>92</v>
      </c>
    </row>
    <row r="17" spans="1:14">
      <c r="A17" s="2">
        <v>16</v>
      </c>
      <c r="B17" s="3" t="s">
        <v>93</v>
      </c>
      <c r="C17" s="2" t="s">
        <v>94</v>
      </c>
      <c r="D17" s="2">
        <v>51</v>
      </c>
      <c r="E17" s="2">
        <v>57</v>
      </c>
      <c r="F17" s="2" t="s">
        <v>95</v>
      </c>
      <c r="H17" s="2" t="s">
        <v>17</v>
      </c>
      <c r="I17" s="2" t="s">
        <v>96</v>
      </c>
      <c r="K17" s="4">
        <v>19840</v>
      </c>
      <c r="M17" s="2" t="s">
        <v>47</v>
      </c>
      <c r="N17" s="2" t="s">
        <v>48</v>
      </c>
    </row>
    <row r="18" spans="1:14">
      <c r="A18" s="2">
        <v>17</v>
      </c>
      <c r="B18" s="3" t="s">
        <v>97</v>
      </c>
      <c r="C18" s="2" t="s">
        <v>98</v>
      </c>
      <c r="D18" s="2">
        <v>57</v>
      </c>
      <c r="E18" s="2">
        <v>57</v>
      </c>
      <c r="F18" s="2" t="s">
        <v>99</v>
      </c>
      <c r="H18" s="2" t="s">
        <v>17</v>
      </c>
      <c r="K18" s="4">
        <v>27054</v>
      </c>
      <c r="M18" s="2" t="s">
        <v>85</v>
      </c>
      <c r="N18" s="2" t="s">
        <v>100</v>
      </c>
    </row>
    <row r="19" spans="1:14">
      <c r="A19" s="2">
        <v>18</v>
      </c>
      <c r="B19" s="3" t="s">
        <v>101</v>
      </c>
      <c r="C19" s="2" t="s">
        <v>102</v>
      </c>
      <c r="D19" s="2">
        <v>54</v>
      </c>
      <c r="E19" s="2">
        <v>57</v>
      </c>
      <c r="F19" s="2" t="s">
        <v>103</v>
      </c>
      <c r="H19" s="2" t="s">
        <v>17</v>
      </c>
      <c r="I19" s="3" t="s">
        <v>104</v>
      </c>
      <c r="K19" s="4">
        <v>19879</v>
      </c>
      <c r="M19" s="2" t="s">
        <v>66</v>
      </c>
      <c r="N19" s="2" t="s">
        <v>105</v>
      </c>
    </row>
    <row r="20" spans="1:14">
      <c r="A20" s="2">
        <v>19</v>
      </c>
      <c r="B20" s="3" t="s">
        <v>106</v>
      </c>
      <c r="C20" s="2" t="s">
        <v>107</v>
      </c>
      <c r="D20" s="2">
        <v>56</v>
      </c>
      <c r="E20" s="2">
        <v>57</v>
      </c>
      <c r="F20" s="2" t="s">
        <v>108</v>
      </c>
      <c r="H20" s="2" t="s">
        <v>17</v>
      </c>
      <c r="I20" s="2" t="s">
        <v>109</v>
      </c>
      <c r="K20" s="4">
        <v>27833</v>
      </c>
      <c r="M20" s="2" t="s">
        <v>47</v>
      </c>
      <c r="N20" s="2" t="s">
        <v>110</v>
      </c>
    </row>
    <row r="21" spans="1:14">
      <c r="A21" s="2">
        <v>20</v>
      </c>
      <c r="B21" s="3" t="s">
        <v>111</v>
      </c>
      <c r="C21" s="2" t="s">
        <v>112</v>
      </c>
      <c r="D21" s="2">
        <v>55</v>
      </c>
      <c r="E21" s="2">
        <v>57</v>
      </c>
      <c r="F21" s="2" t="s">
        <v>113</v>
      </c>
      <c r="H21" s="2" t="s">
        <v>17</v>
      </c>
      <c r="I21" s="2" t="s">
        <v>114</v>
      </c>
      <c r="K21" s="4">
        <v>29089</v>
      </c>
      <c r="M21" s="2" t="s">
        <v>47</v>
      </c>
      <c r="N21" s="2" t="s">
        <v>115</v>
      </c>
    </row>
    <row r="22" spans="1:14">
      <c r="A22" s="2">
        <v>21</v>
      </c>
      <c r="B22" s="3" t="s">
        <v>116</v>
      </c>
      <c r="C22" s="2" t="s">
        <v>117</v>
      </c>
      <c r="D22" s="2">
        <v>56</v>
      </c>
      <c r="E22" s="2">
        <v>57</v>
      </c>
      <c r="F22" s="2" t="s">
        <v>118</v>
      </c>
      <c r="H22" s="2" t="s">
        <v>17</v>
      </c>
      <c r="K22" s="4">
        <v>26472</v>
      </c>
      <c r="M22" s="2" t="s">
        <v>40</v>
      </c>
      <c r="N22" s="2" t="s">
        <v>41</v>
      </c>
    </row>
    <row r="23" spans="1:14">
      <c r="A23" s="2">
        <v>22</v>
      </c>
      <c r="B23" s="3" t="s">
        <v>119</v>
      </c>
      <c r="C23" s="2" t="s">
        <v>120</v>
      </c>
      <c r="D23" s="2">
        <v>57</v>
      </c>
      <c r="E23" s="2">
        <v>57</v>
      </c>
      <c r="F23" s="2" t="s">
        <v>121</v>
      </c>
      <c r="H23" s="2" t="s">
        <v>17</v>
      </c>
      <c r="K23" s="4">
        <v>31462</v>
      </c>
      <c r="M23" s="2" t="s">
        <v>122</v>
      </c>
      <c r="N23" s="2" t="s">
        <v>123</v>
      </c>
    </row>
    <row r="24" spans="1:14">
      <c r="A24" s="2">
        <v>23</v>
      </c>
      <c r="B24" s="3" t="s">
        <v>124</v>
      </c>
      <c r="C24" s="2" t="s">
        <v>125</v>
      </c>
      <c r="D24" s="2">
        <v>54</v>
      </c>
      <c r="E24" s="2">
        <v>57</v>
      </c>
      <c r="F24" s="2" t="s">
        <v>126</v>
      </c>
      <c r="H24" s="2" t="s">
        <v>17</v>
      </c>
      <c r="I24" s="2" t="s">
        <v>127</v>
      </c>
      <c r="K24" s="4">
        <v>32616</v>
      </c>
      <c r="M24" s="2" t="s">
        <v>47</v>
      </c>
      <c r="N24" s="2" t="s">
        <v>48</v>
      </c>
    </row>
    <row r="25" spans="1:14">
      <c r="A25" s="2">
        <v>24</v>
      </c>
      <c r="B25" s="3" t="s">
        <v>128</v>
      </c>
      <c r="C25" s="2" t="s">
        <v>129</v>
      </c>
      <c r="D25" s="2">
        <v>57</v>
      </c>
      <c r="E25" s="2">
        <v>57</v>
      </c>
      <c r="F25" s="2" t="s">
        <v>130</v>
      </c>
      <c r="H25" s="2" t="s">
        <v>17</v>
      </c>
      <c r="K25" s="4">
        <v>23368</v>
      </c>
      <c r="M25" s="2" t="s">
        <v>66</v>
      </c>
      <c r="N25" s="2" t="s">
        <v>131</v>
      </c>
    </row>
    <row r="26" spans="1:14">
      <c r="A26" s="2">
        <v>25</v>
      </c>
      <c r="B26" s="3" t="s">
        <v>132</v>
      </c>
      <c r="C26" s="2" t="s">
        <v>133</v>
      </c>
      <c r="D26" s="2">
        <v>56</v>
      </c>
      <c r="E26" s="2">
        <v>57</v>
      </c>
      <c r="F26" s="2" t="s">
        <v>134</v>
      </c>
      <c r="H26" s="2" t="s">
        <v>17</v>
      </c>
      <c r="I26" s="2" t="s">
        <v>135</v>
      </c>
      <c r="K26" s="4">
        <v>26190</v>
      </c>
      <c r="M26" s="2" t="s">
        <v>47</v>
      </c>
      <c r="N26" s="2" t="s">
        <v>48</v>
      </c>
    </row>
    <row r="27" spans="1:14">
      <c r="A27" s="2">
        <v>26</v>
      </c>
      <c r="B27" s="3" t="s">
        <v>136</v>
      </c>
      <c r="C27" s="2" t="s">
        <v>137</v>
      </c>
      <c r="D27" s="2">
        <v>56</v>
      </c>
      <c r="E27" s="2">
        <v>57</v>
      </c>
      <c r="F27" s="2" t="s">
        <v>138</v>
      </c>
      <c r="H27" s="2" t="s">
        <v>17</v>
      </c>
      <c r="I27" s="3" t="s">
        <v>139</v>
      </c>
      <c r="K27" s="4">
        <v>21725</v>
      </c>
      <c r="M27" s="2" t="s">
        <v>140</v>
      </c>
      <c r="N27" s="2" t="s">
        <v>141</v>
      </c>
    </row>
    <row r="28" spans="1:14">
      <c r="A28" s="2">
        <v>27</v>
      </c>
      <c r="B28" s="3" t="s">
        <v>142</v>
      </c>
      <c r="C28" s="2" t="s">
        <v>143</v>
      </c>
      <c r="D28" s="2">
        <v>57</v>
      </c>
      <c r="E28" s="2">
        <v>57</v>
      </c>
      <c r="F28" s="2" t="s">
        <v>144</v>
      </c>
      <c r="H28" s="2" t="s">
        <v>17</v>
      </c>
      <c r="I28" s="2" t="s">
        <v>145</v>
      </c>
      <c r="K28" s="4">
        <v>25793</v>
      </c>
      <c r="M28" s="2" t="s">
        <v>146</v>
      </c>
      <c r="N28" s="2" t="s">
        <v>147</v>
      </c>
    </row>
    <row r="29" spans="1:14">
      <c r="A29" s="2">
        <v>28</v>
      </c>
      <c r="B29" s="3" t="s">
        <v>148</v>
      </c>
      <c r="C29" s="2" t="s">
        <v>149</v>
      </c>
      <c r="D29" s="2">
        <v>52</v>
      </c>
      <c r="E29" s="2">
        <v>57</v>
      </c>
      <c r="F29" s="2" t="s">
        <v>150</v>
      </c>
      <c r="H29" s="2" t="s">
        <v>45</v>
      </c>
      <c r="K29" s="4">
        <v>21686</v>
      </c>
      <c r="M29" s="2" t="s">
        <v>40</v>
      </c>
      <c r="N29" s="2" t="s">
        <v>41</v>
      </c>
    </row>
    <row r="30" spans="1:14">
      <c r="A30" s="2">
        <v>29</v>
      </c>
      <c r="B30" s="3" t="s">
        <v>151</v>
      </c>
      <c r="C30" s="2" t="s">
        <v>152</v>
      </c>
      <c r="D30" s="2">
        <v>55</v>
      </c>
      <c r="E30" s="2">
        <v>57</v>
      </c>
      <c r="F30" s="2" t="s">
        <v>153</v>
      </c>
      <c r="H30" s="2" t="s">
        <v>17</v>
      </c>
      <c r="K30" s="4">
        <v>32565</v>
      </c>
      <c r="M30" s="2" t="s">
        <v>154</v>
      </c>
      <c r="N30" s="2" t="s">
        <v>155</v>
      </c>
    </row>
    <row r="31" spans="1:14">
      <c r="A31" s="2">
        <v>30</v>
      </c>
      <c r="B31" s="3" t="s">
        <v>156</v>
      </c>
      <c r="C31" s="2" t="s">
        <v>157</v>
      </c>
      <c r="D31" s="2">
        <v>56</v>
      </c>
      <c r="E31" s="2">
        <v>57</v>
      </c>
      <c r="F31" s="2" t="s">
        <v>158</v>
      </c>
      <c r="H31" s="2" t="s">
        <v>45</v>
      </c>
      <c r="I31" s="2" t="s">
        <v>159</v>
      </c>
      <c r="K31" s="4">
        <v>29550</v>
      </c>
      <c r="M31" s="2" t="s">
        <v>24</v>
      </c>
      <c r="N31" s="2" t="s">
        <v>25</v>
      </c>
    </row>
    <row r="32" spans="1:14">
      <c r="A32" s="2">
        <v>31</v>
      </c>
      <c r="B32" s="3" t="s">
        <v>160</v>
      </c>
      <c r="C32" s="2" t="s">
        <v>161</v>
      </c>
      <c r="D32" s="2">
        <v>57</v>
      </c>
      <c r="E32" s="2">
        <v>57</v>
      </c>
      <c r="F32" s="2" t="s">
        <v>162</v>
      </c>
      <c r="H32" s="2" t="s">
        <v>17</v>
      </c>
      <c r="I32" s="2" t="s">
        <v>163</v>
      </c>
      <c r="K32" s="4">
        <v>25445</v>
      </c>
      <c r="M32" s="2" t="s">
        <v>164</v>
      </c>
      <c r="N32" s="2" t="s">
        <v>165</v>
      </c>
    </row>
    <row r="33" spans="1:14">
      <c r="A33" s="2">
        <v>32</v>
      </c>
      <c r="B33" s="3" t="s">
        <v>166</v>
      </c>
      <c r="C33" s="2" t="s">
        <v>167</v>
      </c>
      <c r="D33" s="2">
        <v>55</v>
      </c>
      <c r="E33" s="2">
        <v>57</v>
      </c>
      <c r="F33" s="2" t="s">
        <v>168</v>
      </c>
      <c r="H33" s="2" t="s">
        <v>17</v>
      </c>
      <c r="I33" s="2" t="s">
        <v>169</v>
      </c>
      <c r="K33" s="4">
        <v>25094</v>
      </c>
      <c r="M33" s="2" t="s">
        <v>170</v>
      </c>
      <c r="N33" s="2" t="s">
        <v>171</v>
      </c>
    </row>
    <row r="34" spans="1:14">
      <c r="A34" s="2">
        <v>33</v>
      </c>
      <c r="B34" s="3" t="s">
        <v>172</v>
      </c>
      <c r="C34" s="2" t="s">
        <v>173</v>
      </c>
      <c r="D34" s="2">
        <v>55</v>
      </c>
      <c r="E34" s="2">
        <v>57</v>
      </c>
      <c r="F34" s="2" t="s">
        <v>174</v>
      </c>
      <c r="H34" s="2" t="s">
        <v>17</v>
      </c>
      <c r="I34" s="2" t="s">
        <v>175</v>
      </c>
      <c r="K34" s="4">
        <v>22596</v>
      </c>
      <c r="M34" s="2" t="s">
        <v>35</v>
      </c>
      <c r="N34" s="2" t="s">
        <v>58</v>
      </c>
    </row>
    <row r="35" spans="1:14">
      <c r="A35" s="2">
        <v>34</v>
      </c>
      <c r="B35" s="3" t="s">
        <v>176</v>
      </c>
      <c r="C35" s="2" t="s">
        <v>177</v>
      </c>
      <c r="D35" s="2">
        <v>57</v>
      </c>
      <c r="E35" s="2">
        <v>57</v>
      </c>
      <c r="F35" s="2" t="s">
        <v>178</v>
      </c>
      <c r="H35" s="2" t="s">
        <v>45</v>
      </c>
      <c r="I35" s="2" t="s">
        <v>179</v>
      </c>
      <c r="K35" s="4">
        <v>31128</v>
      </c>
      <c r="L35" s="4">
        <v>45424</v>
      </c>
      <c r="M35" s="2" t="s">
        <v>47</v>
      </c>
      <c r="N35" s="2" t="s">
        <v>180</v>
      </c>
    </row>
    <row r="36" spans="1:14">
      <c r="A36" s="2">
        <v>35</v>
      </c>
      <c r="B36" s="3" t="s">
        <v>181</v>
      </c>
      <c r="C36" s="2" t="s">
        <v>182</v>
      </c>
      <c r="D36" s="2">
        <v>57</v>
      </c>
      <c r="E36" s="2">
        <v>57</v>
      </c>
      <c r="F36" s="2" t="s">
        <v>183</v>
      </c>
      <c r="H36" s="2" t="s">
        <v>45</v>
      </c>
      <c r="I36" s="2" t="s">
        <v>184</v>
      </c>
      <c r="K36" s="4">
        <v>36154</v>
      </c>
      <c r="M36" s="2" t="s">
        <v>185</v>
      </c>
      <c r="N36" s="2" t="s">
        <v>186</v>
      </c>
    </row>
    <row r="37" spans="1:14">
      <c r="A37" s="2">
        <v>36</v>
      </c>
      <c r="B37" s="3" t="s">
        <v>187</v>
      </c>
      <c r="C37" s="2" t="s">
        <v>188</v>
      </c>
      <c r="D37" s="2">
        <v>56</v>
      </c>
      <c r="E37" s="2">
        <v>57</v>
      </c>
      <c r="F37" s="2" t="s">
        <v>189</v>
      </c>
      <c r="H37" s="2" t="s">
        <v>17</v>
      </c>
      <c r="I37" s="2" t="s">
        <v>190</v>
      </c>
      <c r="J37" s="3" t="s">
        <v>191</v>
      </c>
      <c r="K37" s="4">
        <v>28098</v>
      </c>
      <c r="M37" s="2" t="s">
        <v>192</v>
      </c>
      <c r="N37" s="2" t="s">
        <v>193</v>
      </c>
    </row>
    <row r="38" spans="1:14">
      <c r="A38" s="2">
        <v>37</v>
      </c>
      <c r="B38" s="3" t="s">
        <v>194</v>
      </c>
      <c r="C38" s="2" t="s">
        <v>195</v>
      </c>
      <c r="D38" s="2">
        <v>57</v>
      </c>
      <c r="E38" s="2">
        <v>57</v>
      </c>
      <c r="F38" s="2" t="s">
        <v>196</v>
      </c>
      <c r="H38" s="2" t="s">
        <v>17</v>
      </c>
      <c r="I38" s="2" t="s">
        <v>197</v>
      </c>
      <c r="K38" s="4">
        <v>36893</v>
      </c>
      <c r="M38" s="2" t="s">
        <v>198</v>
      </c>
      <c r="N38" s="2" t="s">
        <v>199</v>
      </c>
    </row>
    <row r="39" spans="1:14">
      <c r="A39" s="2">
        <v>38</v>
      </c>
      <c r="B39" s="3" t="s">
        <v>200</v>
      </c>
      <c r="C39" s="2" t="s">
        <v>201</v>
      </c>
      <c r="D39" s="2">
        <v>57</v>
      </c>
      <c r="E39" s="2">
        <v>57</v>
      </c>
      <c r="F39" s="2" t="s">
        <v>202</v>
      </c>
      <c r="H39" s="2" t="s">
        <v>45</v>
      </c>
      <c r="I39" s="2" t="s">
        <v>203</v>
      </c>
      <c r="K39" s="4">
        <v>23976</v>
      </c>
      <c r="M39" s="2" t="s">
        <v>35</v>
      </c>
      <c r="N39" s="2" t="s">
        <v>204</v>
      </c>
    </row>
    <row r="40" spans="1:14">
      <c r="A40" s="2">
        <v>39</v>
      </c>
      <c r="B40" s="3" t="s">
        <v>205</v>
      </c>
      <c r="C40" s="2" t="s">
        <v>206</v>
      </c>
      <c r="D40" s="2">
        <v>57</v>
      </c>
      <c r="E40" s="2">
        <v>57</v>
      </c>
      <c r="F40" s="2" t="s">
        <v>207</v>
      </c>
      <c r="H40" s="2" t="s">
        <v>45</v>
      </c>
      <c r="K40" s="4">
        <v>23486</v>
      </c>
      <c r="M40" s="2" t="s">
        <v>154</v>
      </c>
      <c r="N40" s="2" t="s">
        <v>208</v>
      </c>
    </row>
    <row r="41" spans="1:14">
      <c r="A41" s="2">
        <v>40</v>
      </c>
      <c r="B41" s="3" t="s">
        <v>209</v>
      </c>
      <c r="C41" s="2" t="s">
        <v>210</v>
      </c>
      <c r="D41" s="2">
        <v>57</v>
      </c>
      <c r="E41" s="2">
        <v>57</v>
      </c>
      <c r="F41" s="2" t="s">
        <v>211</v>
      </c>
      <c r="H41" s="2" t="s">
        <v>45</v>
      </c>
      <c r="K41" s="4">
        <v>30086</v>
      </c>
      <c r="M41" s="2" t="s">
        <v>35</v>
      </c>
      <c r="N41" s="2" t="s">
        <v>212</v>
      </c>
    </row>
    <row r="42" spans="1:14">
      <c r="A42" s="2">
        <v>41</v>
      </c>
      <c r="B42" s="3" t="s">
        <v>213</v>
      </c>
      <c r="C42" s="2" t="s">
        <v>214</v>
      </c>
      <c r="D42" s="2">
        <v>55</v>
      </c>
      <c r="E42" s="2">
        <v>57</v>
      </c>
      <c r="F42" s="2" t="s">
        <v>215</v>
      </c>
      <c r="H42" s="2" t="s">
        <v>17</v>
      </c>
      <c r="I42" s="3" t="s">
        <v>216</v>
      </c>
      <c r="K42" s="4">
        <v>25882</v>
      </c>
      <c r="M42" s="2" t="s">
        <v>164</v>
      </c>
      <c r="N42" s="2" t="s">
        <v>165</v>
      </c>
    </row>
    <row r="43" spans="1:14">
      <c r="A43" s="2">
        <v>42</v>
      </c>
      <c r="B43" s="3" t="s">
        <v>217</v>
      </c>
      <c r="C43" s="2" t="s">
        <v>218</v>
      </c>
      <c r="D43" s="2">
        <v>57</v>
      </c>
      <c r="E43" s="2">
        <v>57</v>
      </c>
      <c r="F43" s="2" t="s">
        <v>219</v>
      </c>
      <c r="H43" s="2" t="s">
        <v>17</v>
      </c>
      <c r="I43" s="2" t="s">
        <v>220</v>
      </c>
      <c r="K43" s="4">
        <v>35774</v>
      </c>
      <c r="M43" s="2" t="s">
        <v>85</v>
      </c>
      <c r="N43" s="2" t="s">
        <v>221</v>
      </c>
    </row>
    <row r="44" spans="1:14">
      <c r="A44" s="2">
        <v>43</v>
      </c>
      <c r="B44" s="3" t="s">
        <v>222</v>
      </c>
      <c r="C44" s="2" t="s">
        <v>223</v>
      </c>
      <c r="D44" s="2">
        <v>56</v>
      </c>
      <c r="E44" s="2">
        <v>57</v>
      </c>
      <c r="F44" s="2" t="s">
        <v>224</v>
      </c>
      <c r="H44" s="2" t="s">
        <v>17</v>
      </c>
      <c r="I44" s="2" t="s">
        <v>225</v>
      </c>
      <c r="K44" s="4">
        <v>26643</v>
      </c>
      <c r="M44" s="2" t="s">
        <v>198</v>
      </c>
      <c r="N44" s="2" t="s">
        <v>199</v>
      </c>
    </row>
    <row r="45" spans="1:14">
      <c r="A45" s="2">
        <v>44</v>
      </c>
      <c r="B45" s="3" t="s">
        <v>226</v>
      </c>
      <c r="C45" s="2" t="s">
        <v>227</v>
      </c>
      <c r="D45" s="2">
        <v>52</v>
      </c>
      <c r="E45" s="2">
        <v>57</v>
      </c>
      <c r="F45" s="2" t="s">
        <v>228</v>
      </c>
      <c r="H45" s="2" t="s">
        <v>17</v>
      </c>
      <c r="I45" s="2" t="s">
        <v>229</v>
      </c>
      <c r="K45" s="4">
        <v>24421</v>
      </c>
      <c r="M45" s="2" t="s">
        <v>85</v>
      </c>
      <c r="N45" s="2" t="s">
        <v>86</v>
      </c>
    </row>
    <row r="46" spans="1:14">
      <c r="A46" s="2">
        <v>45</v>
      </c>
      <c r="B46" s="3" t="s">
        <v>230</v>
      </c>
      <c r="C46" s="2" t="s">
        <v>231</v>
      </c>
      <c r="D46" s="2">
        <v>55</v>
      </c>
      <c r="E46" s="2">
        <v>57</v>
      </c>
      <c r="F46" s="2" t="s">
        <v>232</v>
      </c>
      <c r="H46" s="2" t="s">
        <v>17</v>
      </c>
      <c r="K46" s="4">
        <v>32747</v>
      </c>
      <c r="M46" s="2" t="s">
        <v>185</v>
      </c>
      <c r="N46" s="2" t="s">
        <v>233</v>
      </c>
    </row>
    <row r="47" spans="1:14">
      <c r="A47" s="2">
        <v>46</v>
      </c>
      <c r="B47" s="3" t="s">
        <v>234</v>
      </c>
      <c r="C47" s="2" t="s">
        <v>235</v>
      </c>
      <c r="D47" s="2">
        <v>56</v>
      </c>
      <c r="E47" s="2">
        <v>57</v>
      </c>
      <c r="F47" s="2" t="s">
        <v>236</v>
      </c>
      <c r="H47" s="2" t="s">
        <v>17</v>
      </c>
      <c r="I47" s="2" t="s">
        <v>237</v>
      </c>
      <c r="K47" s="4">
        <v>30807</v>
      </c>
      <c r="M47" s="2" t="s">
        <v>35</v>
      </c>
      <c r="N47" s="2" t="s">
        <v>238</v>
      </c>
    </row>
    <row r="48" spans="1:14">
      <c r="A48" s="2">
        <v>47</v>
      </c>
      <c r="B48" s="3" t="s">
        <v>239</v>
      </c>
      <c r="C48" s="2" t="s">
        <v>240</v>
      </c>
      <c r="D48" s="2">
        <v>57</v>
      </c>
      <c r="E48" s="2">
        <v>57</v>
      </c>
      <c r="F48" s="2" t="s">
        <v>241</v>
      </c>
      <c r="H48" s="2" t="s">
        <v>45</v>
      </c>
      <c r="I48" s="2" t="s">
        <v>242</v>
      </c>
      <c r="K48" s="4">
        <v>33835</v>
      </c>
      <c r="M48" s="2" t="s">
        <v>164</v>
      </c>
      <c r="N48" s="2" t="s">
        <v>243</v>
      </c>
    </row>
    <row r="49" spans="1:14">
      <c r="A49" s="2">
        <v>48</v>
      </c>
      <c r="B49" s="3" t="s">
        <v>244</v>
      </c>
      <c r="C49" s="2" t="s">
        <v>245</v>
      </c>
      <c r="D49" s="2">
        <v>54</v>
      </c>
      <c r="E49" s="2">
        <v>57</v>
      </c>
      <c r="F49" s="2" t="s">
        <v>246</v>
      </c>
      <c r="H49" s="2" t="s">
        <v>45</v>
      </c>
      <c r="K49" s="4">
        <v>25766</v>
      </c>
      <c r="M49" s="2" t="s">
        <v>247</v>
      </c>
      <c r="N49" s="2" t="s">
        <v>248</v>
      </c>
    </row>
    <row r="50" spans="1:14">
      <c r="A50" s="2">
        <v>49</v>
      </c>
      <c r="B50" s="3" t="s">
        <v>249</v>
      </c>
      <c r="C50" s="2" t="s">
        <v>250</v>
      </c>
      <c r="D50" s="2">
        <v>57</v>
      </c>
      <c r="E50" s="2">
        <v>57</v>
      </c>
      <c r="F50" s="2" t="s">
        <v>251</v>
      </c>
      <c r="H50" s="2" t="s">
        <v>17</v>
      </c>
      <c r="I50" s="2" t="s">
        <v>252</v>
      </c>
      <c r="K50" s="4">
        <v>21480</v>
      </c>
      <c r="M50" s="2" t="s">
        <v>122</v>
      </c>
      <c r="N50" s="2" t="s">
        <v>253</v>
      </c>
    </row>
    <row r="51" spans="1:14">
      <c r="A51" s="2">
        <v>50</v>
      </c>
      <c r="B51" s="3" t="s">
        <v>254</v>
      </c>
      <c r="C51" s="2" t="s">
        <v>255</v>
      </c>
      <c r="D51" s="2">
        <v>54</v>
      </c>
      <c r="E51" s="2">
        <v>57</v>
      </c>
      <c r="F51" s="2" t="s">
        <v>256</v>
      </c>
      <c r="H51" s="2" t="s">
        <v>17</v>
      </c>
      <c r="I51" s="3" t="s">
        <v>257</v>
      </c>
      <c r="K51" s="4">
        <v>25220</v>
      </c>
      <c r="M51" s="2" t="s">
        <v>40</v>
      </c>
      <c r="N51" s="2" t="s">
        <v>41</v>
      </c>
    </row>
    <row r="52" spans="1:14">
      <c r="A52" s="2">
        <v>51</v>
      </c>
      <c r="B52" s="3" t="s">
        <v>258</v>
      </c>
      <c r="C52" s="2" t="s">
        <v>259</v>
      </c>
      <c r="D52" s="2">
        <v>57</v>
      </c>
      <c r="E52" s="2">
        <v>57</v>
      </c>
      <c r="F52" s="2" t="s">
        <v>260</v>
      </c>
      <c r="H52" s="2" t="s">
        <v>17</v>
      </c>
      <c r="K52" s="4">
        <v>18400</v>
      </c>
      <c r="M52" s="2" t="s">
        <v>47</v>
      </c>
      <c r="N52" s="2" t="s">
        <v>48</v>
      </c>
    </row>
    <row r="53" spans="1:14">
      <c r="A53" s="2">
        <v>52</v>
      </c>
      <c r="B53" s="3" t="s">
        <v>261</v>
      </c>
      <c r="C53" s="2" t="s">
        <v>262</v>
      </c>
      <c r="D53" s="2">
        <v>57</v>
      </c>
      <c r="E53" s="2">
        <v>57</v>
      </c>
      <c r="F53" s="2" t="s">
        <v>263</v>
      </c>
      <c r="H53" s="2" t="s">
        <v>17</v>
      </c>
      <c r="K53" s="4">
        <v>27998</v>
      </c>
      <c r="M53" s="2" t="s">
        <v>40</v>
      </c>
      <c r="N53" s="2" t="s">
        <v>264</v>
      </c>
    </row>
    <row r="54" spans="1:14">
      <c r="A54" s="2">
        <v>53</v>
      </c>
      <c r="B54" s="3" t="s">
        <v>265</v>
      </c>
      <c r="C54" s="2" t="s">
        <v>266</v>
      </c>
      <c r="D54" s="2">
        <v>57</v>
      </c>
      <c r="E54" s="2">
        <v>57</v>
      </c>
      <c r="F54" s="2" t="s">
        <v>267</v>
      </c>
      <c r="H54" s="2" t="s">
        <v>45</v>
      </c>
      <c r="K54" s="4">
        <v>30608</v>
      </c>
      <c r="M54" s="2" t="s">
        <v>66</v>
      </c>
      <c r="N54" s="2" t="s">
        <v>268</v>
      </c>
    </row>
    <row r="55" spans="1:14">
      <c r="A55" s="2">
        <v>54</v>
      </c>
      <c r="B55" s="3" t="s">
        <v>269</v>
      </c>
      <c r="C55" s="2" t="s">
        <v>270</v>
      </c>
      <c r="D55" s="2">
        <v>50</v>
      </c>
      <c r="E55" s="2">
        <v>57</v>
      </c>
      <c r="F55" s="2" t="s">
        <v>271</v>
      </c>
      <c r="H55" s="2" t="s">
        <v>17</v>
      </c>
      <c r="I55" s="2" t="s">
        <v>272</v>
      </c>
      <c r="K55" s="4">
        <v>18256</v>
      </c>
      <c r="M55" s="2" t="s">
        <v>47</v>
      </c>
      <c r="N55" s="2" t="s">
        <v>273</v>
      </c>
    </row>
    <row r="56" spans="1:14">
      <c r="A56" s="2">
        <v>55</v>
      </c>
      <c r="B56" s="3" t="s">
        <v>274</v>
      </c>
      <c r="C56" s="2" t="s">
        <v>275</v>
      </c>
      <c r="D56" s="2">
        <v>53</v>
      </c>
      <c r="E56" s="2">
        <v>57</v>
      </c>
      <c r="F56" s="2" t="s">
        <v>276</v>
      </c>
      <c r="H56" s="2" t="s">
        <v>17</v>
      </c>
      <c r="I56" s="2" t="s">
        <v>277</v>
      </c>
      <c r="K56" s="4">
        <v>20217</v>
      </c>
      <c r="M56" s="2" t="s">
        <v>47</v>
      </c>
      <c r="N56" s="2" t="s">
        <v>278</v>
      </c>
    </row>
    <row r="57" spans="1:14">
      <c r="A57" s="2">
        <v>56</v>
      </c>
      <c r="B57" s="3" t="s">
        <v>279</v>
      </c>
      <c r="C57" s="2" t="s">
        <v>280</v>
      </c>
      <c r="D57" s="2">
        <v>54</v>
      </c>
      <c r="E57" s="2">
        <v>57</v>
      </c>
      <c r="F57" s="2" t="s">
        <v>281</v>
      </c>
      <c r="H57" s="2" t="s">
        <v>17</v>
      </c>
      <c r="K57" s="4">
        <v>25379</v>
      </c>
      <c r="M57" s="2" t="s">
        <v>146</v>
      </c>
      <c r="N57" s="2" t="s">
        <v>147</v>
      </c>
    </row>
    <row r="58" spans="1:14">
      <c r="A58" s="2">
        <v>57</v>
      </c>
      <c r="B58" s="3" t="s">
        <v>282</v>
      </c>
      <c r="C58" s="2" t="s">
        <v>283</v>
      </c>
      <c r="D58" s="2">
        <v>54</v>
      </c>
      <c r="E58" s="2">
        <v>57</v>
      </c>
      <c r="F58" s="2" t="s">
        <v>284</v>
      </c>
      <c r="H58" s="2" t="s">
        <v>17</v>
      </c>
      <c r="I58" s="2" t="s">
        <v>285</v>
      </c>
      <c r="K58" s="4">
        <v>23606</v>
      </c>
      <c r="M58" s="2" t="s">
        <v>40</v>
      </c>
      <c r="N58" s="2" t="s">
        <v>41</v>
      </c>
    </row>
    <row r="59" spans="1:14">
      <c r="A59" s="2">
        <v>58</v>
      </c>
      <c r="B59" s="3" t="s">
        <v>286</v>
      </c>
      <c r="C59" s="2" t="s">
        <v>287</v>
      </c>
      <c r="D59" s="2">
        <v>49</v>
      </c>
      <c r="E59" s="2">
        <v>57</v>
      </c>
      <c r="F59" s="2" t="s">
        <v>288</v>
      </c>
      <c r="H59" s="2" t="s">
        <v>17</v>
      </c>
      <c r="K59" s="4">
        <v>18589</v>
      </c>
      <c r="M59" s="2" t="s">
        <v>30</v>
      </c>
      <c r="N59" s="2" t="s">
        <v>289</v>
      </c>
    </row>
    <row r="60" spans="1:14">
      <c r="A60" s="2">
        <v>59</v>
      </c>
      <c r="B60" s="3" t="s">
        <v>290</v>
      </c>
      <c r="C60" s="2" t="s">
        <v>291</v>
      </c>
      <c r="D60" s="2">
        <v>57</v>
      </c>
      <c r="E60" s="2">
        <v>57</v>
      </c>
      <c r="F60" s="2" t="s">
        <v>292</v>
      </c>
      <c r="H60" s="2" t="s">
        <v>17</v>
      </c>
      <c r="I60" s="2" t="s">
        <v>293</v>
      </c>
      <c r="K60" s="4">
        <v>29312</v>
      </c>
      <c r="M60" s="2" t="s">
        <v>140</v>
      </c>
      <c r="N60" s="2" t="s">
        <v>294</v>
      </c>
    </row>
    <row r="61" spans="1:14">
      <c r="A61" s="2">
        <v>60</v>
      </c>
      <c r="B61" s="3" t="s">
        <v>295</v>
      </c>
      <c r="C61" s="2" t="s">
        <v>296</v>
      </c>
      <c r="D61" s="2">
        <v>54</v>
      </c>
      <c r="E61" s="2">
        <v>57</v>
      </c>
      <c r="F61" s="2" t="s">
        <v>297</v>
      </c>
      <c r="H61" s="2" t="s">
        <v>17</v>
      </c>
      <c r="I61" s="2" t="s">
        <v>298</v>
      </c>
      <c r="J61" s="3" t="s">
        <v>299</v>
      </c>
      <c r="K61" s="4">
        <v>22941</v>
      </c>
      <c r="M61" s="2" t="s">
        <v>198</v>
      </c>
      <c r="N61" s="2" t="s">
        <v>199</v>
      </c>
    </row>
    <row r="62" spans="1:14">
      <c r="A62" s="2">
        <v>61</v>
      </c>
      <c r="B62" s="3" t="s">
        <v>300</v>
      </c>
      <c r="C62" s="2" t="s">
        <v>301</v>
      </c>
      <c r="D62" s="2">
        <v>57</v>
      </c>
      <c r="E62" s="2">
        <v>57</v>
      </c>
      <c r="F62" s="2" t="s">
        <v>302</v>
      </c>
      <c r="H62" s="2" t="s">
        <v>17</v>
      </c>
      <c r="I62" s="2" t="s">
        <v>303</v>
      </c>
      <c r="K62" s="4">
        <v>30080</v>
      </c>
      <c r="M62" s="2" t="s">
        <v>164</v>
      </c>
      <c r="N62" s="2" t="s">
        <v>165</v>
      </c>
    </row>
    <row r="63" spans="1:14">
      <c r="A63" s="2">
        <v>62</v>
      </c>
      <c r="B63" s="3" t="s">
        <v>304</v>
      </c>
      <c r="C63" s="2" t="s">
        <v>305</v>
      </c>
      <c r="D63" s="2">
        <v>54</v>
      </c>
      <c r="E63" s="2">
        <v>57</v>
      </c>
      <c r="F63" s="2" t="s">
        <v>306</v>
      </c>
      <c r="H63" s="2" t="s">
        <v>17</v>
      </c>
      <c r="I63" s="2" t="s">
        <v>307</v>
      </c>
      <c r="J63" s="3" t="s">
        <v>308</v>
      </c>
      <c r="K63" s="4">
        <v>28903</v>
      </c>
      <c r="M63" s="2" t="s">
        <v>170</v>
      </c>
      <c r="N63" s="2" t="s">
        <v>309</v>
      </c>
    </row>
    <row r="64" spans="1:14">
      <c r="A64" s="2">
        <v>63</v>
      </c>
      <c r="B64" s="3" t="s">
        <v>310</v>
      </c>
      <c r="C64" s="2" t="s">
        <v>311</v>
      </c>
      <c r="D64" s="2">
        <v>55</v>
      </c>
      <c r="E64" s="2">
        <v>57</v>
      </c>
      <c r="F64" s="2" t="s">
        <v>312</v>
      </c>
      <c r="H64" s="2" t="s">
        <v>17</v>
      </c>
      <c r="I64" s="2" t="s">
        <v>313</v>
      </c>
      <c r="K64" s="4">
        <v>21010</v>
      </c>
      <c r="M64" s="2" t="s">
        <v>40</v>
      </c>
      <c r="N64" s="2" t="s">
        <v>314</v>
      </c>
    </row>
    <row r="65" spans="1:14">
      <c r="A65" s="2">
        <v>64</v>
      </c>
      <c r="B65" s="3" t="s">
        <v>315</v>
      </c>
      <c r="C65" s="2" t="s">
        <v>316</v>
      </c>
      <c r="D65" s="2">
        <v>55</v>
      </c>
      <c r="E65" s="2">
        <v>57</v>
      </c>
      <c r="F65" s="2" t="s">
        <v>317</v>
      </c>
      <c r="H65" s="2" t="s">
        <v>17</v>
      </c>
      <c r="I65" s="3" t="s">
        <v>318</v>
      </c>
      <c r="K65" s="4">
        <v>26459</v>
      </c>
      <c r="M65" s="2" t="s">
        <v>47</v>
      </c>
      <c r="N65" s="2" t="s">
        <v>48</v>
      </c>
    </row>
    <row r="66" spans="1:14">
      <c r="A66" s="2">
        <v>65</v>
      </c>
      <c r="B66" s="3" t="s">
        <v>319</v>
      </c>
      <c r="C66" s="2" t="s">
        <v>320</v>
      </c>
      <c r="D66" s="2">
        <v>57</v>
      </c>
      <c r="E66" s="2">
        <v>57</v>
      </c>
      <c r="F66" s="2" t="s">
        <v>321</v>
      </c>
      <c r="H66" s="2" t="s">
        <v>17</v>
      </c>
      <c r="I66" s="2" t="s">
        <v>322</v>
      </c>
      <c r="K66" s="4">
        <v>19440</v>
      </c>
      <c r="M66" s="2" t="s">
        <v>170</v>
      </c>
      <c r="N66" s="2" t="s">
        <v>323</v>
      </c>
    </row>
    <row r="67" spans="1:14">
      <c r="A67" s="2">
        <v>66</v>
      </c>
      <c r="B67" s="3" t="s">
        <v>324</v>
      </c>
      <c r="C67" s="2" t="s">
        <v>325</v>
      </c>
      <c r="D67" s="2">
        <v>57</v>
      </c>
      <c r="E67" s="2">
        <v>57</v>
      </c>
      <c r="F67" s="2" t="s">
        <v>326</v>
      </c>
      <c r="H67" s="2" t="s">
        <v>17</v>
      </c>
      <c r="I67" s="2" t="s">
        <v>327</v>
      </c>
      <c r="K67" s="4">
        <v>23223</v>
      </c>
      <c r="M67" s="2" t="s">
        <v>35</v>
      </c>
      <c r="N67" s="2" t="s">
        <v>328</v>
      </c>
    </row>
    <row r="68" spans="1:14">
      <c r="A68" s="2">
        <v>67</v>
      </c>
      <c r="B68" s="3" t="s">
        <v>329</v>
      </c>
      <c r="C68" s="2" t="s">
        <v>330</v>
      </c>
      <c r="D68" s="2">
        <v>48</v>
      </c>
      <c r="E68" s="2">
        <v>57</v>
      </c>
      <c r="F68" s="2" t="s">
        <v>331</v>
      </c>
      <c r="H68" s="2" t="s">
        <v>45</v>
      </c>
      <c r="K68" s="4">
        <v>15457</v>
      </c>
      <c r="M68" s="2" t="s">
        <v>170</v>
      </c>
      <c r="N68" s="2" t="s">
        <v>323</v>
      </c>
    </row>
    <row r="69" spans="1:14">
      <c r="A69" s="2">
        <v>68</v>
      </c>
      <c r="B69" s="3" t="s">
        <v>332</v>
      </c>
      <c r="C69" s="2" t="s">
        <v>333</v>
      </c>
      <c r="D69" s="2">
        <v>56</v>
      </c>
      <c r="E69" s="2">
        <v>57</v>
      </c>
      <c r="F69" s="2" t="s">
        <v>334</v>
      </c>
      <c r="H69" s="2" t="s">
        <v>17</v>
      </c>
      <c r="I69" s="2" t="s">
        <v>335</v>
      </c>
      <c r="K69" s="4">
        <v>24219</v>
      </c>
      <c r="M69" s="2" t="s">
        <v>336</v>
      </c>
      <c r="N69" s="2" t="s">
        <v>337</v>
      </c>
    </row>
    <row r="70" spans="1:14">
      <c r="A70" s="2">
        <v>69</v>
      </c>
      <c r="B70" s="3" t="s">
        <v>338</v>
      </c>
      <c r="C70" s="2" t="s">
        <v>339</v>
      </c>
      <c r="D70" s="2">
        <v>56</v>
      </c>
      <c r="E70" s="2">
        <v>57</v>
      </c>
      <c r="F70" s="2" t="s">
        <v>340</v>
      </c>
      <c r="H70" s="2" t="s">
        <v>17</v>
      </c>
      <c r="K70" s="4">
        <v>28443</v>
      </c>
      <c r="M70" s="2" t="s">
        <v>341</v>
      </c>
      <c r="N70" s="2" t="s">
        <v>342</v>
      </c>
    </row>
    <row r="71" spans="1:14">
      <c r="A71" s="2">
        <v>70</v>
      </c>
      <c r="B71" s="3" t="s">
        <v>343</v>
      </c>
      <c r="C71" s="2" t="s">
        <v>344</v>
      </c>
      <c r="D71" s="2">
        <v>57</v>
      </c>
      <c r="E71" s="2">
        <v>57</v>
      </c>
      <c r="F71" s="2" t="s">
        <v>345</v>
      </c>
      <c r="H71" s="2" t="s">
        <v>17</v>
      </c>
      <c r="K71" s="4">
        <v>24885</v>
      </c>
      <c r="M71" s="2" t="s">
        <v>154</v>
      </c>
      <c r="N71" s="2" t="s">
        <v>346</v>
      </c>
    </row>
    <row r="72" spans="1:14">
      <c r="A72" s="2">
        <v>71</v>
      </c>
      <c r="B72" s="3" t="s">
        <v>347</v>
      </c>
      <c r="C72" s="2" t="s">
        <v>348</v>
      </c>
      <c r="D72" s="2">
        <v>57</v>
      </c>
      <c r="E72" s="2">
        <v>57</v>
      </c>
      <c r="F72" s="2" t="s">
        <v>349</v>
      </c>
      <c r="H72" s="2" t="s">
        <v>17</v>
      </c>
      <c r="I72" s="2" t="s">
        <v>350</v>
      </c>
      <c r="K72" s="4">
        <v>23952</v>
      </c>
      <c r="M72" s="2" t="s">
        <v>154</v>
      </c>
      <c r="N72" s="2" t="s">
        <v>346</v>
      </c>
    </row>
    <row r="73" spans="1:14">
      <c r="A73" s="2">
        <v>72</v>
      </c>
      <c r="B73" s="3" t="s">
        <v>351</v>
      </c>
      <c r="C73" s="2" t="s">
        <v>352</v>
      </c>
      <c r="D73" s="2">
        <v>56</v>
      </c>
      <c r="E73" s="2">
        <v>57</v>
      </c>
      <c r="F73" s="2" t="s">
        <v>353</v>
      </c>
      <c r="H73" s="2" t="s">
        <v>45</v>
      </c>
      <c r="I73" s="2" t="s">
        <v>354</v>
      </c>
      <c r="K73" s="4">
        <v>22543</v>
      </c>
      <c r="M73" s="2" t="s">
        <v>170</v>
      </c>
      <c r="N73" s="2" t="s">
        <v>355</v>
      </c>
    </row>
    <row r="74" spans="1:14">
      <c r="A74" s="2">
        <v>73</v>
      </c>
      <c r="B74" s="3" t="s">
        <v>356</v>
      </c>
      <c r="C74" s="2" t="s">
        <v>357</v>
      </c>
      <c r="D74" s="2">
        <v>56</v>
      </c>
      <c r="E74" s="2">
        <v>57</v>
      </c>
      <c r="F74" s="2" t="s">
        <v>358</v>
      </c>
      <c r="H74" s="2" t="s">
        <v>17</v>
      </c>
      <c r="K74" s="4">
        <v>20829</v>
      </c>
      <c r="M74" s="2" t="s">
        <v>66</v>
      </c>
      <c r="N74" s="2" t="s">
        <v>359</v>
      </c>
    </row>
    <row r="75" spans="1:14">
      <c r="A75" s="2">
        <v>74</v>
      </c>
      <c r="B75" s="3" t="s">
        <v>360</v>
      </c>
      <c r="C75" s="2" t="s">
        <v>361</v>
      </c>
      <c r="D75" s="2">
        <v>54</v>
      </c>
      <c r="E75" s="2">
        <v>57</v>
      </c>
      <c r="F75" s="2" t="s">
        <v>362</v>
      </c>
      <c r="H75" s="2" t="s">
        <v>17</v>
      </c>
      <c r="I75" s="2" t="s">
        <v>363</v>
      </c>
      <c r="K75" s="4">
        <v>22682</v>
      </c>
      <c r="M75" s="2" t="s">
        <v>66</v>
      </c>
      <c r="N75" s="2" t="s">
        <v>364</v>
      </c>
    </row>
    <row r="76" spans="1:14">
      <c r="A76" s="2">
        <v>75</v>
      </c>
      <c r="B76" s="3" t="s">
        <v>365</v>
      </c>
      <c r="C76" s="2" t="s">
        <v>366</v>
      </c>
      <c r="D76" s="2">
        <v>52</v>
      </c>
      <c r="E76" s="2">
        <v>57</v>
      </c>
      <c r="F76" s="2" t="s">
        <v>367</v>
      </c>
      <c r="H76" s="2" t="s">
        <v>17</v>
      </c>
      <c r="K76" s="4">
        <v>18534</v>
      </c>
      <c r="M76" s="2" t="s">
        <v>91</v>
      </c>
      <c r="N76" s="2" t="s">
        <v>368</v>
      </c>
    </row>
    <row r="77" spans="1:14">
      <c r="A77" s="2">
        <v>76</v>
      </c>
      <c r="B77" s="3" t="s">
        <v>369</v>
      </c>
      <c r="C77" s="2" t="s">
        <v>370</v>
      </c>
      <c r="D77" s="2">
        <v>57</v>
      </c>
      <c r="E77" s="2">
        <v>57</v>
      </c>
      <c r="F77" s="2" t="s">
        <v>371</v>
      </c>
      <c r="H77" s="2" t="s">
        <v>17</v>
      </c>
      <c r="K77" s="4">
        <v>30231</v>
      </c>
      <c r="M77" s="2" t="s">
        <v>35</v>
      </c>
      <c r="N77" s="2" t="s">
        <v>372</v>
      </c>
    </row>
    <row r="78" spans="1:14">
      <c r="A78" s="2">
        <v>77</v>
      </c>
      <c r="B78" s="3" t="s">
        <v>373</v>
      </c>
      <c r="C78" s="2" t="s">
        <v>374</v>
      </c>
      <c r="D78" s="2">
        <v>57</v>
      </c>
      <c r="E78" s="2">
        <v>57</v>
      </c>
      <c r="F78" s="2" t="s">
        <v>375</v>
      </c>
      <c r="H78" s="2" t="s">
        <v>17</v>
      </c>
      <c r="I78" s="2" t="s">
        <v>376</v>
      </c>
      <c r="K78" s="4">
        <v>31670</v>
      </c>
      <c r="M78" s="2" t="s">
        <v>47</v>
      </c>
      <c r="N78" s="2" t="s">
        <v>48</v>
      </c>
    </row>
    <row r="79" spans="1:14">
      <c r="A79" s="2">
        <v>78</v>
      </c>
      <c r="B79" s="3" t="s">
        <v>377</v>
      </c>
      <c r="C79" s="2" t="s">
        <v>378</v>
      </c>
      <c r="D79" s="2">
        <v>57</v>
      </c>
      <c r="E79" s="2">
        <v>57</v>
      </c>
      <c r="F79" s="2" t="s">
        <v>379</v>
      </c>
      <c r="H79" s="2" t="s">
        <v>17</v>
      </c>
      <c r="I79" s="2" t="s">
        <v>380</v>
      </c>
      <c r="K79" s="4">
        <v>29677</v>
      </c>
      <c r="M79" s="2" t="s">
        <v>76</v>
      </c>
      <c r="N79" s="2" t="s">
        <v>381</v>
      </c>
    </row>
    <row r="80" spans="1:14">
      <c r="A80" s="2">
        <v>79</v>
      </c>
      <c r="B80" s="3" t="s">
        <v>382</v>
      </c>
      <c r="C80" s="2" t="s">
        <v>383</v>
      </c>
      <c r="D80" s="2">
        <v>57</v>
      </c>
      <c r="E80" s="2">
        <v>57</v>
      </c>
      <c r="F80" s="2" t="s">
        <v>384</v>
      </c>
      <c r="H80" s="2" t="s">
        <v>17</v>
      </c>
      <c r="K80" s="4">
        <v>32485</v>
      </c>
      <c r="M80" s="2" t="s">
        <v>170</v>
      </c>
      <c r="N80" s="2" t="s">
        <v>385</v>
      </c>
    </row>
    <row r="81" spans="1:14">
      <c r="A81" s="2">
        <v>80</v>
      </c>
      <c r="B81" s="3" t="s">
        <v>386</v>
      </c>
      <c r="C81" s="2" t="s">
        <v>387</v>
      </c>
      <c r="D81" s="2">
        <v>57</v>
      </c>
      <c r="E81" s="2">
        <v>57</v>
      </c>
      <c r="F81" s="2" t="s">
        <v>388</v>
      </c>
      <c r="H81" s="2" t="s">
        <v>45</v>
      </c>
      <c r="I81" s="2" t="s">
        <v>389</v>
      </c>
      <c r="K81" s="4">
        <v>34740</v>
      </c>
      <c r="M81" s="2" t="s">
        <v>341</v>
      </c>
      <c r="N81" s="2" t="s">
        <v>342</v>
      </c>
    </row>
    <row r="82" spans="1:14">
      <c r="A82" s="2">
        <v>81</v>
      </c>
      <c r="B82" s="3" t="s">
        <v>390</v>
      </c>
      <c r="C82" s="2" t="s">
        <v>391</v>
      </c>
      <c r="D82" s="2">
        <v>56</v>
      </c>
      <c r="E82" s="2">
        <v>57</v>
      </c>
      <c r="F82" s="2" t="s">
        <v>392</v>
      </c>
      <c r="H82" s="2" t="s">
        <v>17</v>
      </c>
      <c r="I82" s="2" t="s">
        <v>393</v>
      </c>
      <c r="K82" s="4">
        <v>30076</v>
      </c>
      <c r="M82" s="2" t="s">
        <v>85</v>
      </c>
      <c r="N82" s="2" t="s">
        <v>86</v>
      </c>
    </row>
    <row r="83" spans="1:14">
      <c r="A83" s="2">
        <v>82</v>
      </c>
      <c r="B83" s="3" t="s">
        <v>394</v>
      </c>
      <c r="C83" s="2" t="s">
        <v>395</v>
      </c>
      <c r="D83" s="2">
        <v>57</v>
      </c>
      <c r="E83" s="2">
        <v>57</v>
      </c>
      <c r="F83" s="2" t="s">
        <v>396</v>
      </c>
      <c r="H83" s="2" t="s">
        <v>17</v>
      </c>
      <c r="K83" s="4">
        <v>29330</v>
      </c>
      <c r="M83" s="2" t="s">
        <v>40</v>
      </c>
      <c r="N83" s="2" t="s">
        <v>41</v>
      </c>
    </row>
    <row r="84" spans="1:14">
      <c r="A84" s="2">
        <v>83</v>
      </c>
      <c r="B84" s="3" t="s">
        <v>397</v>
      </c>
      <c r="C84" s="2" t="s">
        <v>398</v>
      </c>
      <c r="D84" s="2">
        <v>55</v>
      </c>
      <c r="E84" s="2">
        <v>57</v>
      </c>
      <c r="F84" s="2" t="s">
        <v>399</v>
      </c>
      <c r="H84" s="2" t="s">
        <v>17</v>
      </c>
      <c r="K84" s="4">
        <v>24384</v>
      </c>
      <c r="M84" s="2" t="s">
        <v>47</v>
      </c>
      <c r="N84" s="2" t="s">
        <v>400</v>
      </c>
    </row>
    <row r="85" spans="1:14">
      <c r="A85" s="2">
        <v>84</v>
      </c>
      <c r="B85" s="3" t="s">
        <v>401</v>
      </c>
      <c r="C85" s="2" t="s">
        <v>402</v>
      </c>
      <c r="D85" s="2">
        <v>57</v>
      </c>
      <c r="E85" s="2">
        <v>57</v>
      </c>
      <c r="F85" s="2" t="s">
        <v>403</v>
      </c>
      <c r="H85" s="2" t="s">
        <v>17</v>
      </c>
      <c r="K85" s="4">
        <v>25602</v>
      </c>
      <c r="M85" s="2" t="s">
        <v>91</v>
      </c>
      <c r="N85" s="2" t="s">
        <v>404</v>
      </c>
    </row>
    <row r="86" spans="1:14">
      <c r="A86" s="2">
        <v>85</v>
      </c>
      <c r="B86" s="3" t="s">
        <v>405</v>
      </c>
      <c r="C86" s="2" t="s">
        <v>406</v>
      </c>
      <c r="D86" s="2">
        <v>57</v>
      </c>
      <c r="E86" s="2">
        <v>57</v>
      </c>
      <c r="F86" s="2" t="s">
        <v>407</v>
      </c>
      <c r="H86" s="2" t="s">
        <v>45</v>
      </c>
      <c r="K86" s="4">
        <v>32217</v>
      </c>
      <c r="M86" s="2" t="s">
        <v>47</v>
      </c>
      <c r="N86" s="2" t="s">
        <v>408</v>
      </c>
    </row>
    <row r="87" spans="1:14">
      <c r="A87" s="2">
        <v>86</v>
      </c>
      <c r="B87" s="3" t="s">
        <v>409</v>
      </c>
      <c r="C87" s="2" t="s">
        <v>410</v>
      </c>
      <c r="D87" s="2">
        <v>56</v>
      </c>
      <c r="E87" s="2">
        <v>57</v>
      </c>
      <c r="F87" s="2" t="s">
        <v>411</v>
      </c>
      <c r="H87" s="2" t="s">
        <v>45</v>
      </c>
      <c r="I87" s="2" t="s">
        <v>412</v>
      </c>
      <c r="K87" s="4">
        <v>27943</v>
      </c>
      <c r="M87" s="2" t="s">
        <v>164</v>
      </c>
      <c r="N87" s="2" t="s">
        <v>165</v>
      </c>
    </row>
    <row r="88" spans="1:14">
      <c r="A88" s="2">
        <v>87</v>
      </c>
      <c r="B88" s="3" t="s">
        <v>413</v>
      </c>
      <c r="C88" s="2" t="s">
        <v>414</v>
      </c>
      <c r="D88" s="2">
        <v>56</v>
      </c>
      <c r="E88" s="2">
        <v>57</v>
      </c>
      <c r="F88" s="2" t="s">
        <v>415</v>
      </c>
      <c r="H88" s="2" t="s">
        <v>45</v>
      </c>
      <c r="I88" s="2" t="s">
        <v>416</v>
      </c>
      <c r="K88" s="4">
        <v>29405</v>
      </c>
      <c r="M88" s="2" t="s">
        <v>47</v>
      </c>
      <c r="N88" s="2" t="s">
        <v>417</v>
      </c>
    </row>
    <row r="89" spans="1:14">
      <c r="A89" s="2">
        <v>88</v>
      </c>
      <c r="B89" s="3" t="s">
        <v>418</v>
      </c>
      <c r="C89" s="2" t="s">
        <v>419</v>
      </c>
      <c r="D89" s="2">
        <v>56</v>
      </c>
      <c r="E89" s="2">
        <v>57</v>
      </c>
      <c r="F89" s="2" t="s">
        <v>420</v>
      </c>
      <c r="H89" s="2" t="s">
        <v>17</v>
      </c>
      <c r="I89" s="2" t="s">
        <v>421</v>
      </c>
      <c r="J89" s="3" t="s">
        <v>422</v>
      </c>
      <c r="K89" s="4">
        <v>30018</v>
      </c>
      <c r="M89" s="2" t="s">
        <v>423</v>
      </c>
      <c r="N89" s="2" t="s">
        <v>424</v>
      </c>
    </row>
    <row r="90" spans="1:14">
      <c r="A90" s="2">
        <v>89</v>
      </c>
      <c r="B90" s="3" t="s">
        <v>425</v>
      </c>
      <c r="C90" s="2" t="s">
        <v>426</v>
      </c>
      <c r="D90" s="2">
        <v>55</v>
      </c>
      <c r="E90" s="2">
        <v>57</v>
      </c>
      <c r="F90" s="2" t="s">
        <v>427</v>
      </c>
      <c r="H90" s="2" t="s">
        <v>17</v>
      </c>
      <c r="I90" s="2" t="s">
        <v>428</v>
      </c>
      <c r="K90" s="4">
        <v>26463</v>
      </c>
      <c r="M90" s="2" t="s">
        <v>40</v>
      </c>
      <c r="N90" s="2" t="s">
        <v>429</v>
      </c>
    </row>
    <row r="91" spans="1:14">
      <c r="A91" s="2">
        <v>90</v>
      </c>
      <c r="B91" s="3" t="s">
        <v>430</v>
      </c>
      <c r="C91" s="2" t="s">
        <v>431</v>
      </c>
      <c r="D91" s="2">
        <v>55</v>
      </c>
      <c r="E91" s="2">
        <v>57</v>
      </c>
      <c r="F91" s="2" t="s">
        <v>432</v>
      </c>
      <c r="H91" s="2" t="s">
        <v>17</v>
      </c>
      <c r="I91" s="3" t="s">
        <v>433</v>
      </c>
      <c r="K91" s="4">
        <v>22392</v>
      </c>
      <c r="M91" s="2" t="s">
        <v>53</v>
      </c>
      <c r="N91" s="2" t="s">
        <v>434</v>
      </c>
    </row>
    <row r="92" spans="1:14">
      <c r="A92" s="2">
        <v>91</v>
      </c>
      <c r="B92" s="3" t="s">
        <v>435</v>
      </c>
      <c r="C92" s="2" t="s">
        <v>436</v>
      </c>
      <c r="D92" s="2">
        <v>56</v>
      </c>
      <c r="E92" s="2">
        <v>57</v>
      </c>
      <c r="F92" s="2" t="s">
        <v>437</v>
      </c>
      <c r="H92" s="2" t="s">
        <v>17</v>
      </c>
      <c r="I92" s="2" t="s">
        <v>438</v>
      </c>
      <c r="K92" s="4">
        <v>29990</v>
      </c>
      <c r="M92" s="2" t="s">
        <v>170</v>
      </c>
      <c r="N92" s="2" t="s">
        <v>171</v>
      </c>
    </row>
    <row r="93" spans="1:14">
      <c r="A93" s="2">
        <v>92</v>
      </c>
      <c r="B93" s="3" t="s">
        <v>439</v>
      </c>
      <c r="C93" s="2" t="s">
        <v>440</v>
      </c>
      <c r="D93" s="2">
        <v>52</v>
      </c>
      <c r="E93" s="2">
        <v>57</v>
      </c>
      <c r="F93" s="2" t="s">
        <v>441</v>
      </c>
      <c r="H93" s="2" t="s">
        <v>17</v>
      </c>
      <c r="K93" s="4">
        <v>23101</v>
      </c>
      <c r="M93" s="2" t="s">
        <v>47</v>
      </c>
      <c r="N93" s="2" t="s">
        <v>442</v>
      </c>
    </row>
    <row r="94" spans="1:14">
      <c r="A94" s="2">
        <v>93</v>
      </c>
      <c r="B94" s="3" t="s">
        <v>443</v>
      </c>
      <c r="C94" s="2" t="s">
        <v>444</v>
      </c>
      <c r="D94" s="2">
        <v>56</v>
      </c>
      <c r="E94" s="2">
        <v>57</v>
      </c>
      <c r="F94" s="2" t="s">
        <v>445</v>
      </c>
      <c r="H94" s="2" t="s">
        <v>17</v>
      </c>
      <c r="I94" s="2" t="s">
        <v>446</v>
      </c>
      <c r="K94" s="4">
        <v>29808</v>
      </c>
      <c r="M94" s="2" t="s">
        <v>198</v>
      </c>
      <c r="N94" s="2" t="s">
        <v>447</v>
      </c>
    </row>
    <row r="95" spans="1:14">
      <c r="A95" s="2">
        <v>94</v>
      </c>
      <c r="B95" s="3" t="s">
        <v>448</v>
      </c>
      <c r="C95" s="2" t="s">
        <v>449</v>
      </c>
      <c r="D95" s="2">
        <v>53</v>
      </c>
      <c r="E95" s="2">
        <v>57</v>
      </c>
      <c r="F95" s="2" t="s">
        <v>450</v>
      </c>
      <c r="H95" s="2" t="s">
        <v>17</v>
      </c>
      <c r="I95" s="2" t="s">
        <v>451</v>
      </c>
      <c r="K95" s="4">
        <v>21709</v>
      </c>
      <c r="M95" s="2" t="s">
        <v>47</v>
      </c>
      <c r="N95" s="2" t="s">
        <v>48</v>
      </c>
    </row>
    <row r="96" spans="1:14">
      <c r="A96" s="2">
        <v>95</v>
      </c>
      <c r="B96" s="3" t="s">
        <v>452</v>
      </c>
      <c r="C96" s="2" t="s">
        <v>453</v>
      </c>
      <c r="D96" s="2">
        <v>54</v>
      </c>
      <c r="E96" s="2">
        <v>57</v>
      </c>
      <c r="F96" s="2" t="s">
        <v>454</v>
      </c>
      <c r="H96" s="2" t="s">
        <v>45</v>
      </c>
      <c r="I96" s="2" t="s">
        <v>455</v>
      </c>
      <c r="K96" s="4">
        <v>22925</v>
      </c>
      <c r="M96" s="2" t="s">
        <v>423</v>
      </c>
      <c r="N96" s="2" t="s">
        <v>456</v>
      </c>
    </row>
    <row r="97" spans="1:14">
      <c r="A97" s="2">
        <v>96</v>
      </c>
      <c r="B97" s="3" t="s">
        <v>457</v>
      </c>
      <c r="C97" s="2" t="s">
        <v>458</v>
      </c>
      <c r="D97" s="2">
        <v>57</v>
      </c>
      <c r="E97" s="2">
        <v>57</v>
      </c>
      <c r="F97" s="2" t="s">
        <v>459</v>
      </c>
      <c r="H97" s="2" t="s">
        <v>45</v>
      </c>
      <c r="K97" s="4">
        <v>30437</v>
      </c>
      <c r="M97" s="2" t="s">
        <v>154</v>
      </c>
      <c r="N97" s="2" t="s">
        <v>208</v>
      </c>
    </row>
    <row r="98" spans="1:14">
      <c r="A98" s="2">
        <v>97</v>
      </c>
      <c r="B98" s="3" t="s">
        <v>460</v>
      </c>
      <c r="C98" s="2" t="s">
        <v>461</v>
      </c>
      <c r="D98" s="2">
        <v>56</v>
      </c>
      <c r="E98" s="2">
        <v>57</v>
      </c>
      <c r="F98" s="2" t="s">
        <v>462</v>
      </c>
      <c r="H98" s="2" t="s">
        <v>45</v>
      </c>
      <c r="I98" s="2" t="s">
        <v>463</v>
      </c>
      <c r="K98" s="4">
        <v>31656</v>
      </c>
      <c r="M98" s="2" t="s">
        <v>423</v>
      </c>
      <c r="N98" s="2" t="s">
        <v>464</v>
      </c>
    </row>
    <row r="99" spans="1:14">
      <c r="A99" s="2">
        <v>98</v>
      </c>
      <c r="B99" s="3" t="s">
        <v>465</v>
      </c>
      <c r="C99" s="2" t="s">
        <v>466</v>
      </c>
      <c r="D99" s="2">
        <v>57</v>
      </c>
      <c r="E99" s="2">
        <v>57</v>
      </c>
      <c r="F99" s="2" t="s">
        <v>467</v>
      </c>
      <c r="H99" s="2" t="s">
        <v>17</v>
      </c>
      <c r="K99" s="4">
        <v>27142</v>
      </c>
      <c r="M99" s="2" t="s">
        <v>140</v>
      </c>
      <c r="N99" s="2" t="s">
        <v>294</v>
      </c>
    </row>
    <row r="100" spans="1:14">
      <c r="A100" s="2">
        <v>99</v>
      </c>
      <c r="B100" s="3" t="s">
        <v>468</v>
      </c>
      <c r="C100" s="2" t="s">
        <v>469</v>
      </c>
      <c r="D100" s="2">
        <v>57</v>
      </c>
      <c r="E100" s="2">
        <v>57</v>
      </c>
      <c r="F100" s="2" t="s">
        <v>470</v>
      </c>
      <c r="H100" s="2" t="s">
        <v>45</v>
      </c>
      <c r="K100" s="4">
        <v>32638</v>
      </c>
      <c r="M100" s="2" t="s">
        <v>47</v>
      </c>
      <c r="N100" s="2" t="s">
        <v>48</v>
      </c>
    </row>
    <row r="101" spans="1:14">
      <c r="A101" s="2">
        <v>100</v>
      </c>
      <c r="B101" s="3" t="s">
        <v>471</v>
      </c>
      <c r="C101" s="2" t="s">
        <v>472</v>
      </c>
      <c r="D101" s="2">
        <v>55</v>
      </c>
      <c r="E101" s="2">
        <v>57</v>
      </c>
      <c r="F101" s="2" t="s">
        <v>473</v>
      </c>
      <c r="H101" s="2" t="s">
        <v>17</v>
      </c>
      <c r="I101" s="2" t="s">
        <v>474</v>
      </c>
      <c r="K101" s="4">
        <v>21812</v>
      </c>
      <c r="M101" s="2" t="s">
        <v>53</v>
      </c>
      <c r="N101" s="2" t="s">
        <v>475</v>
      </c>
    </row>
    <row r="102" spans="1:14">
      <c r="A102" s="2">
        <v>101</v>
      </c>
      <c r="B102" s="3" t="s">
        <v>476</v>
      </c>
      <c r="C102" s="2" t="s">
        <v>477</v>
      </c>
      <c r="D102" s="2">
        <v>56</v>
      </c>
      <c r="E102" s="2">
        <v>57</v>
      </c>
      <c r="F102" s="2" t="s">
        <v>478</v>
      </c>
      <c r="H102" s="2" t="s">
        <v>17</v>
      </c>
      <c r="I102" s="2" t="s">
        <v>479</v>
      </c>
      <c r="K102" s="4">
        <v>31947</v>
      </c>
      <c r="M102" s="2" t="s">
        <v>85</v>
      </c>
      <c r="N102" s="2" t="s">
        <v>86</v>
      </c>
    </row>
    <row r="103" spans="1:14">
      <c r="A103" s="2">
        <v>102</v>
      </c>
      <c r="B103" s="3" t="s">
        <v>480</v>
      </c>
      <c r="C103" s="2" t="s">
        <v>481</v>
      </c>
      <c r="D103" s="2">
        <v>50</v>
      </c>
      <c r="E103" s="2">
        <v>57</v>
      </c>
      <c r="F103" s="2" t="s">
        <v>482</v>
      </c>
      <c r="H103" s="2" t="s">
        <v>17</v>
      </c>
      <c r="I103" s="2" t="s">
        <v>483</v>
      </c>
      <c r="K103" s="4">
        <v>20687</v>
      </c>
      <c r="M103" s="2" t="s">
        <v>47</v>
      </c>
      <c r="N103" s="2" t="s">
        <v>48</v>
      </c>
    </row>
    <row r="104" spans="1:14">
      <c r="A104" s="2">
        <v>103</v>
      </c>
      <c r="B104" s="3" t="s">
        <v>484</v>
      </c>
      <c r="C104" s="2" t="s">
        <v>485</v>
      </c>
      <c r="D104" s="2">
        <v>56</v>
      </c>
      <c r="E104" s="2">
        <v>57</v>
      </c>
      <c r="F104" s="2" t="s">
        <v>486</v>
      </c>
      <c r="H104" s="2" t="s">
        <v>17</v>
      </c>
      <c r="I104" s="2" t="s">
        <v>487</v>
      </c>
      <c r="K104" s="4">
        <v>28731</v>
      </c>
      <c r="M104" s="2" t="s">
        <v>164</v>
      </c>
      <c r="N104" s="2" t="s">
        <v>165</v>
      </c>
    </row>
    <row r="105" spans="1:14">
      <c r="A105" s="2">
        <v>104</v>
      </c>
      <c r="B105" s="3" t="s">
        <v>488</v>
      </c>
      <c r="C105" s="2" t="s">
        <v>489</v>
      </c>
      <c r="D105" s="2">
        <v>56</v>
      </c>
      <c r="E105" s="2">
        <v>57</v>
      </c>
      <c r="F105" s="2" t="s">
        <v>490</v>
      </c>
      <c r="H105" s="2" t="s">
        <v>17</v>
      </c>
      <c r="I105" s="2" t="s">
        <v>491</v>
      </c>
      <c r="K105" s="4">
        <v>27010</v>
      </c>
      <c r="M105" s="2" t="s">
        <v>40</v>
      </c>
      <c r="N105" s="2" t="s">
        <v>492</v>
      </c>
    </row>
    <row r="106" spans="1:14">
      <c r="A106" s="2">
        <v>105</v>
      </c>
      <c r="B106" s="3" t="s">
        <v>493</v>
      </c>
      <c r="C106" s="2" t="s">
        <v>494</v>
      </c>
      <c r="D106" s="2">
        <v>56</v>
      </c>
      <c r="E106" s="2">
        <v>57</v>
      </c>
      <c r="F106" s="2" t="s">
        <v>495</v>
      </c>
      <c r="H106" s="2" t="s">
        <v>17</v>
      </c>
      <c r="K106" s="4">
        <v>23816</v>
      </c>
      <c r="M106" s="2" t="s">
        <v>40</v>
      </c>
      <c r="N106" s="2" t="s">
        <v>496</v>
      </c>
    </row>
    <row r="107" spans="1:14">
      <c r="A107" s="2">
        <v>106</v>
      </c>
      <c r="B107" s="3" t="s">
        <v>497</v>
      </c>
      <c r="C107" s="2" t="s">
        <v>498</v>
      </c>
      <c r="D107" s="2">
        <v>52</v>
      </c>
      <c r="E107" s="2">
        <v>57</v>
      </c>
      <c r="F107" s="2" t="s">
        <v>499</v>
      </c>
      <c r="H107" s="2" t="s">
        <v>17</v>
      </c>
      <c r="I107" s="2" t="s">
        <v>500</v>
      </c>
      <c r="K107" s="4">
        <v>18190</v>
      </c>
      <c r="M107" s="2" t="s">
        <v>170</v>
      </c>
      <c r="N107" s="2" t="s">
        <v>323</v>
      </c>
    </row>
    <row r="108" spans="1:14">
      <c r="A108" s="2">
        <v>107</v>
      </c>
      <c r="B108" s="3" t="s">
        <v>501</v>
      </c>
      <c r="C108" s="2" t="s">
        <v>502</v>
      </c>
      <c r="D108" s="2">
        <v>56</v>
      </c>
      <c r="E108" s="2">
        <v>57</v>
      </c>
      <c r="F108" s="2" t="s">
        <v>503</v>
      </c>
      <c r="H108" s="2" t="s">
        <v>17</v>
      </c>
      <c r="I108" s="2" t="s">
        <v>504</v>
      </c>
      <c r="K108" s="4">
        <v>22699</v>
      </c>
      <c r="M108" s="2" t="s">
        <v>170</v>
      </c>
      <c r="N108" s="2" t="s">
        <v>323</v>
      </c>
    </row>
    <row r="109" spans="1:14">
      <c r="A109" s="2">
        <v>108</v>
      </c>
      <c r="B109" s="3" t="s">
        <v>505</v>
      </c>
      <c r="C109" s="2" t="s">
        <v>506</v>
      </c>
      <c r="D109" s="2">
        <v>56</v>
      </c>
      <c r="E109" s="2">
        <v>57</v>
      </c>
      <c r="F109" s="2" t="s">
        <v>507</v>
      </c>
      <c r="H109" s="2" t="s">
        <v>45</v>
      </c>
      <c r="I109" s="2" t="s">
        <v>508</v>
      </c>
      <c r="K109" s="4">
        <v>33372</v>
      </c>
      <c r="M109" s="2" t="s">
        <v>170</v>
      </c>
      <c r="N109" s="2" t="s">
        <v>323</v>
      </c>
    </row>
    <row r="110" spans="1:14">
      <c r="A110" s="2">
        <v>109</v>
      </c>
      <c r="B110" s="3" t="s">
        <v>509</v>
      </c>
      <c r="C110" s="2" t="s">
        <v>510</v>
      </c>
      <c r="D110" s="2">
        <v>57</v>
      </c>
      <c r="E110" s="2">
        <v>57</v>
      </c>
      <c r="F110" s="2" t="s">
        <v>511</v>
      </c>
      <c r="H110" s="2" t="s">
        <v>45</v>
      </c>
      <c r="I110" s="2" t="s">
        <v>512</v>
      </c>
      <c r="K110" s="4">
        <v>31042</v>
      </c>
      <c r="M110" s="2" t="s">
        <v>198</v>
      </c>
      <c r="N110" s="2" t="s">
        <v>199</v>
      </c>
    </row>
    <row r="111" spans="1:14">
      <c r="A111" s="2">
        <v>110</v>
      </c>
      <c r="B111" s="3" t="s">
        <v>513</v>
      </c>
      <c r="C111" s="2" t="s">
        <v>514</v>
      </c>
      <c r="D111" s="2">
        <v>50</v>
      </c>
      <c r="E111" s="2">
        <v>57</v>
      </c>
      <c r="F111" s="2" t="s">
        <v>515</v>
      </c>
      <c r="H111" s="2" t="s">
        <v>17</v>
      </c>
      <c r="K111" s="4">
        <v>23346</v>
      </c>
      <c r="M111" s="2" t="s">
        <v>40</v>
      </c>
      <c r="N111" s="2" t="s">
        <v>41</v>
      </c>
    </row>
    <row r="112" spans="1:14">
      <c r="A112" s="2">
        <v>111</v>
      </c>
      <c r="B112" s="3" t="s">
        <v>516</v>
      </c>
      <c r="C112" s="2" t="s">
        <v>517</v>
      </c>
      <c r="D112" s="2">
        <v>53</v>
      </c>
      <c r="E112" s="2">
        <v>57</v>
      </c>
      <c r="F112" s="2" t="s">
        <v>518</v>
      </c>
      <c r="H112" s="2" t="s">
        <v>17</v>
      </c>
      <c r="K112" s="4">
        <v>26429</v>
      </c>
      <c r="M112" s="2" t="s">
        <v>185</v>
      </c>
      <c r="N112" s="2" t="s">
        <v>519</v>
      </c>
    </row>
    <row r="113" spans="1:14">
      <c r="A113" s="2">
        <v>112</v>
      </c>
      <c r="B113" s="3" t="s">
        <v>520</v>
      </c>
      <c r="C113" s="2" t="s">
        <v>521</v>
      </c>
      <c r="D113" s="2">
        <v>57</v>
      </c>
      <c r="E113" s="2">
        <v>57</v>
      </c>
      <c r="F113" s="2" t="s">
        <v>522</v>
      </c>
      <c r="H113" s="2" t="s">
        <v>17</v>
      </c>
      <c r="I113" s="2" t="s">
        <v>523</v>
      </c>
      <c r="K113" s="4">
        <v>27711</v>
      </c>
      <c r="M113" s="2" t="s">
        <v>198</v>
      </c>
      <c r="N113" s="2" t="s">
        <v>524</v>
      </c>
    </row>
    <row r="114" spans="1:14">
      <c r="A114" s="2">
        <v>113</v>
      </c>
      <c r="B114" s="3" t="s">
        <v>525</v>
      </c>
      <c r="C114" s="2" t="s">
        <v>526</v>
      </c>
      <c r="D114" s="2">
        <v>57</v>
      </c>
      <c r="E114" s="2">
        <v>57</v>
      </c>
      <c r="F114" s="2" t="s">
        <v>527</v>
      </c>
      <c r="H114" s="2" t="s">
        <v>17</v>
      </c>
      <c r="K114" s="4">
        <v>23261</v>
      </c>
      <c r="M114" s="2" t="s">
        <v>423</v>
      </c>
      <c r="N114" s="2" t="s">
        <v>528</v>
      </c>
    </row>
    <row r="115" spans="1:14">
      <c r="A115" s="2">
        <v>114</v>
      </c>
      <c r="B115" s="3" t="s">
        <v>529</v>
      </c>
      <c r="C115" s="2" t="s">
        <v>530</v>
      </c>
      <c r="D115" s="2">
        <v>56</v>
      </c>
      <c r="E115" s="2">
        <v>57</v>
      </c>
      <c r="F115" s="2" t="s">
        <v>531</v>
      </c>
      <c r="H115" s="2" t="s">
        <v>17</v>
      </c>
      <c r="I115" s="2" t="s">
        <v>532</v>
      </c>
      <c r="K115" s="4">
        <v>20994</v>
      </c>
      <c r="M115" s="2" t="s">
        <v>170</v>
      </c>
      <c r="N115" s="2" t="s">
        <v>355</v>
      </c>
    </row>
    <row r="116" spans="1:14">
      <c r="A116" s="2">
        <v>115</v>
      </c>
      <c r="B116" s="3" t="s">
        <v>533</v>
      </c>
      <c r="C116" s="2" t="s">
        <v>534</v>
      </c>
      <c r="D116" s="2">
        <v>57</v>
      </c>
      <c r="E116" s="2">
        <v>57</v>
      </c>
      <c r="F116" s="2" t="s">
        <v>535</v>
      </c>
      <c r="H116" s="2" t="s">
        <v>17</v>
      </c>
      <c r="I116" s="2" t="s">
        <v>536</v>
      </c>
      <c r="K116" s="4">
        <v>27866</v>
      </c>
      <c r="M116" s="2" t="s">
        <v>18</v>
      </c>
      <c r="N116" s="2" t="s">
        <v>19</v>
      </c>
    </row>
    <row r="117" spans="1:14">
      <c r="A117" s="2">
        <v>116</v>
      </c>
      <c r="B117" s="3" t="s">
        <v>537</v>
      </c>
      <c r="C117" s="2" t="s">
        <v>538</v>
      </c>
      <c r="D117" s="2">
        <v>56</v>
      </c>
      <c r="E117" s="2">
        <v>57</v>
      </c>
      <c r="F117" s="2" t="s">
        <v>539</v>
      </c>
      <c r="H117" s="2" t="s">
        <v>17</v>
      </c>
      <c r="K117" s="4">
        <v>21724</v>
      </c>
      <c r="M117" s="2" t="s">
        <v>30</v>
      </c>
      <c r="N117" s="2" t="s">
        <v>540</v>
      </c>
    </row>
    <row r="118" spans="1:14">
      <c r="A118" s="2">
        <v>117</v>
      </c>
      <c r="B118" s="3" t="s">
        <v>541</v>
      </c>
      <c r="C118" s="2" t="s">
        <v>542</v>
      </c>
      <c r="D118" s="2">
        <v>57</v>
      </c>
      <c r="E118" s="2">
        <v>57</v>
      </c>
      <c r="F118" s="2" t="s">
        <v>543</v>
      </c>
      <c r="H118" s="2" t="s">
        <v>45</v>
      </c>
      <c r="I118" s="2" t="s">
        <v>544</v>
      </c>
      <c r="K118" s="4">
        <v>27346</v>
      </c>
      <c r="M118" s="2" t="s">
        <v>18</v>
      </c>
      <c r="N118" s="2" t="s">
        <v>19</v>
      </c>
    </row>
    <row r="119" spans="1:14">
      <c r="A119" s="2">
        <v>118</v>
      </c>
      <c r="B119" s="3" t="s">
        <v>545</v>
      </c>
      <c r="C119" s="2" t="s">
        <v>546</v>
      </c>
      <c r="D119" s="2">
        <v>57</v>
      </c>
      <c r="E119" s="2">
        <v>57</v>
      </c>
      <c r="F119" s="2" t="s">
        <v>547</v>
      </c>
      <c r="H119" s="2" t="s">
        <v>17</v>
      </c>
      <c r="I119" s="2" t="s">
        <v>548</v>
      </c>
      <c r="K119" s="4">
        <v>21192</v>
      </c>
      <c r="M119" s="2" t="s">
        <v>198</v>
      </c>
      <c r="N119" s="2" t="s">
        <v>549</v>
      </c>
    </row>
    <row r="120" spans="1:14">
      <c r="A120" s="2">
        <v>119</v>
      </c>
      <c r="B120" s="3" t="s">
        <v>550</v>
      </c>
      <c r="C120" s="2" t="s">
        <v>551</v>
      </c>
      <c r="D120" s="2">
        <v>56</v>
      </c>
      <c r="E120" s="2">
        <v>57</v>
      </c>
      <c r="F120" s="2" t="s">
        <v>552</v>
      </c>
      <c r="H120" s="2" t="s">
        <v>17</v>
      </c>
      <c r="I120" s="2" t="s">
        <v>553</v>
      </c>
      <c r="K120" s="4">
        <v>24015</v>
      </c>
      <c r="M120" s="2" t="s">
        <v>47</v>
      </c>
      <c r="N120" s="2" t="s">
        <v>554</v>
      </c>
    </row>
    <row r="121" spans="1:14">
      <c r="A121" s="2">
        <v>120</v>
      </c>
      <c r="B121" s="3" t="s">
        <v>555</v>
      </c>
      <c r="C121" s="2" t="s">
        <v>556</v>
      </c>
      <c r="D121" s="2">
        <v>57</v>
      </c>
      <c r="E121" s="2">
        <v>57</v>
      </c>
      <c r="F121" s="2" t="s">
        <v>557</v>
      </c>
      <c r="H121" s="2" t="s">
        <v>17</v>
      </c>
      <c r="K121" s="4">
        <v>22564</v>
      </c>
      <c r="M121" s="2" t="s">
        <v>47</v>
      </c>
      <c r="N121" s="2" t="s">
        <v>48</v>
      </c>
    </row>
    <row r="122" spans="1:14">
      <c r="A122" s="2">
        <v>121</v>
      </c>
      <c r="B122" s="3" t="s">
        <v>558</v>
      </c>
      <c r="C122" s="2" t="s">
        <v>559</v>
      </c>
      <c r="D122" s="2">
        <v>57</v>
      </c>
      <c r="E122" s="2">
        <v>57</v>
      </c>
      <c r="F122" s="2" t="s">
        <v>560</v>
      </c>
      <c r="H122" s="2" t="s">
        <v>17</v>
      </c>
      <c r="I122" s="2" t="s">
        <v>561</v>
      </c>
      <c r="K122" s="4">
        <v>26591</v>
      </c>
      <c r="M122" s="2" t="s">
        <v>247</v>
      </c>
      <c r="N122" s="2" t="s">
        <v>562</v>
      </c>
    </row>
    <row r="123" spans="1:14">
      <c r="A123" s="2">
        <v>122</v>
      </c>
      <c r="B123" s="3" t="s">
        <v>563</v>
      </c>
      <c r="C123" s="2" t="s">
        <v>564</v>
      </c>
      <c r="D123" s="2">
        <v>55</v>
      </c>
      <c r="E123" s="2">
        <v>57</v>
      </c>
      <c r="F123" s="2" t="s">
        <v>565</v>
      </c>
      <c r="H123" s="2" t="s">
        <v>17</v>
      </c>
      <c r="I123" s="2" t="s">
        <v>566</v>
      </c>
      <c r="K123" s="4">
        <v>31983</v>
      </c>
      <c r="M123" s="2" t="s">
        <v>66</v>
      </c>
      <c r="N123" s="2" t="s">
        <v>567</v>
      </c>
    </row>
    <row r="124" spans="1:14">
      <c r="A124" s="2">
        <v>123</v>
      </c>
      <c r="B124" s="3" t="s">
        <v>568</v>
      </c>
      <c r="C124" s="2" t="s">
        <v>569</v>
      </c>
      <c r="D124" s="2">
        <v>57</v>
      </c>
      <c r="E124" s="2">
        <v>57</v>
      </c>
      <c r="F124" s="2" t="s">
        <v>570</v>
      </c>
      <c r="H124" s="2" t="s">
        <v>45</v>
      </c>
      <c r="K124" s="4">
        <v>30637</v>
      </c>
      <c r="M124" s="2" t="s">
        <v>571</v>
      </c>
      <c r="N124" s="2" t="s">
        <v>572</v>
      </c>
    </row>
    <row r="125" spans="1:14">
      <c r="A125" s="2">
        <v>124</v>
      </c>
      <c r="B125" s="3" t="s">
        <v>573</v>
      </c>
      <c r="C125" s="2" t="s">
        <v>574</v>
      </c>
      <c r="D125" s="2">
        <v>56</v>
      </c>
      <c r="E125" s="2">
        <v>57</v>
      </c>
      <c r="F125" s="2" t="s">
        <v>575</v>
      </c>
      <c r="H125" s="2" t="s">
        <v>17</v>
      </c>
      <c r="I125" s="2" t="s">
        <v>576</v>
      </c>
      <c r="K125" s="4">
        <v>26086</v>
      </c>
      <c r="M125" s="2" t="s">
        <v>192</v>
      </c>
      <c r="N125" s="2" t="s">
        <v>577</v>
      </c>
    </row>
    <row r="126" spans="1:14">
      <c r="A126" s="2">
        <v>125</v>
      </c>
      <c r="B126" s="3" t="s">
        <v>578</v>
      </c>
      <c r="C126" s="2" t="s">
        <v>579</v>
      </c>
      <c r="D126" s="2">
        <v>53</v>
      </c>
      <c r="E126" s="2">
        <v>57</v>
      </c>
      <c r="F126" s="2" t="s">
        <v>580</v>
      </c>
      <c r="H126" s="2" t="s">
        <v>17</v>
      </c>
      <c r="I126" s="2" t="s">
        <v>581</v>
      </c>
      <c r="K126" s="4">
        <v>20291</v>
      </c>
      <c r="M126" s="2" t="s">
        <v>47</v>
      </c>
      <c r="N126" s="2" t="s">
        <v>582</v>
      </c>
    </row>
    <row r="127" spans="1:14">
      <c r="A127" s="2">
        <v>126</v>
      </c>
      <c r="B127" s="3" t="s">
        <v>583</v>
      </c>
      <c r="C127" s="2" t="s">
        <v>584</v>
      </c>
      <c r="D127" s="2">
        <v>57</v>
      </c>
      <c r="E127" s="2">
        <v>57</v>
      </c>
      <c r="F127" s="2" t="s">
        <v>585</v>
      </c>
      <c r="H127" s="2" t="s">
        <v>45</v>
      </c>
      <c r="I127" s="2" t="s">
        <v>586</v>
      </c>
      <c r="K127" s="4">
        <v>29980</v>
      </c>
      <c r="M127" s="2" t="s">
        <v>66</v>
      </c>
      <c r="N127" s="2" t="s">
        <v>587</v>
      </c>
    </row>
    <row r="128" spans="1:14">
      <c r="A128" s="2">
        <v>127</v>
      </c>
      <c r="B128" s="3" t="s">
        <v>588</v>
      </c>
      <c r="C128" s="2" t="s">
        <v>589</v>
      </c>
      <c r="D128" s="2">
        <v>57</v>
      </c>
      <c r="E128" s="2">
        <v>57</v>
      </c>
      <c r="F128" s="2" t="s">
        <v>590</v>
      </c>
      <c r="H128" s="2" t="s">
        <v>17</v>
      </c>
      <c r="I128" s="2" t="s">
        <v>591</v>
      </c>
      <c r="K128" s="4">
        <v>28930</v>
      </c>
      <c r="M128" s="2" t="s">
        <v>40</v>
      </c>
      <c r="N128" s="2" t="s">
        <v>592</v>
      </c>
    </row>
    <row r="129" spans="1:14">
      <c r="A129" s="2">
        <v>128</v>
      </c>
      <c r="B129" s="3" t="s">
        <v>593</v>
      </c>
      <c r="C129" s="2" t="s">
        <v>594</v>
      </c>
      <c r="D129" s="2">
        <v>51</v>
      </c>
      <c r="E129" s="2">
        <v>57</v>
      </c>
      <c r="F129" s="2" t="s">
        <v>595</v>
      </c>
      <c r="H129" s="2" t="s">
        <v>17</v>
      </c>
      <c r="K129" s="4">
        <v>19112</v>
      </c>
      <c r="M129" s="2" t="s">
        <v>76</v>
      </c>
      <c r="N129" s="2" t="s">
        <v>77</v>
      </c>
    </row>
    <row r="130" spans="1:14">
      <c r="A130" s="2">
        <v>129</v>
      </c>
      <c r="B130" s="3" t="s">
        <v>596</v>
      </c>
      <c r="C130" s="2" t="s">
        <v>597</v>
      </c>
      <c r="D130" s="2">
        <v>57</v>
      </c>
      <c r="E130" s="2">
        <v>57</v>
      </c>
      <c r="F130" s="2" t="s">
        <v>598</v>
      </c>
      <c r="H130" s="2" t="s">
        <v>45</v>
      </c>
      <c r="I130" s="2" t="s">
        <v>599</v>
      </c>
      <c r="K130" s="4">
        <v>34357</v>
      </c>
      <c r="M130" s="2" t="s">
        <v>35</v>
      </c>
      <c r="N130" s="2" t="s">
        <v>600</v>
      </c>
    </row>
    <row r="131" spans="1:14">
      <c r="A131" s="2">
        <v>130</v>
      </c>
      <c r="B131" s="3" t="s">
        <v>601</v>
      </c>
      <c r="C131" s="2" t="s">
        <v>602</v>
      </c>
      <c r="D131" s="2">
        <v>57</v>
      </c>
      <c r="E131" s="2">
        <v>57</v>
      </c>
      <c r="F131" s="2" t="s">
        <v>603</v>
      </c>
      <c r="H131" s="2" t="s">
        <v>45</v>
      </c>
      <c r="K131" s="4">
        <v>31916</v>
      </c>
      <c r="M131" s="2" t="s">
        <v>170</v>
      </c>
      <c r="N131" s="2" t="s">
        <v>323</v>
      </c>
    </row>
    <row r="132" spans="1:14">
      <c r="A132" s="2">
        <v>131</v>
      </c>
      <c r="B132" s="3" t="s">
        <v>604</v>
      </c>
      <c r="C132" s="2" t="s">
        <v>605</v>
      </c>
      <c r="D132" s="2">
        <v>57</v>
      </c>
      <c r="E132" s="2">
        <v>57</v>
      </c>
      <c r="F132" s="2" t="s">
        <v>606</v>
      </c>
      <c r="H132" s="2" t="s">
        <v>17</v>
      </c>
      <c r="I132" s="3" t="s">
        <v>607</v>
      </c>
      <c r="K132" s="4">
        <v>25021</v>
      </c>
      <c r="M132" s="2" t="s">
        <v>35</v>
      </c>
      <c r="N132" s="2" t="s">
        <v>608</v>
      </c>
    </row>
    <row r="133" spans="1:14">
      <c r="A133" s="2">
        <v>132</v>
      </c>
      <c r="B133" s="3" t="s">
        <v>609</v>
      </c>
      <c r="C133" s="2" t="s">
        <v>610</v>
      </c>
      <c r="D133" s="2">
        <v>52</v>
      </c>
      <c r="E133" s="2">
        <v>57</v>
      </c>
      <c r="F133" s="2" t="s">
        <v>611</v>
      </c>
      <c r="H133" s="2" t="s">
        <v>17</v>
      </c>
      <c r="K133" s="4">
        <v>20110</v>
      </c>
      <c r="M133" s="2" t="s">
        <v>40</v>
      </c>
      <c r="N133" s="2" t="s">
        <v>612</v>
      </c>
    </row>
    <row r="134" spans="1:14">
      <c r="A134" s="2">
        <v>133</v>
      </c>
      <c r="B134" s="3" t="s">
        <v>613</v>
      </c>
      <c r="C134" s="2" t="s">
        <v>614</v>
      </c>
      <c r="D134" s="2">
        <v>57</v>
      </c>
      <c r="E134" s="2">
        <v>57</v>
      </c>
      <c r="F134" s="2" t="s">
        <v>615</v>
      </c>
      <c r="H134" s="2" t="s">
        <v>17</v>
      </c>
      <c r="I134" s="2" t="s">
        <v>616</v>
      </c>
      <c r="K134" s="4">
        <v>30982</v>
      </c>
      <c r="M134" s="2" t="s">
        <v>146</v>
      </c>
      <c r="N134" s="2" t="s">
        <v>147</v>
      </c>
    </row>
    <row r="135" spans="1:14">
      <c r="A135" s="2">
        <v>134</v>
      </c>
      <c r="B135" s="3" t="s">
        <v>617</v>
      </c>
      <c r="C135" s="2" t="s">
        <v>618</v>
      </c>
      <c r="D135" s="2">
        <v>56</v>
      </c>
      <c r="E135" s="2">
        <v>57</v>
      </c>
      <c r="F135" s="2" t="s">
        <v>619</v>
      </c>
      <c r="H135" s="2" t="s">
        <v>17</v>
      </c>
      <c r="I135" s="2" t="s">
        <v>620</v>
      </c>
      <c r="K135" s="4">
        <v>30044</v>
      </c>
      <c r="M135" s="2" t="s">
        <v>423</v>
      </c>
      <c r="N135" s="2" t="s">
        <v>621</v>
      </c>
    </row>
    <row r="136" spans="1:14">
      <c r="A136" s="2">
        <v>135</v>
      </c>
      <c r="B136" s="3" t="s">
        <v>622</v>
      </c>
      <c r="C136" s="2" t="s">
        <v>623</v>
      </c>
      <c r="D136" s="2">
        <v>57</v>
      </c>
      <c r="E136" s="2">
        <v>57</v>
      </c>
      <c r="F136" s="2" t="s">
        <v>624</v>
      </c>
      <c r="H136" s="2" t="s">
        <v>17</v>
      </c>
      <c r="K136" s="4">
        <v>32187</v>
      </c>
      <c r="M136" s="2" t="s">
        <v>47</v>
      </c>
      <c r="N136" s="2" t="s">
        <v>625</v>
      </c>
    </row>
    <row r="137" spans="1:14">
      <c r="A137" s="2">
        <v>136</v>
      </c>
      <c r="B137" s="3" t="s">
        <v>626</v>
      </c>
      <c r="C137" s="2" t="s">
        <v>627</v>
      </c>
      <c r="D137" s="2">
        <v>56</v>
      </c>
      <c r="E137" s="2">
        <v>57</v>
      </c>
      <c r="F137" s="2" t="s">
        <v>628</v>
      </c>
      <c r="H137" s="2" t="s">
        <v>17</v>
      </c>
      <c r="I137" s="2" t="s">
        <v>629</v>
      </c>
      <c r="K137" s="4">
        <v>31720</v>
      </c>
      <c r="M137" s="2" t="s">
        <v>66</v>
      </c>
      <c r="N137" s="2" t="s">
        <v>630</v>
      </c>
    </row>
    <row r="138" spans="1:14">
      <c r="A138" s="2">
        <v>137</v>
      </c>
      <c r="B138" s="3" t="s">
        <v>631</v>
      </c>
      <c r="C138" s="2" t="s">
        <v>632</v>
      </c>
      <c r="D138" s="2">
        <v>56</v>
      </c>
      <c r="E138" s="2">
        <v>57</v>
      </c>
      <c r="F138" s="2" t="s">
        <v>633</v>
      </c>
      <c r="H138" s="2" t="s">
        <v>45</v>
      </c>
      <c r="I138" s="2" t="s">
        <v>634</v>
      </c>
      <c r="K138" s="4">
        <v>27800</v>
      </c>
      <c r="M138" s="2" t="s">
        <v>170</v>
      </c>
      <c r="N138" s="2" t="s">
        <v>323</v>
      </c>
    </row>
    <row r="139" spans="1:14">
      <c r="A139" s="2">
        <v>138</v>
      </c>
      <c r="B139" s="3" t="s">
        <v>635</v>
      </c>
      <c r="C139" s="2" t="s">
        <v>636</v>
      </c>
      <c r="D139" s="2">
        <v>57</v>
      </c>
      <c r="E139" s="2">
        <v>57</v>
      </c>
      <c r="F139" s="2" t="s">
        <v>637</v>
      </c>
      <c r="H139" s="2" t="s">
        <v>45</v>
      </c>
      <c r="I139" s="2" t="s">
        <v>638</v>
      </c>
      <c r="K139" s="4">
        <v>28219</v>
      </c>
      <c r="M139" s="2" t="s">
        <v>423</v>
      </c>
      <c r="N139" s="2" t="s">
        <v>639</v>
      </c>
    </row>
    <row r="140" spans="1:14">
      <c r="A140" s="2">
        <v>139</v>
      </c>
      <c r="B140" s="3" t="s">
        <v>640</v>
      </c>
      <c r="C140" s="2" t="s">
        <v>641</v>
      </c>
      <c r="D140" s="2">
        <v>54</v>
      </c>
      <c r="E140" s="2">
        <v>57</v>
      </c>
      <c r="F140" s="2" t="s">
        <v>642</v>
      </c>
      <c r="H140" s="2" t="s">
        <v>17</v>
      </c>
      <c r="I140" s="2" t="s">
        <v>643</v>
      </c>
      <c r="K140" s="4">
        <v>21429</v>
      </c>
      <c r="M140" s="2" t="s">
        <v>85</v>
      </c>
      <c r="N140" s="2" t="s">
        <v>86</v>
      </c>
    </row>
    <row r="141" spans="1:14">
      <c r="A141" s="2">
        <v>140</v>
      </c>
      <c r="B141" s="3" t="s">
        <v>644</v>
      </c>
      <c r="C141" s="2" t="s">
        <v>645</v>
      </c>
      <c r="D141" s="2">
        <v>54</v>
      </c>
      <c r="E141" s="2">
        <v>57</v>
      </c>
      <c r="F141" s="2" t="s">
        <v>646</v>
      </c>
      <c r="H141" s="2" t="s">
        <v>17</v>
      </c>
      <c r="K141" s="4">
        <v>26772</v>
      </c>
      <c r="M141" s="2" t="s">
        <v>66</v>
      </c>
      <c r="N141" s="2" t="s">
        <v>647</v>
      </c>
    </row>
    <row r="142" spans="1:14">
      <c r="A142" s="2">
        <v>141</v>
      </c>
      <c r="B142" s="3" t="s">
        <v>648</v>
      </c>
      <c r="C142" s="2" t="s">
        <v>649</v>
      </c>
      <c r="D142" s="2">
        <v>56</v>
      </c>
      <c r="E142" s="2">
        <v>57</v>
      </c>
      <c r="F142" s="2" t="s">
        <v>650</v>
      </c>
      <c r="H142" s="2" t="s">
        <v>17</v>
      </c>
      <c r="K142" s="4">
        <v>22593</v>
      </c>
      <c r="M142" s="2" t="s">
        <v>154</v>
      </c>
      <c r="N142" s="2" t="s">
        <v>651</v>
      </c>
    </row>
    <row r="143" spans="1:14">
      <c r="A143" s="2">
        <v>142</v>
      </c>
      <c r="B143" s="3" t="s">
        <v>652</v>
      </c>
      <c r="C143" s="2" t="s">
        <v>653</v>
      </c>
      <c r="D143" s="2">
        <v>56</v>
      </c>
      <c r="E143" s="2">
        <v>57</v>
      </c>
      <c r="F143" s="2" t="s">
        <v>654</v>
      </c>
      <c r="H143" s="2" t="s">
        <v>17</v>
      </c>
      <c r="K143" s="4">
        <v>27019</v>
      </c>
      <c r="M143" s="2" t="s">
        <v>170</v>
      </c>
      <c r="N143" s="2" t="s">
        <v>323</v>
      </c>
    </row>
    <row r="144" spans="1:14">
      <c r="A144" s="2">
        <v>143</v>
      </c>
      <c r="B144" s="3" t="s">
        <v>655</v>
      </c>
      <c r="C144" s="2" t="s">
        <v>656</v>
      </c>
      <c r="D144" s="2">
        <v>57</v>
      </c>
      <c r="E144" s="2">
        <v>57</v>
      </c>
      <c r="F144" s="2" t="s">
        <v>657</v>
      </c>
      <c r="H144" s="2" t="s">
        <v>45</v>
      </c>
      <c r="I144" s="2" t="s">
        <v>658</v>
      </c>
      <c r="K144" s="4">
        <v>29842</v>
      </c>
      <c r="M144" s="2" t="s">
        <v>85</v>
      </c>
      <c r="N144" s="2" t="s">
        <v>86</v>
      </c>
    </row>
    <row r="145" spans="1:14">
      <c r="A145" s="2">
        <v>144</v>
      </c>
      <c r="B145" s="3" t="s">
        <v>659</v>
      </c>
      <c r="C145" s="2" t="s">
        <v>660</v>
      </c>
      <c r="D145" s="2">
        <v>57</v>
      </c>
      <c r="E145" s="2">
        <v>57</v>
      </c>
      <c r="F145" s="2" t="s">
        <v>661</v>
      </c>
      <c r="H145" s="2" t="s">
        <v>17</v>
      </c>
      <c r="K145" s="4">
        <v>26619</v>
      </c>
      <c r="M145" s="2" t="s">
        <v>662</v>
      </c>
      <c r="N145" s="2" t="s">
        <v>663</v>
      </c>
    </row>
    <row r="146" spans="1:14">
      <c r="A146" s="2">
        <v>145</v>
      </c>
      <c r="B146" s="3" t="s">
        <v>664</v>
      </c>
      <c r="C146" s="2" t="s">
        <v>665</v>
      </c>
      <c r="D146" s="2">
        <v>57</v>
      </c>
      <c r="E146" s="2">
        <v>57</v>
      </c>
      <c r="F146" s="2" t="s">
        <v>666</v>
      </c>
      <c r="H146" s="2" t="s">
        <v>45</v>
      </c>
      <c r="I146" s="2" t="s">
        <v>667</v>
      </c>
      <c r="K146" s="4">
        <v>26740</v>
      </c>
      <c r="M146" s="2" t="s">
        <v>53</v>
      </c>
      <c r="N146" s="2" t="s">
        <v>668</v>
      </c>
    </row>
    <row r="147" spans="1:14">
      <c r="A147" s="2">
        <v>146</v>
      </c>
      <c r="B147" s="3" t="s">
        <v>669</v>
      </c>
      <c r="C147" s="2" t="s">
        <v>670</v>
      </c>
      <c r="D147" s="2">
        <v>57</v>
      </c>
      <c r="E147" s="2">
        <v>57</v>
      </c>
      <c r="F147" s="2" t="s">
        <v>671</v>
      </c>
      <c r="H147" s="2" t="s">
        <v>45</v>
      </c>
      <c r="K147" s="4">
        <v>27108</v>
      </c>
      <c r="M147" s="2" t="s">
        <v>35</v>
      </c>
      <c r="N147" s="2" t="s">
        <v>672</v>
      </c>
    </row>
    <row r="148" spans="1:14">
      <c r="A148" s="2">
        <v>147</v>
      </c>
      <c r="B148" s="3" t="s">
        <v>673</v>
      </c>
      <c r="C148" s="2" t="s">
        <v>674</v>
      </c>
      <c r="D148" s="2">
        <v>57</v>
      </c>
      <c r="E148" s="2">
        <v>57</v>
      </c>
      <c r="F148" s="2" t="s">
        <v>675</v>
      </c>
      <c r="H148" s="2" t="s">
        <v>45</v>
      </c>
      <c r="I148" s="2" t="s">
        <v>676</v>
      </c>
      <c r="K148" s="4">
        <v>26942</v>
      </c>
      <c r="M148" s="2" t="s">
        <v>91</v>
      </c>
      <c r="N148" s="2" t="s">
        <v>677</v>
      </c>
    </row>
    <row r="149" spans="1:14">
      <c r="A149" s="2">
        <v>148</v>
      </c>
      <c r="B149" s="3" t="s">
        <v>678</v>
      </c>
      <c r="C149" s="2" t="s">
        <v>679</v>
      </c>
      <c r="D149" s="2">
        <v>57</v>
      </c>
      <c r="E149" s="2">
        <v>57</v>
      </c>
      <c r="F149" s="2" t="s">
        <v>680</v>
      </c>
      <c r="H149" s="2" t="s">
        <v>17</v>
      </c>
      <c r="I149" s="2" t="s">
        <v>681</v>
      </c>
      <c r="K149" s="4">
        <v>31649</v>
      </c>
      <c r="M149" s="2" t="s">
        <v>47</v>
      </c>
      <c r="N149" s="2" t="s">
        <v>48</v>
      </c>
    </row>
    <row r="150" spans="1:14">
      <c r="A150" s="2">
        <v>149</v>
      </c>
      <c r="B150" s="3" t="s">
        <v>682</v>
      </c>
      <c r="C150" s="2" t="s">
        <v>683</v>
      </c>
      <c r="D150" s="2">
        <v>57</v>
      </c>
      <c r="E150" s="2">
        <v>57</v>
      </c>
      <c r="F150" s="2" t="s">
        <v>684</v>
      </c>
      <c r="H150" s="2" t="s">
        <v>17</v>
      </c>
      <c r="I150" s="2" t="s">
        <v>685</v>
      </c>
      <c r="K150" s="4">
        <v>28972</v>
      </c>
      <c r="M150" s="2" t="s">
        <v>53</v>
      </c>
      <c r="N150" s="2" t="s">
        <v>686</v>
      </c>
    </row>
    <row r="151" spans="1:14">
      <c r="A151" s="2">
        <v>150</v>
      </c>
      <c r="B151" s="3" t="s">
        <v>687</v>
      </c>
      <c r="C151" s="2" t="s">
        <v>688</v>
      </c>
      <c r="D151" s="2">
        <v>57</v>
      </c>
      <c r="E151" s="2">
        <v>57</v>
      </c>
      <c r="F151" s="2" t="s">
        <v>689</v>
      </c>
      <c r="H151" s="2" t="s">
        <v>17</v>
      </c>
      <c r="I151" s="2" t="s">
        <v>690</v>
      </c>
      <c r="K151" s="4">
        <v>28412</v>
      </c>
      <c r="M151" s="2" t="s">
        <v>47</v>
      </c>
      <c r="N151" s="2" t="s">
        <v>691</v>
      </c>
    </row>
    <row r="152" spans="1:14">
      <c r="A152" s="2">
        <v>151</v>
      </c>
      <c r="B152" s="3" t="s">
        <v>692</v>
      </c>
      <c r="C152" s="2" t="s">
        <v>693</v>
      </c>
      <c r="D152" s="2">
        <v>55</v>
      </c>
      <c r="E152" s="2">
        <v>57</v>
      </c>
      <c r="F152" s="2" t="s">
        <v>694</v>
      </c>
      <c r="H152" s="2" t="s">
        <v>17</v>
      </c>
      <c r="K152" s="4">
        <v>22264</v>
      </c>
      <c r="M152" s="2" t="s">
        <v>164</v>
      </c>
      <c r="N152" s="2" t="s">
        <v>165</v>
      </c>
    </row>
    <row r="153" spans="1:14">
      <c r="A153" s="2">
        <v>152</v>
      </c>
      <c r="B153" s="3" t="s">
        <v>695</v>
      </c>
      <c r="C153" s="2" t="s">
        <v>696</v>
      </c>
      <c r="D153" s="2">
        <v>57</v>
      </c>
      <c r="E153" s="2">
        <v>57</v>
      </c>
      <c r="F153" s="2" t="s">
        <v>697</v>
      </c>
      <c r="H153" s="2" t="s">
        <v>17</v>
      </c>
      <c r="I153" s="2" t="s">
        <v>698</v>
      </c>
      <c r="K153" s="4">
        <v>29509</v>
      </c>
      <c r="M153" s="2" t="s">
        <v>198</v>
      </c>
      <c r="N153" s="2" t="s">
        <v>199</v>
      </c>
    </row>
    <row r="154" spans="1:14">
      <c r="A154" s="2">
        <v>153</v>
      </c>
      <c r="B154" s="3" t="s">
        <v>699</v>
      </c>
      <c r="C154" s="2" t="s">
        <v>700</v>
      </c>
      <c r="D154" s="2">
        <v>56</v>
      </c>
      <c r="E154" s="2">
        <v>57</v>
      </c>
      <c r="F154" s="2" t="s">
        <v>701</v>
      </c>
      <c r="H154" s="2" t="s">
        <v>17</v>
      </c>
      <c r="I154" s="2" t="s">
        <v>702</v>
      </c>
      <c r="K154" s="4">
        <v>27823</v>
      </c>
      <c r="M154" s="2" t="s">
        <v>35</v>
      </c>
      <c r="N154" s="2" t="s">
        <v>703</v>
      </c>
    </row>
    <row r="155" spans="1:14">
      <c r="A155" s="2">
        <v>154</v>
      </c>
      <c r="B155" s="3" t="s">
        <v>704</v>
      </c>
      <c r="C155" s="2" t="s">
        <v>705</v>
      </c>
      <c r="D155" s="2">
        <v>57</v>
      </c>
      <c r="E155" s="2">
        <v>57</v>
      </c>
      <c r="F155" s="2" t="s">
        <v>706</v>
      </c>
      <c r="H155" s="2" t="s">
        <v>17</v>
      </c>
      <c r="I155" s="2" t="s">
        <v>707</v>
      </c>
      <c r="K155" s="4">
        <v>30309</v>
      </c>
      <c r="M155" s="2" t="s">
        <v>47</v>
      </c>
      <c r="N155" s="2" t="s">
        <v>708</v>
      </c>
    </row>
    <row r="156" spans="1:14">
      <c r="A156" s="2">
        <v>155</v>
      </c>
      <c r="B156" s="3" t="s">
        <v>709</v>
      </c>
      <c r="C156" s="2" t="s">
        <v>710</v>
      </c>
      <c r="D156" s="2">
        <v>57</v>
      </c>
      <c r="E156" s="2">
        <v>57</v>
      </c>
      <c r="F156" s="2" t="s">
        <v>711</v>
      </c>
      <c r="H156" s="2" t="s">
        <v>17</v>
      </c>
      <c r="I156" s="2" t="s">
        <v>712</v>
      </c>
      <c r="K156" s="4">
        <v>27257</v>
      </c>
      <c r="M156" s="2" t="s">
        <v>47</v>
      </c>
      <c r="N156" s="2" t="s">
        <v>48</v>
      </c>
    </row>
    <row r="157" spans="1:14">
      <c r="A157" s="2">
        <v>156</v>
      </c>
      <c r="B157" s="3" t="s">
        <v>713</v>
      </c>
      <c r="C157" s="2" t="s">
        <v>714</v>
      </c>
      <c r="D157" s="2">
        <v>57</v>
      </c>
      <c r="E157" s="2">
        <v>57</v>
      </c>
      <c r="F157" s="2" t="s">
        <v>715</v>
      </c>
      <c r="H157" s="2" t="s">
        <v>17</v>
      </c>
      <c r="K157" s="4">
        <v>31846</v>
      </c>
      <c r="M157" s="2" t="s">
        <v>47</v>
      </c>
      <c r="N157" s="2" t="s">
        <v>48</v>
      </c>
    </row>
    <row r="158" spans="1:14">
      <c r="A158" s="2">
        <v>157</v>
      </c>
      <c r="B158" s="3" t="s">
        <v>716</v>
      </c>
      <c r="C158" s="2" t="s">
        <v>717</v>
      </c>
      <c r="D158" s="2">
        <v>57</v>
      </c>
      <c r="E158" s="2">
        <v>57</v>
      </c>
      <c r="F158" s="2" t="s">
        <v>718</v>
      </c>
      <c r="H158" s="2" t="s">
        <v>17</v>
      </c>
      <c r="K158" s="4">
        <v>26427</v>
      </c>
      <c r="M158" s="2" t="s">
        <v>170</v>
      </c>
      <c r="N158" s="2" t="s">
        <v>323</v>
      </c>
    </row>
    <row r="159" spans="1:14">
      <c r="A159" s="2">
        <v>158</v>
      </c>
      <c r="B159" s="3" t="s">
        <v>719</v>
      </c>
      <c r="C159" s="2" t="s">
        <v>720</v>
      </c>
      <c r="D159" s="2">
        <v>57</v>
      </c>
      <c r="E159" s="2">
        <v>57</v>
      </c>
      <c r="F159" s="2" t="s">
        <v>721</v>
      </c>
      <c r="H159" s="2" t="s">
        <v>17</v>
      </c>
      <c r="K159" s="4">
        <v>28395</v>
      </c>
      <c r="M159" s="2" t="s">
        <v>35</v>
      </c>
      <c r="N159" s="2" t="s">
        <v>722</v>
      </c>
    </row>
    <row r="160" spans="1:14">
      <c r="A160" s="2">
        <v>159</v>
      </c>
      <c r="B160" s="3" t="s">
        <v>723</v>
      </c>
      <c r="C160" s="2" t="s">
        <v>724</v>
      </c>
      <c r="D160" s="2">
        <v>57</v>
      </c>
      <c r="E160" s="2">
        <v>57</v>
      </c>
      <c r="F160" s="2" t="s">
        <v>725</v>
      </c>
      <c r="H160" s="2" t="s">
        <v>17</v>
      </c>
      <c r="K160" s="4">
        <v>29235</v>
      </c>
      <c r="M160" s="2" t="s">
        <v>154</v>
      </c>
      <c r="N160" s="2" t="s">
        <v>726</v>
      </c>
    </row>
    <row r="161" spans="1:14">
      <c r="A161" s="2">
        <v>160</v>
      </c>
      <c r="B161" s="3" t="s">
        <v>727</v>
      </c>
      <c r="C161" s="2" t="s">
        <v>728</v>
      </c>
      <c r="D161" s="2">
        <v>57</v>
      </c>
      <c r="E161" s="2">
        <v>57</v>
      </c>
      <c r="F161" s="2" t="s">
        <v>729</v>
      </c>
      <c r="H161" s="2" t="s">
        <v>45</v>
      </c>
      <c r="K161" s="4">
        <v>30484</v>
      </c>
      <c r="M161" s="2" t="s">
        <v>66</v>
      </c>
      <c r="N161" s="2" t="s">
        <v>730</v>
      </c>
    </row>
    <row r="162" spans="1:14">
      <c r="A162" s="2">
        <v>161</v>
      </c>
      <c r="B162" s="3" t="s">
        <v>731</v>
      </c>
      <c r="C162" s="2" t="s">
        <v>732</v>
      </c>
      <c r="D162" s="2">
        <v>57</v>
      </c>
      <c r="E162" s="2">
        <v>57</v>
      </c>
      <c r="F162" s="2" t="s">
        <v>733</v>
      </c>
      <c r="H162" s="2" t="s">
        <v>45</v>
      </c>
      <c r="I162" s="2" t="s">
        <v>734</v>
      </c>
      <c r="K162" s="4">
        <v>28880</v>
      </c>
      <c r="M162" s="2" t="s">
        <v>85</v>
      </c>
      <c r="N162" s="2" t="s">
        <v>735</v>
      </c>
    </row>
    <row r="163" spans="1:14">
      <c r="A163" s="2">
        <v>162</v>
      </c>
      <c r="B163" s="3" t="s">
        <v>736</v>
      </c>
      <c r="C163" s="2" t="s">
        <v>737</v>
      </c>
      <c r="D163" s="2">
        <v>54</v>
      </c>
      <c r="E163" s="2">
        <v>57</v>
      </c>
      <c r="F163" s="2" t="s">
        <v>738</v>
      </c>
      <c r="H163" s="2" t="s">
        <v>17</v>
      </c>
      <c r="I163" s="2" t="s">
        <v>739</v>
      </c>
      <c r="K163" s="4">
        <v>28345</v>
      </c>
      <c r="M163" s="2" t="s">
        <v>35</v>
      </c>
      <c r="N163" s="2" t="s">
        <v>58</v>
      </c>
    </row>
    <row r="164" spans="1:14">
      <c r="A164" s="2">
        <v>163</v>
      </c>
      <c r="B164" s="3" t="s">
        <v>740</v>
      </c>
      <c r="C164" s="2" t="s">
        <v>741</v>
      </c>
      <c r="D164" s="2">
        <v>57</v>
      </c>
      <c r="E164" s="2">
        <v>57</v>
      </c>
      <c r="F164" s="2" t="s">
        <v>742</v>
      </c>
      <c r="H164" s="2" t="s">
        <v>17</v>
      </c>
      <c r="K164" s="4">
        <v>30338</v>
      </c>
      <c r="M164" s="2" t="s">
        <v>40</v>
      </c>
      <c r="N164" s="2" t="s">
        <v>41</v>
      </c>
    </row>
    <row r="165" spans="1:14">
      <c r="A165" s="2">
        <v>164</v>
      </c>
      <c r="B165" s="3" t="s">
        <v>743</v>
      </c>
      <c r="C165" s="2" t="s">
        <v>744</v>
      </c>
      <c r="D165" s="2">
        <v>55</v>
      </c>
      <c r="E165" s="2">
        <v>57</v>
      </c>
      <c r="F165" s="2" t="s">
        <v>745</v>
      </c>
      <c r="H165" s="2" t="s">
        <v>17</v>
      </c>
      <c r="I165" s="2" t="s">
        <v>746</v>
      </c>
      <c r="K165" s="4">
        <v>30965</v>
      </c>
      <c r="M165" s="2" t="s">
        <v>154</v>
      </c>
      <c r="N165" s="2" t="s">
        <v>747</v>
      </c>
    </row>
    <row r="166" spans="1:14">
      <c r="A166" s="2">
        <v>165</v>
      </c>
      <c r="B166" s="3" t="s">
        <v>748</v>
      </c>
      <c r="C166" s="2" t="s">
        <v>749</v>
      </c>
      <c r="D166" s="2">
        <v>50</v>
      </c>
      <c r="E166" s="2">
        <v>57</v>
      </c>
      <c r="F166" s="2" t="s">
        <v>750</v>
      </c>
      <c r="H166" s="2" t="s">
        <v>17</v>
      </c>
      <c r="K166" s="4">
        <v>17558</v>
      </c>
      <c r="M166" s="2" t="s">
        <v>66</v>
      </c>
      <c r="N166" s="2" t="s">
        <v>751</v>
      </c>
    </row>
    <row r="167" spans="1:14">
      <c r="A167" s="2">
        <v>166</v>
      </c>
      <c r="B167" s="3" t="s">
        <v>752</v>
      </c>
      <c r="C167" s="2" t="s">
        <v>753</v>
      </c>
      <c r="D167" s="2">
        <v>57</v>
      </c>
      <c r="E167" s="2">
        <v>57</v>
      </c>
      <c r="F167" s="2" t="s">
        <v>754</v>
      </c>
      <c r="H167" s="2" t="s">
        <v>45</v>
      </c>
      <c r="K167" s="4">
        <v>25331</v>
      </c>
      <c r="M167" s="2" t="s">
        <v>164</v>
      </c>
      <c r="N167" s="2" t="s">
        <v>755</v>
      </c>
    </row>
    <row r="168" spans="1:14">
      <c r="A168" s="2">
        <v>167</v>
      </c>
      <c r="B168" s="3" t="s">
        <v>756</v>
      </c>
      <c r="C168" s="2" t="s">
        <v>757</v>
      </c>
      <c r="D168" s="2">
        <v>54</v>
      </c>
      <c r="E168" s="2">
        <v>57</v>
      </c>
      <c r="F168" s="2" t="s">
        <v>758</v>
      </c>
      <c r="H168" s="2" t="s">
        <v>17</v>
      </c>
      <c r="K168" s="4">
        <v>26807</v>
      </c>
      <c r="M168" s="2" t="s">
        <v>170</v>
      </c>
      <c r="N168" s="2" t="s">
        <v>759</v>
      </c>
    </row>
    <row r="169" spans="1:14">
      <c r="A169" s="2">
        <v>168</v>
      </c>
      <c r="B169" s="3" t="s">
        <v>760</v>
      </c>
      <c r="C169" s="2" t="s">
        <v>761</v>
      </c>
      <c r="D169" s="2">
        <v>57</v>
      </c>
      <c r="E169" s="2">
        <v>57</v>
      </c>
      <c r="F169" s="2" t="s">
        <v>762</v>
      </c>
      <c r="H169" s="2" t="s">
        <v>17</v>
      </c>
      <c r="I169" s="2" t="s">
        <v>763</v>
      </c>
      <c r="K169" s="4">
        <v>27517</v>
      </c>
      <c r="M169" s="2" t="s">
        <v>76</v>
      </c>
      <c r="N169" s="2" t="s">
        <v>764</v>
      </c>
    </row>
    <row r="170" spans="1:14">
      <c r="A170" s="2">
        <v>169</v>
      </c>
      <c r="B170" s="3" t="s">
        <v>765</v>
      </c>
      <c r="C170" s="2" t="s">
        <v>766</v>
      </c>
      <c r="D170" s="2">
        <v>54</v>
      </c>
      <c r="E170" s="2">
        <v>57</v>
      </c>
      <c r="F170" s="2" t="s">
        <v>767</v>
      </c>
      <c r="H170" s="2" t="s">
        <v>17</v>
      </c>
      <c r="I170" s="2" t="s">
        <v>768</v>
      </c>
      <c r="K170" s="4">
        <v>32262</v>
      </c>
      <c r="M170" s="2" t="s">
        <v>85</v>
      </c>
      <c r="N170" s="2" t="s">
        <v>86</v>
      </c>
    </row>
    <row r="171" spans="1:14">
      <c r="A171" s="2">
        <v>170</v>
      </c>
      <c r="B171" s="3" t="s">
        <v>769</v>
      </c>
      <c r="C171" s="2" t="s">
        <v>770</v>
      </c>
      <c r="D171" s="2">
        <v>54</v>
      </c>
      <c r="E171" s="2">
        <v>57</v>
      </c>
      <c r="F171" s="2" t="s">
        <v>771</v>
      </c>
      <c r="H171" s="2" t="s">
        <v>17</v>
      </c>
      <c r="K171" s="4">
        <v>20904</v>
      </c>
      <c r="M171" s="2" t="s">
        <v>35</v>
      </c>
      <c r="N171" s="2" t="s">
        <v>772</v>
      </c>
    </row>
    <row r="172" spans="1:14">
      <c r="A172" s="2">
        <v>171</v>
      </c>
      <c r="B172" s="3" t="s">
        <v>773</v>
      </c>
      <c r="C172" s="2" t="s">
        <v>774</v>
      </c>
      <c r="D172" s="2">
        <v>57</v>
      </c>
      <c r="E172" s="2">
        <v>57</v>
      </c>
      <c r="F172" s="2" t="s">
        <v>775</v>
      </c>
      <c r="H172" s="2" t="s">
        <v>17</v>
      </c>
      <c r="I172" s="2" t="s">
        <v>776</v>
      </c>
      <c r="K172" s="4">
        <v>27813</v>
      </c>
      <c r="M172" s="2" t="s">
        <v>24</v>
      </c>
      <c r="N172" s="2" t="s">
        <v>25</v>
      </c>
    </row>
    <row r="173" spans="1:14">
      <c r="A173" s="2">
        <v>172</v>
      </c>
      <c r="B173" s="3" t="s">
        <v>777</v>
      </c>
      <c r="C173" s="2" t="s">
        <v>778</v>
      </c>
      <c r="D173" s="2">
        <v>57</v>
      </c>
      <c r="E173" s="2">
        <v>57</v>
      </c>
      <c r="F173" s="2" t="s">
        <v>779</v>
      </c>
      <c r="H173" s="2" t="s">
        <v>17</v>
      </c>
      <c r="K173" s="4">
        <v>29025</v>
      </c>
      <c r="M173" s="2" t="s">
        <v>47</v>
      </c>
      <c r="N173" s="2" t="s">
        <v>48</v>
      </c>
    </row>
    <row r="174" spans="1:14">
      <c r="A174" s="2">
        <v>173</v>
      </c>
      <c r="B174" s="3" t="s">
        <v>780</v>
      </c>
      <c r="C174" s="2" t="s">
        <v>781</v>
      </c>
      <c r="D174" s="2">
        <v>56</v>
      </c>
      <c r="E174" s="2">
        <v>57</v>
      </c>
      <c r="F174" s="2" t="s">
        <v>782</v>
      </c>
      <c r="H174" s="2" t="s">
        <v>17</v>
      </c>
      <c r="I174" s="2" t="s">
        <v>783</v>
      </c>
      <c r="K174" s="4">
        <v>27013</v>
      </c>
      <c r="M174" s="2" t="s">
        <v>170</v>
      </c>
      <c r="N174" s="2" t="s">
        <v>784</v>
      </c>
    </row>
    <row r="175" spans="1:14">
      <c r="A175" s="2">
        <v>174</v>
      </c>
      <c r="B175" s="3" t="s">
        <v>785</v>
      </c>
      <c r="C175" s="2" t="s">
        <v>786</v>
      </c>
      <c r="D175" s="2">
        <v>57</v>
      </c>
      <c r="E175" s="2">
        <v>57</v>
      </c>
      <c r="F175" s="2" t="s">
        <v>787</v>
      </c>
      <c r="H175" s="2" t="s">
        <v>17</v>
      </c>
      <c r="I175" s="2" t="s">
        <v>788</v>
      </c>
      <c r="K175" s="4">
        <v>28323</v>
      </c>
      <c r="M175" s="2" t="s">
        <v>198</v>
      </c>
      <c r="N175" s="2" t="s">
        <v>199</v>
      </c>
    </row>
    <row r="176" spans="1:14">
      <c r="A176" s="2">
        <v>175</v>
      </c>
      <c r="B176" s="3" t="s">
        <v>789</v>
      </c>
      <c r="C176" s="2" t="s">
        <v>790</v>
      </c>
      <c r="D176" s="2">
        <v>57</v>
      </c>
      <c r="E176" s="2">
        <v>57</v>
      </c>
      <c r="F176" s="2" t="s">
        <v>791</v>
      </c>
      <c r="H176" s="2" t="s">
        <v>17</v>
      </c>
      <c r="K176" s="4">
        <v>25989</v>
      </c>
      <c r="M176" s="2" t="s">
        <v>35</v>
      </c>
      <c r="N176" s="2" t="s">
        <v>792</v>
      </c>
    </row>
    <row r="177" spans="1:14">
      <c r="A177" s="2">
        <v>176</v>
      </c>
      <c r="B177" s="3" t="s">
        <v>793</v>
      </c>
      <c r="C177" s="2" t="s">
        <v>794</v>
      </c>
      <c r="D177" s="2">
        <v>57</v>
      </c>
      <c r="E177" s="2">
        <v>57</v>
      </c>
      <c r="F177" s="2" t="s">
        <v>795</v>
      </c>
      <c r="H177" s="2" t="s">
        <v>17</v>
      </c>
      <c r="I177" s="3" t="s">
        <v>796</v>
      </c>
      <c r="K177" s="4">
        <v>26702</v>
      </c>
      <c r="M177" s="2" t="s">
        <v>154</v>
      </c>
      <c r="N177" s="2" t="s">
        <v>797</v>
      </c>
    </row>
    <row r="178" spans="1:14">
      <c r="A178" s="2">
        <v>177</v>
      </c>
      <c r="B178" s="3" t="s">
        <v>798</v>
      </c>
      <c r="C178" s="2" t="s">
        <v>799</v>
      </c>
      <c r="D178" s="2">
        <v>57</v>
      </c>
      <c r="E178" s="2">
        <v>57</v>
      </c>
      <c r="F178" s="2" t="s">
        <v>800</v>
      </c>
      <c r="H178" s="2" t="s">
        <v>17</v>
      </c>
      <c r="I178" s="3" t="s">
        <v>801</v>
      </c>
      <c r="K178" s="4">
        <v>28902</v>
      </c>
      <c r="M178" s="2" t="s">
        <v>170</v>
      </c>
      <c r="N178" s="2" t="s">
        <v>802</v>
      </c>
    </row>
    <row r="179" spans="1:14">
      <c r="A179" s="2">
        <v>178</v>
      </c>
      <c r="B179" s="3" t="s">
        <v>803</v>
      </c>
      <c r="C179" s="2" t="s">
        <v>804</v>
      </c>
      <c r="D179" s="2">
        <v>57</v>
      </c>
      <c r="E179" s="2">
        <v>57</v>
      </c>
      <c r="F179" s="2" t="s">
        <v>805</v>
      </c>
      <c r="H179" s="2" t="s">
        <v>17</v>
      </c>
      <c r="I179" s="2" t="s">
        <v>806</v>
      </c>
      <c r="K179" s="4">
        <v>29132</v>
      </c>
      <c r="M179" s="2" t="s">
        <v>53</v>
      </c>
      <c r="N179" s="2" t="s">
        <v>434</v>
      </c>
    </row>
    <row r="180" spans="1:14">
      <c r="A180" s="2">
        <v>179</v>
      </c>
      <c r="B180" s="3" t="s">
        <v>807</v>
      </c>
      <c r="C180" s="2" t="s">
        <v>808</v>
      </c>
      <c r="D180" s="2">
        <v>57</v>
      </c>
      <c r="E180" s="2">
        <v>57</v>
      </c>
      <c r="F180" s="2" t="s">
        <v>809</v>
      </c>
      <c r="H180" s="2" t="s">
        <v>17</v>
      </c>
      <c r="I180" s="2" t="s">
        <v>810</v>
      </c>
      <c r="K180" s="4">
        <v>29142</v>
      </c>
      <c r="M180" s="2" t="s">
        <v>140</v>
      </c>
      <c r="N180" s="2" t="s">
        <v>811</v>
      </c>
    </row>
    <row r="181" spans="1:14">
      <c r="A181" s="2">
        <v>180</v>
      </c>
      <c r="B181" s="3" t="s">
        <v>812</v>
      </c>
      <c r="C181" s="2" t="s">
        <v>813</v>
      </c>
      <c r="D181" s="2">
        <v>56</v>
      </c>
      <c r="E181" s="2">
        <v>57</v>
      </c>
      <c r="F181" s="2" t="s">
        <v>814</v>
      </c>
      <c r="H181" s="2" t="s">
        <v>17</v>
      </c>
      <c r="I181" s="2" t="s">
        <v>815</v>
      </c>
      <c r="K181" s="4">
        <v>28208</v>
      </c>
      <c r="M181" s="2" t="s">
        <v>170</v>
      </c>
      <c r="N181" s="2" t="s">
        <v>816</v>
      </c>
    </row>
    <row r="182" spans="1:14">
      <c r="A182" s="2">
        <v>181</v>
      </c>
      <c r="B182" s="3" t="s">
        <v>817</v>
      </c>
      <c r="C182" s="2" t="s">
        <v>818</v>
      </c>
      <c r="D182" s="2">
        <v>56</v>
      </c>
      <c r="E182" s="2">
        <v>57</v>
      </c>
      <c r="F182" s="2" t="s">
        <v>819</v>
      </c>
      <c r="H182" s="2" t="s">
        <v>17</v>
      </c>
      <c r="K182" s="4">
        <v>19548</v>
      </c>
      <c r="M182" s="2" t="s">
        <v>185</v>
      </c>
      <c r="N182" s="2" t="s">
        <v>820</v>
      </c>
    </row>
    <row r="183" spans="1:14">
      <c r="A183" s="2">
        <v>182</v>
      </c>
      <c r="B183" s="3" t="s">
        <v>821</v>
      </c>
      <c r="C183" s="2" t="s">
        <v>822</v>
      </c>
      <c r="D183" s="2">
        <v>57</v>
      </c>
      <c r="E183" s="2">
        <v>57</v>
      </c>
      <c r="F183" s="2" t="s">
        <v>823</v>
      </c>
      <c r="H183" s="2" t="s">
        <v>17</v>
      </c>
      <c r="I183" s="2" t="s">
        <v>824</v>
      </c>
      <c r="K183" s="4">
        <v>30523</v>
      </c>
      <c r="M183" s="2" t="s">
        <v>53</v>
      </c>
      <c r="N183" s="2" t="s">
        <v>825</v>
      </c>
    </row>
    <row r="184" spans="1:14">
      <c r="A184" s="2">
        <v>183</v>
      </c>
      <c r="B184" s="3" t="s">
        <v>826</v>
      </c>
      <c r="C184" s="2" t="s">
        <v>827</v>
      </c>
      <c r="D184" s="2">
        <v>56</v>
      </c>
      <c r="E184" s="2">
        <v>57</v>
      </c>
      <c r="F184" s="2" t="s">
        <v>828</v>
      </c>
      <c r="H184" s="2" t="s">
        <v>17</v>
      </c>
      <c r="K184" s="4">
        <v>22404</v>
      </c>
      <c r="M184" s="2" t="s">
        <v>85</v>
      </c>
      <c r="N184" s="2" t="s">
        <v>829</v>
      </c>
    </row>
    <row r="185" spans="1:14">
      <c r="A185" s="2">
        <v>184</v>
      </c>
      <c r="B185" s="3" t="s">
        <v>830</v>
      </c>
      <c r="C185" s="2" t="s">
        <v>831</v>
      </c>
      <c r="D185" s="2">
        <v>56</v>
      </c>
      <c r="E185" s="2">
        <v>57</v>
      </c>
      <c r="F185" s="2" t="s">
        <v>832</v>
      </c>
      <c r="H185" s="2" t="s">
        <v>17</v>
      </c>
      <c r="I185" s="2" t="s">
        <v>833</v>
      </c>
      <c r="K185" s="4">
        <v>18166</v>
      </c>
      <c r="M185" s="2" t="s">
        <v>341</v>
      </c>
      <c r="N185" s="2" t="s">
        <v>834</v>
      </c>
    </row>
    <row r="186" spans="1:14">
      <c r="A186" s="2">
        <v>185</v>
      </c>
      <c r="B186" s="3" t="s">
        <v>835</v>
      </c>
      <c r="C186" s="2" t="s">
        <v>836</v>
      </c>
      <c r="D186" s="2">
        <v>57</v>
      </c>
      <c r="E186" s="2">
        <v>57</v>
      </c>
      <c r="F186" s="2" t="s">
        <v>837</v>
      </c>
      <c r="H186" s="2" t="s">
        <v>17</v>
      </c>
      <c r="K186" s="4">
        <v>33150</v>
      </c>
      <c r="M186" s="2" t="s">
        <v>185</v>
      </c>
      <c r="N186" s="2" t="s">
        <v>838</v>
      </c>
    </row>
    <row r="187" spans="1:14">
      <c r="A187" s="2">
        <v>186</v>
      </c>
      <c r="B187" s="3" t="s">
        <v>839</v>
      </c>
      <c r="C187" s="2" t="s">
        <v>840</v>
      </c>
      <c r="D187" s="2">
        <v>57</v>
      </c>
      <c r="E187" s="2">
        <v>57</v>
      </c>
      <c r="F187" s="2" t="s">
        <v>841</v>
      </c>
      <c r="H187" s="2" t="s">
        <v>17</v>
      </c>
      <c r="I187" s="2" t="s">
        <v>842</v>
      </c>
      <c r="K187" s="4">
        <v>31414</v>
      </c>
      <c r="M187" s="2" t="s">
        <v>192</v>
      </c>
      <c r="N187" s="2" t="s">
        <v>577</v>
      </c>
    </row>
    <row r="188" spans="1:14">
      <c r="A188" s="2">
        <v>187</v>
      </c>
      <c r="B188" s="3" t="s">
        <v>843</v>
      </c>
      <c r="C188" s="2" t="s">
        <v>844</v>
      </c>
      <c r="D188" s="2">
        <v>56</v>
      </c>
      <c r="E188" s="2">
        <v>57</v>
      </c>
      <c r="F188" s="2" t="s">
        <v>845</v>
      </c>
      <c r="H188" s="2" t="s">
        <v>17</v>
      </c>
      <c r="I188" s="2" t="s">
        <v>846</v>
      </c>
      <c r="K188" s="4">
        <v>19668</v>
      </c>
      <c r="M188" s="2" t="s">
        <v>53</v>
      </c>
      <c r="N188" s="2" t="s">
        <v>847</v>
      </c>
    </row>
    <row r="189" spans="1:14">
      <c r="A189" s="2">
        <v>188</v>
      </c>
      <c r="B189" s="3" t="s">
        <v>848</v>
      </c>
      <c r="C189" s="2" t="s">
        <v>849</v>
      </c>
      <c r="D189" s="2">
        <v>57</v>
      </c>
      <c r="E189" s="2">
        <v>57</v>
      </c>
      <c r="F189" s="2" t="s">
        <v>850</v>
      </c>
      <c r="H189" s="2" t="s">
        <v>45</v>
      </c>
      <c r="I189" s="2" t="s">
        <v>851</v>
      </c>
      <c r="K189" s="4">
        <v>32401</v>
      </c>
      <c r="M189" s="2" t="s">
        <v>164</v>
      </c>
      <c r="N189" s="2" t="s">
        <v>165</v>
      </c>
    </row>
    <row r="190" spans="1:14">
      <c r="A190" s="2">
        <v>189</v>
      </c>
      <c r="B190" s="3" t="s">
        <v>852</v>
      </c>
      <c r="C190" s="2" t="s">
        <v>853</v>
      </c>
      <c r="D190" s="2">
        <v>57</v>
      </c>
      <c r="E190" s="2">
        <v>57</v>
      </c>
      <c r="F190" s="2" t="s">
        <v>854</v>
      </c>
      <c r="H190" s="2" t="s">
        <v>45</v>
      </c>
      <c r="K190" s="4">
        <v>24432</v>
      </c>
      <c r="M190" s="2" t="s">
        <v>85</v>
      </c>
      <c r="N190" s="2" t="s">
        <v>86</v>
      </c>
    </row>
    <row r="191" spans="1:14">
      <c r="A191" s="2">
        <v>190</v>
      </c>
      <c r="B191" s="3" t="s">
        <v>855</v>
      </c>
      <c r="C191" s="2" t="s">
        <v>856</v>
      </c>
      <c r="D191" s="2">
        <v>57</v>
      </c>
      <c r="E191" s="2">
        <v>57</v>
      </c>
      <c r="F191" s="2" t="s">
        <v>857</v>
      </c>
      <c r="H191" s="2" t="s">
        <v>17</v>
      </c>
      <c r="K191" s="4">
        <v>29475</v>
      </c>
      <c r="M191" s="2" t="s">
        <v>35</v>
      </c>
      <c r="N191" s="2" t="s">
        <v>858</v>
      </c>
    </row>
    <row r="192" spans="1:14">
      <c r="A192" s="2">
        <v>191</v>
      </c>
      <c r="B192" s="3" t="s">
        <v>859</v>
      </c>
      <c r="C192" s="2" t="s">
        <v>860</v>
      </c>
      <c r="D192" s="2">
        <v>57</v>
      </c>
      <c r="E192" s="2">
        <v>57</v>
      </c>
      <c r="F192" s="2" t="s">
        <v>861</v>
      </c>
      <c r="H192" s="2" t="s">
        <v>17</v>
      </c>
      <c r="I192" s="2" t="s">
        <v>862</v>
      </c>
      <c r="K192" s="4">
        <v>31670</v>
      </c>
      <c r="M192" s="2" t="s">
        <v>170</v>
      </c>
      <c r="N192" s="2" t="s">
        <v>323</v>
      </c>
    </row>
    <row r="193" spans="1:14">
      <c r="A193" s="2">
        <v>192</v>
      </c>
      <c r="B193" s="3" t="s">
        <v>863</v>
      </c>
      <c r="C193" s="2" t="s">
        <v>864</v>
      </c>
      <c r="D193" s="2">
        <v>57</v>
      </c>
      <c r="E193" s="2">
        <v>57</v>
      </c>
      <c r="F193" s="2" t="s">
        <v>865</v>
      </c>
      <c r="H193" s="2" t="s">
        <v>17</v>
      </c>
      <c r="I193" s="2" t="s">
        <v>866</v>
      </c>
      <c r="K193" s="4">
        <v>27168</v>
      </c>
      <c r="M193" s="2" t="s">
        <v>30</v>
      </c>
      <c r="N193" s="2" t="s">
        <v>867</v>
      </c>
    </row>
    <row r="194" spans="1:14">
      <c r="A194" s="2">
        <v>193</v>
      </c>
      <c r="B194" s="3" t="s">
        <v>868</v>
      </c>
      <c r="C194" s="2" t="s">
        <v>869</v>
      </c>
      <c r="D194" s="2">
        <v>57</v>
      </c>
      <c r="E194" s="2">
        <v>57</v>
      </c>
      <c r="F194" s="2" t="s">
        <v>870</v>
      </c>
      <c r="H194" s="2" t="s">
        <v>45</v>
      </c>
      <c r="I194" s="2" t="s">
        <v>871</v>
      </c>
      <c r="K194" s="4">
        <v>29708</v>
      </c>
      <c r="M194" s="2" t="s">
        <v>35</v>
      </c>
      <c r="N194" s="2" t="s">
        <v>58</v>
      </c>
    </row>
    <row r="195" spans="1:14">
      <c r="A195" s="2">
        <v>194</v>
      </c>
      <c r="B195" s="3" t="s">
        <v>872</v>
      </c>
      <c r="C195" s="2" t="s">
        <v>873</v>
      </c>
      <c r="D195" s="2">
        <v>56</v>
      </c>
      <c r="E195" s="2">
        <v>57</v>
      </c>
      <c r="F195" s="2" t="s">
        <v>874</v>
      </c>
      <c r="H195" s="2" t="s">
        <v>17</v>
      </c>
      <c r="I195" s="2" t="s">
        <v>875</v>
      </c>
      <c r="K195" s="4">
        <v>29904</v>
      </c>
      <c r="M195" s="2" t="s">
        <v>85</v>
      </c>
      <c r="N195" s="2" t="s">
        <v>86</v>
      </c>
    </row>
    <row r="196" spans="1:14">
      <c r="A196" s="2">
        <v>195</v>
      </c>
      <c r="B196" s="3" t="s">
        <v>876</v>
      </c>
      <c r="C196" s="2" t="s">
        <v>877</v>
      </c>
      <c r="D196" s="2">
        <v>55</v>
      </c>
      <c r="E196" s="2">
        <v>57</v>
      </c>
      <c r="F196" s="2" t="s">
        <v>878</v>
      </c>
      <c r="H196" s="2" t="s">
        <v>17</v>
      </c>
      <c r="K196" s="4">
        <v>30873</v>
      </c>
      <c r="M196" s="2" t="s">
        <v>170</v>
      </c>
      <c r="N196" s="2" t="s">
        <v>355</v>
      </c>
    </row>
    <row r="197" spans="1:14">
      <c r="A197" s="2">
        <v>196</v>
      </c>
      <c r="B197" s="3" t="s">
        <v>879</v>
      </c>
      <c r="C197" s="2" t="s">
        <v>880</v>
      </c>
      <c r="D197" s="2">
        <v>53</v>
      </c>
      <c r="E197" s="2">
        <v>57</v>
      </c>
      <c r="F197" s="2" t="s">
        <v>881</v>
      </c>
      <c r="H197" s="2" t="s">
        <v>17</v>
      </c>
      <c r="K197" s="4">
        <v>26589</v>
      </c>
      <c r="M197" s="2" t="s">
        <v>198</v>
      </c>
      <c r="N197" s="2" t="s">
        <v>199</v>
      </c>
    </row>
    <row r="198" spans="1:14">
      <c r="A198" s="2">
        <v>197</v>
      </c>
      <c r="B198" s="3" t="s">
        <v>882</v>
      </c>
      <c r="C198" s="2" t="s">
        <v>883</v>
      </c>
      <c r="D198" s="2">
        <v>57</v>
      </c>
      <c r="E198" s="2">
        <v>57</v>
      </c>
      <c r="F198" s="2" t="s">
        <v>884</v>
      </c>
      <c r="H198" s="2" t="s">
        <v>17</v>
      </c>
      <c r="I198" s="2" t="s">
        <v>885</v>
      </c>
      <c r="K198" s="4">
        <v>27949</v>
      </c>
      <c r="M198" s="2" t="s">
        <v>247</v>
      </c>
      <c r="N198" s="2" t="s">
        <v>886</v>
      </c>
    </row>
    <row r="199" spans="1:14">
      <c r="A199" s="2">
        <v>198</v>
      </c>
      <c r="B199" s="3" t="s">
        <v>887</v>
      </c>
      <c r="C199" s="2" t="s">
        <v>888</v>
      </c>
      <c r="D199" s="2">
        <v>50</v>
      </c>
      <c r="E199" s="2">
        <v>57</v>
      </c>
      <c r="F199" s="2" t="s">
        <v>889</v>
      </c>
      <c r="H199" s="2" t="s">
        <v>45</v>
      </c>
      <c r="I199" s="2" t="s">
        <v>890</v>
      </c>
      <c r="K199" s="4">
        <v>16350</v>
      </c>
      <c r="M199" s="2" t="s">
        <v>164</v>
      </c>
      <c r="N199" s="2" t="s">
        <v>165</v>
      </c>
    </row>
    <row r="200" spans="1:14">
      <c r="A200" s="2">
        <v>199</v>
      </c>
      <c r="B200" s="3" t="s">
        <v>891</v>
      </c>
      <c r="C200" s="2" t="s">
        <v>892</v>
      </c>
      <c r="D200" s="2">
        <v>56</v>
      </c>
      <c r="E200" s="2">
        <v>57</v>
      </c>
      <c r="F200" s="2" t="s">
        <v>893</v>
      </c>
      <c r="H200" s="2" t="s">
        <v>17</v>
      </c>
      <c r="K200" s="4">
        <v>22160</v>
      </c>
      <c r="M200" s="2" t="s">
        <v>53</v>
      </c>
      <c r="N200" s="2" t="s">
        <v>894</v>
      </c>
    </row>
    <row r="201" spans="1:14">
      <c r="A201" s="2">
        <v>200</v>
      </c>
      <c r="B201" s="3" t="s">
        <v>895</v>
      </c>
      <c r="C201" s="2" t="s">
        <v>896</v>
      </c>
      <c r="D201" s="2">
        <v>57</v>
      </c>
      <c r="E201" s="2">
        <v>57</v>
      </c>
      <c r="F201" s="2" t="s">
        <v>897</v>
      </c>
      <c r="H201" s="2" t="s">
        <v>45</v>
      </c>
      <c r="I201" s="3" t="s">
        <v>898</v>
      </c>
      <c r="K201" s="4">
        <v>28011</v>
      </c>
      <c r="M201" s="2" t="s">
        <v>85</v>
      </c>
      <c r="N201" s="2" t="s">
        <v>221</v>
      </c>
    </row>
    <row r="202" spans="1:14">
      <c r="A202" s="2">
        <v>201</v>
      </c>
      <c r="B202" s="3" t="s">
        <v>899</v>
      </c>
      <c r="C202" s="2" t="s">
        <v>900</v>
      </c>
      <c r="D202" s="2">
        <v>57</v>
      </c>
      <c r="E202" s="2">
        <v>57</v>
      </c>
      <c r="F202" s="2" t="s">
        <v>901</v>
      </c>
      <c r="H202" s="2" t="s">
        <v>45</v>
      </c>
      <c r="K202" s="4">
        <v>26905</v>
      </c>
      <c r="M202" s="2" t="s">
        <v>40</v>
      </c>
      <c r="N202" s="2" t="s">
        <v>902</v>
      </c>
    </row>
    <row r="203" spans="1:14">
      <c r="A203" s="2">
        <v>202</v>
      </c>
      <c r="B203" s="3" t="s">
        <v>903</v>
      </c>
      <c r="C203" s="2" t="s">
        <v>904</v>
      </c>
      <c r="D203" s="2">
        <v>56</v>
      </c>
      <c r="E203" s="2">
        <v>57</v>
      </c>
      <c r="F203" s="2" t="s">
        <v>905</v>
      </c>
      <c r="H203" s="2" t="s">
        <v>45</v>
      </c>
      <c r="K203" s="4">
        <v>26391</v>
      </c>
      <c r="M203" s="2" t="s">
        <v>76</v>
      </c>
      <c r="N203" s="2" t="s">
        <v>906</v>
      </c>
    </row>
    <row r="204" spans="1:14">
      <c r="A204" s="2">
        <v>203</v>
      </c>
      <c r="B204" s="3" t="s">
        <v>907</v>
      </c>
      <c r="C204" s="2" t="s">
        <v>908</v>
      </c>
      <c r="D204" s="2">
        <v>55</v>
      </c>
      <c r="E204" s="2">
        <v>57</v>
      </c>
      <c r="F204" s="2" t="s">
        <v>909</v>
      </c>
      <c r="H204" s="2" t="s">
        <v>17</v>
      </c>
      <c r="K204" s="4">
        <v>25755</v>
      </c>
      <c r="M204" s="2" t="s">
        <v>40</v>
      </c>
      <c r="N204" s="2" t="s">
        <v>910</v>
      </c>
    </row>
    <row r="205" spans="1:14">
      <c r="A205" s="2">
        <v>204</v>
      </c>
      <c r="B205" s="3" t="s">
        <v>911</v>
      </c>
      <c r="C205" s="2" t="s">
        <v>912</v>
      </c>
      <c r="D205" s="2">
        <v>56</v>
      </c>
      <c r="E205" s="2">
        <v>57</v>
      </c>
      <c r="F205" s="2" t="s">
        <v>913</v>
      </c>
      <c r="H205" s="2" t="s">
        <v>45</v>
      </c>
      <c r="I205" s="2" t="s">
        <v>914</v>
      </c>
      <c r="K205" s="4">
        <v>28138</v>
      </c>
      <c r="M205" s="2" t="s">
        <v>47</v>
      </c>
      <c r="N205" s="2" t="s">
        <v>48</v>
      </c>
    </row>
    <row r="206" spans="1:14">
      <c r="A206" s="2">
        <v>205</v>
      </c>
      <c r="B206" s="3" t="s">
        <v>915</v>
      </c>
      <c r="C206" s="2" t="s">
        <v>916</v>
      </c>
      <c r="D206" s="2">
        <v>56</v>
      </c>
      <c r="E206" s="2">
        <v>57</v>
      </c>
      <c r="F206" s="2" t="s">
        <v>917</v>
      </c>
      <c r="H206" s="2" t="s">
        <v>17</v>
      </c>
      <c r="I206" s="2" t="s">
        <v>918</v>
      </c>
      <c r="K206" s="4">
        <v>34704</v>
      </c>
      <c r="M206" s="2" t="s">
        <v>18</v>
      </c>
      <c r="N206" s="2" t="s">
        <v>19</v>
      </c>
    </row>
    <row r="207" spans="1:14">
      <c r="A207" s="2">
        <v>206</v>
      </c>
      <c r="B207" s="3" t="s">
        <v>919</v>
      </c>
      <c r="C207" s="2" t="s">
        <v>920</v>
      </c>
      <c r="D207" s="2">
        <v>56</v>
      </c>
      <c r="E207" s="2">
        <v>57</v>
      </c>
      <c r="F207" s="2" t="s">
        <v>921</v>
      </c>
      <c r="H207" s="2" t="s">
        <v>17</v>
      </c>
      <c r="I207" s="2" t="s">
        <v>922</v>
      </c>
      <c r="K207" s="4">
        <v>24541</v>
      </c>
      <c r="M207" s="2" t="s">
        <v>35</v>
      </c>
      <c r="N207" s="2" t="s">
        <v>923</v>
      </c>
    </row>
    <row r="208" spans="1:14">
      <c r="A208" s="2">
        <v>207</v>
      </c>
      <c r="B208" s="3" t="s">
        <v>924</v>
      </c>
      <c r="C208" s="2" t="s">
        <v>925</v>
      </c>
      <c r="D208" s="2">
        <v>57</v>
      </c>
      <c r="E208" s="2">
        <v>57</v>
      </c>
      <c r="F208" s="2" t="s">
        <v>926</v>
      </c>
      <c r="H208" s="2" t="s">
        <v>45</v>
      </c>
      <c r="K208" s="4">
        <v>30637</v>
      </c>
      <c r="M208" s="2" t="s">
        <v>85</v>
      </c>
      <c r="N208" s="2" t="s">
        <v>86</v>
      </c>
    </row>
    <row r="209" spans="1:14">
      <c r="A209" s="2">
        <v>208</v>
      </c>
      <c r="B209" s="3" t="s">
        <v>927</v>
      </c>
      <c r="C209" s="2" t="s">
        <v>928</v>
      </c>
      <c r="D209" s="2">
        <v>57</v>
      </c>
      <c r="E209" s="2">
        <v>57</v>
      </c>
      <c r="F209" s="2" t="s">
        <v>929</v>
      </c>
      <c r="H209" s="2" t="s">
        <v>45</v>
      </c>
      <c r="K209" s="4">
        <v>23247</v>
      </c>
      <c r="M209" s="2" t="s">
        <v>170</v>
      </c>
      <c r="N209" s="2" t="s">
        <v>323</v>
      </c>
    </row>
    <row r="210" spans="1:14">
      <c r="A210" s="2">
        <v>209</v>
      </c>
      <c r="B210" s="3" t="s">
        <v>930</v>
      </c>
      <c r="C210" s="2" t="s">
        <v>931</v>
      </c>
      <c r="D210" s="2">
        <v>55</v>
      </c>
      <c r="E210" s="2">
        <v>57</v>
      </c>
      <c r="F210" s="2" t="s">
        <v>932</v>
      </c>
      <c r="H210" s="2" t="s">
        <v>17</v>
      </c>
      <c r="I210" s="2" t="s">
        <v>933</v>
      </c>
      <c r="J210" s="3" t="s">
        <v>934</v>
      </c>
      <c r="K210" s="4">
        <v>22367</v>
      </c>
      <c r="M210" s="2" t="s">
        <v>154</v>
      </c>
      <c r="N210" s="2" t="s">
        <v>935</v>
      </c>
    </row>
    <row r="211" spans="1:14">
      <c r="A211" s="2">
        <v>210</v>
      </c>
      <c r="B211" s="3" t="s">
        <v>936</v>
      </c>
      <c r="C211" s="2" t="s">
        <v>937</v>
      </c>
      <c r="D211" s="2">
        <v>57</v>
      </c>
      <c r="E211" s="2">
        <v>57</v>
      </c>
      <c r="F211" s="2" t="s">
        <v>938</v>
      </c>
      <c r="H211" s="2" t="s">
        <v>17</v>
      </c>
      <c r="K211" s="4">
        <v>24011</v>
      </c>
      <c r="M211" s="2" t="s">
        <v>198</v>
      </c>
      <c r="N211" s="2" t="s">
        <v>199</v>
      </c>
    </row>
    <row r="212" spans="1:14">
      <c r="A212" s="2">
        <v>211</v>
      </c>
      <c r="B212" s="3" t="s">
        <v>939</v>
      </c>
      <c r="C212" s="2" t="s">
        <v>940</v>
      </c>
      <c r="D212" s="2">
        <v>57</v>
      </c>
      <c r="E212" s="2">
        <v>57</v>
      </c>
      <c r="F212" s="2" t="s">
        <v>941</v>
      </c>
      <c r="H212" s="2" t="s">
        <v>45</v>
      </c>
      <c r="I212" s="2" t="s">
        <v>942</v>
      </c>
      <c r="K212" s="4">
        <v>33947</v>
      </c>
      <c r="M212" s="2" t="s">
        <v>47</v>
      </c>
      <c r="N212" s="2" t="s">
        <v>943</v>
      </c>
    </row>
    <row r="213" spans="1:14">
      <c r="A213" s="2">
        <v>212</v>
      </c>
      <c r="B213" s="3" t="s">
        <v>944</v>
      </c>
      <c r="C213" s="2" t="s">
        <v>945</v>
      </c>
      <c r="D213" s="2">
        <v>54</v>
      </c>
      <c r="E213" s="2">
        <v>57</v>
      </c>
      <c r="F213" s="2" t="s">
        <v>946</v>
      </c>
      <c r="H213" s="2" t="s">
        <v>45</v>
      </c>
      <c r="K213" s="4">
        <v>21047</v>
      </c>
      <c r="M213" s="2" t="s">
        <v>85</v>
      </c>
      <c r="N213" s="2" t="s">
        <v>86</v>
      </c>
    </row>
    <row r="214" spans="1:14">
      <c r="A214" s="2">
        <v>213</v>
      </c>
      <c r="B214" s="3" t="s">
        <v>947</v>
      </c>
      <c r="C214" s="2" t="s">
        <v>948</v>
      </c>
      <c r="D214" s="2">
        <v>54</v>
      </c>
      <c r="E214" s="2">
        <v>57</v>
      </c>
      <c r="F214" s="2" t="s">
        <v>949</v>
      </c>
      <c r="H214" s="2" t="s">
        <v>17</v>
      </c>
      <c r="I214" s="2" t="s">
        <v>950</v>
      </c>
      <c r="J214" s="3" t="s">
        <v>951</v>
      </c>
      <c r="K214" s="4">
        <v>26073</v>
      </c>
      <c r="M214" s="2" t="s">
        <v>35</v>
      </c>
      <c r="N214" s="2" t="s">
        <v>58</v>
      </c>
    </row>
    <row r="215" spans="1:14">
      <c r="A215" s="2">
        <v>214</v>
      </c>
      <c r="B215" s="3" t="s">
        <v>952</v>
      </c>
      <c r="C215" s="2" t="s">
        <v>953</v>
      </c>
      <c r="D215" s="2">
        <v>56</v>
      </c>
      <c r="E215" s="2">
        <v>57</v>
      </c>
      <c r="F215" s="2" t="s">
        <v>954</v>
      </c>
      <c r="H215" s="2" t="s">
        <v>17</v>
      </c>
      <c r="K215" s="4">
        <v>30909</v>
      </c>
      <c r="M215" s="2" t="s">
        <v>35</v>
      </c>
      <c r="N215" s="2" t="s">
        <v>955</v>
      </c>
    </row>
    <row r="216" spans="1:14">
      <c r="A216" s="2">
        <v>215</v>
      </c>
      <c r="B216" s="3" t="s">
        <v>956</v>
      </c>
      <c r="C216" s="2" t="s">
        <v>957</v>
      </c>
      <c r="D216" s="2">
        <v>51</v>
      </c>
      <c r="E216" s="2">
        <v>57</v>
      </c>
      <c r="F216" s="2" t="s">
        <v>958</v>
      </c>
      <c r="H216" s="2" t="s">
        <v>17</v>
      </c>
      <c r="I216" s="2" t="s">
        <v>959</v>
      </c>
      <c r="K216" s="4">
        <v>19267</v>
      </c>
      <c r="M216" s="2" t="s">
        <v>85</v>
      </c>
      <c r="N216" s="2" t="s">
        <v>960</v>
      </c>
    </row>
    <row r="217" spans="1:14">
      <c r="A217" s="2">
        <v>216</v>
      </c>
      <c r="B217" s="3" t="s">
        <v>961</v>
      </c>
      <c r="C217" s="2" t="s">
        <v>962</v>
      </c>
      <c r="D217" s="2">
        <v>55</v>
      </c>
      <c r="E217" s="2">
        <v>57</v>
      </c>
      <c r="F217" s="2" t="s">
        <v>963</v>
      </c>
      <c r="H217" s="2" t="s">
        <v>17</v>
      </c>
      <c r="I217" s="2" t="s">
        <v>964</v>
      </c>
      <c r="K217" s="4">
        <v>26391</v>
      </c>
      <c r="M217" s="2" t="s">
        <v>192</v>
      </c>
      <c r="N217" s="2" t="s">
        <v>965</v>
      </c>
    </row>
    <row r="218" spans="1:14">
      <c r="A218" s="2">
        <v>217</v>
      </c>
      <c r="B218" s="3" t="s">
        <v>966</v>
      </c>
      <c r="C218" s="2" t="s">
        <v>967</v>
      </c>
      <c r="D218" s="2">
        <v>55</v>
      </c>
      <c r="E218" s="2">
        <v>57</v>
      </c>
      <c r="F218" s="2" t="s">
        <v>968</v>
      </c>
      <c r="H218" s="2" t="s">
        <v>17</v>
      </c>
      <c r="K218" s="4">
        <v>28305</v>
      </c>
      <c r="M218" s="2" t="s">
        <v>969</v>
      </c>
      <c r="N218" s="2" t="s">
        <v>970</v>
      </c>
    </row>
    <row r="219" spans="1:14">
      <c r="A219" s="2">
        <v>218</v>
      </c>
      <c r="B219" s="3" t="s">
        <v>971</v>
      </c>
      <c r="C219" s="2" t="s">
        <v>972</v>
      </c>
      <c r="D219" s="2">
        <v>56</v>
      </c>
      <c r="E219" s="2">
        <v>57</v>
      </c>
      <c r="F219" s="2" t="s">
        <v>973</v>
      </c>
      <c r="H219" s="2" t="s">
        <v>17</v>
      </c>
      <c r="I219" s="2" t="s">
        <v>974</v>
      </c>
      <c r="K219" s="4">
        <v>26469</v>
      </c>
      <c r="M219" s="2" t="s">
        <v>91</v>
      </c>
      <c r="N219" s="2" t="s">
        <v>975</v>
      </c>
    </row>
    <row r="220" spans="1:14">
      <c r="A220" s="2">
        <v>219</v>
      </c>
      <c r="B220" s="3" t="s">
        <v>976</v>
      </c>
      <c r="C220" s="2" t="s">
        <v>977</v>
      </c>
      <c r="D220" s="2">
        <v>57</v>
      </c>
      <c r="E220" s="2">
        <v>57</v>
      </c>
      <c r="F220" s="2" t="s">
        <v>978</v>
      </c>
      <c r="H220" s="2" t="s">
        <v>17</v>
      </c>
      <c r="K220" s="4">
        <v>29847</v>
      </c>
      <c r="M220" s="2" t="s">
        <v>185</v>
      </c>
      <c r="N220" s="2" t="s">
        <v>979</v>
      </c>
    </row>
    <row r="221" spans="1:14">
      <c r="A221" s="2">
        <v>220</v>
      </c>
      <c r="B221" s="3" t="s">
        <v>980</v>
      </c>
      <c r="C221" s="2" t="s">
        <v>981</v>
      </c>
      <c r="D221" s="2">
        <v>54</v>
      </c>
      <c r="E221" s="2">
        <v>57</v>
      </c>
      <c r="F221" s="2" t="s">
        <v>982</v>
      </c>
      <c r="H221" s="2" t="s">
        <v>17</v>
      </c>
      <c r="I221" s="3" t="s">
        <v>983</v>
      </c>
      <c r="K221" s="4">
        <v>28230</v>
      </c>
      <c r="M221" s="2" t="s">
        <v>91</v>
      </c>
      <c r="N221" s="2" t="s">
        <v>984</v>
      </c>
    </row>
    <row r="222" spans="1:14">
      <c r="A222" s="2">
        <v>221</v>
      </c>
      <c r="B222" s="3" t="s">
        <v>985</v>
      </c>
      <c r="C222" s="2" t="s">
        <v>986</v>
      </c>
      <c r="D222" s="2">
        <v>56</v>
      </c>
      <c r="E222" s="2">
        <v>57</v>
      </c>
      <c r="F222" s="2" t="s">
        <v>987</v>
      </c>
      <c r="H222" s="2" t="s">
        <v>17</v>
      </c>
      <c r="K222" s="4">
        <v>32294</v>
      </c>
      <c r="M222" s="2" t="s">
        <v>423</v>
      </c>
      <c r="N222" s="2" t="s">
        <v>424</v>
      </c>
    </row>
    <row r="223" spans="1:14">
      <c r="A223" s="2">
        <v>222</v>
      </c>
      <c r="B223" s="3" t="s">
        <v>988</v>
      </c>
      <c r="C223" s="2" t="s">
        <v>989</v>
      </c>
      <c r="D223" s="2">
        <v>57</v>
      </c>
      <c r="E223" s="2">
        <v>57</v>
      </c>
      <c r="F223" s="2" t="s">
        <v>990</v>
      </c>
      <c r="H223" s="2" t="s">
        <v>17</v>
      </c>
      <c r="I223" s="2" t="s">
        <v>991</v>
      </c>
      <c r="K223" s="4">
        <v>26228</v>
      </c>
      <c r="M223" s="2" t="s">
        <v>47</v>
      </c>
      <c r="N223" s="2" t="s">
        <v>992</v>
      </c>
    </row>
    <row r="224" spans="1:14">
      <c r="A224" s="2">
        <v>223</v>
      </c>
      <c r="B224" s="3" t="s">
        <v>993</v>
      </c>
      <c r="C224" s="2" t="s">
        <v>994</v>
      </c>
      <c r="D224" s="2">
        <v>55</v>
      </c>
      <c r="E224" s="2">
        <v>57</v>
      </c>
      <c r="F224" s="2" t="s">
        <v>995</v>
      </c>
      <c r="H224" s="2" t="s">
        <v>17</v>
      </c>
      <c r="K224" s="4">
        <v>28277</v>
      </c>
      <c r="M224" s="2" t="s">
        <v>47</v>
      </c>
      <c r="N224" s="2" t="s">
        <v>996</v>
      </c>
    </row>
    <row r="225" spans="1:14">
      <c r="A225" s="2">
        <v>224</v>
      </c>
      <c r="B225" s="3" t="s">
        <v>997</v>
      </c>
      <c r="C225" s="2" t="s">
        <v>998</v>
      </c>
      <c r="D225" s="2">
        <v>57</v>
      </c>
      <c r="E225" s="2">
        <v>57</v>
      </c>
      <c r="F225" s="2" t="s">
        <v>999</v>
      </c>
      <c r="H225" s="2" t="s">
        <v>17</v>
      </c>
      <c r="K225" s="4">
        <v>33958</v>
      </c>
      <c r="M225" s="2" t="s">
        <v>30</v>
      </c>
      <c r="N225" s="2" t="s">
        <v>31</v>
      </c>
    </row>
    <row r="226" spans="1:14">
      <c r="A226" s="2">
        <v>225</v>
      </c>
      <c r="B226" s="3" t="s">
        <v>1000</v>
      </c>
      <c r="C226" s="2" t="s">
        <v>1001</v>
      </c>
      <c r="D226" s="2">
        <v>57</v>
      </c>
      <c r="E226" s="2">
        <v>57</v>
      </c>
      <c r="F226" s="2" t="s">
        <v>1002</v>
      </c>
      <c r="H226" s="2" t="s">
        <v>17</v>
      </c>
      <c r="I226" s="2" t="s">
        <v>1003</v>
      </c>
      <c r="K226" s="4">
        <v>31842</v>
      </c>
      <c r="M226" s="2" t="s">
        <v>47</v>
      </c>
      <c r="N226" s="2" t="s">
        <v>48</v>
      </c>
    </row>
    <row r="227" spans="1:14">
      <c r="A227" s="2">
        <v>226</v>
      </c>
      <c r="B227" s="3" t="s">
        <v>1004</v>
      </c>
      <c r="C227" s="2" t="s">
        <v>1005</v>
      </c>
      <c r="D227" s="2">
        <v>55</v>
      </c>
      <c r="E227" s="2">
        <v>57</v>
      </c>
      <c r="F227" s="2" t="s">
        <v>1006</v>
      </c>
      <c r="H227" s="2" t="s">
        <v>17</v>
      </c>
      <c r="K227" s="4">
        <v>27500</v>
      </c>
      <c r="M227" s="2" t="s">
        <v>198</v>
      </c>
      <c r="N227" s="2" t="s">
        <v>199</v>
      </c>
    </row>
    <row r="228" spans="1:14">
      <c r="A228" s="2">
        <v>227</v>
      </c>
      <c r="B228" s="3" t="s">
        <v>1007</v>
      </c>
      <c r="C228" s="2" t="s">
        <v>1008</v>
      </c>
      <c r="D228" s="2">
        <v>56</v>
      </c>
      <c r="E228" s="2">
        <v>57</v>
      </c>
      <c r="F228" s="2" t="s">
        <v>1009</v>
      </c>
      <c r="H228" s="2" t="s">
        <v>17</v>
      </c>
      <c r="K228" s="4">
        <v>33513</v>
      </c>
      <c r="M228" s="2" t="s">
        <v>154</v>
      </c>
      <c r="N228" s="2" t="s">
        <v>208</v>
      </c>
    </row>
    <row r="229" spans="1:14">
      <c r="A229" s="2">
        <v>228</v>
      </c>
      <c r="B229" s="3" t="s">
        <v>1010</v>
      </c>
      <c r="C229" s="2" t="s">
        <v>1011</v>
      </c>
      <c r="D229" s="2">
        <v>57</v>
      </c>
      <c r="E229" s="2">
        <v>57</v>
      </c>
      <c r="F229" s="2" t="s">
        <v>1012</v>
      </c>
      <c r="H229" s="2" t="s">
        <v>17</v>
      </c>
      <c r="K229" s="4">
        <v>29384</v>
      </c>
      <c r="M229" s="2" t="s">
        <v>35</v>
      </c>
      <c r="N229" s="2" t="s">
        <v>58</v>
      </c>
    </row>
    <row r="230" spans="1:14">
      <c r="A230" s="2">
        <v>229</v>
      </c>
      <c r="B230" s="3" t="s">
        <v>1013</v>
      </c>
      <c r="C230" s="2" t="s">
        <v>1014</v>
      </c>
      <c r="D230" s="2">
        <v>54</v>
      </c>
      <c r="E230" s="2">
        <v>57</v>
      </c>
      <c r="F230" s="2" t="s">
        <v>1015</v>
      </c>
      <c r="H230" s="2" t="s">
        <v>17</v>
      </c>
      <c r="I230" s="2" t="s">
        <v>1016</v>
      </c>
      <c r="K230" s="4">
        <v>23344</v>
      </c>
      <c r="M230" s="2" t="s">
        <v>40</v>
      </c>
      <c r="N230" s="2" t="s">
        <v>1017</v>
      </c>
    </row>
    <row r="231" spans="1:14">
      <c r="A231" s="2">
        <v>230</v>
      </c>
      <c r="B231" s="3" t="s">
        <v>1018</v>
      </c>
      <c r="C231" s="2" t="s">
        <v>1019</v>
      </c>
      <c r="D231" s="2">
        <v>56</v>
      </c>
      <c r="E231" s="2">
        <v>57</v>
      </c>
      <c r="F231" s="2" t="s">
        <v>1020</v>
      </c>
      <c r="H231" s="2" t="s">
        <v>45</v>
      </c>
      <c r="K231" s="4">
        <v>30714</v>
      </c>
      <c r="M231" s="2" t="s">
        <v>66</v>
      </c>
      <c r="N231" s="2" t="s">
        <v>1021</v>
      </c>
    </row>
    <row r="232" spans="1:14">
      <c r="A232" s="2">
        <v>231</v>
      </c>
      <c r="B232" s="3" t="s">
        <v>1022</v>
      </c>
      <c r="C232" s="2" t="s">
        <v>1023</v>
      </c>
      <c r="D232" s="2">
        <v>57</v>
      </c>
      <c r="E232" s="2">
        <v>57</v>
      </c>
      <c r="F232" s="2" t="s">
        <v>1024</v>
      </c>
      <c r="H232" s="2" t="s">
        <v>45</v>
      </c>
      <c r="K232" s="4">
        <v>24266</v>
      </c>
      <c r="M232" s="2" t="s">
        <v>85</v>
      </c>
      <c r="N232" s="2" t="s">
        <v>86</v>
      </c>
    </row>
    <row r="233" spans="1:14">
      <c r="A233" s="2">
        <v>232</v>
      </c>
      <c r="B233" s="3" t="s">
        <v>1025</v>
      </c>
      <c r="C233" s="2" t="s">
        <v>1026</v>
      </c>
      <c r="D233" s="2">
        <v>53</v>
      </c>
      <c r="E233" s="2">
        <v>57</v>
      </c>
      <c r="F233" s="2" t="s">
        <v>1027</v>
      </c>
      <c r="H233" s="2" t="s">
        <v>17</v>
      </c>
      <c r="K233" s="4">
        <v>30740</v>
      </c>
      <c r="M233" s="2" t="s">
        <v>198</v>
      </c>
      <c r="N233" s="2" t="s">
        <v>199</v>
      </c>
    </row>
    <row r="234" spans="1:14">
      <c r="A234" s="2">
        <v>233</v>
      </c>
      <c r="B234" s="3" t="s">
        <v>1028</v>
      </c>
      <c r="C234" s="2" t="s">
        <v>1029</v>
      </c>
      <c r="D234" s="2">
        <v>57</v>
      </c>
      <c r="E234" s="2">
        <v>57</v>
      </c>
      <c r="F234" s="2" t="s">
        <v>1030</v>
      </c>
      <c r="H234" s="2" t="s">
        <v>17</v>
      </c>
      <c r="I234" s="2" t="s">
        <v>1031</v>
      </c>
      <c r="K234" s="4">
        <v>20795</v>
      </c>
      <c r="M234" s="2" t="s">
        <v>35</v>
      </c>
      <c r="N234" s="2" t="s">
        <v>1032</v>
      </c>
    </row>
    <row r="235" spans="1:14">
      <c r="A235" s="2">
        <v>234</v>
      </c>
      <c r="B235" s="3" t="s">
        <v>1033</v>
      </c>
      <c r="C235" s="2" t="s">
        <v>1034</v>
      </c>
      <c r="D235" s="2">
        <v>55</v>
      </c>
      <c r="E235" s="2">
        <v>57</v>
      </c>
      <c r="F235" s="2" t="s">
        <v>1035</v>
      </c>
      <c r="H235" s="2" t="s">
        <v>17</v>
      </c>
      <c r="K235" s="4">
        <v>28020</v>
      </c>
      <c r="M235" s="2" t="s">
        <v>198</v>
      </c>
      <c r="N235" s="2" t="s">
        <v>199</v>
      </c>
    </row>
    <row r="236" spans="1:14">
      <c r="A236" s="2">
        <v>235</v>
      </c>
      <c r="B236" s="3" t="s">
        <v>1036</v>
      </c>
      <c r="C236" s="2" t="s">
        <v>1037</v>
      </c>
      <c r="D236" s="2">
        <v>56</v>
      </c>
      <c r="E236" s="2">
        <v>57</v>
      </c>
      <c r="F236" s="2" t="s">
        <v>1038</v>
      </c>
      <c r="H236" s="2" t="s">
        <v>17</v>
      </c>
      <c r="I236" s="2" t="s">
        <v>1039</v>
      </c>
      <c r="K236" s="4">
        <v>30637</v>
      </c>
      <c r="M236" s="2" t="s">
        <v>198</v>
      </c>
      <c r="N236" s="2" t="s">
        <v>1040</v>
      </c>
    </row>
    <row r="237" spans="1:14">
      <c r="A237" s="2">
        <v>236</v>
      </c>
      <c r="B237" s="3" t="s">
        <v>1041</v>
      </c>
      <c r="C237" s="2" t="s">
        <v>1042</v>
      </c>
      <c r="D237" s="2">
        <v>56</v>
      </c>
      <c r="E237" s="2">
        <v>57</v>
      </c>
      <c r="F237" s="2" t="s">
        <v>1043</v>
      </c>
      <c r="H237" s="2" t="s">
        <v>17</v>
      </c>
      <c r="I237" s="2" t="s">
        <v>1044</v>
      </c>
      <c r="K237" s="4">
        <v>33387</v>
      </c>
      <c r="M237" s="2" t="s">
        <v>154</v>
      </c>
      <c r="N237" s="2" t="s">
        <v>346</v>
      </c>
    </row>
    <row r="238" spans="1:14">
      <c r="A238" s="2">
        <v>237</v>
      </c>
      <c r="B238" s="3" t="s">
        <v>1045</v>
      </c>
      <c r="C238" s="2" t="s">
        <v>1046</v>
      </c>
      <c r="D238" s="2">
        <v>57</v>
      </c>
      <c r="E238" s="2">
        <v>57</v>
      </c>
      <c r="F238" s="2" t="s">
        <v>1047</v>
      </c>
      <c r="H238" s="2" t="s">
        <v>17</v>
      </c>
      <c r="I238" s="2" t="s">
        <v>1048</v>
      </c>
      <c r="K238" s="4">
        <v>30773</v>
      </c>
      <c r="M238" s="2" t="s">
        <v>53</v>
      </c>
      <c r="N238" s="2" t="s">
        <v>847</v>
      </c>
    </row>
    <row r="239" spans="1:14">
      <c r="A239" s="2">
        <v>238</v>
      </c>
      <c r="B239" s="3" t="s">
        <v>1049</v>
      </c>
      <c r="C239" s="2" t="s">
        <v>1050</v>
      </c>
      <c r="D239" s="2">
        <v>54</v>
      </c>
      <c r="E239" s="2">
        <v>57</v>
      </c>
      <c r="F239" s="2" t="s">
        <v>1051</v>
      </c>
      <c r="H239" s="2" t="s">
        <v>45</v>
      </c>
      <c r="I239" s="2" t="s">
        <v>1052</v>
      </c>
      <c r="K239" s="4">
        <v>25319</v>
      </c>
      <c r="M239" s="2" t="s">
        <v>35</v>
      </c>
      <c r="N239" s="2" t="s">
        <v>58</v>
      </c>
    </row>
    <row r="240" spans="1:14">
      <c r="A240" s="2">
        <v>239</v>
      </c>
      <c r="B240" s="3" t="s">
        <v>1053</v>
      </c>
      <c r="C240" s="2" t="s">
        <v>1054</v>
      </c>
      <c r="D240" s="2">
        <v>57</v>
      </c>
      <c r="E240" s="2">
        <v>57</v>
      </c>
      <c r="F240" s="2" t="s">
        <v>1055</v>
      </c>
      <c r="H240" s="2" t="s">
        <v>45</v>
      </c>
      <c r="K240" s="4">
        <v>33185</v>
      </c>
      <c r="M240" s="2" t="s">
        <v>18</v>
      </c>
      <c r="N240" s="2" t="s">
        <v>1056</v>
      </c>
    </row>
    <row r="241" spans="1:14">
      <c r="A241" s="2">
        <v>240</v>
      </c>
      <c r="B241" s="3" t="s">
        <v>1057</v>
      </c>
      <c r="C241" s="2" t="s">
        <v>1058</v>
      </c>
      <c r="D241" s="2">
        <v>55</v>
      </c>
      <c r="E241" s="2">
        <v>57</v>
      </c>
      <c r="F241" s="2" t="s">
        <v>1059</v>
      </c>
      <c r="H241" s="2" t="s">
        <v>17</v>
      </c>
      <c r="I241" s="2" t="s">
        <v>1060</v>
      </c>
      <c r="K241" s="4">
        <v>19417</v>
      </c>
      <c r="M241" s="2" t="s">
        <v>85</v>
      </c>
      <c r="N241" s="2" t="s">
        <v>1061</v>
      </c>
    </row>
    <row r="242" spans="1:14">
      <c r="A242" s="2">
        <v>241</v>
      </c>
      <c r="B242" s="3" t="s">
        <v>1062</v>
      </c>
      <c r="C242" s="2" t="s">
        <v>1063</v>
      </c>
      <c r="D242" s="2">
        <v>57</v>
      </c>
      <c r="E242" s="2">
        <v>57</v>
      </c>
      <c r="F242" s="2" t="s">
        <v>1064</v>
      </c>
      <c r="H242" s="2" t="s">
        <v>17</v>
      </c>
      <c r="K242" s="4">
        <v>25481</v>
      </c>
      <c r="M242" s="2" t="s">
        <v>140</v>
      </c>
      <c r="N242" s="2" t="s">
        <v>1065</v>
      </c>
    </row>
    <row r="243" spans="1:14">
      <c r="A243" s="2">
        <v>242</v>
      </c>
      <c r="B243" s="3" t="s">
        <v>1066</v>
      </c>
      <c r="C243" s="2" t="s">
        <v>1067</v>
      </c>
      <c r="D243" s="2">
        <v>57</v>
      </c>
      <c r="E243" s="2">
        <v>57</v>
      </c>
      <c r="F243" s="2" t="s">
        <v>1068</v>
      </c>
      <c r="H243" s="2" t="s">
        <v>45</v>
      </c>
      <c r="K243" s="4">
        <v>32059</v>
      </c>
      <c r="M243" s="2" t="s">
        <v>66</v>
      </c>
      <c r="N243" s="2" t="s">
        <v>1069</v>
      </c>
    </row>
    <row r="244" spans="1:14">
      <c r="A244" s="2">
        <v>243</v>
      </c>
      <c r="B244" s="3" t="s">
        <v>1070</v>
      </c>
      <c r="C244" s="2" t="s">
        <v>1071</v>
      </c>
      <c r="D244" s="2">
        <v>56</v>
      </c>
      <c r="E244" s="2">
        <v>57</v>
      </c>
      <c r="F244" s="2" t="s">
        <v>1072</v>
      </c>
      <c r="H244" s="2" t="s">
        <v>17</v>
      </c>
      <c r="I244" s="2" t="s">
        <v>1073</v>
      </c>
      <c r="K244" s="4">
        <v>28318</v>
      </c>
      <c r="M244" s="2" t="s">
        <v>35</v>
      </c>
      <c r="N244" s="2" t="s">
        <v>58</v>
      </c>
    </row>
    <row r="245" spans="1:14">
      <c r="A245" s="2">
        <v>244</v>
      </c>
      <c r="B245" s="3" t="s">
        <v>1074</v>
      </c>
      <c r="C245" s="2" t="s">
        <v>1075</v>
      </c>
      <c r="D245" s="2">
        <v>57</v>
      </c>
      <c r="E245" s="2">
        <v>57</v>
      </c>
      <c r="F245" s="2" t="s">
        <v>1076</v>
      </c>
      <c r="H245" s="2" t="s">
        <v>17</v>
      </c>
      <c r="I245" s="2" t="s">
        <v>1077</v>
      </c>
      <c r="K245" s="4">
        <v>29246</v>
      </c>
      <c r="M245" s="2" t="s">
        <v>969</v>
      </c>
      <c r="N245" s="2" t="s">
        <v>970</v>
      </c>
    </row>
    <row r="246" spans="1:14">
      <c r="A246" s="2">
        <v>245</v>
      </c>
      <c r="B246" s="3" t="s">
        <v>1078</v>
      </c>
      <c r="C246" s="2" t="s">
        <v>1079</v>
      </c>
      <c r="D246" s="2">
        <v>57</v>
      </c>
      <c r="E246" s="2">
        <v>57</v>
      </c>
      <c r="F246" s="2" t="s">
        <v>1080</v>
      </c>
      <c r="H246" s="2" t="s">
        <v>17</v>
      </c>
      <c r="I246" s="2" t="s">
        <v>1081</v>
      </c>
      <c r="K246" s="4">
        <v>30309</v>
      </c>
      <c r="M246" s="2" t="s">
        <v>662</v>
      </c>
      <c r="N246" s="2" t="s">
        <v>663</v>
      </c>
    </row>
    <row r="247" spans="1:14">
      <c r="A247" s="2">
        <v>246</v>
      </c>
      <c r="B247" s="3" t="s">
        <v>1082</v>
      </c>
      <c r="C247" s="2" t="s">
        <v>1083</v>
      </c>
      <c r="D247" s="2">
        <v>57</v>
      </c>
      <c r="E247" s="2">
        <v>57</v>
      </c>
      <c r="F247" s="2" t="s">
        <v>1084</v>
      </c>
      <c r="H247" s="2" t="s">
        <v>17</v>
      </c>
      <c r="K247" s="4">
        <v>30520</v>
      </c>
      <c r="M247" s="2" t="s">
        <v>198</v>
      </c>
      <c r="N247" s="2" t="s">
        <v>199</v>
      </c>
    </row>
    <row r="248" spans="1:14">
      <c r="A248" s="2">
        <v>247</v>
      </c>
      <c r="B248" s="3" t="s">
        <v>1085</v>
      </c>
      <c r="C248" s="2" t="s">
        <v>1086</v>
      </c>
      <c r="D248" s="2">
        <v>56</v>
      </c>
      <c r="E248" s="2">
        <v>57</v>
      </c>
      <c r="F248" s="2" t="s">
        <v>1087</v>
      </c>
      <c r="H248" s="2" t="s">
        <v>17</v>
      </c>
      <c r="K248" s="4">
        <v>20217</v>
      </c>
      <c r="M248" s="2" t="s">
        <v>85</v>
      </c>
      <c r="N248" s="2" t="s">
        <v>86</v>
      </c>
    </row>
    <row r="249" spans="1:14">
      <c r="A249" s="2">
        <v>248</v>
      </c>
      <c r="B249" s="3" t="s">
        <v>1088</v>
      </c>
      <c r="C249" s="2" t="s">
        <v>1089</v>
      </c>
      <c r="D249" s="2">
        <v>57</v>
      </c>
      <c r="E249" s="2">
        <v>57</v>
      </c>
      <c r="F249" s="2" t="s">
        <v>1090</v>
      </c>
      <c r="H249" s="2" t="s">
        <v>17</v>
      </c>
      <c r="K249" s="4">
        <v>23211</v>
      </c>
      <c r="M249" s="2" t="s">
        <v>170</v>
      </c>
      <c r="N249" s="2" t="s">
        <v>323</v>
      </c>
    </row>
    <row r="250" spans="1:14">
      <c r="A250" s="2">
        <v>249</v>
      </c>
      <c r="B250" s="3" t="s">
        <v>1091</v>
      </c>
      <c r="C250" s="2" t="s">
        <v>1092</v>
      </c>
      <c r="D250" s="2">
        <v>55</v>
      </c>
      <c r="E250" s="2">
        <v>57</v>
      </c>
      <c r="F250" s="2" t="s">
        <v>1093</v>
      </c>
      <c r="H250" s="2" t="s">
        <v>45</v>
      </c>
      <c r="I250" s="2" t="s">
        <v>1094</v>
      </c>
      <c r="K250" s="4">
        <v>26388</v>
      </c>
      <c r="M250" s="2" t="s">
        <v>423</v>
      </c>
      <c r="N250" s="2" t="s">
        <v>621</v>
      </c>
    </row>
    <row r="251" spans="1:14">
      <c r="A251" s="2">
        <v>250</v>
      </c>
      <c r="B251" s="3" t="s">
        <v>1095</v>
      </c>
      <c r="C251" s="2" t="s">
        <v>1096</v>
      </c>
      <c r="D251" s="2">
        <v>57</v>
      </c>
      <c r="E251" s="2">
        <v>57</v>
      </c>
      <c r="F251" s="2" t="s">
        <v>1097</v>
      </c>
      <c r="H251" s="2" t="s">
        <v>17</v>
      </c>
      <c r="I251" s="2" t="s">
        <v>1098</v>
      </c>
      <c r="K251" s="4">
        <v>31386</v>
      </c>
      <c r="M251" s="2" t="s">
        <v>423</v>
      </c>
      <c r="N251" s="2" t="s">
        <v>1099</v>
      </c>
    </row>
    <row r="252" spans="1:14">
      <c r="A252" s="2">
        <v>251</v>
      </c>
      <c r="B252" s="3" t="s">
        <v>1100</v>
      </c>
      <c r="C252" s="2" t="s">
        <v>1101</v>
      </c>
      <c r="D252" s="2">
        <v>52</v>
      </c>
      <c r="E252" s="2">
        <v>57</v>
      </c>
      <c r="F252" s="2" t="s">
        <v>1102</v>
      </c>
      <c r="H252" s="2" t="s">
        <v>17</v>
      </c>
      <c r="I252" s="2" t="s">
        <v>1103</v>
      </c>
      <c r="J252" s="3" t="s">
        <v>1104</v>
      </c>
      <c r="K252" s="4">
        <v>20199</v>
      </c>
      <c r="M252" s="2" t="s">
        <v>35</v>
      </c>
      <c r="N252" s="2" t="s">
        <v>1105</v>
      </c>
    </row>
    <row r="253" spans="1:14">
      <c r="A253" s="2">
        <v>252</v>
      </c>
      <c r="B253" s="3" t="s">
        <v>1106</v>
      </c>
      <c r="C253" s="2" t="s">
        <v>1107</v>
      </c>
      <c r="D253" s="2">
        <v>57</v>
      </c>
      <c r="E253" s="2">
        <v>57</v>
      </c>
      <c r="F253" s="2" t="s">
        <v>1108</v>
      </c>
      <c r="H253" s="2" t="s">
        <v>17</v>
      </c>
      <c r="K253" s="4">
        <v>27127</v>
      </c>
      <c r="M253" s="2" t="s">
        <v>247</v>
      </c>
      <c r="N253" s="2" t="s">
        <v>1109</v>
      </c>
    </row>
    <row r="254" spans="1:14">
      <c r="A254" s="2">
        <v>253</v>
      </c>
      <c r="B254" s="3" t="s">
        <v>1110</v>
      </c>
      <c r="C254" s="2" t="s">
        <v>1111</v>
      </c>
      <c r="D254" s="2">
        <v>56</v>
      </c>
      <c r="E254" s="2">
        <v>57</v>
      </c>
      <c r="F254" s="2" t="s">
        <v>1112</v>
      </c>
      <c r="H254" s="2" t="s">
        <v>17</v>
      </c>
      <c r="I254" s="2" t="s">
        <v>1113</v>
      </c>
      <c r="K254" s="4">
        <v>27498</v>
      </c>
      <c r="M254" s="2" t="s">
        <v>47</v>
      </c>
      <c r="N254" s="2" t="s">
        <v>48</v>
      </c>
    </row>
    <row r="255" spans="1:14">
      <c r="A255" s="2">
        <v>254</v>
      </c>
      <c r="B255" s="3" t="s">
        <v>1114</v>
      </c>
      <c r="C255" s="2" t="s">
        <v>1115</v>
      </c>
      <c r="D255" s="2">
        <v>52</v>
      </c>
      <c r="E255" s="2">
        <v>57</v>
      </c>
      <c r="F255" s="2" t="s">
        <v>1116</v>
      </c>
      <c r="H255" s="2" t="s">
        <v>17</v>
      </c>
      <c r="I255" s="2" t="s">
        <v>1117</v>
      </c>
      <c r="K255" s="4">
        <v>25919</v>
      </c>
      <c r="M255" s="2" t="s">
        <v>154</v>
      </c>
      <c r="N255" s="2" t="s">
        <v>726</v>
      </c>
    </row>
    <row r="256" spans="1:14">
      <c r="A256" s="2">
        <v>255</v>
      </c>
      <c r="B256" s="3" t="s">
        <v>1118</v>
      </c>
      <c r="C256" s="2" t="s">
        <v>1119</v>
      </c>
      <c r="D256" s="2">
        <v>56</v>
      </c>
      <c r="E256" s="2">
        <v>57</v>
      </c>
      <c r="F256" s="2" t="s">
        <v>1120</v>
      </c>
      <c r="H256" s="2" t="s">
        <v>17</v>
      </c>
      <c r="I256" s="2" t="s">
        <v>1121</v>
      </c>
      <c r="K256" s="4">
        <v>24325</v>
      </c>
      <c r="M256" s="2" t="s">
        <v>47</v>
      </c>
      <c r="N256" s="2" t="s">
        <v>1122</v>
      </c>
    </row>
    <row r="257" spans="1:14">
      <c r="A257" s="2">
        <v>256</v>
      </c>
      <c r="B257" s="3" t="s">
        <v>1123</v>
      </c>
      <c r="C257" s="2" t="s">
        <v>1124</v>
      </c>
      <c r="D257" s="2">
        <v>52</v>
      </c>
      <c r="E257" s="2">
        <v>57</v>
      </c>
      <c r="F257" s="2" t="s">
        <v>1125</v>
      </c>
      <c r="H257" s="2" t="s">
        <v>17</v>
      </c>
      <c r="K257" s="4">
        <v>20645</v>
      </c>
      <c r="M257" s="2" t="s">
        <v>47</v>
      </c>
      <c r="N257" s="2" t="s">
        <v>48</v>
      </c>
    </row>
    <row r="258" spans="1:14">
      <c r="A258" s="2">
        <v>257</v>
      </c>
      <c r="B258" s="3" t="s">
        <v>1126</v>
      </c>
      <c r="C258" s="2" t="s">
        <v>1127</v>
      </c>
      <c r="D258" s="2">
        <v>57</v>
      </c>
      <c r="E258" s="2">
        <v>57</v>
      </c>
      <c r="F258" s="2" t="s">
        <v>1128</v>
      </c>
      <c r="H258" s="2" t="s">
        <v>17</v>
      </c>
      <c r="I258" s="3" t="s">
        <v>1129</v>
      </c>
      <c r="K258" s="4">
        <v>28688</v>
      </c>
      <c r="M258" s="2" t="s">
        <v>170</v>
      </c>
      <c r="N258" s="2" t="s">
        <v>309</v>
      </c>
    </row>
    <row r="259" spans="1:14">
      <c r="A259" s="2">
        <v>258</v>
      </c>
      <c r="B259" s="3" t="s">
        <v>1130</v>
      </c>
      <c r="C259" s="2" t="s">
        <v>1131</v>
      </c>
      <c r="D259" s="2">
        <v>56</v>
      </c>
      <c r="E259" s="2">
        <v>57</v>
      </c>
      <c r="F259" s="2" t="s">
        <v>1132</v>
      </c>
      <c r="H259" s="2" t="s">
        <v>17</v>
      </c>
      <c r="I259" s="2" t="s">
        <v>1133</v>
      </c>
      <c r="K259" s="4">
        <v>29688</v>
      </c>
      <c r="M259" s="2" t="s">
        <v>423</v>
      </c>
      <c r="N259" s="2" t="s">
        <v>1134</v>
      </c>
    </row>
    <row r="260" spans="1:14">
      <c r="A260" s="2">
        <v>259</v>
      </c>
      <c r="B260" s="3" t="s">
        <v>1135</v>
      </c>
      <c r="C260" s="2" t="s">
        <v>1136</v>
      </c>
      <c r="D260" s="2">
        <v>57</v>
      </c>
      <c r="E260" s="2">
        <v>57</v>
      </c>
      <c r="F260" s="2" t="s">
        <v>1137</v>
      </c>
      <c r="H260" s="2" t="s">
        <v>17</v>
      </c>
      <c r="I260" s="3" t="s">
        <v>1138</v>
      </c>
      <c r="K260" s="4">
        <v>28027</v>
      </c>
      <c r="M260" s="2" t="s">
        <v>185</v>
      </c>
      <c r="N260" s="2" t="s">
        <v>1139</v>
      </c>
    </row>
    <row r="261" spans="1:14">
      <c r="A261" s="2">
        <v>260</v>
      </c>
      <c r="B261" s="3" t="s">
        <v>1140</v>
      </c>
      <c r="C261" s="2" t="s">
        <v>1141</v>
      </c>
      <c r="D261" s="2">
        <v>57</v>
      </c>
      <c r="E261" s="2">
        <v>57</v>
      </c>
      <c r="F261" s="2" t="s">
        <v>1142</v>
      </c>
      <c r="H261" s="2" t="s">
        <v>17</v>
      </c>
      <c r="K261" s="4">
        <v>25333</v>
      </c>
      <c r="M261" s="2" t="s">
        <v>53</v>
      </c>
      <c r="N261" s="2" t="s">
        <v>1143</v>
      </c>
    </row>
    <row r="262" spans="1:14">
      <c r="A262" s="2">
        <v>261</v>
      </c>
      <c r="B262" s="3" t="s">
        <v>1144</v>
      </c>
      <c r="C262" s="2" t="s">
        <v>1145</v>
      </c>
      <c r="D262" s="2">
        <v>54</v>
      </c>
      <c r="E262" s="2">
        <v>57</v>
      </c>
      <c r="F262" s="2" t="s">
        <v>1146</v>
      </c>
      <c r="H262" s="2" t="s">
        <v>17</v>
      </c>
      <c r="K262" s="4">
        <v>22090</v>
      </c>
      <c r="M262" s="2" t="s">
        <v>66</v>
      </c>
      <c r="N262" s="2" t="s">
        <v>1147</v>
      </c>
    </row>
    <row r="263" spans="1:14">
      <c r="A263" s="2">
        <v>262</v>
      </c>
      <c r="B263" s="3" t="s">
        <v>1148</v>
      </c>
      <c r="C263" s="2" t="s">
        <v>1149</v>
      </c>
      <c r="D263" s="2">
        <v>57</v>
      </c>
      <c r="E263" s="2">
        <v>57</v>
      </c>
      <c r="F263" s="2" t="s">
        <v>1150</v>
      </c>
      <c r="H263" s="2" t="s">
        <v>45</v>
      </c>
      <c r="K263" s="4">
        <v>28243</v>
      </c>
      <c r="M263" s="2" t="s">
        <v>18</v>
      </c>
      <c r="N263" s="2" t="s">
        <v>19</v>
      </c>
    </row>
    <row r="264" spans="1:14">
      <c r="A264" s="2">
        <v>263</v>
      </c>
      <c r="B264" s="3" t="s">
        <v>1151</v>
      </c>
      <c r="C264" s="2" t="s">
        <v>1152</v>
      </c>
      <c r="D264" s="2">
        <v>53</v>
      </c>
      <c r="E264" s="2">
        <v>57</v>
      </c>
      <c r="F264" s="2" t="s">
        <v>1153</v>
      </c>
      <c r="H264" s="2" t="s">
        <v>17</v>
      </c>
      <c r="K264" s="4">
        <v>30128</v>
      </c>
      <c r="M264" s="2" t="s">
        <v>170</v>
      </c>
      <c r="N264" s="2" t="s">
        <v>1154</v>
      </c>
    </row>
    <row r="265" spans="1:14">
      <c r="A265" s="2">
        <v>264</v>
      </c>
      <c r="B265" s="3" t="s">
        <v>1155</v>
      </c>
      <c r="C265" s="2" t="s">
        <v>1156</v>
      </c>
      <c r="D265" s="2">
        <v>57</v>
      </c>
      <c r="E265" s="2">
        <v>57</v>
      </c>
      <c r="F265" s="2" t="s">
        <v>1157</v>
      </c>
      <c r="H265" s="2" t="s">
        <v>45</v>
      </c>
      <c r="K265" s="4">
        <v>21966</v>
      </c>
      <c r="M265" s="2" t="s">
        <v>35</v>
      </c>
      <c r="N265" s="2" t="s">
        <v>1158</v>
      </c>
    </row>
    <row r="266" spans="1:14">
      <c r="A266" s="2">
        <v>265</v>
      </c>
      <c r="B266" s="3" t="s">
        <v>1159</v>
      </c>
      <c r="C266" s="2" t="s">
        <v>1160</v>
      </c>
      <c r="D266" s="2">
        <v>56</v>
      </c>
      <c r="E266" s="2">
        <v>57</v>
      </c>
      <c r="F266" s="2" t="s">
        <v>1161</v>
      </c>
      <c r="H266" s="2" t="s">
        <v>17</v>
      </c>
      <c r="K266" s="4">
        <v>27020</v>
      </c>
      <c r="M266" s="2" t="s">
        <v>53</v>
      </c>
      <c r="N266" s="2" t="s">
        <v>847</v>
      </c>
    </row>
    <row r="267" spans="1:14">
      <c r="A267" s="2">
        <v>266</v>
      </c>
      <c r="B267" s="3" t="s">
        <v>1162</v>
      </c>
      <c r="C267" s="2" t="s">
        <v>1163</v>
      </c>
      <c r="D267" s="2">
        <v>56</v>
      </c>
      <c r="E267" s="2">
        <v>57</v>
      </c>
      <c r="F267" s="2" t="s">
        <v>1164</v>
      </c>
      <c r="H267" s="2" t="s">
        <v>45</v>
      </c>
      <c r="I267" s="2" t="s">
        <v>1165</v>
      </c>
      <c r="J267" s="3" t="s">
        <v>1166</v>
      </c>
      <c r="K267" s="4">
        <v>23991</v>
      </c>
      <c r="M267" s="2" t="s">
        <v>154</v>
      </c>
      <c r="N267" s="2" t="s">
        <v>208</v>
      </c>
    </row>
    <row r="268" spans="1:14">
      <c r="A268" s="2">
        <v>267</v>
      </c>
      <c r="B268" s="3" t="s">
        <v>1167</v>
      </c>
      <c r="C268" s="2" t="s">
        <v>1168</v>
      </c>
      <c r="D268" s="2">
        <v>56</v>
      </c>
      <c r="E268" s="2">
        <v>57</v>
      </c>
      <c r="F268" s="2" t="s">
        <v>1169</v>
      </c>
      <c r="H268" s="2" t="s">
        <v>45</v>
      </c>
      <c r="I268" s="2" t="s">
        <v>1170</v>
      </c>
      <c r="K268" s="4">
        <v>29935</v>
      </c>
      <c r="M268" s="2" t="s">
        <v>35</v>
      </c>
      <c r="N268" s="2" t="s">
        <v>1171</v>
      </c>
    </row>
    <row r="269" spans="1:14">
      <c r="A269" s="2">
        <v>268</v>
      </c>
      <c r="B269" s="3" t="s">
        <v>1172</v>
      </c>
      <c r="C269" s="2" t="s">
        <v>1173</v>
      </c>
      <c r="D269" s="2">
        <v>57</v>
      </c>
      <c r="E269" s="2">
        <v>57</v>
      </c>
      <c r="F269" s="2" t="s">
        <v>1174</v>
      </c>
      <c r="H269" s="2" t="s">
        <v>17</v>
      </c>
      <c r="I269" s="2" t="s">
        <v>1175</v>
      </c>
      <c r="K269" s="4">
        <v>30121</v>
      </c>
      <c r="M269" s="2" t="s">
        <v>47</v>
      </c>
      <c r="N269" s="2" t="s">
        <v>48</v>
      </c>
    </row>
    <row r="270" spans="1:14">
      <c r="A270" s="2">
        <v>269</v>
      </c>
      <c r="B270" s="3" t="s">
        <v>1176</v>
      </c>
      <c r="C270" s="2" t="s">
        <v>1177</v>
      </c>
      <c r="D270" s="2">
        <v>56</v>
      </c>
      <c r="E270" s="2">
        <v>57</v>
      </c>
      <c r="F270" s="2" t="s">
        <v>1178</v>
      </c>
      <c r="H270" s="2" t="s">
        <v>17</v>
      </c>
      <c r="I270" s="2" t="s">
        <v>1179</v>
      </c>
      <c r="J270" s="3" t="s">
        <v>1180</v>
      </c>
      <c r="K270" s="4">
        <v>30965</v>
      </c>
      <c r="M270" s="2" t="s">
        <v>47</v>
      </c>
      <c r="N270" s="2" t="s">
        <v>1181</v>
      </c>
    </row>
    <row r="271" spans="1:14">
      <c r="A271" s="2">
        <v>270</v>
      </c>
      <c r="B271" s="3" t="s">
        <v>1182</v>
      </c>
      <c r="C271" s="2" t="s">
        <v>1183</v>
      </c>
      <c r="D271" s="2">
        <v>57</v>
      </c>
      <c r="E271" s="2">
        <v>57</v>
      </c>
      <c r="F271" s="2" t="s">
        <v>1184</v>
      </c>
      <c r="H271" s="2" t="s">
        <v>17</v>
      </c>
      <c r="I271" s="3" t="s">
        <v>1185</v>
      </c>
      <c r="K271" s="4">
        <v>26050</v>
      </c>
      <c r="M271" s="2" t="s">
        <v>198</v>
      </c>
      <c r="N271" s="2" t="s">
        <v>1186</v>
      </c>
    </row>
    <row r="272" spans="1:14">
      <c r="A272" s="2">
        <v>271</v>
      </c>
      <c r="B272" s="3" t="s">
        <v>1187</v>
      </c>
      <c r="C272" s="2" t="s">
        <v>1188</v>
      </c>
      <c r="D272" s="2">
        <v>57</v>
      </c>
      <c r="E272" s="2">
        <v>57</v>
      </c>
      <c r="F272" s="2" t="s">
        <v>1189</v>
      </c>
      <c r="H272" s="2" t="s">
        <v>17</v>
      </c>
      <c r="I272" s="2" t="s">
        <v>1190</v>
      </c>
      <c r="K272" s="4">
        <v>29689</v>
      </c>
      <c r="M272" s="2" t="s">
        <v>53</v>
      </c>
      <c r="N272" s="2" t="s">
        <v>847</v>
      </c>
    </row>
    <row r="273" spans="1:14">
      <c r="A273" s="2">
        <v>272</v>
      </c>
      <c r="B273" s="3" t="s">
        <v>1191</v>
      </c>
      <c r="C273" s="2" t="s">
        <v>1192</v>
      </c>
      <c r="D273" s="2">
        <v>56</v>
      </c>
      <c r="E273" s="2">
        <v>57</v>
      </c>
      <c r="F273" s="2" t="s">
        <v>1193</v>
      </c>
      <c r="H273" s="2" t="s">
        <v>17</v>
      </c>
      <c r="K273" s="4">
        <v>29998</v>
      </c>
      <c r="M273" s="2" t="s">
        <v>91</v>
      </c>
      <c r="N273" s="2" t="s">
        <v>677</v>
      </c>
    </row>
    <row r="274" spans="1:14">
      <c r="A274" s="2">
        <v>273</v>
      </c>
      <c r="B274" s="3" t="s">
        <v>1194</v>
      </c>
      <c r="C274" s="2" t="s">
        <v>1195</v>
      </c>
      <c r="D274" s="2">
        <v>56</v>
      </c>
      <c r="E274" s="2">
        <v>57</v>
      </c>
      <c r="F274" s="2" t="s">
        <v>1196</v>
      </c>
      <c r="H274" s="2" t="s">
        <v>17</v>
      </c>
      <c r="K274" s="4">
        <v>29107</v>
      </c>
      <c r="M274" s="2" t="s">
        <v>170</v>
      </c>
      <c r="N274" s="2" t="s">
        <v>309</v>
      </c>
    </row>
    <row r="275" spans="1:14">
      <c r="A275" s="2">
        <v>274</v>
      </c>
      <c r="B275" s="3" t="s">
        <v>1197</v>
      </c>
      <c r="C275" s="2" t="s">
        <v>1198</v>
      </c>
      <c r="D275" s="2">
        <v>55</v>
      </c>
      <c r="E275" s="2">
        <v>57</v>
      </c>
      <c r="F275" s="2" t="s">
        <v>1199</v>
      </c>
      <c r="H275" s="2" t="s">
        <v>17</v>
      </c>
      <c r="I275" s="2" t="s">
        <v>1200</v>
      </c>
      <c r="K275" s="4">
        <v>22730</v>
      </c>
      <c r="M275" s="2" t="s">
        <v>66</v>
      </c>
      <c r="N275" s="2" t="s">
        <v>1201</v>
      </c>
    </row>
    <row r="276" spans="1:14">
      <c r="A276" s="2">
        <v>275</v>
      </c>
      <c r="B276" s="3" t="s">
        <v>1202</v>
      </c>
      <c r="C276" s="2" t="s">
        <v>1203</v>
      </c>
      <c r="D276" s="2">
        <v>55</v>
      </c>
      <c r="E276" s="2">
        <v>57</v>
      </c>
      <c r="F276" s="2" t="s">
        <v>1204</v>
      </c>
      <c r="H276" s="2" t="s">
        <v>17</v>
      </c>
      <c r="K276" s="4">
        <v>23444</v>
      </c>
      <c r="M276" s="2" t="s">
        <v>192</v>
      </c>
      <c r="N276" s="2" t="s">
        <v>577</v>
      </c>
    </row>
    <row r="277" spans="1:14">
      <c r="A277" s="2">
        <v>276</v>
      </c>
      <c r="B277" s="3" t="s">
        <v>1205</v>
      </c>
      <c r="C277" s="2" t="s">
        <v>1206</v>
      </c>
      <c r="D277" s="2">
        <v>57</v>
      </c>
      <c r="E277" s="2">
        <v>57</v>
      </c>
      <c r="F277" s="2" t="s">
        <v>1207</v>
      </c>
      <c r="H277" s="2" t="s">
        <v>45</v>
      </c>
      <c r="I277" s="2" t="s">
        <v>1208</v>
      </c>
      <c r="K277" s="4">
        <v>27849</v>
      </c>
      <c r="M277" s="2" t="s">
        <v>122</v>
      </c>
      <c r="N277" s="2" t="s">
        <v>1209</v>
      </c>
    </row>
    <row r="278" spans="1:14">
      <c r="A278" s="2">
        <v>277</v>
      </c>
      <c r="B278" s="3" t="s">
        <v>1210</v>
      </c>
      <c r="C278" s="2" t="s">
        <v>1211</v>
      </c>
      <c r="D278" s="2">
        <v>55</v>
      </c>
      <c r="E278" s="2">
        <v>57</v>
      </c>
      <c r="F278" s="2" t="s">
        <v>1212</v>
      </c>
      <c r="H278" s="2" t="s">
        <v>17</v>
      </c>
      <c r="I278" s="3" t="s">
        <v>1213</v>
      </c>
      <c r="K278" s="4">
        <v>21163</v>
      </c>
      <c r="M278" s="2" t="s">
        <v>164</v>
      </c>
      <c r="N278" s="2" t="s">
        <v>1214</v>
      </c>
    </row>
    <row r="279" spans="1:14">
      <c r="A279" s="2">
        <v>278</v>
      </c>
      <c r="B279" s="3" t="s">
        <v>1215</v>
      </c>
      <c r="C279" s="2" t="s">
        <v>1216</v>
      </c>
      <c r="D279" s="2">
        <v>56</v>
      </c>
      <c r="E279" s="2">
        <v>57</v>
      </c>
      <c r="F279" s="2" t="s">
        <v>1217</v>
      </c>
      <c r="H279" s="2" t="s">
        <v>17</v>
      </c>
      <c r="I279" s="2" t="s">
        <v>1218</v>
      </c>
      <c r="K279" s="4">
        <v>25290</v>
      </c>
      <c r="M279" s="2" t="s">
        <v>170</v>
      </c>
      <c r="N279" s="2" t="s">
        <v>1219</v>
      </c>
    </row>
    <row r="280" spans="1:14">
      <c r="A280" s="2">
        <v>279</v>
      </c>
      <c r="B280" s="3" t="s">
        <v>1220</v>
      </c>
      <c r="C280" s="2" t="s">
        <v>1221</v>
      </c>
      <c r="D280" s="2">
        <v>57</v>
      </c>
      <c r="E280" s="2">
        <v>57</v>
      </c>
      <c r="F280" s="2" t="s">
        <v>1222</v>
      </c>
      <c r="H280" s="2" t="s">
        <v>17</v>
      </c>
      <c r="K280" s="4">
        <v>27875</v>
      </c>
      <c r="M280" s="2" t="s">
        <v>164</v>
      </c>
      <c r="N280" s="2" t="s">
        <v>1223</v>
      </c>
    </row>
    <row r="281" spans="1:14">
      <c r="A281" s="2">
        <v>280</v>
      </c>
      <c r="B281" s="3" t="s">
        <v>1224</v>
      </c>
      <c r="C281" s="2" t="s">
        <v>1225</v>
      </c>
      <c r="D281" s="2">
        <v>57</v>
      </c>
      <c r="E281" s="2">
        <v>57</v>
      </c>
      <c r="F281" s="2" t="s">
        <v>1226</v>
      </c>
      <c r="H281" s="2" t="s">
        <v>17</v>
      </c>
      <c r="K281" s="4">
        <v>31308</v>
      </c>
      <c r="M281" s="2" t="s">
        <v>140</v>
      </c>
      <c r="N281" s="2" t="s">
        <v>294</v>
      </c>
    </row>
    <row r="282" spans="1:14">
      <c r="A282" s="2">
        <v>281</v>
      </c>
      <c r="B282" s="3" t="s">
        <v>1227</v>
      </c>
      <c r="C282" s="2" t="s">
        <v>1228</v>
      </c>
      <c r="D282" s="2">
        <v>56</v>
      </c>
      <c r="E282" s="2">
        <v>57</v>
      </c>
      <c r="F282" s="2" t="s">
        <v>1229</v>
      </c>
      <c r="H282" s="2" t="s">
        <v>17</v>
      </c>
      <c r="I282" s="2" t="s">
        <v>1230</v>
      </c>
      <c r="K282" s="4">
        <v>23268</v>
      </c>
      <c r="M282" s="2" t="s">
        <v>35</v>
      </c>
      <c r="N282" s="2" t="s">
        <v>955</v>
      </c>
    </row>
    <row r="283" spans="1:14">
      <c r="A283" s="2">
        <v>282</v>
      </c>
      <c r="B283" s="3" t="s">
        <v>1231</v>
      </c>
      <c r="C283" s="2" t="s">
        <v>1232</v>
      </c>
      <c r="D283" s="2">
        <v>57</v>
      </c>
      <c r="E283" s="2">
        <v>57</v>
      </c>
      <c r="F283" s="2" t="s">
        <v>1233</v>
      </c>
      <c r="H283" s="2" t="s">
        <v>17</v>
      </c>
      <c r="K283" s="4">
        <v>25908</v>
      </c>
      <c r="M283" s="2" t="s">
        <v>40</v>
      </c>
      <c r="N283" s="2" t="s">
        <v>1234</v>
      </c>
    </row>
    <row r="284" spans="1:14">
      <c r="A284" s="2">
        <v>283</v>
      </c>
      <c r="B284" s="3" t="s">
        <v>1235</v>
      </c>
      <c r="C284" s="2" t="s">
        <v>1236</v>
      </c>
      <c r="D284" s="2">
        <v>55</v>
      </c>
      <c r="E284" s="2">
        <v>57</v>
      </c>
      <c r="F284" s="2" t="s">
        <v>1237</v>
      </c>
      <c r="H284" s="2" t="s">
        <v>17</v>
      </c>
      <c r="K284" s="4">
        <v>22028</v>
      </c>
      <c r="M284" s="2" t="s">
        <v>185</v>
      </c>
      <c r="N284" s="2" t="s">
        <v>838</v>
      </c>
    </row>
    <row r="285" spans="1:14">
      <c r="A285" s="2">
        <v>284</v>
      </c>
      <c r="B285" s="3" t="s">
        <v>1238</v>
      </c>
      <c r="C285" s="2" t="s">
        <v>1239</v>
      </c>
      <c r="D285" s="2">
        <v>53</v>
      </c>
      <c r="E285" s="2">
        <v>57</v>
      </c>
      <c r="F285" s="2" t="s">
        <v>1240</v>
      </c>
      <c r="H285" s="2" t="s">
        <v>17</v>
      </c>
      <c r="I285" s="2" t="s">
        <v>1241</v>
      </c>
      <c r="K285" s="4">
        <v>22864</v>
      </c>
      <c r="M285" s="2" t="s">
        <v>35</v>
      </c>
      <c r="N285" s="2" t="s">
        <v>1242</v>
      </c>
    </row>
    <row r="286" spans="1:14">
      <c r="A286" s="2">
        <v>285</v>
      </c>
      <c r="B286" s="3" t="s">
        <v>1243</v>
      </c>
      <c r="C286" s="2" t="s">
        <v>1244</v>
      </c>
      <c r="D286" s="2">
        <v>54</v>
      </c>
      <c r="E286" s="2">
        <v>57</v>
      </c>
      <c r="F286" s="2" t="s">
        <v>1245</v>
      </c>
      <c r="H286" s="2" t="s">
        <v>17</v>
      </c>
      <c r="K286" s="4">
        <v>32762</v>
      </c>
      <c r="M286" s="2" t="s">
        <v>76</v>
      </c>
      <c r="N286" s="2" t="s">
        <v>906</v>
      </c>
    </row>
    <row r="287" spans="1:14">
      <c r="A287" s="2">
        <v>286</v>
      </c>
      <c r="B287" s="3" t="s">
        <v>1246</v>
      </c>
      <c r="C287" s="2" t="s">
        <v>1247</v>
      </c>
      <c r="D287" s="2">
        <v>57</v>
      </c>
      <c r="E287" s="2">
        <v>57</v>
      </c>
      <c r="F287" s="2" t="s">
        <v>1248</v>
      </c>
      <c r="H287" s="2" t="s">
        <v>17</v>
      </c>
      <c r="I287" s="2" t="s">
        <v>1249</v>
      </c>
      <c r="K287" s="4">
        <v>36991</v>
      </c>
      <c r="M287" s="2" t="s">
        <v>91</v>
      </c>
      <c r="N287" s="2" t="s">
        <v>368</v>
      </c>
    </row>
    <row r="288" spans="1:14">
      <c r="A288" s="2">
        <v>287</v>
      </c>
      <c r="B288" s="3" t="s">
        <v>1250</v>
      </c>
      <c r="C288" s="2" t="s">
        <v>1251</v>
      </c>
      <c r="D288" s="2">
        <v>56</v>
      </c>
      <c r="E288" s="2">
        <v>57</v>
      </c>
      <c r="F288" s="2" t="s">
        <v>1252</v>
      </c>
      <c r="H288" s="2" t="s">
        <v>17</v>
      </c>
      <c r="I288" s="2" t="s">
        <v>1253</v>
      </c>
      <c r="K288" s="4">
        <v>25104</v>
      </c>
      <c r="M288" s="2" t="s">
        <v>85</v>
      </c>
      <c r="N288" s="2" t="s">
        <v>1254</v>
      </c>
    </row>
    <row r="289" spans="1:14">
      <c r="A289" s="2">
        <v>288</v>
      </c>
      <c r="B289" s="3" t="s">
        <v>1255</v>
      </c>
      <c r="C289" s="2" t="s">
        <v>1256</v>
      </c>
      <c r="D289" s="2">
        <v>56</v>
      </c>
      <c r="E289" s="2">
        <v>57</v>
      </c>
      <c r="F289" s="2" t="s">
        <v>1257</v>
      </c>
      <c r="H289" s="2" t="s">
        <v>17</v>
      </c>
      <c r="I289" s="2" t="s">
        <v>1258</v>
      </c>
      <c r="K289" s="4">
        <v>30051</v>
      </c>
      <c r="M289" s="2" t="s">
        <v>35</v>
      </c>
      <c r="N289" s="2" t="s">
        <v>1259</v>
      </c>
    </row>
    <row r="290" spans="1:14">
      <c r="A290" s="2">
        <v>289</v>
      </c>
      <c r="B290" s="3" t="s">
        <v>1260</v>
      </c>
      <c r="C290" s="2" t="s">
        <v>1261</v>
      </c>
      <c r="D290" s="2">
        <v>57</v>
      </c>
      <c r="E290" s="2">
        <v>57</v>
      </c>
      <c r="F290" s="2" t="s">
        <v>1262</v>
      </c>
      <c r="H290" s="2" t="s">
        <v>17</v>
      </c>
      <c r="I290" s="2" t="s">
        <v>1263</v>
      </c>
      <c r="K290" s="4">
        <v>23939</v>
      </c>
      <c r="M290" s="2" t="s">
        <v>423</v>
      </c>
      <c r="N290" s="2" t="s">
        <v>1264</v>
      </c>
    </row>
    <row r="291" spans="1:14">
      <c r="A291" s="2">
        <v>290</v>
      </c>
      <c r="B291" s="3" t="s">
        <v>1265</v>
      </c>
      <c r="C291" s="2" t="s">
        <v>1266</v>
      </c>
      <c r="D291" s="2">
        <v>56</v>
      </c>
      <c r="E291" s="2">
        <v>57</v>
      </c>
      <c r="F291" s="2" t="s">
        <v>1267</v>
      </c>
      <c r="H291" s="2" t="s">
        <v>17</v>
      </c>
      <c r="I291" s="2" t="s">
        <v>1268</v>
      </c>
      <c r="K291" s="4">
        <v>28063</v>
      </c>
      <c r="M291" s="2" t="s">
        <v>146</v>
      </c>
      <c r="N291" s="2" t="s">
        <v>147</v>
      </c>
    </row>
    <row r="292" spans="1:14">
      <c r="A292" s="2">
        <v>291</v>
      </c>
      <c r="B292" s="3" t="s">
        <v>1269</v>
      </c>
      <c r="C292" s="2" t="s">
        <v>1270</v>
      </c>
      <c r="D292" s="2">
        <v>57</v>
      </c>
      <c r="E292" s="2">
        <v>57</v>
      </c>
      <c r="F292" s="2" t="s">
        <v>1271</v>
      </c>
      <c r="H292" s="2" t="s">
        <v>17</v>
      </c>
      <c r="K292" s="4">
        <v>30137</v>
      </c>
      <c r="M292" s="2" t="s">
        <v>85</v>
      </c>
      <c r="N292" s="2" t="s">
        <v>86</v>
      </c>
    </row>
    <row r="293" spans="1:14">
      <c r="A293" s="2">
        <v>292</v>
      </c>
      <c r="B293" s="3" t="s">
        <v>1272</v>
      </c>
      <c r="C293" s="2" t="s">
        <v>1273</v>
      </c>
      <c r="D293" s="2">
        <v>50</v>
      </c>
      <c r="E293" s="2">
        <v>57</v>
      </c>
      <c r="F293" s="2" t="s">
        <v>1274</v>
      </c>
      <c r="H293" s="2" t="s">
        <v>17</v>
      </c>
      <c r="K293" s="4">
        <v>16988</v>
      </c>
      <c r="M293" s="2" t="s">
        <v>47</v>
      </c>
      <c r="N293" s="2" t="s">
        <v>48</v>
      </c>
    </row>
    <row r="294" spans="1:14">
      <c r="A294" s="2">
        <v>293</v>
      </c>
      <c r="B294" s="3" t="s">
        <v>1275</v>
      </c>
      <c r="C294" s="2" t="s">
        <v>1276</v>
      </c>
      <c r="D294" s="2">
        <v>57</v>
      </c>
      <c r="E294" s="2">
        <v>57</v>
      </c>
      <c r="F294" s="2" t="s">
        <v>1277</v>
      </c>
      <c r="H294" s="2" t="s">
        <v>45</v>
      </c>
      <c r="I294" s="2" t="s">
        <v>1278</v>
      </c>
      <c r="K294" s="4">
        <v>26552</v>
      </c>
      <c r="M294" s="2" t="s">
        <v>40</v>
      </c>
      <c r="N294" s="2" t="s">
        <v>1279</v>
      </c>
    </row>
    <row r="295" spans="1:14">
      <c r="A295" s="2">
        <v>294</v>
      </c>
      <c r="B295" s="3" t="s">
        <v>1280</v>
      </c>
      <c r="C295" s="2" t="s">
        <v>1281</v>
      </c>
      <c r="D295" s="2">
        <v>57</v>
      </c>
      <c r="E295" s="2">
        <v>57</v>
      </c>
      <c r="F295" s="2" t="s">
        <v>1282</v>
      </c>
      <c r="H295" s="2" t="s">
        <v>45</v>
      </c>
      <c r="I295" s="2" t="s">
        <v>1283</v>
      </c>
      <c r="K295" s="4">
        <v>32026</v>
      </c>
      <c r="M295" s="2" t="s">
        <v>198</v>
      </c>
      <c r="N295" s="2" t="s">
        <v>1284</v>
      </c>
    </row>
    <row r="296" spans="1:14">
      <c r="A296" s="2">
        <v>295</v>
      </c>
      <c r="B296" s="3" t="s">
        <v>1285</v>
      </c>
      <c r="C296" s="2" t="s">
        <v>1286</v>
      </c>
      <c r="D296" s="2">
        <v>57</v>
      </c>
      <c r="E296" s="2">
        <v>57</v>
      </c>
      <c r="F296" s="2" t="s">
        <v>1287</v>
      </c>
      <c r="H296" s="2" t="s">
        <v>45</v>
      </c>
      <c r="K296" s="4">
        <v>30554</v>
      </c>
      <c r="M296" s="2" t="s">
        <v>192</v>
      </c>
      <c r="N296" s="2" t="s">
        <v>577</v>
      </c>
    </row>
    <row r="297" spans="1:14">
      <c r="A297" s="2">
        <v>296</v>
      </c>
      <c r="B297" s="3" t="s">
        <v>1288</v>
      </c>
      <c r="C297" s="2" t="s">
        <v>1289</v>
      </c>
      <c r="D297" s="2">
        <v>57</v>
      </c>
      <c r="E297" s="2">
        <v>57</v>
      </c>
      <c r="F297" s="2" t="s">
        <v>1290</v>
      </c>
      <c r="H297" s="2" t="s">
        <v>17</v>
      </c>
      <c r="K297" s="4">
        <v>31981</v>
      </c>
      <c r="M297" s="2" t="s">
        <v>140</v>
      </c>
      <c r="N297" s="2" t="s">
        <v>294</v>
      </c>
    </row>
    <row r="298" spans="1:14">
      <c r="A298" s="2">
        <v>297</v>
      </c>
      <c r="B298" s="3" t="s">
        <v>1291</v>
      </c>
      <c r="C298" s="2" t="s">
        <v>1292</v>
      </c>
      <c r="D298" s="2">
        <v>49</v>
      </c>
      <c r="E298" s="2">
        <v>57</v>
      </c>
      <c r="F298" s="2" t="s">
        <v>1293</v>
      </c>
      <c r="H298" s="2" t="s">
        <v>45</v>
      </c>
      <c r="K298" s="4">
        <v>20957</v>
      </c>
      <c r="M298" s="2" t="s">
        <v>154</v>
      </c>
      <c r="N298" s="2" t="s">
        <v>208</v>
      </c>
    </row>
    <row r="299" spans="1:14">
      <c r="A299" s="2">
        <v>298</v>
      </c>
      <c r="B299" s="3" t="s">
        <v>1294</v>
      </c>
      <c r="C299" s="2" t="s">
        <v>1295</v>
      </c>
      <c r="D299" s="2">
        <v>57</v>
      </c>
      <c r="E299" s="2">
        <v>57</v>
      </c>
      <c r="F299" s="2" t="s">
        <v>1296</v>
      </c>
      <c r="H299" s="2" t="s">
        <v>17</v>
      </c>
      <c r="K299" s="4">
        <v>27515</v>
      </c>
      <c r="M299" s="2" t="s">
        <v>53</v>
      </c>
      <c r="N299" s="2" t="s">
        <v>847</v>
      </c>
    </row>
    <row r="300" spans="1:14">
      <c r="A300" s="2">
        <v>299</v>
      </c>
      <c r="B300" s="3" t="s">
        <v>1297</v>
      </c>
      <c r="C300" s="2" t="s">
        <v>1298</v>
      </c>
      <c r="D300" s="2">
        <v>52</v>
      </c>
      <c r="E300" s="2">
        <v>57</v>
      </c>
      <c r="F300" s="2" t="s">
        <v>1299</v>
      </c>
      <c r="H300" s="2" t="s">
        <v>17</v>
      </c>
      <c r="I300" s="2" t="s">
        <v>1300</v>
      </c>
      <c r="K300" s="4">
        <v>23676</v>
      </c>
      <c r="M300" s="2" t="s">
        <v>47</v>
      </c>
      <c r="N300" s="2" t="s">
        <v>400</v>
      </c>
    </row>
    <row r="301" spans="1:14">
      <c r="A301" s="2">
        <v>300</v>
      </c>
      <c r="B301" s="3" t="s">
        <v>1301</v>
      </c>
      <c r="C301" s="2" t="s">
        <v>1302</v>
      </c>
      <c r="D301" s="2">
        <v>54</v>
      </c>
      <c r="E301" s="2">
        <v>57</v>
      </c>
      <c r="F301" s="2" t="s">
        <v>1303</v>
      </c>
      <c r="H301" s="2" t="s">
        <v>17</v>
      </c>
      <c r="K301" s="4">
        <v>30562</v>
      </c>
      <c r="M301" s="2" t="s">
        <v>662</v>
      </c>
      <c r="N301" s="2" t="s">
        <v>663</v>
      </c>
    </row>
    <row r="302" spans="1:14">
      <c r="A302" s="2">
        <v>301</v>
      </c>
      <c r="B302" s="3" t="s">
        <v>1304</v>
      </c>
      <c r="C302" s="2" t="s">
        <v>1305</v>
      </c>
      <c r="D302" s="2">
        <v>53</v>
      </c>
      <c r="E302" s="2">
        <v>57</v>
      </c>
      <c r="F302" s="2" t="s">
        <v>1306</v>
      </c>
      <c r="H302" s="2" t="s">
        <v>17</v>
      </c>
      <c r="K302" s="4">
        <v>23918</v>
      </c>
      <c r="M302" s="2" t="s">
        <v>154</v>
      </c>
      <c r="N302" s="2" t="s">
        <v>1307</v>
      </c>
    </row>
    <row r="303" spans="1:14">
      <c r="A303" s="2">
        <v>302</v>
      </c>
      <c r="B303" s="3" t="s">
        <v>1308</v>
      </c>
      <c r="C303" s="2" t="s">
        <v>1309</v>
      </c>
      <c r="D303" s="2">
        <v>53</v>
      </c>
      <c r="E303" s="2">
        <v>57</v>
      </c>
      <c r="F303" s="2" t="s">
        <v>1310</v>
      </c>
      <c r="H303" s="2" t="s">
        <v>17</v>
      </c>
      <c r="I303" s="3" t="s">
        <v>1311</v>
      </c>
      <c r="K303" s="4">
        <v>26580</v>
      </c>
      <c r="M303" s="2" t="s">
        <v>40</v>
      </c>
      <c r="N303" s="2" t="s">
        <v>41</v>
      </c>
    </row>
    <row r="304" spans="1:14">
      <c r="A304" s="2">
        <v>303</v>
      </c>
      <c r="B304" s="3" t="s">
        <v>1312</v>
      </c>
      <c r="C304" s="2" t="s">
        <v>1313</v>
      </c>
      <c r="D304" s="2">
        <v>57</v>
      </c>
      <c r="E304" s="2">
        <v>57</v>
      </c>
      <c r="F304" s="2" t="s">
        <v>1314</v>
      </c>
      <c r="H304" s="2" t="s">
        <v>17</v>
      </c>
      <c r="K304" s="4">
        <v>26959</v>
      </c>
      <c r="M304" s="2" t="s">
        <v>47</v>
      </c>
      <c r="N304" s="2" t="s">
        <v>1315</v>
      </c>
    </row>
    <row r="305" spans="1:14">
      <c r="A305" s="2">
        <v>304</v>
      </c>
      <c r="B305" s="3" t="s">
        <v>1316</v>
      </c>
      <c r="C305" s="2" t="s">
        <v>1317</v>
      </c>
      <c r="D305" s="2">
        <v>55</v>
      </c>
      <c r="E305" s="2">
        <v>57</v>
      </c>
      <c r="F305" s="2" t="s">
        <v>1318</v>
      </c>
      <c r="H305" s="2" t="s">
        <v>17</v>
      </c>
      <c r="I305" s="2" t="s">
        <v>1319</v>
      </c>
      <c r="K305" s="4">
        <v>24706</v>
      </c>
      <c r="M305" s="2" t="s">
        <v>423</v>
      </c>
      <c r="N305" s="2" t="s">
        <v>528</v>
      </c>
    </row>
    <row r="306" spans="1:14">
      <c r="A306" s="2">
        <v>305</v>
      </c>
      <c r="B306" s="3" t="s">
        <v>1320</v>
      </c>
      <c r="C306" s="2" t="s">
        <v>1321</v>
      </c>
      <c r="D306" s="2">
        <v>50</v>
      </c>
      <c r="E306" s="2">
        <v>57</v>
      </c>
      <c r="F306" s="2" t="s">
        <v>1322</v>
      </c>
      <c r="H306" s="2" t="s">
        <v>17</v>
      </c>
      <c r="K306" s="4">
        <v>16860</v>
      </c>
      <c r="M306" s="2" t="s">
        <v>198</v>
      </c>
      <c r="N306" s="2" t="s">
        <v>199</v>
      </c>
    </row>
    <row r="307" spans="1:14">
      <c r="A307" s="2">
        <v>306</v>
      </c>
      <c r="B307" s="3" t="s">
        <v>1323</v>
      </c>
      <c r="C307" s="2" t="s">
        <v>1324</v>
      </c>
      <c r="D307" s="2">
        <v>53</v>
      </c>
      <c r="E307" s="2">
        <v>57</v>
      </c>
      <c r="F307" s="2" t="s">
        <v>1325</v>
      </c>
      <c r="H307" s="2" t="s">
        <v>17</v>
      </c>
      <c r="K307" s="4">
        <v>19622</v>
      </c>
      <c r="M307" s="2" t="s">
        <v>76</v>
      </c>
      <c r="N307" s="2" t="s">
        <v>1326</v>
      </c>
    </row>
    <row r="308" spans="1:14">
      <c r="A308" s="2">
        <v>307</v>
      </c>
      <c r="B308" s="3" t="s">
        <v>1327</v>
      </c>
      <c r="C308" s="2" t="s">
        <v>1328</v>
      </c>
      <c r="D308" s="2">
        <v>55</v>
      </c>
      <c r="E308" s="2">
        <v>57</v>
      </c>
      <c r="F308" s="2" t="s">
        <v>1329</v>
      </c>
      <c r="H308" s="2" t="s">
        <v>17</v>
      </c>
      <c r="I308" s="2" t="s">
        <v>1330</v>
      </c>
      <c r="K308" s="4">
        <v>22617</v>
      </c>
      <c r="M308" s="2" t="s">
        <v>164</v>
      </c>
      <c r="N308" s="2" t="s">
        <v>165</v>
      </c>
    </row>
    <row r="309" spans="1:14">
      <c r="A309" s="2">
        <v>308</v>
      </c>
      <c r="B309" s="3" t="s">
        <v>1331</v>
      </c>
      <c r="C309" s="2" t="s">
        <v>1332</v>
      </c>
      <c r="D309" s="2">
        <v>54</v>
      </c>
      <c r="E309" s="2">
        <v>57</v>
      </c>
      <c r="F309" s="2" t="s">
        <v>1333</v>
      </c>
      <c r="H309" s="2" t="s">
        <v>17</v>
      </c>
      <c r="I309" s="2" t="s">
        <v>1334</v>
      </c>
      <c r="K309" s="4">
        <v>23918</v>
      </c>
      <c r="M309" s="2" t="s">
        <v>35</v>
      </c>
      <c r="N309" s="2" t="s">
        <v>1335</v>
      </c>
    </row>
    <row r="310" spans="1:14">
      <c r="A310" s="2">
        <v>309</v>
      </c>
      <c r="B310" s="3" t="s">
        <v>1336</v>
      </c>
      <c r="C310" s="2" t="s">
        <v>1337</v>
      </c>
      <c r="D310" s="2">
        <v>56</v>
      </c>
      <c r="E310" s="2">
        <v>57</v>
      </c>
      <c r="F310" s="2" t="s">
        <v>1338</v>
      </c>
      <c r="H310" s="2" t="s">
        <v>17</v>
      </c>
      <c r="K310" s="4">
        <v>27196</v>
      </c>
      <c r="M310" s="2" t="s">
        <v>170</v>
      </c>
      <c r="N310" s="2" t="s">
        <v>323</v>
      </c>
    </row>
    <row r="311" spans="1:14">
      <c r="A311" s="2">
        <v>310</v>
      </c>
      <c r="B311" s="3" t="s">
        <v>1339</v>
      </c>
      <c r="C311" s="2" t="s">
        <v>1340</v>
      </c>
      <c r="D311" s="2">
        <v>56</v>
      </c>
      <c r="E311" s="2">
        <v>57</v>
      </c>
      <c r="F311" s="2" t="s">
        <v>1341</v>
      </c>
      <c r="H311" s="2" t="s">
        <v>17</v>
      </c>
      <c r="I311" s="2" t="s">
        <v>1342</v>
      </c>
      <c r="K311" s="4">
        <v>19553</v>
      </c>
      <c r="M311" s="2" t="s">
        <v>35</v>
      </c>
      <c r="N311" s="2" t="s">
        <v>1343</v>
      </c>
    </row>
    <row r="312" spans="1:14">
      <c r="A312" s="2">
        <v>311</v>
      </c>
      <c r="B312" s="3" t="s">
        <v>1344</v>
      </c>
      <c r="C312" s="2" t="s">
        <v>1345</v>
      </c>
      <c r="D312" s="2">
        <v>56</v>
      </c>
      <c r="E312" s="2">
        <v>57</v>
      </c>
      <c r="F312" s="2" t="s">
        <v>1346</v>
      </c>
      <c r="H312" s="2" t="s">
        <v>17</v>
      </c>
      <c r="I312" s="2" t="s">
        <v>1347</v>
      </c>
      <c r="K312" s="4">
        <v>22746</v>
      </c>
      <c r="M312" s="2" t="s">
        <v>423</v>
      </c>
      <c r="N312" s="2" t="s">
        <v>1348</v>
      </c>
    </row>
    <row r="313" spans="1:14">
      <c r="A313" s="2">
        <v>312</v>
      </c>
      <c r="B313" s="3" t="s">
        <v>1349</v>
      </c>
      <c r="C313" s="2" t="s">
        <v>1350</v>
      </c>
      <c r="D313" s="2">
        <v>55</v>
      </c>
      <c r="E313" s="2">
        <v>57</v>
      </c>
      <c r="F313" s="2" t="s">
        <v>1351</v>
      </c>
      <c r="H313" s="2" t="s">
        <v>17</v>
      </c>
      <c r="K313" s="4">
        <v>22382</v>
      </c>
      <c r="M313" s="2" t="s">
        <v>40</v>
      </c>
      <c r="N313" s="2" t="s">
        <v>41</v>
      </c>
    </row>
    <row r="314" spans="1:14">
      <c r="A314" s="2">
        <v>313</v>
      </c>
      <c r="B314" s="3" t="s">
        <v>1352</v>
      </c>
      <c r="C314" s="2" t="s">
        <v>1353</v>
      </c>
      <c r="D314" s="2">
        <v>53</v>
      </c>
      <c r="E314" s="2">
        <v>57</v>
      </c>
      <c r="F314" s="2" t="s">
        <v>1354</v>
      </c>
      <c r="H314" s="2" t="s">
        <v>17</v>
      </c>
      <c r="I314" s="2" t="s">
        <v>1355</v>
      </c>
      <c r="K314" s="4">
        <v>20872</v>
      </c>
      <c r="M314" s="2" t="s">
        <v>85</v>
      </c>
      <c r="N314" s="2" t="s">
        <v>1356</v>
      </c>
    </row>
    <row r="315" spans="1:14">
      <c r="A315" s="2">
        <v>314</v>
      </c>
      <c r="B315" s="3" t="s">
        <v>1357</v>
      </c>
      <c r="C315" s="2" t="s">
        <v>1358</v>
      </c>
      <c r="D315" s="2">
        <v>53</v>
      </c>
      <c r="E315" s="2">
        <v>57</v>
      </c>
      <c r="F315" s="2" t="s">
        <v>1359</v>
      </c>
      <c r="H315" s="2" t="s">
        <v>17</v>
      </c>
      <c r="K315" s="4">
        <v>20864</v>
      </c>
      <c r="M315" s="2" t="s">
        <v>85</v>
      </c>
      <c r="N315" s="2" t="s">
        <v>1360</v>
      </c>
    </row>
    <row r="316" spans="1:14">
      <c r="A316" s="2">
        <v>315</v>
      </c>
      <c r="B316" s="3" t="s">
        <v>1361</v>
      </c>
      <c r="C316" s="2" t="s">
        <v>1362</v>
      </c>
      <c r="D316" s="2">
        <v>56</v>
      </c>
      <c r="E316" s="2">
        <v>57</v>
      </c>
      <c r="F316" s="2" t="s">
        <v>1363</v>
      </c>
      <c r="H316" s="2" t="s">
        <v>17</v>
      </c>
      <c r="K316" s="4">
        <v>25646</v>
      </c>
      <c r="M316" s="2" t="s">
        <v>336</v>
      </c>
      <c r="N316" s="2" t="s">
        <v>1364</v>
      </c>
    </row>
    <row r="317" spans="1:14">
      <c r="A317" s="2">
        <v>316</v>
      </c>
      <c r="B317" s="3" t="s">
        <v>1365</v>
      </c>
      <c r="C317" s="2" t="s">
        <v>1366</v>
      </c>
      <c r="D317" s="2">
        <v>56</v>
      </c>
      <c r="E317" s="2">
        <v>57</v>
      </c>
      <c r="F317" s="2" t="s">
        <v>1367</v>
      </c>
      <c r="H317" s="2" t="s">
        <v>17</v>
      </c>
      <c r="I317" s="2" t="s">
        <v>1368</v>
      </c>
      <c r="K317" s="4">
        <v>22178</v>
      </c>
      <c r="M317" s="2" t="s">
        <v>35</v>
      </c>
      <c r="N317" s="2" t="s">
        <v>1369</v>
      </c>
    </row>
    <row r="318" spans="1:14">
      <c r="A318" s="2">
        <v>317</v>
      </c>
      <c r="B318" s="3" t="s">
        <v>1370</v>
      </c>
      <c r="C318" s="2" t="s">
        <v>1371</v>
      </c>
      <c r="D318" s="2">
        <v>50</v>
      </c>
      <c r="E318" s="2">
        <v>57</v>
      </c>
      <c r="F318" s="2" t="s">
        <v>1372</v>
      </c>
      <c r="H318" s="2" t="s">
        <v>17</v>
      </c>
      <c r="K318" s="4">
        <v>23347</v>
      </c>
      <c r="M318" s="2" t="s">
        <v>164</v>
      </c>
      <c r="N318" s="2" t="s">
        <v>165</v>
      </c>
    </row>
    <row r="319" spans="1:14">
      <c r="A319" s="2">
        <v>318</v>
      </c>
      <c r="B319" s="3" t="s">
        <v>1373</v>
      </c>
      <c r="C319" s="2" t="s">
        <v>1374</v>
      </c>
      <c r="D319" s="2">
        <v>50</v>
      </c>
      <c r="E319" s="2">
        <v>57</v>
      </c>
      <c r="F319" s="2" t="s">
        <v>1375</v>
      </c>
      <c r="H319" s="2" t="s">
        <v>17</v>
      </c>
      <c r="K319" s="4">
        <v>17763</v>
      </c>
      <c r="M319" s="2" t="s">
        <v>40</v>
      </c>
      <c r="N319" s="2" t="s">
        <v>1376</v>
      </c>
    </row>
    <row r="320" spans="1:14">
      <c r="A320" s="2">
        <v>319</v>
      </c>
      <c r="B320" s="3" t="s">
        <v>1377</v>
      </c>
      <c r="C320" s="2" t="s">
        <v>1378</v>
      </c>
      <c r="D320" s="2">
        <v>56</v>
      </c>
      <c r="E320" s="2">
        <v>57</v>
      </c>
      <c r="F320" s="2" t="s">
        <v>1379</v>
      </c>
      <c r="H320" s="2" t="s">
        <v>17</v>
      </c>
      <c r="I320" s="2" t="s">
        <v>1380</v>
      </c>
      <c r="K320" s="4">
        <v>21055</v>
      </c>
      <c r="M320" s="2" t="s">
        <v>40</v>
      </c>
      <c r="N320" s="2" t="s">
        <v>1381</v>
      </c>
    </row>
    <row r="321" spans="1:14">
      <c r="A321" s="2">
        <v>320</v>
      </c>
      <c r="B321" s="3" t="s">
        <v>1382</v>
      </c>
      <c r="C321" s="2" t="s">
        <v>1383</v>
      </c>
      <c r="D321" s="2">
        <v>57</v>
      </c>
      <c r="E321" s="2">
        <v>57</v>
      </c>
      <c r="F321" s="2" t="s">
        <v>1384</v>
      </c>
      <c r="H321" s="2" t="s">
        <v>17</v>
      </c>
      <c r="K321" s="4">
        <v>26752</v>
      </c>
      <c r="M321" s="2" t="s">
        <v>24</v>
      </c>
      <c r="N321" s="2" t="s">
        <v>25</v>
      </c>
    </row>
    <row r="322" spans="1:14">
      <c r="A322" s="2">
        <v>321</v>
      </c>
      <c r="B322" s="3" t="s">
        <v>1385</v>
      </c>
      <c r="C322" s="2" t="s">
        <v>1386</v>
      </c>
      <c r="D322" s="2">
        <v>52</v>
      </c>
      <c r="E322" s="2">
        <v>57</v>
      </c>
      <c r="F322" s="2" t="s">
        <v>1387</v>
      </c>
      <c r="H322" s="2" t="s">
        <v>17</v>
      </c>
      <c r="K322" s="4">
        <v>20742</v>
      </c>
      <c r="M322" s="2" t="s">
        <v>198</v>
      </c>
      <c r="N322" s="2" t="s">
        <v>1388</v>
      </c>
    </row>
    <row r="323" spans="1:14">
      <c r="A323" s="2">
        <v>322</v>
      </c>
      <c r="B323" s="3" t="s">
        <v>1389</v>
      </c>
      <c r="C323" s="2" t="s">
        <v>1390</v>
      </c>
      <c r="D323" s="2">
        <v>56</v>
      </c>
      <c r="E323" s="2">
        <v>57</v>
      </c>
      <c r="F323" s="2" t="s">
        <v>1391</v>
      </c>
      <c r="H323" s="2" t="s">
        <v>17</v>
      </c>
      <c r="K323" s="4">
        <v>28077</v>
      </c>
      <c r="M323" s="2" t="s">
        <v>85</v>
      </c>
      <c r="N323" s="2" t="s">
        <v>1392</v>
      </c>
    </row>
    <row r="324" spans="1:14">
      <c r="A324" s="2">
        <v>323</v>
      </c>
      <c r="B324" s="3" t="s">
        <v>1393</v>
      </c>
      <c r="C324" s="2" t="s">
        <v>1394</v>
      </c>
      <c r="D324" s="2">
        <v>56</v>
      </c>
      <c r="E324" s="2">
        <v>57</v>
      </c>
      <c r="F324" s="2" t="s">
        <v>1395</v>
      </c>
      <c r="H324" s="2" t="s">
        <v>17</v>
      </c>
      <c r="I324" s="2" t="s">
        <v>1396</v>
      </c>
      <c r="K324" s="4">
        <v>30649</v>
      </c>
      <c r="M324" s="2" t="s">
        <v>164</v>
      </c>
      <c r="N324" s="2" t="s">
        <v>1397</v>
      </c>
    </row>
    <row r="325" spans="1:14">
      <c r="A325" s="2">
        <v>324</v>
      </c>
      <c r="B325" s="3" t="s">
        <v>1398</v>
      </c>
      <c r="C325" s="2" t="s">
        <v>1399</v>
      </c>
      <c r="D325" s="2">
        <v>56</v>
      </c>
      <c r="E325" s="2">
        <v>57</v>
      </c>
      <c r="F325" s="2" t="s">
        <v>1400</v>
      </c>
      <c r="H325" s="2" t="s">
        <v>17</v>
      </c>
      <c r="I325" s="2" t="s">
        <v>1401</v>
      </c>
      <c r="K325" s="4">
        <v>21935</v>
      </c>
      <c r="M325" s="2" t="s">
        <v>154</v>
      </c>
      <c r="N325" s="2" t="s">
        <v>346</v>
      </c>
    </row>
    <row r="326" spans="1:14">
      <c r="A326" s="2">
        <v>325</v>
      </c>
      <c r="B326" s="3" t="s">
        <v>1402</v>
      </c>
      <c r="C326" s="2" t="s">
        <v>1403</v>
      </c>
      <c r="D326" s="2">
        <v>57</v>
      </c>
      <c r="E326" s="2">
        <v>57</v>
      </c>
      <c r="F326" s="2" t="s">
        <v>1404</v>
      </c>
      <c r="H326" s="2" t="s">
        <v>45</v>
      </c>
      <c r="I326" s="2" t="s">
        <v>1405</v>
      </c>
      <c r="K326" s="4">
        <v>31126</v>
      </c>
      <c r="M326" s="2" t="s">
        <v>423</v>
      </c>
      <c r="N326" s="2" t="s">
        <v>621</v>
      </c>
    </row>
    <row r="327" spans="1:14">
      <c r="A327" s="2">
        <v>326</v>
      </c>
      <c r="B327" s="3" t="s">
        <v>1406</v>
      </c>
      <c r="C327" s="2" t="s">
        <v>1407</v>
      </c>
      <c r="D327" s="2">
        <v>57</v>
      </c>
      <c r="E327" s="2">
        <v>57</v>
      </c>
      <c r="F327" s="2" t="s">
        <v>1408</v>
      </c>
      <c r="H327" s="2" t="s">
        <v>45</v>
      </c>
      <c r="I327" s="2" t="s">
        <v>1409</v>
      </c>
      <c r="K327" s="4">
        <v>29150</v>
      </c>
      <c r="M327" s="2" t="s">
        <v>47</v>
      </c>
      <c r="N327" s="2" t="s">
        <v>48</v>
      </c>
    </row>
    <row r="328" spans="1:14">
      <c r="A328" s="2">
        <v>327</v>
      </c>
      <c r="B328" s="3" t="s">
        <v>1410</v>
      </c>
      <c r="C328" s="2" t="s">
        <v>1411</v>
      </c>
      <c r="D328" s="2">
        <v>57</v>
      </c>
      <c r="E328" s="2">
        <v>57</v>
      </c>
      <c r="F328" s="2" t="s">
        <v>1412</v>
      </c>
      <c r="H328" s="2" t="s">
        <v>45</v>
      </c>
      <c r="K328" s="4">
        <v>29078</v>
      </c>
      <c r="M328" s="2" t="s">
        <v>154</v>
      </c>
      <c r="N328" s="2" t="s">
        <v>1413</v>
      </c>
    </row>
    <row r="329" spans="1:14">
      <c r="A329" s="2">
        <v>328</v>
      </c>
      <c r="B329" s="3" t="s">
        <v>1414</v>
      </c>
      <c r="C329" s="2" t="s">
        <v>1415</v>
      </c>
      <c r="D329" s="2">
        <v>57</v>
      </c>
      <c r="E329" s="2">
        <v>57</v>
      </c>
      <c r="F329" s="2" t="s">
        <v>1416</v>
      </c>
      <c r="H329" s="2" t="s">
        <v>17</v>
      </c>
      <c r="I329" s="2" t="s">
        <v>1417</v>
      </c>
      <c r="K329" s="4">
        <v>24152</v>
      </c>
      <c r="M329" s="2" t="s">
        <v>140</v>
      </c>
      <c r="N329" s="2" t="s">
        <v>294</v>
      </c>
    </row>
    <row r="330" spans="1:14">
      <c r="A330" s="2">
        <v>329</v>
      </c>
      <c r="B330" s="3" t="s">
        <v>1418</v>
      </c>
      <c r="C330" s="2" t="s">
        <v>1419</v>
      </c>
      <c r="D330" s="2">
        <v>50</v>
      </c>
      <c r="E330" s="2">
        <v>57</v>
      </c>
      <c r="F330" s="2" t="s">
        <v>1420</v>
      </c>
      <c r="H330" s="2" t="s">
        <v>17</v>
      </c>
      <c r="I330" s="2" t="s">
        <v>1421</v>
      </c>
      <c r="K330" s="4">
        <v>17770</v>
      </c>
      <c r="M330" s="2" t="s">
        <v>140</v>
      </c>
      <c r="N330" s="2" t="s">
        <v>1422</v>
      </c>
    </row>
    <row r="331" spans="1:14">
      <c r="A331" s="2">
        <v>330</v>
      </c>
      <c r="B331" s="3" t="s">
        <v>1423</v>
      </c>
      <c r="C331" s="2" t="s">
        <v>1424</v>
      </c>
      <c r="D331" s="2">
        <v>56</v>
      </c>
      <c r="E331" s="2">
        <v>57</v>
      </c>
      <c r="F331" s="2" t="s">
        <v>1425</v>
      </c>
      <c r="H331" s="2" t="s">
        <v>17</v>
      </c>
      <c r="I331" s="2" t="s">
        <v>1426</v>
      </c>
      <c r="K331" s="4">
        <v>27449</v>
      </c>
      <c r="M331" s="2" t="s">
        <v>47</v>
      </c>
      <c r="N331" s="2" t="s">
        <v>115</v>
      </c>
    </row>
    <row r="332" spans="1:14">
      <c r="A332" s="2">
        <v>331</v>
      </c>
      <c r="B332" s="3" t="s">
        <v>1427</v>
      </c>
      <c r="C332" s="2" t="s">
        <v>1428</v>
      </c>
      <c r="D332" s="2">
        <v>52</v>
      </c>
      <c r="E332" s="2">
        <v>57</v>
      </c>
      <c r="F332" s="2" t="s">
        <v>1429</v>
      </c>
      <c r="H332" s="2" t="s">
        <v>17</v>
      </c>
      <c r="I332" s="2" t="s">
        <v>1430</v>
      </c>
      <c r="K332" s="4">
        <v>21646</v>
      </c>
      <c r="M332" s="2" t="s">
        <v>170</v>
      </c>
      <c r="N332" s="2" t="s">
        <v>323</v>
      </c>
    </row>
    <row r="333" spans="1:14">
      <c r="A333" s="2">
        <v>332</v>
      </c>
      <c r="B333" s="3" t="s">
        <v>1431</v>
      </c>
      <c r="C333" s="2" t="s">
        <v>1432</v>
      </c>
      <c r="D333" s="2">
        <v>57</v>
      </c>
      <c r="E333" s="2">
        <v>57</v>
      </c>
      <c r="F333" s="2" t="s">
        <v>1433</v>
      </c>
      <c r="H333" s="2" t="s">
        <v>17</v>
      </c>
      <c r="K333" s="4">
        <v>27091</v>
      </c>
      <c r="M333" s="2" t="s">
        <v>140</v>
      </c>
      <c r="N333" s="2" t="s">
        <v>1434</v>
      </c>
    </row>
    <row r="334" spans="1:14">
      <c r="A334" s="2">
        <v>333</v>
      </c>
      <c r="B334" s="3" t="s">
        <v>1435</v>
      </c>
      <c r="C334" s="2" t="s">
        <v>1436</v>
      </c>
      <c r="D334" s="2">
        <v>56</v>
      </c>
      <c r="E334" s="2">
        <v>57</v>
      </c>
      <c r="F334" s="2" t="s">
        <v>1437</v>
      </c>
      <c r="H334" s="2" t="s">
        <v>17</v>
      </c>
      <c r="I334" s="2" t="s">
        <v>1438</v>
      </c>
      <c r="K334" s="4">
        <v>28056</v>
      </c>
      <c r="M334" s="2" t="s">
        <v>170</v>
      </c>
      <c r="N334" s="2" t="s">
        <v>784</v>
      </c>
    </row>
    <row r="335" spans="1:14">
      <c r="A335" s="2">
        <v>334</v>
      </c>
      <c r="B335" s="3" t="s">
        <v>1439</v>
      </c>
      <c r="C335" s="2" t="s">
        <v>1440</v>
      </c>
      <c r="D335" s="2">
        <v>56</v>
      </c>
      <c r="E335" s="2">
        <v>57</v>
      </c>
      <c r="F335" s="2" t="s">
        <v>1441</v>
      </c>
      <c r="H335" s="2" t="s">
        <v>17</v>
      </c>
      <c r="I335" s="2" t="s">
        <v>1442</v>
      </c>
      <c r="K335" s="4">
        <v>31958</v>
      </c>
      <c r="M335" s="2" t="s">
        <v>35</v>
      </c>
      <c r="N335" s="2" t="s">
        <v>58</v>
      </c>
    </row>
    <row r="336" spans="1:14">
      <c r="A336" s="2">
        <v>335</v>
      </c>
      <c r="B336" s="3" t="s">
        <v>1443</v>
      </c>
      <c r="C336" s="2" t="s">
        <v>1444</v>
      </c>
      <c r="D336" s="2">
        <v>56</v>
      </c>
      <c r="E336" s="2">
        <v>57</v>
      </c>
      <c r="F336" s="2" t="s">
        <v>1445</v>
      </c>
      <c r="H336" s="2" t="s">
        <v>17</v>
      </c>
      <c r="K336" s="4">
        <v>24666</v>
      </c>
      <c r="M336" s="2" t="s">
        <v>164</v>
      </c>
      <c r="N336" s="2" t="s">
        <v>1446</v>
      </c>
    </row>
    <row r="337" spans="1:14">
      <c r="A337" s="2">
        <v>336</v>
      </c>
      <c r="B337" s="3" t="s">
        <v>1447</v>
      </c>
      <c r="C337" s="2" t="s">
        <v>1448</v>
      </c>
      <c r="D337" s="2">
        <v>56</v>
      </c>
      <c r="E337" s="2">
        <v>57</v>
      </c>
      <c r="F337" s="2" t="s">
        <v>1449</v>
      </c>
      <c r="H337" s="2" t="s">
        <v>17</v>
      </c>
      <c r="I337" s="3" t="s">
        <v>1450</v>
      </c>
      <c r="K337" s="4">
        <v>28781</v>
      </c>
      <c r="M337" s="2" t="s">
        <v>185</v>
      </c>
      <c r="N337" s="2" t="s">
        <v>838</v>
      </c>
    </row>
    <row r="338" spans="1:14">
      <c r="A338" s="2">
        <v>337</v>
      </c>
      <c r="B338" s="3" t="s">
        <v>1451</v>
      </c>
      <c r="C338" s="2" t="s">
        <v>1452</v>
      </c>
      <c r="D338" s="2">
        <v>56</v>
      </c>
      <c r="E338" s="2">
        <v>57</v>
      </c>
      <c r="F338" s="2" t="s">
        <v>1453</v>
      </c>
      <c r="H338" s="2" t="s">
        <v>17</v>
      </c>
      <c r="I338" s="2" t="s">
        <v>1454</v>
      </c>
      <c r="K338" s="4">
        <v>31153</v>
      </c>
      <c r="M338" s="2" t="s">
        <v>85</v>
      </c>
      <c r="N338" s="2" t="s">
        <v>1455</v>
      </c>
    </row>
    <row r="339" spans="1:14">
      <c r="A339" s="2">
        <v>338</v>
      </c>
      <c r="B339" s="3" t="s">
        <v>1456</v>
      </c>
      <c r="C339" s="2" t="s">
        <v>1457</v>
      </c>
      <c r="D339" s="2">
        <v>55</v>
      </c>
      <c r="E339" s="2">
        <v>57</v>
      </c>
      <c r="F339" s="2" t="s">
        <v>1458</v>
      </c>
      <c r="H339" s="2" t="s">
        <v>17</v>
      </c>
      <c r="K339" s="4">
        <v>30992</v>
      </c>
      <c r="M339" s="2" t="s">
        <v>185</v>
      </c>
      <c r="N339" s="2" t="s">
        <v>838</v>
      </c>
    </row>
    <row r="340" spans="1:14">
      <c r="A340" s="2">
        <v>339</v>
      </c>
      <c r="B340" s="3" t="s">
        <v>1459</v>
      </c>
      <c r="C340" s="2" t="s">
        <v>1460</v>
      </c>
      <c r="D340" s="2">
        <v>57</v>
      </c>
      <c r="E340" s="2">
        <v>57</v>
      </c>
      <c r="F340" s="2" t="s">
        <v>1461</v>
      </c>
      <c r="H340" s="2" t="s">
        <v>45</v>
      </c>
      <c r="K340" s="4">
        <v>28548</v>
      </c>
      <c r="M340" s="2" t="s">
        <v>35</v>
      </c>
      <c r="N340" s="2" t="s">
        <v>1462</v>
      </c>
    </row>
    <row r="341" spans="1:14">
      <c r="A341" s="2">
        <v>340</v>
      </c>
      <c r="B341" s="3" t="s">
        <v>1463</v>
      </c>
      <c r="C341" s="2" t="s">
        <v>1464</v>
      </c>
      <c r="D341" s="2">
        <v>57</v>
      </c>
      <c r="E341" s="2">
        <v>57</v>
      </c>
      <c r="F341" s="2" t="s">
        <v>1465</v>
      </c>
      <c r="H341" s="2" t="s">
        <v>17</v>
      </c>
      <c r="I341" s="2" t="s">
        <v>1466</v>
      </c>
      <c r="K341" s="4">
        <v>24625</v>
      </c>
      <c r="M341" s="2" t="s">
        <v>164</v>
      </c>
      <c r="N341" s="2" t="s">
        <v>1467</v>
      </c>
    </row>
    <row r="342" spans="1:14">
      <c r="A342" s="2">
        <v>341</v>
      </c>
      <c r="B342" s="3" t="s">
        <v>1468</v>
      </c>
      <c r="C342" s="2" t="s">
        <v>1469</v>
      </c>
      <c r="D342" s="2">
        <v>57</v>
      </c>
      <c r="E342" s="2">
        <v>57</v>
      </c>
      <c r="F342" s="2" t="s">
        <v>1470</v>
      </c>
      <c r="H342" s="2" t="s">
        <v>17</v>
      </c>
      <c r="I342" s="2" t="s">
        <v>1471</v>
      </c>
      <c r="K342" s="4">
        <v>30807</v>
      </c>
      <c r="M342" s="2" t="s">
        <v>47</v>
      </c>
      <c r="N342" s="2" t="s">
        <v>48</v>
      </c>
    </row>
    <row r="343" spans="1:14">
      <c r="A343" s="2">
        <v>342</v>
      </c>
      <c r="B343" s="3" t="s">
        <v>1472</v>
      </c>
      <c r="C343" s="2" t="s">
        <v>1473</v>
      </c>
      <c r="D343" s="2">
        <v>56</v>
      </c>
      <c r="E343" s="2">
        <v>57</v>
      </c>
      <c r="F343" s="2" t="s">
        <v>1474</v>
      </c>
      <c r="H343" s="2" t="s">
        <v>17</v>
      </c>
      <c r="I343" s="2" t="s">
        <v>1475</v>
      </c>
      <c r="K343" s="4">
        <v>35092</v>
      </c>
      <c r="M343" s="2" t="s">
        <v>47</v>
      </c>
      <c r="N343" s="2" t="s">
        <v>1476</v>
      </c>
    </row>
    <row r="344" spans="1:14">
      <c r="A344" s="2">
        <v>343</v>
      </c>
      <c r="B344" s="3" t="s">
        <v>1477</v>
      </c>
      <c r="C344" s="2" t="s">
        <v>1478</v>
      </c>
      <c r="D344" s="2">
        <v>56</v>
      </c>
      <c r="E344" s="2">
        <v>57</v>
      </c>
      <c r="F344" s="2" t="s">
        <v>1479</v>
      </c>
      <c r="H344" s="2" t="s">
        <v>17</v>
      </c>
      <c r="I344" s="2" t="s">
        <v>1480</v>
      </c>
      <c r="K344" s="4">
        <v>24397</v>
      </c>
      <c r="M344" s="2" t="s">
        <v>35</v>
      </c>
      <c r="N344" s="2" t="s">
        <v>58</v>
      </c>
    </row>
    <row r="345" spans="1:14">
      <c r="A345" s="2">
        <v>344</v>
      </c>
      <c r="B345" s="3" t="s">
        <v>1481</v>
      </c>
      <c r="C345" s="2" t="s">
        <v>1482</v>
      </c>
      <c r="D345" s="2">
        <v>50</v>
      </c>
      <c r="E345" s="2">
        <v>57</v>
      </c>
      <c r="F345" s="2" t="s">
        <v>1483</v>
      </c>
      <c r="H345" s="2" t="s">
        <v>45</v>
      </c>
      <c r="K345" s="4">
        <v>23132</v>
      </c>
      <c r="M345" s="2" t="s">
        <v>170</v>
      </c>
      <c r="N345" s="2" t="s">
        <v>323</v>
      </c>
    </row>
    <row r="346" spans="1:14">
      <c r="A346" s="2">
        <v>345</v>
      </c>
      <c r="B346" s="3" t="s">
        <v>1484</v>
      </c>
      <c r="C346" s="2" t="s">
        <v>1485</v>
      </c>
      <c r="D346" s="2">
        <v>53</v>
      </c>
      <c r="E346" s="2">
        <v>57</v>
      </c>
      <c r="F346" s="2" t="s">
        <v>1486</v>
      </c>
      <c r="H346" s="2" t="s">
        <v>17</v>
      </c>
      <c r="I346" s="2" t="s">
        <v>1487</v>
      </c>
      <c r="K346" s="4">
        <v>17209</v>
      </c>
      <c r="M346" s="2" t="s">
        <v>185</v>
      </c>
      <c r="N346" s="2" t="s">
        <v>1488</v>
      </c>
    </row>
    <row r="347" spans="1:14">
      <c r="A347" s="2">
        <v>346</v>
      </c>
      <c r="B347" s="3" t="s">
        <v>1489</v>
      </c>
      <c r="C347" s="2" t="s">
        <v>1490</v>
      </c>
      <c r="D347" s="2">
        <v>55</v>
      </c>
      <c r="E347" s="2">
        <v>57</v>
      </c>
      <c r="F347" s="2" t="s">
        <v>1491</v>
      </c>
      <c r="H347" s="2" t="s">
        <v>45</v>
      </c>
      <c r="K347" s="4">
        <v>27748</v>
      </c>
      <c r="M347" s="2" t="s">
        <v>154</v>
      </c>
      <c r="N347" s="2" t="s">
        <v>726</v>
      </c>
    </row>
    <row r="348" spans="1:14">
      <c r="A348" s="2">
        <v>347</v>
      </c>
      <c r="B348" s="3" t="s">
        <v>1492</v>
      </c>
      <c r="C348" s="2" t="s">
        <v>1493</v>
      </c>
      <c r="D348" s="2">
        <v>57</v>
      </c>
      <c r="E348" s="2">
        <v>57</v>
      </c>
      <c r="F348" s="2" t="s">
        <v>1494</v>
      </c>
      <c r="H348" s="2" t="s">
        <v>17</v>
      </c>
      <c r="K348" s="4">
        <v>20158</v>
      </c>
      <c r="M348" s="2" t="s">
        <v>47</v>
      </c>
      <c r="N348" s="2" t="s">
        <v>1495</v>
      </c>
    </row>
    <row r="349" spans="1:14">
      <c r="A349" s="2">
        <v>348</v>
      </c>
      <c r="B349" s="3" t="s">
        <v>1496</v>
      </c>
      <c r="C349" s="2" t="s">
        <v>1497</v>
      </c>
      <c r="D349" s="2">
        <v>57</v>
      </c>
      <c r="E349" s="2">
        <v>57</v>
      </c>
      <c r="F349" s="2" t="s">
        <v>1498</v>
      </c>
      <c r="H349" s="2" t="s">
        <v>45</v>
      </c>
      <c r="K349" s="4">
        <v>22587</v>
      </c>
      <c r="M349" s="2" t="s">
        <v>35</v>
      </c>
      <c r="N349" s="2" t="s">
        <v>1499</v>
      </c>
    </row>
    <row r="350" spans="1:14">
      <c r="A350" s="2">
        <v>349</v>
      </c>
      <c r="B350" s="3" t="s">
        <v>1500</v>
      </c>
      <c r="C350" s="2" t="s">
        <v>1501</v>
      </c>
      <c r="D350" s="2">
        <v>57</v>
      </c>
      <c r="E350" s="2">
        <v>57</v>
      </c>
      <c r="F350" s="2" t="s">
        <v>1502</v>
      </c>
      <c r="H350" s="2" t="s">
        <v>45</v>
      </c>
      <c r="I350" s="2" t="s">
        <v>1503</v>
      </c>
      <c r="K350" s="4">
        <v>25464</v>
      </c>
      <c r="M350" s="2" t="s">
        <v>154</v>
      </c>
      <c r="N350" s="2" t="s">
        <v>346</v>
      </c>
    </row>
    <row r="351" spans="1:14">
      <c r="A351" s="2">
        <v>350</v>
      </c>
      <c r="B351" s="3" t="s">
        <v>1504</v>
      </c>
      <c r="C351" s="2" t="s">
        <v>1505</v>
      </c>
      <c r="D351" s="2">
        <v>57</v>
      </c>
      <c r="E351" s="2">
        <v>57</v>
      </c>
      <c r="F351" s="2" t="s">
        <v>1506</v>
      </c>
      <c r="H351" s="2" t="s">
        <v>17</v>
      </c>
      <c r="I351" s="2" t="s">
        <v>1507</v>
      </c>
      <c r="K351" s="4">
        <v>28585</v>
      </c>
      <c r="M351" s="2" t="s">
        <v>40</v>
      </c>
      <c r="N351" s="2" t="s">
        <v>41</v>
      </c>
    </row>
    <row r="352" spans="1:14">
      <c r="A352" s="2">
        <v>351</v>
      </c>
      <c r="B352" s="3" t="s">
        <v>1508</v>
      </c>
      <c r="C352" s="2" t="s">
        <v>1509</v>
      </c>
      <c r="D352" s="2">
        <v>54</v>
      </c>
      <c r="E352" s="2">
        <v>57</v>
      </c>
      <c r="F352" s="2" t="s">
        <v>1510</v>
      </c>
      <c r="H352" s="2" t="s">
        <v>17</v>
      </c>
      <c r="I352" s="2" t="s">
        <v>1511</v>
      </c>
      <c r="K352" s="4">
        <v>27526</v>
      </c>
      <c r="M352" s="2" t="s">
        <v>969</v>
      </c>
      <c r="N352" s="2" t="s">
        <v>970</v>
      </c>
    </row>
    <row r="353" spans="1:14">
      <c r="A353" s="2">
        <v>352</v>
      </c>
      <c r="B353" s="3" t="s">
        <v>1512</v>
      </c>
      <c r="C353" s="2" t="s">
        <v>1513</v>
      </c>
      <c r="D353" s="2">
        <v>52</v>
      </c>
      <c r="E353" s="2">
        <v>57</v>
      </c>
      <c r="F353" s="2" t="s">
        <v>1514</v>
      </c>
      <c r="H353" s="2" t="s">
        <v>17</v>
      </c>
      <c r="K353" s="4">
        <v>18910</v>
      </c>
      <c r="M353" s="2" t="s">
        <v>35</v>
      </c>
      <c r="N353" s="2" t="s">
        <v>955</v>
      </c>
    </row>
    <row r="354" spans="1:14">
      <c r="A354" s="2">
        <v>353</v>
      </c>
      <c r="B354" s="3" t="s">
        <v>1515</v>
      </c>
      <c r="C354" s="2" t="s">
        <v>1516</v>
      </c>
      <c r="D354" s="2">
        <v>50</v>
      </c>
      <c r="E354" s="2">
        <v>57</v>
      </c>
      <c r="F354" s="2" t="s">
        <v>1517</v>
      </c>
      <c r="H354" s="2" t="s">
        <v>17</v>
      </c>
      <c r="I354" s="2" t="s">
        <v>1518</v>
      </c>
      <c r="K354" s="4">
        <v>20974</v>
      </c>
      <c r="M354" s="2" t="s">
        <v>85</v>
      </c>
      <c r="N354" s="2" t="s">
        <v>1519</v>
      </c>
    </row>
    <row r="355" spans="1:14">
      <c r="A355" s="2">
        <v>354</v>
      </c>
      <c r="B355" s="3" t="s">
        <v>1520</v>
      </c>
      <c r="C355" s="2" t="s">
        <v>1521</v>
      </c>
      <c r="D355" s="2">
        <v>56</v>
      </c>
      <c r="E355" s="2">
        <v>57</v>
      </c>
      <c r="F355" s="2" t="s">
        <v>1522</v>
      </c>
      <c r="H355" s="2" t="s">
        <v>17</v>
      </c>
      <c r="I355" s="2" t="s">
        <v>1523</v>
      </c>
      <c r="K355" s="4">
        <v>28061</v>
      </c>
      <c r="M355" s="2" t="s">
        <v>40</v>
      </c>
      <c r="N355" s="2" t="s">
        <v>41</v>
      </c>
    </row>
    <row r="356" spans="1:14">
      <c r="A356" s="2">
        <v>355</v>
      </c>
      <c r="B356" s="3" t="s">
        <v>1524</v>
      </c>
      <c r="C356" s="2" t="s">
        <v>1525</v>
      </c>
      <c r="D356" s="2">
        <v>48</v>
      </c>
      <c r="E356" s="2">
        <v>57</v>
      </c>
      <c r="F356" s="2" t="s">
        <v>1526</v>
      </c>
      <c r="H356" s="2" t="s">
        <v>45</v>
      </c>
      <c r="I356" s="2" t="s">
        <v>1527</v>
      </c>
      <c r="K356" s="4">
        <v>20526</v>
      </c>
      <c r="M356" s="2" t="s">
        <v>40</v>
      </c>
      <c r="N356" s="2" t="s">
        <v>1528</v>
      </c>
    </row>
    <row r="357" spans="1:14">
      <c r="A357" s="2">
        <v>356</v>
      </c>
      <c r="B357" s="3" t="s">
        <v>1529</v>
      </c>
      <c r="C357" s="2" t="s">
        <v>1530</v>
      </c>
      <c r="D357" s="2">
        <v>51</v>
      </c>
      <c r="E357" s="2">
        <v>57</v>
      </c>
      <c r="F357" s="2" t="s">
        <v>1531</v>
      </c>
      <c r="H357" s="2" t="s">
        <v>17</v>
      </c>
      <c r="K357" s="4">
        <v>19666</v>
      </c>
      <c r="M357" s="2" t="s">
        <v>35</v>
      </c>
      <c r="N357" s="2" t="s">
        <v>58</v>
      </c>
    </row>
    <row r="358" spans="1:14">
      <c r="A358" s="2">
        <v>357</v>
      </c>
      <c r="B358" s="3" t="s">
        <v>1532</v>
      </c>
      <c r="C358" s="2" t="s">
        <v>1533</v>
      </c>
      <c r="D358" s="2">
        <v>50</v>
      </c>
      <c r="E358" s="2">
        <v>57</v>
      </c>
      <c r="F358" s="2" t="s">
        <v>1534</v>
      </c>
      <c r="H358" s="2" t="s">
        <v>17</v>
      </c>
      <c r="K358" s="4">
        <v>25545</v>
      </c>
      <c r="M358" s="2" t="s">
        <v>76</v>
      </c>
      <c r="N358" s="2" t="s">
        <v>906</v>
      </c>
    </row>
    <row r="359" spans="1:14">
      <c r="A359" s="2">
        <v>358</v>
      </c>
      <c r="B359" s="3" t="s">
        <v>1535</v>
      </c>
      <c r="C359" s="2" t="s">
        <v>1536</v>
      </c>
      <c r="D359" s="2">
        <v>57</v>
      </c>
      <c r="E359" s="2">
        <v>57</v>
      </c>
      <c r="F359" s="2" t="s">
        <v>1537</v>
      </c>
      <c r="H359" s="2" t="s">
        <v>45</v>
      </c>
      <c r="K359" s="4">
        <v>33430</v>
      </c>
      <c r="M359" s="2" t="s">
        <v>47</v>
      </c>
      <c r="N359" s="2" t="s">
        <v>1538</v>
      </c>
    </row>
    <row r="360" spans="1:14">
      <c r="A360" s="2">
        <v>359</v>
      </c>
      <c r="B360" s="3" t="s">
        <v>1539</v>
      </c>
      <c r="C360" s="2" t="s">
        <v>1540</v>
      </c>
      <c r="D360" s="2">
        <v>57</v>
      </c>
      <c r="E360" s="2">
        <v>57</v>
      </c>
      <c r="F360" s="2" t="s">
        <v>1541</v>
      </c>
      <c r="H360" s="2" t="s">
        <v>17</v>
      </c>
      <c r="I360" s="2" t="s">
        <v>1542</v>
      </c>
      <c r="K360" s="4">
        <v>31457</v>
      </c>
      <c r="M360" s="2" t="s">
        <v>198</v>
      </c>
      <c r="N360" s="2" t="s">
        <v>199</v>
      </c>
    </row>
    <row r="361" spans="1:14">
      <c r="A361" s="2">
        <v>360</v>
      </c>
      <c r="B361" s="3" t="s">
        <v>1543</v>
      </c>
      <c r="C361" s="2" t="s">
        <v>1544</v>
      </c>
      <c r="D361" s="2">
        <v>56</v>
      </c>
      <c r="E361" s="2">
        <v>57</v>
      </c>
      <c r="F361" s="2" t="s">
        <v>1545</v>
      </c>
      <c r="H361" s="2" t="s">
        <v>17</v>
      </c>
      <c r="I361" s="2" t="s">
        <v>1546</v>
      </c>
      <c r="J361" s="3" t="s">
        <v>1547</v>
      </c>
      <c r="K361" s="4">
        <v>29732</v>
      </c>
      <c r="M361" s="2" t="s">
        <v>66</v>
      </c>
      <c r="N361" s="2" t="s">
        <v>1548</v>
      </c>
    </row>
    <row r="362" spans="1:14">
      <c r="A362" s="2">
        <v>361</v>
      </c>
      <c r="B362" s="3" t="s">
        <v>1549</v>
      </c>
      <c r="C362" s="2" t="s">
        <v>1550</v>
      </c>
      <c r="D362" s="2">
        <v>57</v>
      </c>
      <c r="E362" s="2">
        <v>57</v>
      </c>
      <c r="F362" s="2" t="s">
        <v>1551</v>
      </c>
      <c r="H362" s="2" t="s">
        <v>17</v>
      </c>
      <c r="I362" s="2" t="s">
        <v>1552</v>
      </c>
      <c r="K362" s="4">
        <v>26672</v>
      </c>
      <c r="M362" s="2" t="s">
        <v>154</v>
      </c>
      <c r="N362" s="2" t="s">
        <v>1553</v>
      </c>
    </row>
    <row r="363" spans="1:14">
      <c r="A363" s="2">
        <v>362</v>
      </c>
      <c r="B363" s="3" t="s">
        <v>1554</v>
      </c>
      <c r="C363" s="2" t="s">
        <v>1555</v>
      </c>
      <c r="D363" s="2">
        <v>57</v>
      </c>
      <c r="E363" s="2">
        <v>57</v>
      </c>
      <c r="F363" s="2" t="s">
        <v>1556</v>
      </c>
      <c r="H363" s="2" t="s">
        <v>17</v>
      </c>
      <c r="K363" s="4">
        <v>31590</v>
      </c>
      <c r="M363" s="2" t="s">
        <v>146</v>
      </c>
      <c r="N363" s="2" t="s">
        <v>147</v>
      </c>
    </row>
    <row r="364" spans="1:14">
      <c r="A364" s="2">
        <v>363</v>
      </c>
      <c r="B364" s="3" t="s">
        <v>1557</v>
      </c>
      <c r="C364" s="2" t="s">
        <v>1558</v>
      </c>
      <c r="D364" s="2">
        <v>57</v>
      </c>
      <c r="E364" s="2">
        <v>57</v>
      </c>
      <c r="F364" s="2" t="s">
        <v>1559</v>
      </c>
      <c r="H364" s="2" t="s">
        <v>17</v>
      </c>
      <c r="I364" s="3" t="s">
        <v>1560</v>
      </c>
      <c r="K364" s="4">
        <v>25347</v>
      </c>
      <c r="M364" s="2" t="s">
        <v>66</v>
      </c>
      <c r="N364" s="2" t="s">
        <v>1561</v>
      </c>
    </row>
    <row r="365" spans="1:14">
      <c r="A365" s="2">
        <v>364</v>
      </c>
      <c r="B365" s="3" t="s">
        <v>1562</v>
      </c>
      <c r="C365" s="2" t="s">
        <v>1563</v>
      </c>
      <c r="D365" s="2">
        <v>51</v>
      </c>
      <c r="E365" s="2">
        <v>57</v>
      </c>
      <c r="F365" s="2" t="s">
        <v>1564</v>
      </c>
      <c r="H365" s="2" t="s">
        <v>17</v>
      </c>
      <c r="K365" s="4">
        <v>16405</v>
      </c>
      <c r="M365" s="2" t="s">
        <v>198</v>
      </c>
      <c r="N365" s="2" t="s">
        <v>199</v>
      </c>
    </row>
    <row r="366" spans="1:14">
      <c r="A366" s="2">
        <v>365</v>
      </c>
      <c r="B366" s="3" t="s">
        <v>1565</v>
      </c>
      <c r="C366" s="2" t="s">
        <v>1566</v>
      </c>
      <c r="D366" s="2">
        <v>55</v>
      </c>
      <c r="E366" s="2">
        <v>57</v>
      </c>
      <c r="F366" s="2" t="s">
        <v>1567</v>
      </c>
      <c r="H366" s="2" t="s">
        <v>17</v>
      </c>
      <c r="K366" s="4">
        <v>20171</v>
      </c>
      <c r="M366" s="2" t="s">
        <v>154</v>
      </c>
      <c r="N366" s="2" t="s">
        <v>208</v>
      </c>
    </row>
    <row r="367" spans="1:14">
      <c r="A367" s="2">
        <v>366</v>
      </c>
      <c r="B367" s="3" t="s">
        <v>1568</v>
      </c>
      <c r="C367" s="2" t="s">
        <v>1569</v>
      </c>
      <c r="D367" s="2">
        <v>57</v>
      </c>
      <c r="E367" s="2">
        <v>57</v>
      </c>
      <c r="F367" s="2" t="s">
        <v>1570</v>
      </c>
      <c r="H367" s="2" t="s">
        <v>17</v>
      </c>
      <c r="K367" s="4">
        <v>30879</v>
      </c>
      <c r="M367" s="2" t="s">
        <v>185</v>
      </c>
      <c r="N367" s="2" t="s">
        <v>1571</v>
      </c>
    </row>
    <row r="368" spans="1:14">
      <c r="A368" s="2">
        <v>367</v>
      </c>
      <c r="B368" s="3" t="s">
        <v>1572</v>
      </c>
      <c r="C368" s="2" t="s">
        <v>1573</v>
      </c>
      <c r="D368" s="2">
        <v>57</v>
      </c>
      <c r="E368" s="2">
        <v>57</v>
      </c>
      <c r="F368" s="2" t="s">
        <v>1574</v>
      </c>
      <c r="H368" s="2" t="s">
        <v>17</v>
      </c>
      <c r="K368" s="4">
        <v>32259</v>
      </c>
      <c r="M368" s="2" t="s">
        <v>170</v>
      </c>
      <c r="N368" s="2" t="s">
        <v>323</v>
      </c>
    </row>
    <row r="369" spans="1:14">
      <c r="A369" s="2">
        <v>368</v>
      </c>
      <c r="B369" s="3" t="s">
        <v>1575</v>
      </c>
      <c r="C369" s="2" t="s">
        <v>1576</v>
      </c>
      <c r="D369" s="2">
        <v>55</v>
      </c>
      <c r="E369" s="2">
        <v>57</v>
      </c>
      <c r="F369" s="2" t="s">
        <v>1577</v>
      </c>
      <c r="H369" s="2" t="s">
        <v>17</v>
      </c>
      <c r="I369" s="2" t="s">
        <v>1578</v>
      </c>
      <c r="K369" s="4">
        <v>25407</v>
      </c>
      <c r="M369" s="2" t="s">
        <v>18</v>
      </c>
      <c r="N369" s="2" t="s">
        <v>1579</v>
      </c>
    </row>
    <row r="370" spans="1:14">
      <c r="A370" s="2">
        <v>369</v>
      </c>
      <c r="B370" s="3" t="s">
        <v>1580</v>
      </c>
      <c r="C370" s="2" t="s">
        <v>1581</v>
      </c>
      <c r="D370" s="2">
        <v>57</v>
      </c>
      <c r="E370" s="2">
        <v>57</v>
      </c>
      <c r="F370" s="2" t="s">
        <v>1582</v>
      </c>
      <c r="H370" s="2" t="s">
        <v>45</v>
      </c>
      <c r="K370" s="4">
        <v>29136</v>
      </c>
      <c r="M370" s="2" t="s">
        <v>185</v>
      </c>
      <c r="N370" s="2" t="s">
        <v>838</v>
      </c>
    </row>
    <row r="371" spans="1:14">
      <c r="A371" s="2">
        <v>370</v>
      </c>
      <c r="B371" s="3" t="s">
        <v>1583</v>
      </c>
      <c r="C371" s="2" t="s">
        <v>1584</v>
      </c>
      <c r="D371" s="2">
        <v>57</v>
      </c>
      <c r="E371" s="2">
        <v>57</v>
      </c>
      <c r="F371" s="2" t="s">
        <v>1585</v>
      </c>
      <c r="H371" s="2" t="s">
        <v>17</v>
      </c>
      <c r="K371" s="4">
        <v>24232</v>
      </c>
      <c r="M371" s="2" t="s">
        <v>170</v>
      </c>
      <c r="N371" s="2" t="s">
        <v>323</v>
      </c>
    </row>
    <row r="372" spans="1:14">
      <c r="A372" s="2">
        <v>371</v>
      </c>
      <c r="B372" s="3" t="s">
        <v>1586</v>
      </c>
      <c r="C372" s="2" t="s">
        <v>1587</v>
      </c>
      <c r="D372" s="2">
        <v>54</v>
      </c>
      <c r="E372" s="2">
        <v>57</v>
      </c>
      <c r="F372" s="2" t="s">
        <v>1588</v>
      </c>
      <c r="H372" s="2" t="s">
        <v>17</v>
      </c>
      <c r="I372" s="2" t="s">
        <v>1589</v>
      </c>
      <c r="K372" s="4">
        <v>26137</v>
      </c>
      <c r="M372" s="2" t="s">
        <v>35</v>
      </c>
      <c r="N372" s="2" t="s">
        <v>58</v>
      </c>
    </row>
    <row r="373" spans="1:14">
      <c r="A373" s="2">
        <v>372</v>
      </c>
      <c r="B373" s="3" t="s">
        <v>1590</v>
      </c>
      <c r="C373" s="2" t="s">
        <v>1591</v>
      </c>
      <c r="D373" s="2">
        <v>56</v>
      </c>
      <c r="E373" s="2">
        <v>57</v>
      </c>
      <c r="F373" s="2" t="s">
        <v>1592</v>
      </c>
      <c r="H373" s="2" t="s">
        <v>45</v>
      </c>
      <c r="K373" s="4">
        <v>35166</v>
      </c>
      <c r="M373" s="2" t="s">
        <v>154</v>
      </c>
      <c r="N373" s="2" t="s">
        <v>346</v>
      </c>
    </row>
    <row r="374" spans="1:14">
      <c r="A374" s="2">
        <v>373</v>
      </c>
      <c r="B374" s="3" t="s">
        <v>1593</v>
      </c>
      <c r="C374" s="2" t="s">
        <v>1594</v>
      </c>
      <c r="D374" s="2">
        <v>56</v>
      </c>
      <c r="E374" s="2">
        <v>57</v>
      </c>
      <c r="F374" s="2" t="s">
        <v>1595</v>
      </c>
      <c r="H374" s="2" t="s">
        <v>17</v>
      </c>
      <c r="K374" s="4">
        <v>14972</v>
      </c>
      <c r="M374" s="2" t="s">
        <v>170</v>
      </c>
      <c r="N374" s="2" t="s">
        <v>323</v>
      </c>
    </row>
    <row r="375" spans="1:14">
      <c r="A375" s="2">
        <v>374</v>
      </c>
      <c r="B375" s="3" t="s">
        <v>1596</v>
      </c>
      <c r="C375" s="2" t="s">
        <v>1597</v>
      </c>
      <c r="D375" s="2">
        <v>53</v>
      </c>
      <c r="E375" s="2">
        <v>57</v>
      </c>
      <c r="F375" s="2" t="s">
        <v>1598</v>
      </c>
      <c r="H375" s="2" t="s">
        <v>17</v>
      </c>
      <c r="I375" s="2" t="s">
        <v>1599</v>
      </c>
      <c r="K375" s="4">
        <v>17843</v>
      </c>
      <c r="M375" s="2" t="s">
        <v>423</v>
      </c>
      <c r="N375" s="2" t="s">
        <v>1600</v>
      </c>
    </row>
    <row r="376" spans="1:14">
      <c r="A376" s="2">
        <v>375</v>
      </c>
      <c r="B376" s="3" t="s">
        <v>1601</v>
      </c>
      <c r="C376" s="2" t="s">
        <v>1602</v>
      </c>
      <c r="D376" s="2">
        <v>49</v>
      </c>
      <c r="E376" s="2">
        <v>57</v>
      </c>
      <c r="F376" s="2" t="s">
        <v>1603</v>
      </c>
      <c r="H376" s="2" t="s">
        <v>17</v>
      </c>
      <c r="I376" s="2" t="s">
        <v>1604</v>
      </c>
      <c r="K376" s="4">
        <v>18544</v>
      </c>
      <c r="M376" s="2" t="s">
        <v>154</v>
      </c>
      <c r="N376" s="2" t="s">
        <v>1605</v>
      </c>
    </row>
    <row r="377" spans="1:14">
      <c r="A377" s="2">
        <v>376</v>
      </c>
      <c r="B377" s="3" t="s">
        <v>1606</v>
      </c>
      <c r="C377" s="2" t="s">
        <v>1607</v>
      </c>
      <c r="D377" s="2">
        <v>56</v>
      </c>
      <c r="E377" s="2">
        <v>57</v>
      </c>
      <c r="F377" s="2" t="s">
        <v>1608</v>
      </c>
      <c r="H377" s="2" t="s">
        <v>17</v>
      </c>
      <c r="I377" s="2" t="s">
        <v>1609</v>
      </c>
      <c r="K377" s="4">
        <v>21664</v>
      </c>
      <c r="M377" s="2" t="s">
        <v>47</v>
      </c>
      <c r="N377" s="2" t="s">
        <v>417</v>
      </c>
    </row>
    <row r="378" spans="1:14">
      <c r="A378" s="2">
        <v>377</v>
      </c>
      <c r="B378" s="3" t="s">
        <v>1610</v>
      </c>
      <c r="C378" s="2" t="s">
        <v>1611</v>
      </c>
      <c r="D378" s="2">
        <v>52</v>
      </c>
      <c r="E378" s="2">
        <v>57</v>
      </c>
      <c r="F378" s="2" t="s">
        <v>1612</v>
      </c>
      <c r="H378" s="2" t="s">
        <v>17</v>
      </c>
      <c r="K378" s="4">
        <v>16481</v>
      </c>
      <c r="M378" s="2" t="s">
        <v>76</v>
      </c>
      <c r="N378" s="2" t="s">
        <v>1147</v>
      </c>
    </row>
    <row r="379" spans="1:14">
      <c r="A379" s="2">
        <v>378</v>
      </c>
      <c r="B379" s="3" t="s">
        <v>1613</v>
      </c>
      <c r="C379" s="2" t="s">
        <v>1614</v>
      </c>
      <c r="D379" s="2">
        <v>53</v>
      </c>
      <c r="E379" s="2">
        <v>57</v>
      </c>
      <c r="F379" s="2" t="s">
        <v>1615</v>
      </c>
      <c r="H379" s="2" t="s">
        <v>17</v>
      </c>
      <c r="K379" s="4">
        <v>21075</v>
      </c>
      <c r="M379" s="2" t="s">
        <v>35</v>
      </c>
      <c r="N379" s="2" t="s">
        <v>1616</v>
      </c>
    </row>
    <row r="380" spans="1:14">
      <c r="A380" s="2">
        <v>379</v>
      </c>
      <c r="B380" s="3" t="s">
        <v>1617</v>
      </c>
      <c r="C380" s="2" t="s">
        <v>1618</v>
      </c>
      <c r="D380" s="2">
        <v>57</v>
      </c>
      <c r="E380" s="2">
        <v>57</v>
      </c>
      <c r="F380" s="2" t="s">
        <v>1619</v>
      </c>
      <c r="H380" s="2" t="s">
        <v>17</v>
      </c>
      <c r="I380" s="3" t="s">
        <v>1620</v>
      </c>
      <c r="K380" s="4">
        <v>26975</v>
      </c>
      <c r="M380" s="2" t="s">
        <v>423</v>
      </c>
      <c r="N380" s="2" t="s">
        <v>621</v>
      </c>
    </row>
    <row r="381" spans="1:14">
      <c r="A381" s="2">
        <v>380</v>
      </c>
      <c r="B381" s="3" t="s">
        <v>1621</v>
      </c>
      <c r="C381" s="2" t="s">
        <v>1622</v>
      </c>
      <c r="D381" s="2">
        <v>57</v>
      </c>
      <c r="E381" s="2">
        <v>57</v>
      </c>
      <c r="F381" s="2" t="s">
        <v>1623</v>
      </c>
      <c r="H381" s="2" t="s">
        <v>17</v>
      </c>
      <c r="K381" s="4">
        <v>22877</v>
      </c>
      <c r="M381" s="2" t="s">
        <v>170</v>
      </c>
      <c r="N381" s="2" t="s">
        <v>1624</v>
      </c>
    </row>
    <row r="382" spans="1:14">
      <c r="A382" s="2">
        <v>381</v>
      </c>
      <c r="B382" s="3" t="s">
        <v>1625</v>
      </c>
      <c r="C382" s="2" t="s">
        <v>1626</v>
      </c>
      <c r="D382" s="2">
        <v>56</v>
      </c>
      <c r="E382" s="2">
        <v>57</v>
      </c>
      <c r="F382" s="2" t="s">
        <v>1627</v>
      </c>
      <c r="H382" s="2" t="s">
        <v>17</v>
      </c>
      <c r="I382" s="2" t="s">
        <v>1628</v>
      </c>
      <c r="K382" s="4">
        <v>28469</v>
      </c>
      <c r="M382" s="2" t="s">
        <v>170</v>
      </c>
      <c r="N382" s="2" t="s">
        <v>323</v>
      </c>
    </row>
    <row r="383" spans="1:14">
      <c r="A383" s="2">
        <v>382</v>
      </c>
      <c r="B383" s="3" t="s">
        <v>1629</v>
      </c>
      <c r="C383" s="2" t="s">
        <v>1630</v>
      </c>
      <c r="D383" s="2">
        <v>57</v>
      </c>
      <c r="E383" s="2">
        <v>57</v>
      </c>
      <c r="F383" s="2" t="s">
        <v>1631</v>
      </c>
      <c r="H383" s="2" t="s">
        <v>17</v>
      </c>
      <c r="K383" s="4">
        <v>21690</v>
      </c>
      <c r="M383" s="2" t="s">
        <v>47</v>
      </c>
      <c r="N383" s="2" t="s">
        <v>1632</v>
      </c>
    </row>
    <row r="384" spans="1:14">
      <c r="A384" s="2">
        <v>383</v>
      </c>
      <c r="B384" s="3" t="s">
        <v>1633</v>
      </c>
      <c r="C384" s="2" t="s">
        <v>1634</v>
      </c>
      <c r="D384" s="2">
        <v>54</v>
      </c>
      <c r="E384" s="2">
        <v>57</v>
      </c>
      <c r="F384" s="2" t="s">
        <v>1635</v>
      </c>
      <c r="H384" s="2" t="s">
        <v>17</v>
      </c>
      <c r="K384" s="4">
        <v>17997</v>
      </c>
      <c r="M384" s="2" t="s">
        <v>154</v>
      </c>
      <c r="N384" s="2" t="s">
        <v>1636</v>
      </c>
    </row>
    <row r="385" spans="1:14">
      <c r="A385" s="2">
        <v>384</v>
      </c>
      <c r="B385" s="3" t="s">
        <v>1637</v>
      </c>
      <c r="C385" s="2" t="s">
        <v>1638</v>
      </c>
      <c r="D385" s="2">
        <v>56</v>
      </c>
      <c r="E385" s="2">
        <v>57</v>
      </c>
      <c r="F385" s="2" t="s">
        <v>1639</v>
      </c>
      <c r="H385" s="2" t="s">
        <v>17</v>
      </c>
      <c r="I385" s="2" t="s">
        <v>1640</v>
      </c>
      <c r="K385" s="4">
        <v>25296</v>
      </c>
      <c r="M385" s="2" t="s">
        <v>170</v>
      </c>
      <c r="N385" s="2" t="s">
        <v>323</v>
      </c>
    </row>
    <row r="386" spans="1:14">
      <c r="A386" s="2">
        <v>385</v>
      </c>
      <c r="B386" s="3" t="s">
        <v>1641</v>
      </c>
      <c r="C386" s="2" t="s">
        <v>1642</v>
      </c>
      <c r="D386" s="2">
        <v>51</v>
      </c>
      <c r="E386" s="2">
        <v>57</v>
      </c>
      <c r="F386" s="2" t="s">
        <v>1643</v>
      </c>
      <c r="H386" s="2" t="s">
        <v>45</v>
      </c>
      <c r="K386" s="4">
        <v>12753</v>
      </c>
      <c r="M386" s="2" t="s">
        <v>76</v>
      </c>
      <c r="N386" s="2" t="s">
        <v>1644</v>
      </c>
    </row>
    <row r="387" spans="1:14">
      <c r="A387" s="2">
        <v>386</v>
      </c>
      <c r="B387" s="3" t="s">
        <v>1645</v>
      </c>
      <c r="C387" s="2" t="s">
        <v>1646</v>
      </c>
      <c r="D387" s="2">
        <v>55</v>
      </c>
      <c r="E387" s="2">
        <v>57</v>
      </c>
      <c r="F387" s="2" t="s">
        <v>1647</v>
      </c>
      <c r="H387" s="2" t="s">
        <v>45</v>
      </c>
      <c r="I387" s="3" t="s">
        <v>1648</v>
      </c>
      <c r="K387" s="4">
        <v>25160</v>
      </c>
      <c r="M387" s="2" t="s">
        <v>85</v>
      </c>
      <c r="N387" s="2" t="s">
        <v>86</v>
      </c>
    </row>
    <row r="388" spans="1:14">
      <c r="A388" s="2">
        <v>387</v>
      </c>
      <c r="B388" s="3" t="s">
        <v>1649</v>
      </c>
      <c r="C388" s="2" t="s">
        <v>1650</v>
      </c>
      <c r="D388" s="2">
        <v>57</v>
      </c>
      <c r="E388" s="2">
        <v>57</v>
      </c>
      <c r="F388" s="2" t="s">
        <v>1651</v>
      </c>
      <c r="H388" s="2" t="s">
        <v>17</v>
      </c>
      <c r="K388" s="4">
        <v>36868</v>
      </c>
      <c r="M388" s="2" t="s">
        <v>198</v>
      </c>
      <c r="N388" s="2" t="s">
        <v>199</v>
      </c>
    </row>
    <row r="389" spans="1:14">
      <c r="A389" s="2">
        <v>388</v>
      </c>
      <c r="B389" s="3" t="s">
        <v>1652</v>
      </c>
      <c r="C389" s="2" t="s">
        <v>1653</v>
      </c>
      <c r="D389" s="2">
        <v>54</v>
      </c>
      <c r="E389" s="2">
        <v>57</v>
      </c>
      <c r="F389" s="2" t="s">
        <v>1654</v>
      </c>
      <c r="H389" s="2" t="s">
        <v>45</v>
      </c>
      <c r="I389" s="2" t="s">
        <v>1655</v>
      </c>
      <c r="K389" s="4">
        <v>17832</v>
      </c>
      <c r="M389" s="2" t="s">
        <v>47</v>
      </c>
      <c r="N389" s="2" t="s">
        <v>1656</v>
      </c>
    </row>
    <row r="390" spans="1:14">
      <c r="A390" s="2">
        <v>389</v>
      </c>
      <c r="B390" s="3" t="s">
        <v>1657</v>
      </c>
      <c r="C390" s="2" t="s">
        <v>1658</v>
      </c>
      <c r="D390" s="2">
        <v>57</v>
      </c>
      <c r="E390" s="2">
        <v>57</v>
      </c>
      <c r="F390" s="2" t="s">
        <v>1659</v>
      </c>
      <c r="H390" s="2" t="s">
        <v>17</v>
      </c>
      <c r="I390" s="2" t="s">
        <v>1660</v>
      </c>
      <c r="K390" s="4">
        <v>29242</v>
      </c>
      <c r="M390" s="2" t="s">
        <v>47</v>
      </c>
      <c r="N390" s="2" t="s">
        <v>48</v>
      </c>
    </row>
    <row r="391" spans="1:14">
      <c r="A391" s="2">
        <v>390</v>
      </c>
      <c r="B391" s="3" t="s">
        <v>1661</v>
      </c>
      <c r="C391" s="2" t="s">
        <v>1662</v>
      </c>
      <c r="D391" s="2">
        <v>56</v>
      </c>
      <c r="E391" s="2">
        <v>57</v>
      </c>
      <c r="F391" s="2" t="s">
        <v>1663</v>
      </c>
      <c r="H391" s="2" t="s">
        <v>17</v>
      </c>
      <c r="I391" s="2" t="s">
        <v>1664</v>
      </c>
      <c r="K391" s="4">
        <v>31359</v>
      </c>
      <c r="M391" s="2" t="s">
        <v>66</v>
      </c>
      <c r="N391" s="2" t="s">
        <v>1665</v>
      </c>
    </row>
    <row r="392" spans="1:14">
      <c r="A392" s="2">
        <v>391</v>
      </c>
      <c r="B392" s="3" t="s">
        <v>1666</v>
      </c>
      <c r="C392" s="2" t="s">
        <v>1667</v>
      </c>
      <c r="D392" s="2">
        <v>55</v>
      </c>
      <c r="E392" s="2">
        <v>57</v>
      </c>
      <c r="F392" s="2" t="s">
        <v>1668</v>
      </c>
      <c r="H392" s="2" t="s">
        <v>17</v>
      </c>
      <c r="I392" s="2" t="s">
        <v>1669</v>
      </c>
      <c r="K392" s="4">
        <v>27076</v>
      </c>
      <c r="M392" s="2" t="s">
        <v>35</v>
      </c>
      <c r="N392" s="2" t="s">
        <v>58</v>
      </c>
    </row>
    <row r="393" spans="1:14">
      <c r="A393" s="2">
        <v>392</v>
      </c>
      <c r="B393" s="3" t="s">
        <v>1670</v>
      </c>
      <c r="C393" s="2" t="s">
        <v>1671</v>
      </c>
      <c r="D393" s="2">
        <v>56</v>
      </c>
      <c r="E393" s="2">
        <v>57</v>
      </c>
      <c r="F393" s="2" t="s">
        <v>1672</v>
      </c>
      <c r="H393" s="2" t="s">
        <v>17</v>
      </c>
      <c r="I393" s="2" t="s">
        <v>1673</v>
      </c>
      <c r="J393" s="2" t="s">
        <v>1674</v>
      </c>
      <c r="K393" s="4">
        <v>30139</v>
      </c>
      <c r="M393" s="2" t="s">
        <v>170</v>
      </c>
      <c r="N393" s="2" t="s">
        <v>323</v>
      </c>
    </row>
    <row r="394" spans="1:14">
      <c r="A394" s="2">
        <v>393</v>
      </c>
      <c r="B394" s="3" t="s">
        <v>1675</v>
      </c>
      <c r="C394" s="2" t="s">
        <v>1676</v>
      </c>
      <c r="D394" s="2">
        <v>57</v>
      </c>
      <c r="E394" s="2">
        <v>57</v>
      </c>
      <c r="F394" s="2" t="s">
        <v>1677</v>
      </c>
      <c r="H394" s="2" t="s">
        <v>17</v>
      </c>
      <c r="K394" s="4">
        <v>21102</v>
      </c>
      <c r="M394" s="2" t="s">
        <v>170</v>
      </c>
      <c r="N394" s="2" t="s">
        <v>323</v>
      </c>
    </row>
    <row r="395" spans="1:14">
      <c r="A395" s="2">
        <v>394</v>
      </c>
      <c r="B395" s="3" t="s">
        <v>1678</v>
      </c>
      <c r="C395" s="2" t="s">
        <v>1679</v>
      </c>
      <c r="D395" s="2">
        <v>57</v>
      </c>
      <c r="E395" s="2">
        <v>57</v>
      </c>
      <c r="F395" s="2" t="s">
        <v>1680</v>
      </c>
      <c r="H395" s="2" t="s">
        <v>17</v>
      </c>
      <c r="K395" s="4">
        <v>30396</v>
      </c>
      <c r="M395" s="2" t="s">
        <v>47</v>
      </c>
      <c r="N395" s="2" t="s">
        <v>115</v>
      </c>
    </row>
    <row r="396" spans="1:14">
      <c r="A396" s="2">
        <v>395</v>
      </c>
      <c r="B396" s="3" t="s">
        <v>1681</v>
      </c>
      <c r="C396" s="2" t="s">
        <v>1682</v>
      </c>
      <c r="D396" s="2">
        <v>56</v>
      </c>
      <c r="E396" s="2">
        <v>57</v>
      </c>
      <c r="F396" s="2" t="s">
        <v>1683</v>
      </c>
      <c r="H396" s="2" t="s">
        <v>17</v>
      </c>
      <c r="K396" s="4">
        <v>29074</v>
      </c>
      <c r="M396" s="2" t="s">
        <v>66</v>
      </c>
      <c r="N396" s="2" t="s">
        <v>71</v>
      </c>
    </row>
    <row r="397" spans="1:14">
      <c r="A397" s="2">
        <v>396</v>
      </c>
      <c r="B397" s="3" t="s">
        <v>1684</v>
      </c>
      <c r="C397" s="2" t="s">
        <v>1685</v>
      </c>
      <c r="D397" s="2">
        <v>57</v>
      </c>
      <c r="E397" s="2">
        <v>57</v>
      </c>
      <c r="F397" s="2" t="s">
        <v>1686</v>
      </c>
      <c r="H397" s="2" t="s">
        <v>17</v>
      </c>
      <c r="K397" s="4">
        <v>30989</v>
      </c>
      <c r="M397" s="2" t="s">
        <v>170</v>
      </c>
      <c r="N397" s="2" t="s">
        <v>323</v>
      </c>
    </row>
    <row r="398" spans="1:14">
      <c r="A398" s="2">
        <v>397</v>
      </c>
      <c r="B398" s="3" t="s">
        <v>1687</v>
      </c>
      <c r="C398" s="2" t="s">
        <v>1688</v>
      </c>
      <c r="D398" s="2">
        <v>55</v>
      </c>
      <c r="E398" s="2">
        <v>57</v>
      </c>
      <c r="F398" s="2" t="s">
        <v>1689</v>
      </c>
      <c r="H398" s="2" t="s">
        <v>17</v>
      </c>
      <c r="K398" s="4">
        <v>25368</v>
      </c>
      <c r="M398" s="2" t="s">
        <v>47</v>
      </c>
      <c r="N398" s="2" t="s">
        <v>48</v>
      </c>
    </row>
    <row r="399" spans="1:14">
      <c r="A399" s="2">
        <v>398</v>
      </c>
      <c r="B399" s="3" t="s">
        <v>1690</v>
      </c>
      <c r="C399" s="2" t="s">
        <v>1691</v>
      </c>
      <c r="D399" s="2">
        <v>55</v>
      </c>
      <c r="E399" s="2">
        <v>57</v>
      </c>
      <c r="F399" s="2" t="s">
        <v>1692</v>
      </c>
      <c r="H399" s="2" t="s">
        <v>17</v>
      </c>
      <c r="K399" s="4">
        <v>28998</v>
      </c>
      <c r="M399" s="2" t="s">
        <v>66</v>
      </c>
      <c r="N399" s="2" t="s">
        <v>1693</v>
      </c>
    </row>
    <row r="400" spans="1:14">
      <c r="A400" s="2">
        <v>399</v>
      </c>
      <c r="B400" s="3" t="s">
        <v>1694</v>
      </c>
      <c r="C400" s="2" t="s">
        <v>1695</v>
      </c>
      <c r="D400" s="2">
        <v>57</v>
      </c>
      <c r="E400" s="2">
        <v>57</v>
      </c>
      <c r="F400" s="2" t="s">
        <v>1696</v>
      </c>
      <c r="H400" s="2" t="s">
        <v>17</v>
      </c>
      <c r="K400" s="4">
        <v>29372</v>
      </c>
      <c r="M400" s="2" t="s">
        <v>53</v>
      </c>
      <c r="N400" s="2" t="s">
        <v>1697</v>
      </c>
    </row>
    <row r="401" spans="1:14">
      <c r="A401" s="2">
        <v>400</v>
      </c>
      <c r="B401" s="3" t="s">
        <v>1698</v>
      </c>
      <c r="C401" s="2" t="s">
        <v>1699</v>
      </c>
      <c r="D401" s="2">
        <v>57</v>
      </c>
      <c r="E401" s="2">
        <v>57</v>
      </c>
      <c r="F401" s="2" t="s">
        <v>1700</v>
      </c>
      <c r="H401" s="2" t="s">
        <v>17</v>
      </c>
      <c r="I401" s="2" t="s">
        <v>1701</v>
      </c>
      <c r="K401" s="4">
        <v>24566</v>
      </c>
      <c r="M401" s="2" t="s">
        <v>66</v>
      </c>
      <c r="N401" s="2" t="s">
        <v>1693</v>
      </c>
    </row>
    <row r="402" spans="1:14">
      <c r="A402" s="2">
        <v>401</v>
      </c>
      <c r="B402" s="3" t="s">
        <v>1702</v>
      </c>
      <c r="C402" s="2" t="s">
        <v>1703</v>
      </c>
      <c r="D402" s="2">
        <v>56</v>
      </c>
      <c r="E402" s="2">
        <v>57</v>
      </c>
      <c r="F402" s="2" t="s">
        <v>1704</v>
      </c>
      <c r="H402" s="2" t="s">
        <v>17</v>
      </c>
      <c r="I402" s="2" t="s">
        <v>1705</v>
      </c>
      <c r="K402" s="4">
        <v>24425</v>
      </c>
      <c r="M402" s="2" t="s">
        <v>185</v>
      </c>
      <c r="N402" s="2" t="s">
        <v>1706</v>
      </c>
    </row>
    <row r="403" spans="1:14">
      <c r="A403" s="2">
        <v>402</v>
      </c>
      <c r="B403" s="3" t="s">
        <v>1707</v>
      </c>
      <c r="C403" s="2" t="s">
        <v>1708</v>
      </c>
      <c r="D403" s="2">
        <v>53</v>
      </c>
      <c r="E403" s="2">
        <v>57</v>
      </c>
      <c r="F403" s="2" t="s">
        <v>1709</v>
      </c>
      <c r="H403" s="2" t="s">
        <v>17</v>
      </c>
      <c r="I403" s="2" t="s">
        <v>1710</v>
      </c>
      <c r="J403" s="3" t="s">
        <v>1711</v>
      </c>
      <c r="K403" s="4">
        <v>25914</v>
      </c>
      <c r="M403" s="2" t="s">
        <v>170</v>
      </c>
      <c r="N403" s="2" t="s">
        <v>1712</v>
      </c>
    </row>
    <row r="404" spans="1:14">
      <c r="A404" s="2">
        <v>403</v>
      </c>
      <c r="B404" s="3" t="s">
        <v>1713</v>
      </c>
      <c r="C404" s="2" t="s">
        <v>1714</v>
      </c>
      <c r="D404" s="2">
        <v>56</v>
      </c>
      <c r="E404" s="2">
        <v>57</v>
      </c>
      <c r="F404" s="2" t="s">
        <v>1715</v>
      </c>
      <c r="H404" s="2" t="s">
        <v>17</v>
      </c>
      <c r="I404" s="2" t="s">
        <v>1716</v>
      </c>
      <c r="J404" s="3" t="s">
        <v>1717</v>
      </c>
      <c r="K404" s="4">
        <v>24958</v>
      </c>
      <c r="M404" s="2" t="s">
        <v>47</v>
      </c>
      <c r="N404" s="2" t="s">
        <v>1718</v>
      </c>
    </row>
    <row r="405" spans="1:14">
      <c r="A405" s="2">
        <v>404</v>
      </c>
      <c r="B405" s="3" t="s">
        <v>1719</v>
      </c>
      <c r="C405" s="2" t="s">
        <v>1720</v>
      </c>
      <c r="D405" s="2">
        <v>56</v>
      </c>
      <c r="E405" s="2">
        <v>57</v>
      </c>
      <c r="F405" s="2" t="s">
        <v>1721</v>
      </c>
      <c r="H405" s="2" t="s">
        <v>17</v>
      </c>
      <c r="I405" s="2" t="s">
        <v>1722</v>
      </c>
      <c r="K405" s="4">
        <v>24135</v>
      </c>
      <c r="M405" s="2" t="s">
        <v>47</v>
      </c>
      <c r="N405" s="2" t="s">
        <v>1723</v>
      </c>
    </row>
    <row r="406" spans="1:14">
      <c r="A406" s="2">
        <v>405</v>
      </c>
      <c r="B406" s="3" t="s">
        <v>1724</v>
      </c>
      <c r="C406" s="2" t="s">
        <v>1725</v>
      </c>
      <c r="D406" s="2">
        <v>54</v>
      </c>
      <c r="E406" s="2">
        <v>57</v>
      </c>
      <c r="F406" s="2" t="s">
        <v>1726</v>
      </c>
      <c r="H406" s="2" t="s">
        <v>17</v>
      </c>
      <c r="I406" s="2" t="s">
        <v>1727</v>
      </c>
      <c r="K406" s="4">
        <v>23641</v>
      </c>
      <c r="M406" s="2" t="s">
        <v>66</v>
      </c>
      <c r="N406" s="2" t="s">
        <v>1728</v>
      </c>
    </row>
    <row r="407" spans="1:14">
      <c r="A407" s="2">
        <v>406</v>
      </c>
      <c r="B407" s="3" t="s">
        <v>1729</v>
      </c>
      <c r="C407" s="2" t="s">
        <v>1730</v>
      </c>
      <c r="D407" s="2">
        <v>56</v>
      </c>
      <c r="E407" s="2">
        <v>57</v>
      </c>
      <c r="F407" s="2" t="s">
        <v>1731</v>
      </c>
      <c r="H407" s="2" t="s">
        <v>17</v>
      </c>
      <c r="K407" s="4">
        <v>33500</v>
      </c>
      <c r="M407" s="2" t="s">
        <v>140</v>
      </c>
      <c r="N407" s="2" t="s">
        <v>294</v>
      </c>
    </row>
    <row r="408" spans="1:14">
      <c r="A408" s="2">
        <v>407</v>
      </c>
      <c r="B408" s="3" t="s">
        <v>1732</v>
      </c>
      <c r="C408" s="2" t="s">
        <v>1733</v>
      </c>
      <c r="D408" s="2">
        <v>56</v>
      </c>
      <c r="E408" s="2">
        <v>57</v>
      </c>
      <c r="F408" s="2" t="s">
        <v>1734</v>
      </c>
      <c r="H408" s="2" t="s">
        <v>17</v>
      </c>
      <c r="I408" s="2" t="s">
        <v>1735</v>
      </c>
      <c r="K408" s="4">
        <v>26393</v>
      </c>
      <c r="M408" s="2" t="s">
        <v>192</v>
      </c>
      <c r="N408" s="2" t="s">
        <v>1736</v>
      </c>
    </row>
    <row r="409" spans="1:14">
      <c r="A409" s="2">
        <v>408</v>
      </c>
      <c r="B409" s="3" t="s">
        <v>1737</v>
      </c>
      <c r="C409" s="2" t="s">
        <v>1738</v>
      </c>
      <c r="D409" s="2">
        <v>57</v>
      </c>
      <c r="E409" s="2">
        <v>57</v>
      </c>
      <c r="F409" s="2" t="s">
        <v>1739</v>
      </c>
      <c r="H409" s="2" t="s">
        <v>17</v>
      </c>
      <c r="I409" s="2" t="s">
        <v>1740</v>
      </c>
      <c r="K409" s="4">
        <v>29605</v>
      </c>
      <c r="M409" s="2" t="s">
        <v>341</v>
      </c>
      <c r="N409" s="2" t="s">
        <v>342</v>
      </c>
    </row>
    <row r="410" spans="1:14">
      <c r="A410" s="2">
        <v>409</v>
      </c>
      <c r="B410" s="3" t="s">
        <v>1741</v>
      </c>
      <c r="C410" s="2" t="s">
        <v>1742</v>
      </c>
      <c r="D410" s="2">
        <v>55</v>
      </c>
      <c r="E410" s="2">
        <v>57</v>
      </c>
      <c r="F410" s="2" t="s">
        <v>1743</v>
      </c>
      <c r="H410" s="2" t="s">
        <v>17</v>
      </c>
      <c r="K410" s="4">
        <v>28626</v>
      </c>
      <c r="M410" s="2" t="s">
        <v>170</v>
      </c>
      <c r="N410" s="2" t="s">
        <v>323</v>
      </c>
    </row>
    <row r="411" spans="1:14">
      <c r="A411" s="2">
        <v>410</v>
      </c>
      <c r="B411" s="3" t="s">
        <v>1744</v>
      </c>
      <c r="C411" s="2" t="s">
        <v>1745</v>
      </c>
      <c r="D411" s="2">
        <v>57</v>
      </c>
      <c r="E411" s="2">
        <v>57</v>
      </c>
      <c r="F411" s="2" t="s">
        <v>1746</v>
      </c>
      <c r="H411" s="2" t="s">
        <v>17</v>
      </c>
      <c r="I411" s="2" t="s">
        <v>1747</v>
      </c>
      <c r="K411" s="4">
        <v>28518</v>
      </c>
      <c r="M411" s="2" t="s">
        <v>170</v>
      </c>
      <c r="N411" s="2" t="s">
        <v>309</v>
      </c>
    </row>
    <row r="412" spans="1:14">
      <c r="A412" s="2">
        <v>411</v>
      </c>
      <c r="B412" s="3" t="s">
        <v>1748</v>
      </c>
      <c r="C412" s="2" t="s">
        <v>1749</v>
      </c>
      <c r="D412" s="2">
        <v>57</v>
      </c>
      <c r="E412" s="2">
        <v>57</v>
      </c>
      <c r="F412" s="2" t="s">
        <v>1750</v>
      </c>
      <c r="H412" s="2" t="s">
        <v>45</v>
      </c>
      <c r="I412" s="2" t="s">
        <v>1751</v>
      </c>
      <c r="K412" s="4">
        <v>34389</v>
      </c>
      <c r="M412" s="2" t="s">
        <v>198</v>
      </c>
      <c r="N412" s="2" t="s">
        <v>199</v>
      </c>
    </row>
    <row r="413" spans="1:14">
      <c r="A413" s="2">
        <v>412</v>
      </c>
      <c r="B413" s="3" t="s">
        <v>1752</v>
      </c>
      <c r="C413" s="2" t="s">
        <v>1753</v>
      </c>
      <c r="D413" s="2">
        <v>52</v>
      </c>
      <c r="E413" s="2">
        <v>57</v>
      </c>
      <c r="F413" s="2" t="s">
        <v>1754</v>
      </c>
      <c r="H413" s="2" t="s">
        <v>45</v>
      </c>
      <c r="I413" s="2" t="s">
        <v>1755</v>
      </c>
      <c r="K413" s="4">
        <v>24433</v>
      </c>
      <c r="M413" s="2" t="s">
        <v>66</v>
      </c>
      <c r="N413" s="2" t="s">
        <v>1756</v>
      </c>
    </row>
    <row r="414" spans="1:14">
      <c r="A414" s="2">
        <v>413</v>
      </c>
      <c r="B414" s="3" t="s">
        <v>1757</v>
      </c>
      <c r="C414" s="2" t="s">
        <v>1758</v>
      </c>
      <c r="D414" s="2">
        <v>56</v>
      </c>
      <c r="E414" s="2">
        <v>57</v>
      </c>
      <c r="F414" s="2" t="s">
        <v>1759</v>
      </c>
      <c r="H414" s="2" t="s">
        <v>45</v>
      </c>
      <c r="I414" s="2" t="s">
        <v>1760</v>
      </c>
      <c r="J414" s="3" t="s">
        <v>1761</v>
      </c>
      <c r="K414" s="4">
        <v>24016</v>
      </c>
      <c r="M414" s="2" t="s">
        <v>170</v>
      </c>
      <c r="N414" s="2" t="s">
        <v>1762</v>
      </c>
    </row>
    <row r="415" spans="1:14">
      <c r="A415" s="2">
        <v>414</v>
      </c>
      <c r="B415" s="3" t="s">
        <v>1763</v>
      </c>
      <c r="C415" s="2" t="s">
        <v>1764</v>
      </c>
      <c r="D415" s="2">
        <v>57</v>
      </c>
      <c r="E415" s="2">
        <v>57</v>
      </c>
      <c r="F415" s="2" t="s">
        <v>1765</v>
      </c>
      <c r="H415" s="2" t="s">
        <v>45</v>
      </c>
      <c r="K415" s="4">
        <v>34517</v>
      </c>
      <c r="M415" s="2" t="s">
        <v>185</v>
      </c>
      <c r="N415" s="2" t="s">
        <v>1571</v>
      </c>
    </row>
    <row r="416" spans="1:14">
      <c r="A416" s="2">
        <v>415</v>
      </c>
      <c r="B416" s="3" t="s">
        <v>1766</v>
      </c>
      <c r="C416" s="2" t="s">
        <v>1767</v>
      </c>
      <c r="D416" s="2">
        <v>57</v>
      </c>
      <c r="E416" s="2">
        <v>57</v>
      </c>
      <c r="F416" s="2" t="s">
        <v>1768</v>
      </c>
      <c r="H416" s="2" t="s">
        <v>45</v>
      </c>
      <c r="K416" s="4">
        <v>21224</v>
      </c>
      <c r="M416" s="2" t="s">
        <v>247</v>
      </c>
      <c r="N416" s="2" t="s">
        <v>886</v>
      </c>
    </row>
    <row r="417" spans="1:14">
      <c r="A417" s="2">
        <v>416</v>
      </c>
      <c r="B417" s="3" t="s">
        <v>1769</v>
      </c>
      <c r="C417" s="2" t="s">
        <v>1770</v>
      </c>
      <c r="D417" s="2">
        <v>57</v>
      </c>
      <c r="E417" s="2">
        <v>57</v>
      </c>
      <c r="F417" s="2" t="s">
        <v>1771</v>
      </c>
      <c r="H417" s="2" t="s">
        <v>17</v>
      </c>
      <c r="I417" s="2" t="s">
        <v>1772</v>
      </c>
      <c r="K417" s="4">
        <v>26215</v>
      </c>
      <c r="M417" s="2" t="s">
        <v>170</v>
      </c>
      <c r="N417" s="2" t="s">
        <v>323</v>
      </c>
    </row>
    <row r="418" spans="1:14">
      <c r="A418" s="2">
        <v>417</v>
      </c>
      <c r="B418" s="3" t="s">
        <v>1773</v>
      </c>
      <c r="C418" s="2" t="s">
        <v>1774</v>
      </c>
      <c r="D418" s="2">
        <v>52</v>
      </c>
      <c r="E418" s="2">
        <v>57</v>
      </c>
      <c r="F418" s="2" t="s">
        <v>1775</v>
      </c>
      <c r="H418" s="2" t="s">
        <v>17</v>
      </c>
      <c r="K418" s="4">
        <v>19997</v>
      </c>
      <c r="M418" s="2" t="s">
        <v>35</v>
      </c>
      <c r="N418" s="2" t="s">
        <v>1776</v>
      </c>
    </row>
    <row r="419" spans="1:14">
      <c r="A419" s="2">
        <v>418</v>
      </c>
      <c r="B419" s="3" t="s">
        <v>1777</v>
      </c>
      <c r="C419" s="2" t="s">
        <v>1778</v>
      </c>
      <c r="D419" s="2">
        <v>55</v>
      </c>
      <c r="E419" s="2">
        <v>57</v>
      </c>
      <c r="F419" s="2" t="s">
        <v>1779</v>
      </c>
      <c r="H419" s="2" t="s">
        <v>17</v>
      </c>
      <c r="I419" s="3" t="s">
        <v>1780</v>
      </c>
      <c r="K419" s="4">
        <v>29464</v>
      </c>
      <c r="M419" s="2" t="s">
        <v>40</v>
      </c>
      <c r="N419" s="2" t="s">
        <v>1781</v>
      </c>
    </row>
    <row r="420" spans="1:14">
      <c r="A420" s="2">
        <v>419</v>
      </c>
      <c r="B420" s="3" t="s">
        <v>1782</v>
      </c>
      <c r="C420" s="2" t="s">
        <v>1783</v>
      </c>
      <c r="D420" s="2">
        <v>56</v>
      </c>
      <c r="E420" s="2">
        <v>57</v>
      </c>
      <c r="F420" s="2" t="s">
        <v>1784</v>
      </c>
      <c r="H420" s="2" t="s">
        <v>17</v>
      </c>
      <c r="I420" s="2" t="s">
        <v>1785</v>
      </c>
      <c r="K420" s="4">
        <v>33719</v>
      </c>
      <c r="M420" s="2" t="s">
        <v>185</v>
      </c>
      <c r="N420" s="2" t="s">
        <v>838</v>
      </c>
    </row>
    <row r="421" spans="1:14">
      <c r="A421" s="2">
        <v>420</v>
      </c>
      <c r="B421" s="3" t="s">
        <v>1786</v>
      </c>
      <c r="C421" s="2" t="s">
        <v>1787</v>
      </c>
      <c r="D421" s="2">
        <v>57</v>
      </c>
      <c r="E421" s="2">
        <v>57</v>
      </c>
      <c r="F421" s="2" t="s">
        <v>1788</v>
      </c>
      <c r="H421" s="2" t="s">
        <v>45</v>
      </c>
      <c r="I421" s="2" t="s">
        <v>1789</v>
      </c>
      <c r="K421" s="4">
        <v>33049</v>
      </c>
      <c r="M421" s="2" t="s">
        <v>53</v>
      </c>
      <c r="N421" s="2" t="s">
        <v>686</v>
      </c>
    </row>
    <row r="422" spans="1:14">
      <c r="A422" s="2">
        <v>421</v>
      </c>
      <c r="B422" s="3" t="s">
        <v>1790</v>
      </c>
      <c r="C422" s="2" t="s">
        <v>1791</v>
      </c>
      <c r="D422" s="2">
        <v>55</v>
      </c>
      <c r="E422" s="2">
        <v>57</v>
      </c>
      <c r="F422" s="2" t="s">
        <v>1792</v>
      </c>
      <c r="H422" s="2" t="s">
        <v>17</v>
      </c>
      <c r="K422" s="4">
        <v>29187</v>
      </c>
      <c r="M422" s="2" t="s">
        <v>146</v>
      </c>
      <c r="N422" s="2" t="s">
        <v>147</v>
      </c>
    </row>
    <row r="423" spans="1:14">
      <c r="A423" s="2">
        <v>422</v>
      </c>
      <c r="B423" s="3" t="s">
        <v>1793</v>
      </c>
      <c r="C423" s="2" t="s">
        <v>1794</v>
      </c>
      <c r="D423" s="2">
        <v>57</v>
      </c>
      <c r="E423" s="2">
        <v>57</v>
      </c>
      <c r="F423" s="2" t="s">
        <v>1795</v>
      </c>
      <c r="H423" s="2" t="s">
        <v>17</v>
      </c>
      <c r="K423" s="4">
        <v>36048</v>
      </c>
      <c r="M423" s="2" t="s">
        <v>164</v>
      </c>
      <c r="N423" s="2" t="s">
        <v>1214</v>
      </c>
    </row>
    <row r="424" spans="1:14">
      <c r="A424" s="2">
        <v>423</v>
      </c>
      <c r="B424" s="3" t="s">
        <v>1796</v>
      </c>
      <c r="C424" s="2" t="s">
        <v>1797</v>
      </c>
      <c r="D424" s="2">
        <v>57</v>
      </c>
      <c r="E424" s="2">
        <v>57</v>
      </c>
      <c r="F424" s="2" t="s">
        <v>1798</v>
      </c>
      <c r="H424" s="2" t="s">
        <v>17</v>
      </c>
      <c r="K424" s="4">
        <v>32319</v>
      </c>
      <c r="M424" s="2" t="s">
        <v>571</v>
      </c>
      <c r="N424" s="2" t="s">
        <v>572</v>
      </c>
    </row>
    <row r="425" spans="1:14">
      <c r="A425" s="2">
        <v>424</v>
      </c>
      <c r="B425" s="3" t="s">
        <v>1799</v>
      </c>
      <c r="C425" s="2" t="s">
        <v>1800</v>
      </c>
      <c r="D425" s="2">
        <v>57</v>
      </c>
      <c r="E425" s="2">
        <v>57</v>
      </c>
      <c r="F425" s="2" t="s">
        <v>1801</v>
      </c>
      <c r="H425" s="2" t="s">
        <v>17</v>
      </c>
      <c r="I425" s="2" t="s">
        <v>1802</v>
      </c>
      <c r="K425" s="4">
        <v>32415</v>
      </c>
      <c r="M425" s="2" t="s">
        <v>35</v>
      </c>
      <c r="N425" s="2" t="s">
        <v>1803</v>
      </c>
    </row>
    <row r="426" spans="1:14">
      <c r="A426" s="2">
        <v>425</v>
      </c>
      <c r="B426" s="3" t="s">
        <v>1804</v>
      </c>
      <c r="C426" s="2" t="s">
        <v>1805</v>
      </c>
      <c r="D426" s="2">
        <v>57</v>
      </c>
      <c r="E426" s="2">
        <v>57</v>
      </c>
      <c r="F426" s="2" t="s">
        <v>1806</v>
      </c>
      <c r="H426" s="2" t="s">
        <v>17</v>
      </c>
      <c r="K426" s="4">
        <v>31801</v>
      </c>
      <c r="M426" s="2" t="s">
        <v>66</v>
      </c>
      <c r="N426" s="2" t="s">
        <v>730</v>
      </c>
    </row>
    <row r="427" spans="1:14">
      <c r="A427" s="2">
        <v>426</v>
      </c>
      <c r="B427" s="3" t="s">
        <v>1807</v>
      </c>
      <c r="C427" s="2" t="s">
        <v>1808</v>
      </c>
      <c r="D427" s="2">
        <v>57</v>
      </c>
      <c r="E427" s="2">
        <v>57</v>
      </c>
      <c r="F427" s="2" t="s">
        <v>1809</v>
      </c>
      <c r="H427" s="2" t="s">
        <v>17</v>
      </c>
      <c r="I427" s="2" t="s">
        <v>1810</v>
      </c>
      <c r="K427" s="4">
        <v>29164</v>
      </c>
      <c r="M427" s="2" t="s">
        <v>47</v>
      </c>
      <c r="N427" s="2" t="s">
        <v>1811</v>
      </c>
    </row>
    <row r="428" spans="1:14">
      <c r="A428" s="2">
        <v>427</v>
      </c>
      <c r="B428" s="3" t="s">
        <v>1812</v>
      </c>
      <c r="C428" s="2" t="s">
        <v>1813</v>
      </c>
      <c r="D428" s="2">
        <v>56</v>
      </c>
      <c r="E428" s="2">
        <v>57</v>
      </c>
      <c r="F428" s="2" t="s">
        <v>1814</v>
      </c>
      <c r="H428" s="2" t="s">
        <v>17</v>
      </c>
      <c r="I428" s="2" t="s">
        <v>1815</v>
      </c>
      <c r="K428" s="4">
        <v>21618</v>
      </c>
      <c r="M428" s="2" t="s">
        <v>85</v>
      </c>
      <c r="N428" s="2" t="s">
        <v>86</v>
      </c>
    </row>
    <row r="429" spans="1:14">
      <c r="A429" s="2">
        <v>428</v>
      </c>
      <c r="B429" s="3" t="s">
        <v>1816</v>
      </c>
      <c r="C429" s="2" t="s">
        <v>1817</v>
      </c>
      <c r="D429" s="2">
        <v>57</v>
      </c>
      <c r="E429" s="2">
        <v>57</v>
      </c>
      <c r="F429" s="2" t="s">
        <v>1818</v>
      </c>
      <c r="H429" s="2" t="s">
        <v>17</v>
      </c>
      <c r="I429" s="2" t="s">
        <v>1819</v>
      </c>
      <c r="K429" s="4">
        <v>24124</v>
      </c>
      <c r="M429" s="2" t="s">
        <v>170</v>
      </c>
      <c r="N429" s="2" t="s">
        <v>784</v>
      </c>
    </row>
    <row r="430" spans="1:14">
      <c r="A430" s="2">
        <v>429</v>
      </c>
      <c r="B430" s="3" t="s">
        <v>1820</v>
      </c>
      <c r="C430" s="2" t="s">
        <v>1821</v>
      </c>
      <c r="D430" s="2">
        <v>57</v>
      </c>
      <c r="E430" s="2">
        <v>57</v>
      </c>
      <c r="F430" s="2" t="s">
        <v>1822</v>
      </c>
      <c r="H430" s="2" t="s">
        <v>45</v>
      </c>
      <c r="I430" s="2" t="s">
        <v>1823</v>
      </c>
      <c r="K430" s="4">
        <v>27435</v>
      </c>
      <c r="M430" s="2" t="s">
        <v>571</v>
      </c>
      <c r="N430" s="2" t="s">
        <v>1824</v>
      </c>
    </row>
    <row r="431" spans="1:14">
      <c r="A431" s="2">
        <v>430</v>
      </c>
      <c r="B431" s="3" t="s">
        <v>1825</v>
      </c>
      <c r="C431" s="2" t="s">
        <v>1826</v>
      </c>
      <c r="D431" s="2">
        <v>50</v>
      </c>
      <c r="E431" s="2">
        <v>57</v>
      </c>
      <c r="F431" s="2" t="s">
        <v>1827</v>
      </c>
      <c r="H431" s="2" t="s">
        <v>17</v>
      </c>
      <c r="K431" s="4">
        <v>24300</v>
      </c>
      <c r="M431" s="2" t="s">
        <v>198</v>
      </c>
      <c r="N431" s="2" t="s">
        <v>199</v>
      </c>
    </row>
    <row r="432" spans="1:14">
      <c r="A432" s="2">
        <v>431</v>
      </c>
      <c r="B432" s="3" t="s">
        <v>1828</v>
      </c>
      <c r="C432" s="2" t="s">
        <v>1829</v>
      </c>
      <c r="D432" s="2">
        <v>55</v>
      </c>
      <c r="E432" s="2">
        <v>57</v>
      </c>
      <c r="F432" s="2" t="s">
        <v>1830</v>
      </c>
      <c r="H432" s="2" t="s">
        <v>17</v>
      </c>
      <c r="K432" s="4">
        <v>21445</v>
      </c>
      <c r="M432" s="2" t="s">
        <v>140</v>
      </c>
      <c r="N432" s="2" t="s">
        <v>1831</v>
      </c>
    </row>
    <row r="433" spans="1:14">
      <c r="A433" s="2">
        <v>432</v>
      </c>
      <c r="B433" s="3" t="s">
        <v>1832</v>
      </c>
      <c r="C433" s="2" t="s">
        <v>1833</v>
      </c>
      <c r="D433" s="2">
        <v>57</v>
      </c>
      <c r="E433" s="2">
        <v>57</v>
      </c>
      <c r="F433" s="2" t="s">
        <v>1834</v>
      </c>
      <c r="H433" s="2" t="s">
        <v>17</v>
      </c>
      <c r="K433" s="4">
        <v>29625</v>
      </c>
      <c r="M433" s="2" t="s">
        <v>76</v>
      </c>
      <c r="N433" s="2" t="s">
        <v>906</v>
      </c>
    </row>
    <row r="434" spans="1:14">
      <c r="A434" s="2">
        <v>433</v>
      </c>
      <c r="B434" s="3" t="s">
        <v>1835</v>
      </c>
      <c r="C434" s="2" t="s">
        <v>1836</v>
      </c>
      <c r="D434" s="2">
        <v>57</v>
      </c>
      <c r="E434" s="2">
        <v>57</v>
      </c>
      <c r="F434" s="2" t="s">
        <v>1837</v>
      </c>
      <c r="H434" s="2" t="s">
        <v>17</v>
      </c>
      <c r="I434" s="2" t="s">
        <v>1838</v>
      </c>
      <c r="K434" s="4">
        <v>27978</v>
      </c>
      <c r="M434" s="2" t="s">
        <v>40</v>
      </c>
      <c r="N434" s="2" t="s">
        <v>1839</v>
      </c>
    </row>
    <row r="435" spans="1:14">
      <c r="A435" s="2">
        <v>434</v>
      </c>
      <c r="B435" s="3" t="s">
        <v>1840</v>
      </c>
      <c r="C435" s="2" t="s">
        <v>1841</v>
      </c>
      <c r="D435" s="2">
        <v>57</v>
      </c>
      <c r="E435" s="2">
        <v>57</v>
      </c>
      <c r="F435" s="2" t="s">
        <v>1842</v>
      </c>
      <c r="H435" s="2" t="s">
        <v>17</v>
      </c>
      <c r="I435" s="2" t="s">
        <v>1843</v>
      </c>
      <c r="K435" s="4">
        <v>33522</v>
      </c>
      <c r="M435" s="2" t="s">
        <v>35</v>
      </c>
      <c r="N435" s="2" t="s">
        <v>58</v>
      </c>
    </row>
    <row r="436" spans="1:14">
      <c r="A436" s="2">
        <v>435</v>
      </c>
      <c r="B436" s="3" t="s">
        <v>1844</v>
      </c>
      <c r="C436" s="2" t="s">
        <v>1845</v>
      </c>
      <c r="D436" s="2">
        <v>55</v>
      </c>
      <c r="E436" s="2">
        <v>57</v>
      </c>
      <c r="F436" s="2" t="s">
        <v>1846</v>
      </c>
      <c r="H436" s="2" t="s">
        <v>17</v>
      </c>
      <c r="I436" s="2" t="s">
        <v>1847</v>
      </c>
      <c r="K436" s="4">
        <v>23405</v>
      </c>
      <c r="M436" s="2" t="s">
        <v>47</v>
      </c>
      <c r="N436" s="2" t="s">
        <v>1656</v>
      </c>
    </row>
    <row r="437" spans="1:14">
      <c r="A437" s="2">
        <v>436</v>
      </c>
      <c r="B437" s="3" t="s">
        <v>1848</v>
      </c>
      <c r="C437" s="2" t="s">
        <v>1849</v>
      </c>
      <c r="D437" s="2">
        <v>53</v>
      </c>
      <c r="E437" s="2">
        <v>57</v>
      </c>
      <c r="F437" s="2" t="s">
        <v>1850</v>
      </c>
      <c r="H437" s="2" t="s">
        <v>17</v>
      </c>
      <c r="I437" s="2" t="s">
        <v>1851</v>
      </c>
      <c r="K437" s="4">
        <v>22905</v>
      </c>
      <c r="M437" s="2" t="s">
        <v>47</v>
      </c>
      <c r="N437" s="2" t="s">
        <v>1852</v>
      </c>
    </row>
    <row r="438" spans="1:14">
      <c r="A438" s="2">
        <v>437</v>
      </c>
      <c r="B438" s="3" t="s">
        <v>1853</v>
      </c>
      <c r="C438" s="2" t="s">
        <v>1854</v>
      </c>
      <c r="D438" s="2">
        <v>55</v>
      </c>
      <c r="E438" s="2">
        <v>57</v>
      </c>
      <c r="F438" s="2" t="s">
        <v>1855</v>
      </c>
      <c r="H438" s="2" t="s">
        <v>17</v>
      </c>
      <c r="I438" s="2" t="s">
        <v>1856</v>
      </c>
      <c r="K438" s="4">
        <v>21881</v>
      </c>
      <c r="M438" s="2" t="s">
        <v>35</v>
      </c>
      <c r="N438" s="2" t="s">
        <v>328</v>
      </c>
    </row>
    <row r="439" spans="1:14">
      <c r="A439" s="2">
        <v>438</v>
      </c>
      <c r="B439" s="3" t="s">
        <v>1857</v>
      </c>
      <c r="C439" s="2" t="s">
        <v>1858</v>
      </c>
      <c r="D439" s="2">
        <v>57</v>
      </c>
      <c r="E439" s="2">
        <v>57</v>
      </c>
      <c r="F439" s="2" t="s">
        <v>1859</v>
      </c>
      <c r="H439" s="2" t="s">
        <v>45</v>
      </c>
      <c r="K439" s="4">
        <v>28415</v>
      </c>
      <c r="M439" s="2" t="s">
        <v>35</v>
      </c>
      <c r="N439" s="2" t="s">
        <v>58</v>
      </c>
    </row>
    <row r="440" spans="1:14">
      <c r="A440" s="2">
        <v>439</v>
      </c>
      <c r="B440" s="3" t="s">
        <v>1860</v>
      </c>
      <c r="C440" s="2" t="s">
        <v>1861</v>
      </c>
      <c r="D440" s="2">
        <v>54</v>
      </c>
      <c r="E440" s="2">
        <v>57</v>
      </c>
      <c r="F440" s="2" t="s">
        <v>1862</v>
      </c>
      <c r="H440" s="2" t="s">
        <v>17</v>
      </c>
      <c r="K440" s="4">
        <v>20800</v>
      </c>
      <c r="M440" s="2" t="s">
        <v>47</v>
      </c>
      <c r="N440" s="2" t="s">
        <v>1863</v>
      </c>
    </row>
    <row r="441" spans="1:14">
      <c r="A441" s="2">
        <v>440</v>
      </c>
      <c r="B441" s="3" t="s">
        <v>1864</v>
      </c>
      <c r="C441" s="2" t="s">
        <v>1865</v>
      </c>
      <c r="D441" s="2">
        <v>55</v>
      </c>
      <c r="E441" s="2">
        <v>57</v>
      </c>
      <c r="F441" s="2" t="s">
        <v>1866</v>
      </c>
      <c r="H441" s="2" t="s">
        <v>17</v>
      </c>
      <c r="I441" s="2" t="s">
        <v>1867</v>
      </c>
      <c r="K441" s="4">
        <v>28647</v>
      </c>
      <c r="M441" s="2" t="s">
        <v>85</v>
      </c>
      <c r="N441" s="2" t="s">
        <v>1868</v>
      </c>
    </row>
    <row r="442" spans="1:14">
      <c r="A442" s="2">
        <v>441</v>
      </c>
      <c r="B442" s="3" t="s">
        <v>1869</v>
      </c>
      <c r="C442" s="2" t="s">
        <v>1870</v>
      </c>
      <c r="D442" s="2">
        <v>57</v>
      </c>
      <c r="E442" s="2">
        <v>57</v>
      </c>
      <c r="F442" s="2" t="s">
        <v>1871</v>
      </c>
      <c r="H442" s="2" t="s">
        <v>17</v>
      </c>
      <c r="I442" s="2" t="s">
        <v>1872</v>
      </c>
      <c r="K442" s="4">
        <v>31677</v>
      </c>
      <c r="M442" s="2" t="s">
        <v>170</v>
      </c>
      <c r="N442" s="2" t="s">
        <v>1873</v>
      </c>
    </row>
    <row r="443" spans="1:14">
      <c r="A443" s="2">
        <v>442</v>
      </c>
      <c r="B443" s="3" t="s">
        <v>1874</v>
      </c>
      <c r="C443" s="2" t="s">
        <v>1875</v>
      </c>
      <c r="D443" s="2">
        <v>57</v>
      </c>
      <c r="E443" s="2">
        <v>57</v>
      </c>
      <c r="F443" s="2" t="s">
        <v>1876</v>
      </c>
      <c r="H443" s="2" t="s">
        <v>17</v>
      </c>
      <c r="I443" s="2" t="s">
        <v>1877</v>
      </c>
      <c r="K443" s="4">
        <v>29404</v>
      </c>
      <c r="M443" s="2" t="s">
        <v>76</v>
      </c>
      <c r="N443" s="2" t="s">
        <v>1878</v>
      </c>
    </row>
    <row r="444" spans="1:14">
      <c r="A444" s="2">
        <v>443</v>
      </c>
      <c r="B444" s="3" t="s">
        <v>1879</v>
      </c>
      <c r="C444" s="2" t="s">
        <v>1880</v>
      </c>
      <c r="D444" s="2">
        <v>56</v>
      </c>
      <c r="E444" s="2">
        <v>57</v>
      </c>
      <c r="F444" s="2" t="s">
        <v>1881</v>
      </c>
      <c r="H444" s="2" t="s">
        <v>45</v>
      </c>
      <c r="I444" s="2" t="s">
        <v>1882</v>
      </c>
      <c r="K444" s="4">
        <v>32309</v>
      </c>
      <c r="M444" s="2" t="s">
        <v>336</v>
      </c>
      <c r="N444" s="2" t="s">
        <v>1883</v>
      </c>
    </row>
    <row r="445" spans="1:14">
      <c r="A445" s="2">
        <v>444</v>
      </c>
      <c r="B445" s="3" t="s">
        <v>1884</v>
      </c>
      <c r="C445" s="2" t="s">
        <v>1885</v>
      </c>
      <c r="D445" s="2">
        <v>57</v>
      </c>
      <c r="E445" s="2">
        <v>57</v>
      </c>
      <c r="F445" s="2" t="s">
        <v>1886</v>
      </c>
      <c r="H445" s="2" t="s">
        <v>17</v>
      </c>
      <c r="K445" s="4">
        <v>24502</v>
      </c>
      <c r="M445" s="2" t="s">
        <v>85</v>
      </c>
      <c r="N445" s="2" t="s">
        <v>1887</v>
      </c>
    </row>
    <row r="446" spans="1:14">
      <c r="A446" s="2">
        <v>445</v>
      </c>
      <c r="B446" s="3" t="s">
        <v>1888</v>
      </c>
      <c r="C446" s="2" t="s">
        <v>1889</v>
      </c>
      <c r="D446" s="2">
        <v>57</v>
      </c>
      <c r="E446" s="2">
        <v>57</v>
      </c>
      <c r="F446" s="2" t="s">
        <v>1890</v>
      </c>
      <c r="H446" s="2" t="s">
        <v>17</v>
      </c>
      <c r="K446" s="4">
        <v>30382</v>
      </c>
      <c r="M446" s="2" t="s">
        <v>85</v>
      </c>
      <c r="N446" s="2" t="s">
        <v>1891</v>
      </c>
    </row>
    <row r="447" spans="1:14">
      <c r="A447" s="2">
        <v>446</v>
      </c>
      <c r="B447" s="3" t="s">
        <v>1892</v>
      </c>
      <c r="C447" s="2" t="s">
        <v>1893</v>
      </c>
      <c r="D447" s="2">
        <v>56</v>
      </c>
      <c r="E447" s="2">
        <v>57</v>
      </c>
      <c r="F447" s="2" t="s">
        <v>1894</v>
      </c>
      <c r="H447" s="2" t="s">
        <v>17</v>
      </c>
      <c r="I447" s="2" t="s">
        <v>1895</v>
      </c>
      <c r="K447" s="4">
        <v>21960</v>
      </c>
      <c r="M447" s="2" t="s">
        <v>47</v>
      </c>
      <c r="N447" s="2" t="s">
        <v>1896</v>
      </c>
    </row>
    <row r="448" spans="1:14">
      <c r="A448" s="2">
        <v>447</v>
      </c>
      <c r="B448" s="3" t="s">
        <v>1897</v>
      </c>
      <c r="C448" s="2" t="s">
        <v>1898</v>
      </c>
      <c r="D448" s="2">
        <v>57</v>
      </c>
      <c r="E448" s="2">
        <v>57</v>
      </c>
      <c r="F448" s="2" t="s">
        <v>1899</v>
      </c>
      <c r="H448" s="2" t="s">
        <v>45</v>
      </c>
      <c r="I448" s="2" t="s">
        <v>1900</v>
      </c>
      <c r="K448" s="4">
        <v>26620</v>
      </c>
      <c r="M448" s="2" t="s">
        <v>35</v>
      </c>
      <c r="N448" s="2" t="s">
        <v>1901</v>
      </c>
    </row>
    <row r="449" spans="1:14">
      <c r="A449" s="2">
        <v>448</v>
      </c>
      <c r="B449" s="3" t="s">
        <v>1902</v>
      </c>
      <c r="C449" s="2" t="s">
        <v>1903</v>
      </c>
      <c r="D449" s="2">
        <v>57</v>
      </c>
      <c r="E449" s="2">
        <v>57</v>
      </c>
      <c r="F449" s="2" t="s">
        <v>1904</v>
      </c>
      <c r="H449" s="2" t="s">
        <v>17</v>
      </c>
      <c r="I449" s="2" t="s">
        <v>1905</v>
      </c>
      <c r="K449" s="4">
        <v>35213</v>
      </c>
      <c r="M449" s="2" t="s">
        <v>40</v>
      </c>
      <c r="N449" s="2" t="s">
        <v>1906</v>
      </c>
    </row>
    <row r="450" spans="1:14">
      <c r="A450" s="2">
        <v>449</v>
      </c>
      <c r="B450" s="3" t="s">
        <v>1907</v>
      </c>
      <c r="C450" s="2" t="s">
        <v>1908</v>
      </c>
      <c r="D450" s="2">
        <v>57</v>
      </c>
      <c r="E450" s="2">
        <v>57</v>
      </c>
      <c r="F450" s="2" t="s">
        <v>1909</v>
      </c>
      <c r="H450" s="2" t="s">
        <v>17</v>
      </c>
      <c r="K450" s="4">
        <v>22157</v>
      </c>
      <c r="M450" s="2" t="s">
        <v>154</v>
      </c>
      <c r="N450" s="2" t="s">
        <v>208</v>
      </c>
    </row>
    <row r="451" spans="1:14">
      <c r="A451" s="2">
        <v>450</v>
      </c>
      <c r="B451" s="3" t="s">
        <v>1910</v>
      </c>
      <c r="C451" s="2" t="s">
        <v>1911</v>
      </c>
      <c r="D451" s="2">
        <v>55</v>
      </c>
      <c r="E451" s="2">
        <v>57</v>
      </c>
      <c r="F451" s="2" t="s">
        <v>1912</v>
      </c>
      <c r="H451" s="2" t="s">
        <v>17</v>
      </c>
      <c r="K451" s="4">
        <v>29170</v>
      </c>
      <c r="M451" s="2" t="s">
        <v>35</v>
      </c>
      <c r="N451" s="2" t="s">
        <v>1913</v>
      </c>
    </row>
    <row r="452" spans="1:14">
      <c r="A452" s="2">
        <v>451</v>
      </c>
      <c r="B452" s="3" t="s">
        <v>1914</v>
      </c>
      <c r="C452" s="2" t="s">
        <v>1915</v>
      </c>
      <c r="D452" s="2">
        <v>56</v>
      </c>
      <c r="E452" s="2">
        <v>57</v>
      </c>
      <c r="F452" s="2" t="s">
        <v>1916</v>
      </c>
      <c r="H452" s="2" t="s">
        <v>17</v>
      </c>
      <c r="I452" s="2" t="s">
        <v>1917</v>
      </c>
      <c r="K452" s="4">
        <v>29788</v>
      </c>
      <c r="M452" s="2" t="s">
        <v>66</v>
      </c>
      <c r="N452" s="2" t="s">
        <v>1918</v>
      </c>
    </row>
    <row r="453" spans="1:14">
      <c r="A453" s="2">
        <v>452</v>
      </c>
      <c r="B453" s="3" t="s">
        <v>1919</v>
      </c>
      <c r="C453" s="2" t="s">
        <v>1920</v>
      </c>
      <c r="D453" s="2">
        <v>57</v>
      </c>
      <c r="E453" s="2">
        <v>57</v>
      </c>
      <c r="F453" s="2" t="s">
        <v>1921</v>
      </c>
      <c r="H453" s="2" t="s">
        <v>17</v>
      </c>
      <c r="I453" s="2" t="s">
        <v>1922</v>
      </c>
      <c r="K453" s="4">
        <v>35215</v>
      </c>
      <c r="M453" s="2" t="s">
        <v>35</v>
      </c>
      <c r="N453" s="2" t="s">
        <v>58</v>
      </c>
    </row>
    <row r="454" spans="1:14">
      <c r="A454" s="2">
        <v>453</v>
      </c>
      <c r="B454" s="3" t="s">
        <v>1923</v>
      </c>
      <c r="C454" s="2" t="s">
        <v>1924</v>
      </c>
      <c r="D454" s="2">
        <v>55</v>
      </c>
      <c r="E454" s="2">
        <v>57</v>
      </c>
      <c r="F454" s="2" t="s">
        <v>1925</v>
      </c>
      <c r="H454" s="2" t="s">
        <v>17</v>
      </c>
      <c r="K454" s="4">
        <v>23223</v>
      </c>
      <c r="M454" s="2" t="s">
        <v>66</v>
      </c>
      <c r="N454" s="2" t="s">
        <v>567</v>
      </c>
    </row>
    <row r="455" spans="1:14">
      <c r="A455" s="2">
        <v>454</v>
      </c>
      <c r="B455" s="3" t="s">
        <v>1926</v>
      </c>
      <c r="C455" s="2" t="s">
        <v>1927</v>
      </c>
      <c r="D455" s="2">
        <v>57</v>
      </c>
      <c r="E455" s="2">
        <v>57</v>
      </c>
      <c r="F455" s="2" t="s">
        <v>1928</v>
      </c>
      <c r="H455" s="2" t="s">
        <v>17</v>
      </c>
      <c r="I455" s="3" t="s">
        <v>1929</v>
      </c>
      <c r="K455" s="4">
        <v>24258</v>
      </c>
      <c r="M455" s="2" t="s">
        <v>91</v>
      </c>
      <c r="N455" s="2" t="s">
        <v>677</v>
      </c>
    </row>
    <row r="456" spans="1:14">
      <c r="A456" s="2">
        <v>455</v>
      </c>
      <c r="B456" s="3" t="s">
        <v>1930</v>
      </c>
      <c r="C456" s="2" t="s">
        <v>1931</v>
      </c>
      <c r="D456" s="2">
        <v>52</v>
      </c>
      <c r="E456" s="2">
        <v>57</v>
      </c>
      <c r="F456" s="2" t="s">
        <v>1932</v>
      </c>
      <c r="H456" s="2" t="s">
        <v>17</v>
      </c>
      <c r="I456" s="2" t="s">
        <v>1933</v>
      </c>
      <c r="K456" s="4">
        <v>27929</v>
      </c>
      <c r="M456" s="2" t="s">
        <v>47</v>
      </c>
      <c r="N456" s="2" t="s">
        <v>1934</v>
      </c>
    </row>
    <row r="457" spans="1:14">
      <c r="A457" s="2">
        <v>456</v>
      </c>
      <c r="B457" s="3" t="s">
        <v>1935</v>
      </c>
      <c r="C457" s="2" t="s">
        <v>1936</v>
      </c>
      <c r="D457" s="2">
        <v>56</v>
      </c>
      <c r="E457" s="2">
        <v>57</v>
      </c>
      <c r="F457" s="2" t="s">
        <v>1937</v>
      </c>
      <c r="H457" s="2" t="s">
        <v>17</v>
      </c>
      <c r="I457" s="2" t="s">
        <v>1938</v>
      </c>
      <c r="K457" s="4">
        <v>29960</v>
      </c>
      <c r="M457" s="2" t="s">
        <v>164</v>
      </c>
      <c r="N457" s="2" t="s">
        <v>165</v>
      </c>
    </row>
    <row r="458" spans="1:14">
      <c r="A458" s="2">
        <v>457</v>
      </c>
      <c r="B458" s="3" t="s">
        <v>1939</v>
      </c>
      <c r="C458" s="2" t="s">
        <v>1940</v>
      </c>
      <c r="D458" s="2">
        <v>55</v>
      </c>
      <c r="E458" s="2">
        <v>57</v>
      </c>
      <c r="F458" s="2" t="s">
        <v>1941</v>
      </c>
      <c r="H458" s="2" t="s">
        <v>17</v>
      </c>
      <c r="I458" s="2" t="s">
        <v>1942</v>
      </c>
      <c r="K458" s="4">
        <v>26080</v>
      </c>
      <c r="M458" s="2" t="s">
        <v>40</v>
      </c>
      <c r="N458" s="2" t="s">
        <v>41</v>
      </c>
    </row>
    <row r="459" spans="1:14">
      <c r="A459" s="2">
        <v>458</v>
      </c>
      <c r="B459" s="3" t="s">
        <v>1943</v>
      </c>
      <c r="C459" s="2" t="s">
        <v>1944</v>
      </c>
      <c r="D459" s="2">
        <v>51</v>
      </c>
      <c r="E459" s="2">
        <v>57</v>
      </c>
      <c r="F459" s="2" t="s">
        <v>1945</v>
      </c>
      <c r="H459" s="2" t="s">
        <v>17</v>
      </c>
      <c r="I459" s="2" t="s">
        <v>1946</v>
      </c>
      <c r="K459" s="4">
        <v>18312</v>
      </c>
      <c r="M459" s="2" t="s">
        <v>66</v>
      </c>
      <c r="N459" s="2" t="s">
        <v>71</v>
      </c>
    </row>
    <row r="460" spans="1:14">
      <c r="A460" s="2">
        <v>459</v>
      </c>
      <c r="B460" s="3" t="s">
        <v>1947</v>
      </c>
      <c r="C460" s="2" t="s">
        <v>1948</v>
      </c>
      <c r="D460" s="2">
        <v>56</v>
      </c>
      <c r="E460" s="2">
        <v>57</v>
      </c>
      <c r="F460" s="2" t="s">
        <v>1949</v>
      </c>
      <c r="H460" s="2" t="s">
        <v>17</v>
      </c>
      <c r="I460" s="2" t="s">
        <v>1950</v>
      </c>
      <c r="K460" s="4">
        <v>20067</v>
      </c>
      <c r="M460" s="2" t="s">
        <v>170</v>
      </c>
      <c r="N460" s="2" t="s">
        <v>323</v>
      </c>
    </row>
    <row r="461" spans="1:14">
      <c r="A461" s="2">
        <v>460</v>
      </c>
      <c r="B461" s="3" t="s">
        <v>1951</v>
      </c>
      <c r="C461" s="2" t="s">
        <v>1952</v>
      </c>
      <c r="D461" s="2">
        <v>56</v>
      </c>
      <c r="E461" s="2">
        <v>57</v>
      </c>
      <c r="F461" s="2" t="s">
        <v>1953</v>
      </c>
      <c r="H461" s="2" t="s">
        <v>17</v>
      </c>
      <c r="I461" s="2" t="s">
        <v>1954</v>
      </c>
      <c r="K461" s="4">
        <v>28086</v>
      </c>
      <c r="M461" s="2" t="s">
        <v>170</v>
      </c>
      <c r="N461" s="2" t="s">
        <v>323</v>
      </c>
    </row>
    <row r="462" spans="1:14">
      <c r="A462" s="2">
        <v>461</v>
      </c>
      <c r="B462" s="3" t="s">
        <v>1955</v>
      </c>
      <c r="C462" s="2" t="s">
        <v>1956</v>
      </c>
      <c r="D462" s="2">
        <v>56</v>
      </c>
      <c r="E462" s="2">
        <v>57</v>
      </c>
      <c r="F462" s="2" t="s">
        <v>1957</v>
      </c>
      <c r="H462" s="2" t="s">
        <v>17</v>
      </c>
      <c r="I462" s="2" t="s">
        <v>1958</v>
      </c>
      <c r="K462" s="4">
        <v>28313</v>
      </c>
      <c r="M462" s="2" t="s">
        <v>40</v>
      </c>
      <c r="N462" s="2" t="s">
        <v>41</v>
      </c>
    </row>
    <row r="463" spans="1:14">
      <c r="A463" s="2">
        <v>462</v>
      </c>
      <c r="B463" s="3" t="s">
        <v>1959</v>
      </c>
      <c r="C463" s="2" t="s">
        <v>1960</v>
      </c>
      <c r="D463" s="2">
        <v>57</v>
      </c>
      <c r="E463" s="2">
        <v>57</v>
      </c>
      <c r="F463" s="2" t="s">
        <v>1961</v>
      </c>
      <c r="H463" s="2" t="s">
        <v>17</v>
      </c>
      <c r="I463" s="2" t="s">
        <v>1962</v>
      </c>
      <c r="K463" s="4">
        <v>28427</v>
      </c>
      <c r="M463" s="2" t="s">
        <v>154</v>
      </c>
      <c r="N463" s="2" t="s">
        <v>1963</v>
      </c>
    </row>
    <row r="464" spans="1:14">
      <c r="A464" s="2">
        <v>463</v>
      </c>
      <c r="B464" s="3" t="s">
        <v>1964</v>
      </c>
      <c r="C464" s="2" t="s">
        <v>1965</v>
      </c>
      <c r="D464" s="2">
        <v>54</v>
      </c>
      <c r="E464" s="2">
        <v>57</v>
      </c>
      <c r="F464" s="2" t="s">
        <v>1966</v>
      </c>
      <c r="H464" s="2" t="s">
        <v>17</v>
      </c>
      <c r="I464" s="2" t="s">
        <v>1967</v>
      </c>
      <c r="K464" s="4">
        <v>24531</v>
      </c>
      <c r="M464" s="2" t="s">
        <v>35</v>
      </c>
      <c r="N464" s="2" t="s">
        <v>1968</v>
      </c>
    </row>
    <row r="465" spans="1:14">
      <c r="A465" s="2">
        <v>464</v>
      </c>
      <c r="B465" s="3" t="s">
        <v>1969</v>
      </c>
      <c r="C465" s="2" t="s">
        <v>1970</v>
      </c>
      <c r="D465" s="2">
        <v>57</v>
      </c>
      <c r="E465" s="2">
        <v>57</v>
      </c>
      <c r="F465" s="2" t="s">
        <v>1971</v>
      </c>
      <c r="H465" s="2" t="s">
        <v>17</v>
      </c>
      <c r="K465" s="4">
        <v>28110</v>
      </c>
      <c r="M465" s="2" t="s">
        <v>53</v>
      </c>
      <c r="N465" s="2" t="s">
        <v>1972</v>
      </c>
    </row>
    <row r="466" spans="1:14">
      <c r="A466" s="2">
        <v>465</v>
      </c>
      <c r="B466" s="3" t="s">
        <v>1973</v>
      </c>
      <c r="C466" s="2" t="s">
        <v>1974</v>
      </c>
      <c r="D466" s="2">
        <v>57</v>
      </c>
      <c r="E466" s="2">
        <v>57</v>
      </c>
      <c r="F466" s="2" t="s">
        <v>1975</v>
      </c>
      <c r="H466" s="2" t="s">
        <v>17</v>
      </c>
      <c r="I466" s="2" t="s">
        <v>1976</v>
      </c>
      <c r="K466" s="4">
        <v>29301</v>
      </c>
      <c r="M466" s="2" t="s">
        <v>662</v>
      </c>
      <c r="N466" s="2" t="s">
        <v>663</v>
      </c>
    </row>
    <row r="467" spans="1:14">
      <c r="A467" s="2">
        <v>466</v>
      </c>
      <c r="B467" s="3" t="s">
        <v>1977</v>
      </c>
      <c r="C467" s="2" t="s">
        <v>1978</v>
      </c>
      <c r="D467" s="2">
        <v>54</v>
      </c>
      <c r="E467" s="2">
        <v>57</v>
      </c>
      <c r="F467" s="2" t="s">
        <v>1979</v>
      </c>
      <c r="H467" s="2" t="s">
        <v>17</v>
      </c>
      <c r="K467" s="4">
        <v>22901</v>
      </c>
      <c r="M467" s="2" t="s">
        <v>47</v>
      </c>
      <c r="N467" s="2" t="s">
        <v>1980</v>
      </c>
    </row>
    <row r="468" spans="1:14">
      <c r="A468" s="2">
        <v>467</v>
      </c>
      <c r="B468" s="3" t="s">
        <v>1981</v>
      </c>
      <c r="C468" s="2" t="s">
        <v>1982</v>
      </c>
      <c r="D468" s="2">
        <v>56</v>
      </c>
      <c r="E468" s="2">
        <v>57</v>
      </c>
      <c r="F468" s="2" t="s">
        <v>1983</v>
      </c>
      <c r="H468" s="2" t="s">
        <v>17</v>
      </c>
      <c r="I468" s="2" t="s">
        <v>1984</v>
      </c>
      <c r="K468" s="4">
        <v>26245</v>
      </c>
      <c r="M468" s="2" t="s">
        <v>185</v>
      </c>
      <c r="N468" s="2" t="s">
        <v>838</v>
      </c>
    </row>
    <row r="469" spans="1:14">
      <c r="A469" s="2">
        <v>468</v>
      </c>
      <c r="B469" s="3" t="s">
        <v>1985</v>
      </c>
      <c r="C469" s="2" t="s">
        <v>1986</v>
      </c>
      <c r="D469" s="2">
        <v>57</v>
      </c>
      <c r="E469" s="2">
        <v>57</v>
      </c>
      <c r="F469" s="2" t="s">
        <v>1987</v>
      </c>
      <c r="H469" s="2" t="s">
        <v>17</v>
      </c>
      <c r="I469" s="2" t="s">
        <v>1988</v>
      </c>
      <c r="K469" s="4">
        <v>31882</v>
      </c>
      <c r="M469" s="2" t="s">
        <v>170</v>
      </c>
      <c r="N469" s="2" t="s">
        <v>171</v>
      </c>
    </row>
    <row r="470" spans="1:14">
      <c r="A470" s="2">
        <v>469</v>
      </c>
      <c r="B470" s="3" t="s">
        <v>1989</v>
      </c>
      <c r="C470" s="2" t="s">
        <v>1990</v>
      </c>
      <c r="D470" s="2">
        <v>56</v>
      </c>
      <c r="E470" s="2">
        <v>57</v>
      </c>
      <c r="F470" s="2" t="s">
        <v>1991</v>
      </c>
      <c r="H470" s="2" t="s">
        <v>17</v>
      </c>
      <c r="I470" s="2" t="s">
        <v>1992</v>
      </c>
      <c r="K470" s="4">
        <v>22855</v>
      </c>
      <c r="M470" s="2" t="s">
        <v>40</v>
      </c>
      <c r="N470" s="2" t="s">
        <v>41</v>
      </c>
    </row>
    <row r="471" spans="1:14">
      <c r="A471" s="2">
        <v>470</v>
      </c>
      <c r="B471" s="3" t="s">
        <v>1993</v>
      </c>
      <c r="C471" s="2" t="s">
        <v>1994</v>
      </c>
      <c r="D471" s="2">
        <v>52</v>
      </c>
      <c r="E471" s="2">
        <v>57</v>
      </c>
      <c r="F471" s="2" t="s">
        <v>1995</v>
      </c>
      <c r="H471" s="2" t="s">
        <v>17</v>
      </c>
      <c r="K471" s="4">
        <v>19019</v>
      </c>
      <c r="M471" s="2" t="s">
        <v>35</v>
      </c>
      <c r="N471" s="2" t="s">
        <v>1996</v>
      </c>
    </row>
    <row r="472" spans="1:14">
      <c r="A472" s="2">
        <v>471</v>
      </c>
      <c r="B472" s="3" t="s">
        <v>1997</v>
      </c>
      <c r="C472" s="2" t="s">
        <v>1998</v>
      </c>
      <c r="D472" s="2">
        <v>49</v>
      </c>
      <c r="E472" s="2">
        <v>57</v>
      </c>
      <c r="F472" s="2" t="s">
        <v>1999</v>
      </c>
      <c r="H472" s="2" t="s">
        <v>17</v>
      </c>
      <c r="I472" s="3" t="s">
        <v>2000</v>
      </c>
      <c r="K472" s="4">
        <v>19991</v>
      </c>
      <c r="M472" s="2" t="s">
        <v>30</v>
      </c>
      <c r="N472" s="2" t="s">
        <v>2001</v>
      </c>
    </row>
    <row r="473" spans="1:14">
      <c r="A473" s="2">
        <v>472</v>
      </c>
      <c r="B473" s="3" t="s">
        <v>2002</v>
      </c>
      <c r="C473" s="2" t="s">
        <v>2003</v>
      </c>
      <c r="D473" s="2">
        <v>54</v>
      </c>
      <c r="E473" s="2">
        <v>57</v>
      </c>
      <c r="F473" s="2" t="s">
        <v>2004</v>
      </c>
      <c r="H473" s="2" t="s">
        <v>17</v>
      </c>
      <c r="K473" s="4">
        <v>21078</v>
      </c>
      <c r="M473" s="2" t="s">
        <v>198</v>
      </c>
      <c r="N473" s="2" t="s">
        <v>199</v>
      </c>
    </row>
    <row r="474" spans="1:14">
      <c r="A474" s="2">
        <v>473</v>
      </c>
      <c r="B474" s="3" t="s">
        <v>2005</v>
      </c>
      <c r="C474" s="2" t="s">
        <v>2006</v>
      </c>
      <c r="D474" s="2">
        <v>53</v>
      </c>
      <c r="E474" s="2">
        <v>57</v>
      </c>
      <c r="F474" s="2" t="s">
        <v>2007</v>
      </c>
      <c r="H474" s="2" t="s">
        <v>17</v>
      </c>
      <c r="K474" s="4">
        <v>20509</v>
      </c>
      <c r="M474" s="2" t="s">
        <v>154</v>
      </c>
      <c r="N474" s="2" t="s">
        <v>2008</v>
      </c>
    </row>
    <row r="475" spans="1:14">
      <c r="A475" s="2">
        <v>474</v>
      </c>
      <c r="B475" s="3" t="s">
        <v>2009</v>
      </c>
      <c r="C475" s="2" t="s">
        <v>2010</v>
      </c>
      <c r="D475" s="2">
        <v>57</v>
      </c>
      <c r="E475" s="2">
        <v>57</v>
      </c>
      <c r="F475" s="2" t="s">
        <v>2011</v>
      </c>
      <c r="H475" s="2" t="s">
        <v>17</v>
      </c>
      <c r="K475" s="4">
        <v>23672</v>
      </c>
      <c r="M475" s="2" t="s">
        <v>336</v>
      </c>
      <c r="N475" s="2" t="s">
        <v>1883</v>
      </c>
    </row>
    <row r="476" spans="1:14">
      <c r="A476" s="2">
        <v>475</v>
      </c>
      <c r="B476" s="3" t="s">
        <v>2012</v>
      </c>
      <c r="C476" s="2" t="s">
        <v>2013</v>
      </c>
      <c r="D476" s="2">
        <v>53</v>
      </c>
      <c r="E476" s="2">
        <v>57</v>
      </c>
      <c r="F476" s="2" t="s">
        <v>2014</v>
      </c>
      <c r="H476" s="2" t="s">
        <v>17</v>
      </c>
      <c r="K476" s="4">
        <v>23183</v>
      </c>
      <c r="M476" s="2" t="s">
        <v>35</v>
      </c>
      <c r="N476" s="2" t="s">
        <v>58</v>
      </c>
    </row>
    <row r="477" spans="1:14">
      <c r="A477" s="2">
        <v>476</v>
      </c>
      <c r="B477" s="3" t="s">
        <v>2015</v>
      </c>
      <c r="C477" s="2" t="s">
        <v>2016</v>
      </c>
      <c r="D477" s="2">
        <v>57</v>
      </c>
      <c r="E477" s="2">
        <v>57</v>
      </c>
      <c r="F477" s="2" t="s">
        <v>2017</v>
      </c>
      <c r="H477" s="2" t="s">
        <v>17</v>
      </c>
      <c r="I477" s="2" t="s">
        <v>2018</v>
      </c>
      <c r="K477" s="4">
        <v>28864</v>
      </c>
      <c r="M477" s="2" t="s">
        <v>47</v>
      </c>
      <c r="N477" s="2" t="s">
        <v>691</v>
      </c>
    </row>
    <row r="478" spans="1:14">
      <c r="A478" s="2">
        <v>477</v>
      </c>
      <c r="B478" s="3" t="s">
        <v>2019</v>
      </c>
      <c r="C478" s="2" t="s">
        <v>2020</v>
      </c>
      <c r="D478" s="2">
        <v>55</v>
      </c>
      <c r="E478" s="2">
        <v>57</v>
      </c>
      <c r="F478" s="2" t="s">
        <v>2021</v>
      </c>
      <c r="H478" s="2" t="s">
        <v>17</v>
      </c>
      <c r="I478" s="2" t="s">
        <v>2022</v>
      </c>
      <c r="J478" s="3" t="s">
        <v>2023</v>
      </c>
      <c r="K478" s="4">
        <v>23025</v>
      </c>
      <c r="M478" s="2" t="s">
        <v>40</v>
      </c>
      <c r="N478" s="2" t="s">
        <v>41</v>
      </c>
    </row>
    <row r="479" spans="1:14">
      <c r="A479" s="2">
        <v>478</v>
      </c>
      <c r="B479" s="3" t="s">
        <v>2024</v>
      </c>
      <c r="C479" s="2" t="s">
        <v>2025</v>
      </c>
      <c r="D479" s="2">
        <v>54</v>
      </c>
      <c r="E479" s="2">
        <v>57</v>
      </c>
      <c r="F479" s="2" t="s">
        <v>2026</v>
      </c>
      <c r="H479" s="2" t="s">
        <v>17</v>
      </c>
      <c r="I479" s="2" t="s">
        <v>2027</v>
      </c>
      <c r="K479" s="4">
        <v>20575</v>
      </c>
      <c r="M479" s="2" t="s">
        <v>192</v>
      </c>
      <c r="N479" s="2" t="s">
        <v>577</v>
      </c>
    </row>
    <row r="480" spans="1:14">
      <c r="A480" s="2">
        <v>479</v>
      </c>
      <c r="B480" s="3" t="s">
        <v>2028</v>
      </c>
      <c r="C480" s="2" t="s">
        <v>2029</v>
      </c>
      <c r="D480" s="2">
        <v>54</v>
      </c>
      <c r="E480" s="2">
        <v>57</v>
      </c>
      <c r="F480" s="2" t="s">
        <v>2030</v>
      </c>
      <c r="H480" s="2" t="s">
        <v>17</v>
      </c>
      <c r="K480" s="4">
        <v>20134</v>
      </c>
      <c r="M480" s="2" t="s">
        <v>47</v>
      </c>
      <c r="N480" s="2" t="s">
        <v>48</v>
      </c>
    </row>
    <row r="481" spans="1:14">
      <c r="A481" s="2">
        <v>480</v>
      </c>
      <c r="B481" s="3" t="s">
        <v>2031</v>
      </c>
      <c r="C481" s="2" t="s">
        <v>2032</v>
      </c>
      <c r="D481" s="2">
        <v>56</v>
      </c>
      <c r="E481" s="2">
        <v>57</v>
      </c>
      <c r="F481" s="2" t="s">
        <v>2033</v>
      </c>
      <c r="H481" s="2" t="s">
        <v>17</v>
      </c>
      <c r="K481" s="4">
        <v>25842</v>
      </c>
      <c r="M481" s="2" t="s">
        <v>35</v>
      </c>
      <c r="N481" s="2" t="s">
        <v>2034</v>
      </c>
    </row>
    <row r="482" spans="1:14">
      <c r="A482" s="2">
        <v>481</v>
      </c>
      <c r="B482" s="3" t="s">
        <v>2035</v>
      </c>
      <c r="C482" s="2" t="s">
        <v>2036</v>
      </c>
      <c r="D482" s="2">
        <v>57</v>
      </c>
      <c r="E482" s="2">
        <v>57</v>
      </c>
      <c r="F482" s="2" t="s">
        <v>2037</v>
      </c>
      <c r="H482" s="2" t="s">
        <v>17</v>
      </c>
      <c r="I482" s="2" t="s">
        <v>2038</v>
      </c>
      <c r="K482" s="4">
        <v>26306</v>
      </c>
      <c r="M482" s="2" t="s">
        <v>164</v>
      </c>
      <c r="N482" s="2" t="s">
        <v>2039</v>
      </c>
    </row>
    <row r="483" spans="1:14">
      <c r="A483" s="2">
        <v>482</v>
      </c>
      <c r="B483" s="3" t="s">
        <v>2040</v>
      </c>
      <c r="C483" s="2" t="s">
        <v>2041</v>
      </c>
      <c r="D483" s="2">
        <v>57</v>
      </c>
      <c r="E483" s="2">
        <v>57</v>
      </c>
      <c r="F483" s="2" t="s">
        <v>2042</v>
      </c>
      <c r="H483" s="2" t="s">
        <v>17</v>
      </c>
      <c r="K483" s="4">
        <v>33541</v>
      </c>
      <c r="M483" s="2" t="s">
        <v>154</v>
      </c>
      <c r="N483" s="2" t="s">
        <v>726</v>
      </c>
    </row>
    <row r="484" spans="1:14">
      <c r="A484" s="2">
        <v>483</v>
      </c>
      <c r="B484" s="3" t="s">
        <v>2043</v>
      </c>
      <c r="C484" s="2" t="s">
        <v>2044</v>
      </c>
      <c r="D484" s="2">
        <v>51</v>
      </c>
      <c r="E484" s="2">
        <v>57</v>
      </c>
      <c r="F484" s="2" t="s">
        <v>2045</v>
      </c>
      <c r="H484" s="2" t="s">
        <v>17</v>
      </c>
      <c r="K484" s="4">
        <v>19326</v>
      </c>
      <c r="M484" s="2" t="s">
        <v>40</v>
      </c>
      <c r="N484" s="2" t="s">
        <v>41</v>
      </c>
    </row>
    <row r="485" spans="1:14">
      <c r="A485" s="2">
        <v>484</v>
      </c>
      <c r="B485" s="3" t="s">
        <v>2046</v>
      </c>
      <c r="C485" s="2" t="s">
        <v>2047</v>
      </c>
      <c r="D485" s="2">
        <v>54</v>
      </c>
      <c r="E485" s="2">
        <v>57</v>
      </c>
      <c r="F485" s="2" t="s">
        <v>2048</v>
      </c>
      <c r="H485" s="2" t="s">
        <v>17</v>
      </c>
      <c r="K485" s="4">
        <v>31087</v>
      </c>
      <c r="M485" s="2" t="s">
        <v>185</v>
      </c>
      <c r="N485" s="2" t="s">
        <v>186</v>
      </c>
    </row>
    <row r="486" spans="1:14">
      <c r="A486" s="2">
        <v>485</v>
      </c>
      <c r="B486" s="3" t="s">
        <v>2049</v>
      </c>
      <c r="C486" s="2" t="s">
        <v>2050</v>
      </c>
      <c r="D486" s="2">
        <v>52</v>
      </c>
      <c r="E486" s="2">
        <v>57</v>
      </c>
      <c r="F486" s="2" t="s">
        <v>2051</v>
      </c>
      <c r="H486" s="2" t="s">
        <v>17</v>
      </c>
      <c r="K486" s="4">
        <v>23820</v>
      </c>
      <c r="M486" s="2" t="s">
        <v>66</v>
      </c>
      <c r="N486" s="2" t="s">
        <v>1069</v>
      </c>
    </row>
    <row r="487" spans="1:14">
      <c r="A487" s="2">
        <v>486</v>
      </c>
      <c r="B487" s="3" t="s">
        <v>2052</v>
      </c>
      <c r="C487" s="2" t="s">
        <v>2053</v>
      </c>
      <c r="D487" s="2">
        <v>53</v>
      </c>
      <c r="E487" s="2">
        <v>57</v>
      </c>
      <c r="F487" s="2" t="s">
        <v>2054</v>
      </c>
      <c r="H487" s="2" t="s">
        <v>17</v>
      </c>
      <c r="I487" s="2" t="s">
        <v>2055</v>
      </c>
      <c r="K487" s="4">
        <v>22410</v>
      </c>
      <c r="M487" s="2" t="s">
        <v>47</v>
      </c>
      <c r="N487" s="2" t="s">
        <v>2056</v>
      </c>
    </row>
    <row r="488" spans="1:14">
      <c r="A488" s="2">
        <v>487</v>
      </c>
      <c r="B488" s="3" t="s">
        <v>2057</v>
      </c>
      <c r="C488" s="2" t="s">
        <v>2058</v>
      </c>
      <c r="D488" s="2">
        <v>57</v>
      </c>
      <c r="E488" s="2">
        <v>57</v>
      </c>
      <c r="F488" s="2" t="s">
        <v>2059</v>
      </c>
      <c r="H488" s="2" t="s">
        <v>17</v>
      </c>
      <c r="I488" s="2" t="s">
        <v>2060</v>
      </c>
      <c r="K488" s="4">
        <v>34016</v>
      </c>
      <c r="M488" s="2" t="s">
        <v>35</v>
      </c>
      <c r="N488" s="2" t="s">
        <v>58</v>
      </c>
    </row>
    <row r="489" spans="1:14">
      <c r="A489" s="2">
        <v>488</v>
      </c>
      <c r="B489" s="3" t="s">
        <v>2061</v>
      </c>
      <c r="C489" s="2" t="s">
        <v>2062</v>
      </c>
      <c r="D489" s="2">
        <v>57</v>
      </c>
      <c r="E489" s="2">
        <v>57</v>
      </c>
      <c r="F489" s="2" t="s">
        <v>2063</v>
      </c>
      <c r="H489" s="2" t="s">
        <v>17</v>
      </c>
      <c r="I489" s="2" t="s">
        <v>2064</v>
      </c>
      <c r="K489" s="4">
        <v>35000</v>
      </c>
      <c r="M489" s="2" t="s">
        <v>198</v>
      </c>
      <c r="N489" s="2" t="s">
        <v>199</v>
      </c>
    </row>
    <row r="490" spans="1:14">
      <c r="A490" s="2">
        <v>489</v>
      </c>
      <c r="B490" s="3" t="s">
        <v>2065</v>
      </c>
      <c r="C490" s="2" t="s">
        <v>2066</v>
      </c>
      <c r="D490" s="2">
        <v>57</v>
      </c>
      <c r="E490" s="2">
        <v>57</v>
      </c>
      <c r="F490" s="2" t="s">
        <v>2067</v>
      </c>
      <c r="H490" s="2" t="s">
        <v>17</v>
      </c>
      <c r="I490" s="2" t="s">
        <v>2068</v>
      </c>
      <c r="K490" s="4">
        <v>25656</v>
      </c>
      <c r="M490" s="2" t="s">
        <v>185</v>
      </c>
      <c r="N490" s="2" t="s">
        <v>2069</v>
      </c>
    </row>
    <row r="491" spans="1:14">
      <c r="A491" s="2">
        <v>490</v>
      </c>
      <c r="B491" s="3" t="s">
        <v>2070</v>
      </c>
      <c r="C491" s="2" t="s">
        <v>2071</v>
      </c>
      <c r="D491" s="2">
        <v>56</v>
      </c>
      <c r="E491" s="2">
        <v>57</v>
      </c>
      <c r="F491" s="2" t="s">
        <v>2072</v>
      </c>
      <c r="H491" s="2" t="s">
        <v>17</v>
      </c>
      <c r="K491" s="4">
        <v>29160</v>
      </c>
      <c r="M491" s="2" t="s">
        <v>185</v>
      </c>
      <c r="N491" s="2" t="s">
        <v>838</v>
      </c>
    </row>
    <row r="492" spans="1:14">
      <c r="A492" s="2">
        <v>491</v>
      </c>
      <c r="B492" s="3" t="s">
        <v>2073</v>
      </c>
      <c r="C492" s="2" t="s">
        <v>2074</v>
      </c>
      <c r="D492" s="2">
        <v>56</v>
      </c>
      <c r="E492" s="2">
        <v>57</v>
      </c>
      <c r="F492" s="2" t="s">
        <v>2075</v>
      </c>
      <c r="H492" s="2" t="s">
        <v>17</v>
      </c>
      <c r="I492" s="2" t="s">
        <v>2076</v>
      </c>
      <c r="K492" s="4">
        <v>30471</v>
      </c>
      <c r="M492" s="2" t="s">
        <v>154</v>
      </c>
      <c r="N492" s="2" t="s">
        <v>208</v>
      </c>
    </row>
    <row r="493" spans="1:14">
      <c r="A493" s="2">
        <v>492</v>
      </c>
      <c r="B493" s="3" t="s">
        <v>2077</v>
      </c>
      <c r="C493" s="2" t="s">
        <v>2078</v>
      </c>
      <c r="D493" s="2">
        <v>54</v>
      </c>
      <c r="E493" s="2">
        <v>57</v>
      </c>
      <c r="F493" s="2" t="s">
        <v>2079</v>
      </c>
      <c r="H493" s="2" t="s">
        <v>17</v>
      </c>
      <c r="K493" s="4">
        <v>26479</v>
      </c>
      <c r="M493" s="2" t="s">
        <v>170</v>
      </c>
      <c r="N493" s="2" t="s">
        <v>323</v>
      </c>
    </row>
    <row r="494" spans="1:14">
      <c r="A494" s="2">
        <v>493</v>
      </c>
      <c r="B494" s="3" t="s">
        <v>2080</v>
      </c>
      <c r="C494" s="2" t="s">
        <v>2081</v>
      </c>
      <c r="D494" s="2">
        <v>57</v>
      </c>
      <c r="E494" s="2">
        <v>57</v>
      </c>
      <c r="F494" s="2" t="s">
        <v>2082</v>
      </c>
      <c r="H494" s="2" t="s">
        <v>17</v>
      </c>
      <c r="K494" s="4">
        <v>29939</v>
      </c>
      <c r="M494" s="2" t="s">
        <v>35</v>
      </c>
      <c r="N494" s="2" t="s">
        <v>58</v>
      </c>
    </row>
    <row r="495" spans="1:14">
      <c r="A495" s="2">
        <v>494</v>
      </c>
      <c r="B495" s="3" t="s">
        <v>2083</v>
      </c>
      <c r="C495" s="2" t="s">
        <v>2084</v>
      </c>
      <c r="D495" s="2">
        <v>54</v>
      </c>
      <c r="E495" s="2">
        <v>57</v>
      </c>
      <c r="F495" s="2" t="s">
        <v>2085</v>
      </c>
      <c r="H495" s="2" t="s">
        <v>17</v>
      </c>
      <c r="K495" s="4">
        <v>23080</v>
      </c>
      <c r="M495" s="2" t="s">
        <v>423</v>
      </c>
      <c r="N495" s="2" t="s">
        <v>2086</v>
      </c>
    </row>
    <row r="496" spans="1:14">
      <c r="A496" s="2">
        <v>495</v>
      </c>
      <c r="B496" s="3" t="s">
        <v>2087</v>
      </c>
      <c r="C496" s="2" t="s">
        <v>2088</v>
      </c>
      <c r="D496" s="2">
        <v>56</v>
      </c>
      <c r="E496" s="2">
        <v>57</v>
      </c>
      <c r="F496" s="2" t="s">
        <v>2089</v>
      </c>
      <c r="H496" s="2" t="s">
        <v>17</v>
      </c>
      <c r="K496" s="4">
        <v>18616</v>
      </c>
      <c r="M496" s="2" t="s">
        <v>66</v>
      </c>
      <c r="N496" s="2" t="s">
        <v>359</v>
      </c>
    </row>
    <row r="497" spans="1:14">
      <c r="A497" s="2">
        <v>496</v>
      </c>
      <c r="B497" s="3" t="s">
        <v>2090</v>
      </c>
      <c r="C497" s="2" t="s">
        <v>2091</v>
      </c>
      <c r="D497" s="2">
        <v>57</v>
      </c>
      <c r="E497" s="2">
        <v>57</v>
      </c>
      <c r="F497" s="2" t="s">
        <v>2092</v>
      </c>
      <c r="H497" s="2" t="s">
        <v>17</v>
      </c>
      <c r="I497" s="2" t="s">
        <v>2093</v>
      </c>
      <c r="K497" s="4">
        <v>31934</v>
      </c>
      <c r="M497" s="2" t="s">
        <v>423</v>
      </c>
      <c r="N497" s="2" t="s">
        <v>2094</v>
      </c>
    </row>
    <row r="498" spans="1:14">
      <c r="A498" s="2">
        <v>497</v>
      </c>
      <c r="B498" s="3" t="s">
        <v>2095</v>
      </c>
      <c r="C498" s="2" t="s">
        <v>2096</v>
      </c>
      <c r="D498" s="2">
        <v>56</v>
      </c>
      <c r="E498" s="2">
        <v>57</v>
      </c>
      <c r="F498" s="2" t="s">
        <v>2097</v>
      </c>
      <c r="H498" s="2" t="s">
        <v>17</v>
      </c>
      <c r="I498" s="2" t="s">
        <v>2098</v>
      </c>
      <c r="K498" s="4">
        <v>33388</v>
      </c>
      <c r="M498" s="2" t="s">
        <v>35</v>
      </c>
      <c r="N498" s="2" t="s">
        <v>58</v>
      </c>
    </row>
    <row r="499" spans="1:14">
      <c r="A499" s="2">
        <v>498</v>
      </c>
      <c r="B499" s="3" t="s">
        <v>2099</v>
      </c>
      <c r="C499" s="2" t="s">
        <v>2100</v>
      </c>
      <c r="D499" s="2">
        <v>51</v>
      </c>
      <c r="E499" s="2">
        <v>57</v>
      </c>
      <c r="F499" s="2" t="s">
        <v>2101</v>
      </c>
      <c r="H499" s="2" t="s">
        <v>17</v>
      </c>
      <c r="I499" s="2" t="s">
        <v>2102</v>
      </c>
      <c r="K499" s="4">
        <v>21378</v>
      </c>
      <c r="M499" s="2" t="s">
        <v>66</v>
      </c>
      <c r="N499" s="2" t="s">
        <v>2103</v>
      </c>
    </row>
    <row r="500" spans="1:14">
      <c r="A500" s="2">
        <v>499</v>
      </c>
      <c r="B500" s="3" t="s">
        <v>2104</v>
      </c>
      <c r="C500" s="2" t="s">
        <v>2105</v>
      </c>
      <c r="D500" s="2">
        <v>54</v>
      </c>
      <c r="E500" s="2">
        <v>57</v>
      </c>
      <c r="F500" s="2" t="s">
        <v>2106</v>
      </c>
      <c r="H500" s="2" t="s">
        <v>17</v>
      </c>
      <c r="K500" s="4">
        <v>26584</v>
      </c>
      <c r="M500" s="2" t="s">
        <v>47</v>
      </c>
      <c r="N500" s="2" t="s">
        <v>2107</v>
      </c>
    </row>
    <row r="501" spans="1:14">
      <c r="A501" s="2">
        <v>500</v>
      </c>
      <c r="B501" s="3" t="s">
        <v>2108</v>
      </c>
      <c r="C501" s="2" t="s">
        <v>2109</v>
      </c>
      <c r="D501" s="2">
        <v>57</v>
      </c>
      <c r="E501" s="2">
        <v>57</v>
      </c>
      <c r="F501" s="2" t="s">
        <v>2110</v>
      </c>
      <c r="H501" s="2" t="s">
        <v>45</v>
      </c>
      <c r="I501" s="2" t="s">
        <v>2111</v>
      </c>
      <c r="K501" s="4">
        <v>30937</v>
      </c>
      <c r="M501" s="2" t="s">
        <v>85</v>
      </c>
      <c r="N501" s="2" t="s">
        <v>86</v>
      </c>
    </row>
    <row r="502" spans="1:14">
      <c r="A502" s="2">
        <v>501</v>
      </c>
      <c r="B502" s="3" t="s">
        <v>2112</v>
      </c>
      <c r="C502" s="2" t="s">
        <v>2113</v>
      </c>
      <c r="D502" s="2">
        <v>57</v>
      </c>
      <c r="E502" s="2">
        <v>57</v>
      </c>
      <c r="F502" s="2" t="s">
        <v>2114</v>
      </c>
      <c r="H502" s="2" t="s">
        <v>17</v>
      </c>
      <c r="I502" s="2" t="s">
        <v>2115</v>
      </c>
      <c r="K502" s="4">
        <v>24634</v>
      </c>
      <c r="M502" s="2" t="s">
        <v>969</v>
      </c>
      <c r="N502" s="2" t="s">
        <v>970</v>
      </c>
    </row>
    <row r="503" spans="1:14">
      <c r="A503" s="2">
        <v>502</v>
      </c>
      <c r="B503" s="3" t="s">
        <v>2116</v>
      </c>
      <c r="C503" s="2" t="s">
        <v>2117</v>
      </c>
      <c r="D503" s="2">
        <v>57</v>
      </c>
      <c r="E503" s="2">
        <v>57</v>
      </c>
      <c r="F503" s="2" t="s">
        <v>2118</v>
      </c>
      <c r="H503" s="2" t="s">
        <v>17</v>
      </c>
      <c r="I503" s="2" t="s">
        <v>2119</v>
      </c>
      <c r="K503" s="4">
        <v>26666</v>
      </c>
      <c r="M503" s="2" t="s">
        <v>85</v>
      </c>
      <c r="N503" s="2" t="s">
        <v>2120</v>
      </c>
    </row>
    <row r="504" spans="1:14">
      <c r="A504" s="2">
        <v>503</v>
      </c>
      <c r="B504" s="3" t="s">
        <v>2121</v>
      </c>
      <c r="C504" s="2" t="s">
        <v>2122</v>
      </c>
      <c r="D504" s="2">
        <v>56</v>
      </c>
      <c r="E504" s="2">
        <v>57</v>
      </c>
      <c r="F504" s="2" t="s">
        <v>2123</v>
      </c>
      <c r="H504" s="2" t="s">
        <v>17</v>
      </c>
      <c r="I504" s="2" t="s">
        <v>2124</v>
      </c>
      <c r="K504" s="4">
        <v>19657</v>
      </c>
      <c r="M504" s="2" t="s">
        <v>40</v>
      </c>
      <c r="N504" s="2" t="s">
        <v>2125</v>
      </c>
    </row>
    <row r="505" spans="1:14">
      <c r="A505" s="2">
        <v>504</v>
      </c>
      <c r="B505" s="3" t="s">
        <v>2126</v>
      </c>
      <c r="C505" s="2" t="s">
        <v>2127</v>
      </c>
      <c r="D505" s="2">
        <v>57</v>
      </c>
      <c r="E505" s="2">
        <v>57</v>
      </c>
      <c r="F505" s="2" t="s">
        <v>2128</v>
      </c>
      <c r="H505" s="2" t="s">
        <v>45</v>
      </c>
      <c r="K505" s="4">
        <v>23263</v>
      </c>
      <c r="M505" s="2" t="s">
        <v>24</v>
      </c>
      <c r="N505" s="2" t="s">
        <v>25</v>
      </c>
    </row>
    <row r="506" spans="1:14">
      <c r="A506" s="2">
        <v>505</v>
      </c>
      <c r="B506" s="3" t="s">
        <v>2129</v>
      </c>
      <c r="C506" s="2" t="s">
        <v>2130</v>
      </c>
      <c r="D506" s="2">
        <v>57</v>
      </c>
      <c r="E506" s="2">
        <v>57</v>
      </c>
      <c r="F506" s="2" t="s">
        <v>2131</v>
      </c>
      <c r="H506" s="2" t="s">
        <v>45</v>
      </c>
      <c r="K506" s="4">
        <v>29210</v>
      </c>
      <c r="M506" s="2" t="s">
        <v>47</v>
      </c>
      <c r="N506" s="2" t="s">
        <v>48</v>
      </c>
    </row>
    <row r="507" spans="1:14">
      <c r="A507" s="2">
        <v>506</v>
      </c>
      <c r="B507" s="3" t="s">
        <v>2132</v>
      </c>
      <c r="C507" s="2" t="s">
        <v>2133</v>
      </c>
      <c r="D507" s="2">
        <v>54</v>
      </c>
      <c r="E507" s="2">
        <v>57</v>
      </c>
      <c r="F507" s="2" t="s">
        <v>2134</v>
      </c>
      <c r="H507" s="2" t="s">
        <v>45</v>
      </c>
      <c r="I507" s="2" t="s">
        <v>2135</v>
      </c>
      <c r="K507" s="4">
        <v>26836</v>
      </c>
      <c r="M507" s="2" t="s">
        <v>24</v>
      </c>
      <c r="N507" s="2" t="s">
        <v>25</v>
      </c>
    </row>
    <row r="508" spans="1:14">
      <c r="A508" s="2">
        <v>507</v>
      </c>
      <c r="B508" s="3" t="s">
        <v>2136</v>
      </c>
      <c r="C508" s="2" t="s">
        <v>2137</v>
      </c>
      <c r="D508" s="2">
        <v>57</v>
      </c>
      <c r="E508" s="2">
        <v>57</v>
      </c>
      <c r="F508" s="2" t="s">
        <v>2138</v>
      </c>
      <c r="H508" s="2" t="s">
        <v>17</v>
      </c>
      <c r="I508" s="2" t="s">
        <v>2139</v>
      </c>
      <c r="K508" s="4">
        <v>29823</v>
      </c>
      <c r="M508" s="2" t="s">
        <v>146</v>
      </c>
      <c r="N508" s="2" t="s">
        <v>147</v>
      </c>
    </row>
    <row r="509" spans="1:14">
      <c r="A509" s="2">
        <v>508</v>
      </c>
      <c r="B509" s="3" t="s">
        <v>2140</v>
      </c>
      <c r="C509" s="2" t="s">
        <v>2141</v>
      </c>
      <c r="D509" s="2">
        <v>57</v>
      </c>
      <c r="E509" s="2">
        <v>57</v>
      </c>
      <c r="F509" s="2" t="s">
        <v>2142</v>
      </c>
      <c r="H509" s="2" t="s">
        <v>17</v>
      </c>
      <c r="K509" s="4">
        <v>32910</v>
      </c>
      <c r="M509" s="2" t="s">
        <v>571</v>
      </c>
      <c r="N509" s="2" t="s">
        <v>2143</v>
      </c>
    </row>
    <row r="510" spans="1:14">
      <c r="A510" s="2">
        <v>509</v>
      </c>
      <c r="B510" s="3" t="s">
        <v>2144</v>
      </c>
      <c r="C510" s="2" t="s">
        <v>2145</v>
      </c>
      <c r="D510" s="2">
        <v>57</v>
      </c>
      <c r="E510" s="2">
        <v>57</v>
      </c>
      <c r="F510" s="2" t="s">
        <v>2146</v>
      </c>
      <c r="H510" s="2" t="s">
        <v>17</v>
      </c>
      <c r="I510" s="2" t="s">
        <v>2147</v>
      </c>
      <c r="K510" s="4">
        <v>30625</v>
      </c>
      <c r="M510" s="2" t="s">
        <v>969</v>
      </c>
      <c r="N510" s="2" t="s">
        <v>970</v>
      </c>
    </row>
    <row r="511" spans="1:14">
      <c r="A511" s="2">
        <v>510</v>
      </c>
      <c r="B511" s="3" t="s">
        <v>2148</v>
      </c>
      <c r="C511" s="2" t="s">
        <v>2149</v>
      </c>
      <c r="D511" s="2">
        <v>57</v>
      </c>
      <c r="E511" s="2">
        <v>57</v>
      </c>
      <c r="F511" s="2" t="s">
        <v>2150</v>
      </c>
      <c r="H511" s="2" t="s">
        <v>17</v>
      </c>
      <c r="I511" s="2" t="s">
        <v>2151</v>
      </c>
      <c r="K511" s="4">
        <v>23710</v>
      </c>
      <c r="M511" s="2" t="s">
        <v>35</v>
      </c>
      <c r="N511" s="2" t="s">
        <v>2152</v>
      </c>
    </row>
    <row r="512" spans="1:14">
      <c r="A512" s="2">
        <v>511</v>
      </c>
      <c r="B512" s="3" t="s">
        <v>2153</v>
      </c>
      <c r="C512" s="2" t="s">
        <v>2154</v>
      </c>
      <c r="D512" s="2">
        <v>56</v>
      </c>
      <c r="E512" s="2">
        <v>57</v>
      </c>
      <c r="F512" s="2" t="s">
        <v>2155</v>
      </c>
      <c r="H512" s="2" t="s">
        <v>17</v>
      </c>
      <c r="I512" s="2" t="s">
        <v>2156</v>
      </c>
      <c r="K512" s="4">
        <v>22349</v>
      </c>
      <c r="M512" s="2" t="s">
        <v>40</v>
      </c>
      <c r="N512" s="2" t="s">
        <v>2157</v>
      </c>
    </row>
    <row r="513" spans="1:14">
      <c r="A513" s="2">
        <v>512</v>
      </c>
      <c r="B513" s="3" t="s">
        <v>2158</v>
      </c>
      <c r="C513" s="2" t="s">
        <v>2159</v>
      </c>
      <c r="D513" s="2">
        <v>50</v>
      </c>
      <c r="E513" s="2">
        <v>57</v>
      </c>
      <c r="F513" s="2" t="s">
        <v>2160</v>
      </c>
      <c r="H513" s="2" t="s">
        <v>17</v>
      </c>
      <c r="I513" s="2" t="s">
        <v>2161</v>
      </c>
      <c r="K513" s="4">
        <v>20372</v>
      </c>
      <c r="M513" s="2" t="s">
        <v>164</v>
      </c>
      <c r="N513" s="2" t="s">
        <v>1223</v>
      </c>
    </row>
    <row r="514" spans="1:14">
      <c r="A514" s="2">
        <v>513</v>
      </c>
      <c r="B514" s="3" t="s">
        <v>2162</v>
      </c>
      <c r="C514" s="2" t="s">
        <v>2163</v>
      </c>
      <c r="D514" s="2">
        <v>57</v>
      </c>
      <c r="E514" s="2">
        <v>57</v>
      </c>
      <c r="F514" s="2" t="s">
        <v>2164</v>
      </c>
      <c r="H514" s="2" t="s">
        <v>17</v>
      </c>
      <c r="K514" s="4">
        <v>28781</v>
      </c>
      <c r="M514" s="2" t="s">
        <v>76</v>
      </c>
      <c r="N514" s="2" t="s">
        <v>906</v>
      </c>
    </row>
    <row r="515" spans="1:14">
      <c r="A515" s="2">
        <v>514</v>
      </c>
      <c r="B515" s="3" t="s">
        <v>2165</v>
      </c>
      <c r="C515" s="2" t="s">
        <v>2166</v>
      </c>
      <c r="D515" s="2">
        <v>52</v>
      </c>
      <c r="E515" s="2">
        <v>57</v>
      </c>
      <c r="F515" s="2" t="s">
        <v>2167</v>
      </c>
      <c r="H515" s="2" t="s">
        <v>17</v>
      </c>
      <c r="I515" s="2" t="s">
        <v>2168</v>
      </c>
      <c r="K515" s="4">
        <v>26756</v>
      </c>
      <c r="M515" s="2" t="s">
        <v>35</v>
      </c>
      <c r="N515" s="2" t="s">
        <v>2169</v>
      </c>
    </row>
    <row r="516" spans="1:14">
      <c r="A516" s="2">
        <v>515</v>
      </c>
      <c r="B516" s="3" t="s">
        <v>2170</v>
      </c>
      <c r="C516" s="2" t="s">
        <v>2171</v>
      </c>
      <c r="D516" s="2">
        <v>57</v>
      </c>
      <c r="E516" s="2">
        <v>57</v>
      </c>
      <c r="F516" s="2" t="s">
        <v>2172</v>
      </c>
      <c r="H516" s="2" t="s">
        <v>45</v>
      </c>
      <c r="I516" s="2" t="s">
        <v>2173</v>
      </c>
      <c r="K516" s="4">
        <v>23034</v>
      </c>
      <c r="M516" s="2" t="s">
        <v>66</v>
      </c>
      <c r="N516" s="2" t="s">
        <v>2174</v>
      </c>
    </row>
    <row r="517" spans="1:14">
      <c r="A517" s="2">
        <v>516</v>
      </c>
      <c r="B517" s="3" t="s">
        <v>2175</v>
      </c>
      <c r="C517" s="2" t="s">
        <v>2176</v>
      </c>
      <c r="D517" s="2">
        <v>57</v>
      </c>
      <c r="E517" s="2">
        <v>57</v>
      </c>
      <c r="F517" s="2" t="s">
        <v>2177</v>
      </c>
      <c r="H517" s="2" t="s">
        <v>17</v>
      </c>
      <c r="K517" s="4">
        <v>22526</v>
      </c>
      <c r="M517" s="2" t="s">
        <v>35</v>
      </c>
      <c r="N517" s="2" t="s">
        <v>2178</v>
      </c>
    </row>
    <row r="518" spans="1:14">
      <c r="A518" s="2">
        <v>517</v>
      </c>
      <c r="B518" s="3" t="s">
        <v>2179</v>
      </c>
      <c r="C518" s="2" t="s">
        <v>2180</v>
      </c>
      <c r="D518" s="2">
        <v>56</v>
      </c>
      <c r="E518" s="2">
        <v>57</v>
      </c>
      <c r="F518" s="2" t="s">
        <v>2181</v>
      </c>
      <c r="H518" s="2" t="s">
        <v>17</v>
      </c>
      <c r="K518" s="4">
        <v>23949</v>
      </c>
      <c r="M518" s="2" t="s">
        <v>154</v>
      </c>
      <c r="N518" s="2" t="s">
        <v>208</v>
      </c>
    </row>
    <row r="519" spans="1:14">
      <c r="A519" s="2">
        <v>518</v>
      </c>
      <c r="B519" s="3" t="s">
        <v>2182</v>
      </c>
      <c r="C519" s="2" t="s">
        <v>2183</v>
      </c>
      <c r="D519" s="2">
        <v>57</v>
      </c>
      <c r="E519" s="2">
        <v>57</v>
      </c>
      <c r="F519" s="2" t="s">
        <v>2184</v>
      </c>
      <c r="H519" s="2" t="s">
        <v>17</v>
      </c>
      <c r="K519" s="4">
        <v>34265</v>
      </c>
      <c r="M519" s="2" t="s">
        <v>170</v>
      </c>
      <c r="N519" s="2" t="s">
        <v>171</v>
      </c>
    </row>
    <row r="520" spans="1:14">
      <c r="A520" s="2">
        <v>519</v>
      </c>
      <c r="B520" s="3" t="s">
        <v>2185</v>
      </c>
      <c r="C520" s="2" t="s">
        <v>2186</v>
      </c>
      <c r="D520" s="2">
        <v>55</v>
      </c>
      <c r="E520" s="2">
        <v>57</v>
      </c>
      <c r="F520" s="2" t="s">
        <v>2187</v>
      </c>
      <c r="H520" s="2" t="s">
        <v>45</v>
      </c>
      <c r="K520" s="4">
        <v>30056</v>
      </c>
      <c r="M520" s="2" t="s">
        <v>47</v>
      </c>
      <c r="N520" s="2" t="s">
        <v>48</v>
      </c>
    </row>
    <row r="521" spans="1:14">
      <c r="A521" s="2">
        <v>520</v>
      </c>
      <c r="B521" s="3" t="s">
        <v>2188</v>
      </c>
      <c r="C521" s="2" t="s">
        <v>2189</v>
      </c>
      <c r="D521" s="2">
        <v>57</v>
      </c>
      <c r="E521" s="2">
        <v>57</v>
      </c>
      <c r="F521" s="2" t="s">
        <v>2190</v>
      </c>
      <c r="H521" s="2" t="s">
        <v>45</v>
      </c>
      <c r="I521" s="2" t="s">
        <v>2191</v>
      </c>
      <c r="K521" s="4">
        <v>28102</v>
      </c>
      <c r="M521" s="2" t="s">
        <v>164</v>
      </c>
      <c r="N521" s="2" t="s">
        <v>2192</v>
      </c>
    </row>
    <row r="522" spans="1:14">
      <c r="A522" s="2">
        <v>521</v>
      </c>
      <c r="B522" s="3" t="s">
        <v>2193</v>
      </c>
      <c r="C522" s="2" t="s">
        <v>2194</v>
      </c>
      <c r="D522" s="2">
        <v>49</v>
      </c>
      <c r="E522" s="2">
        <v>57</v>
      </c>
      <c r="F522" s="2" t="s">
        <v>2195</v>
      </c>
      <c r="H522" s="2" t="s">
        <v>17</v>
      </c>
      <c r="K522" s="4">
        <v>21660</v>
      </c>
      <c r="M522" s="2" t="s">
        <v>146</v>
      </c>
      <c r="N522" s="2" t="s">
        <v>2196</v>
      </c>
    </row>
    <row r="523" spans="1:14">
      <c r="A523" s="2">
        <v>522</v>
      </c>
      <c r="B523" s="3" t="s">
        <v>2197</v>
      </c>
      <c r="C523" s="2" t="s">
        <v>2198</v>
      </c>
      <c r="D523" s="2">
        <v>57</v>
      </c>
      <c r="E523" s="2">
        <v>57</v>
      </c>
      <c r="F523" s="2" t="s">
        <v>2199</v>
      </c>
      <c r="H523" s="2" t="s">
        <v>17</v>
      </c>
      <c r="I523" s="3" t="s">
        <v>2200</v>
      </c>
      <c r="K523" s="4">
        <v>27541</v>
      </c>
      <c r="M523" s="2" t="s">
        <v>47</v>
      </c>
      <c r="N523" s="2" t="s">
        <v>2201</v>
      </c>
    </row>
    <row r="524" spans="1:14">
      <c r="A524" s="2">
        <v>523</v>
      </c>
      <c r="B524" s="3" t="s">
        <v>2202</v>
      </c>
      <c r="C524" s="2" t="s">
        <v>2203</v>
      </c>
      <c r="D524" s="2">
        <v>57</v>
      </c>
      <c r="E524" s="2">
        <v>57</v>
      </c>
      <c r="F524" s="2" t="s">
        <v>2204</v>
      </c>
      <c r="H524" s="2" t="s">
        <v>17</v>
      </c>
      <c r="I524" s="2" t="s">
        <v>2205</v>
      </c>
      <c r="K524" s="4">
        <v>26555</v>
      </c>
      <c r="M524" s="2" t="s">
        <v>170</v>
      </c>
      <c r="N524" s="2" t="s">
        <v>323</v>
      </c>
    </row>
    <row r="525" spans="1:14">
      <c r="A525" s="2">
        <v>524</v>
      </c>
      <c r="B525" s="3" t="s">
        <v>2206</v>
      </c>
      <c r="C525" s="2" t="s">
        <v>2207</v>
      </c>
      <c r="D525" s="2">
        <v>57</v>
      </c>
      <c r="E525" s="2">
        <v>57</v>
      </c>
      <c r="F525" s="2" t="s">
        <v>2208</v>
      </c>
      <c r="H525" s="2" t="s">
        <v>17</v>
      </c>
      <c r="I525" s="2" t="s">
        <v>2209</v>
      </c>
      <c r="K525" s="4">
        <v>28872</v>
      </c>
      <c r="M525" s="2" t="s">
        <v>53</v>
      </c>
      <c r="N525" s="2" t="s">
        <v>847</v>
      </c>
    </row>
    <row r="526" spans="1:14">
      <c r="A526" s="2">
        <v>525</v>
      </c>
      <c r="B526" s="3" t="s">
        <v>2210</v>
      </c>
      <c r="C526" s="2" t="s">
        <v>2211</v>
      </c>
      <c r="D526" s="2">
        <v>50</v>
      </c>
      <c r="E526" s="2">
        <v>57</v>
      </c>
      <c r="F526" s="2" t="s">
        <v>2212</v>
      </c>
      <c r="H526" s="2" t="s">
        <v>17</v>
      </c>
      <c r="K526" s="4">
        <v>21869</v>
      </c>
      <c r="M526" s="2" t="s">
        <v>154</v>
      </c>
      <c r="N526" s="2" t="s">
        <v>935</v>
      </c>
    </row>
    <row r="527" spans="1:14">
      <c r="A527" s="2">
        <v>526</v>
      </c>
      <c r="B527" s="3" t="s">
        <v>2213</v>
      </c>
      <c r="C527" s="2" t="s">
        <v>2214</v>
      </c>
      <c r="D527" s="2">
        <v>56</v>
      </c>
      <c r="E527" s="2">
        <v>57</v>
      </c>
      <c r="F527" s="2" t="s">
        <v>2215</v>
      </c>
      <c r="H527" s="2" t="s">
        <v>17</v>
      </c>
      <c r="I527" s="2" t="s">
        <v>2216</v>
      </c>
      <c r="K527" s="4">
        <v>28396</v>
      </c>
      <c r="M527" s="2" t="s">
        <v>423</v>
      </c>
      <c r="N527" s="2" t="s">
        <v>621</v>
      </c>
    </row>
    <row r="528" spans="1:14">
      <c r="A528" s="2">
        <v>527</v>
      </c>
      <c r="B528" s="3" t="s">
        <v>2217</v>
      </c>
      <c r="C528" s="2" t="s">
        <v>2218</v>
      </c>
      <c r="D528" s="2">
        <v>57</v>
      </c>
      <c r="E528" s="2">
        <v>57</v>
      </c>
      <c r="F528" s="2" t="s">
        <v>2219</v>
      </c>
      <c r="H528" s="2" t="s">
        <v>17</v>
      </c>
      <c r="I528" s="2" t="s">
        <v>2220</v>
      </c>
      <c r="K528" s="4">
        <v>27632</v>
      </c>
      <c r="M528" s="2" t="s">
        <v>40</v>
      </c>
      <c r="N528" s="2" t="s">
        <v>2221</v>
      </c>
    </row>
    <row r="529" spans="1:14">
      <c r="A529" s="2">
        <v>528</v>
      </c>
      <c r="B529" s="3" t="s">
        <v>2222</v>
      </c>
      <c r="C529" s="2" t="s">
        <v>2223</v>
      </c>
      <c r="D529" s="2">
        <v>57</v>
      </c>
      <c r="E529" s="2">
        <v>57</v>
      </c>
      <c r="F529" s="2" t="s">
        <v>2224</v>
      </c>
      <c r="H529" s="2" t="s">
        <v>17</v>
      </c>
      <c r="K529" s="4">
        <v>27553</v>
      </c>
      <c r="M529" s="2" t="s">
        <v>47</v>
      </c>
      <c r="N529" s="2" t="s">
        <v>48</v>
      </c>
    </row>
    <row r="530" spans="1:14">
      <c r="A530" s="2">
        <v>529</v>
      </c>
      <c r="B530" s="3" t="s">
        <v>2225</v>
      </c>
      <c r="C530" s="2" t="s">
        <v>2226</v>
      </c>
      <c r="D530" s="2">
        <v>56</v>
      </c>
      <c r="E530" s="2">
        <v>57</v>
      </c>
      <c r="F530" s="2" t="s">
        <v>2227</v>
      </c>
      <c r="H530" s="2" t="s">
        <v>17</v>
      </c>
      <c r="I530" s="3" t="s">
        <v>2228</v>
      </c>
      <c r="K530" s="4">
        <v>31291</v>
      </c>
      <c r="M530" s="2" t="s">
        <v>47</v>
      </c>
      <c r="N530" s="2" t="s">
        <v>417</v>
      </c>
    </row>
    <row r="531" spans="1:14">
      <c r="A531" s="2">
        <v>530</v>
      </c>
      <c r="B531" s="3" t="s">
        <v>2229</v>
      </c>
      <c r="C531" s="2" t="s">
        <v>2230</v>
      </c>
      <c r="D531" s="2">
        <v>56</v>
      </c>
      <c r="E531" s="2">
        <v>57</v>
      </c>
      <c r="F531" s="2" t="s">
        <v>2231</v>
      </c>
      <c r="H531" s="2" t="s">
        <v>17</v>
      </c>
      <c r="I531" s="3" t="s">
        <v>2232</v>
      </c>
      <c r="K531" s="4">
        <v>25614</v>
      </c>
      <c r="M531" s="2" t="s">
        <v>85</v>
      </c>
      <c r="N531" s="2" t="s">
        <v>2233</v>
      </c>
    </row>
    <row r="532" spans="1:14">
      <c r="A532" s="2">
        <v>531</v>
      </c>
      <c r="B532" s="3" t="s">
        <v>2234</v>
      </c>
      <c r="C532" s="2" t="s">
        <v>2235</v>
      </c>
      <c r="D532" s="2">
        <v>57</v>
      </c>
      <c r="E532" s="2">
        <v>57</v>
      </c>
      <c r="F532" s="2" t="s">
        <v>2236</v>
      </c>
      <c r="H532" s="2" t="s">
        <v>45</v>
      </c>
      <c r="K532" s="4">
        <v>29352</v>
      </c>
      <c r="M532" s="2" t="s">
        <v>40</v>
      </c>
      <c r="N532" s="2" t="s">
        <v>41</v>
      </c>
    </row>
    <row r="533" spans="1:14">
      <c r="A533" s="2">
        <v>532</v>
      </c>
      <c r="B533" s="3" t="s">
        <v>2237</v>
      </c>
      <c r="C533" s="2" t="s">
        <v>2238</v>
      </c>
      <c r="D533" s="2">
        <v>57</v>
      </c>
      <c r="E533" s="2">
        <v>57</v>
      </c>
      <c r="F533" s="2" t="s">
        <v>2239</v>
      </c>
      <c r="H533" s="2" t="s">
        <v>17</v>
      </c>
      <c r="I533" s="2" t="s">
        <v>2240</v>
      </c>
      <c r="K533" s="4">
        <v>27509</v>
      </c>
      <c r="M533" s="2" t="s">
        <v>66</v>
      </c>
      <c r="N533" s="2" t="s">
        <v>71</v>
      </c>
    </row>
    <row r="534" spans="1:14">
      <c r="A534" s="2">
        <v>533</v>
      </c>
      <c r="B534" s="3" t="s">
        <v>2241</v>
      </c>
      <c r="C534" s="2" t="s">
        <v>2242</v>
      </c>
      <c r="D534" s="2">
        <v>57</v>
      </c>
      <c r="E534" s="2">
        <v>57</v>
      </c>
      <c r="F534" s="2" t="s">
        <v>2243</v>
      </c>
      <c r="H534" s="2" t="s">
        <v>17</v>
      </c>
      <c r="K534" s="4">
        <v>20797</v>
      </c>
      <c r="M534" s="2" t="s">
        <v>170</v>
      </c>
      <c r="N534" s="2" t="s">
        <v>323</v>
      </c>
    </row>
    <row r="535" spans="1:14">
      <c r="A535" s="2">
        <v>534</v>
      </c>
      <c r="B535" s="3" t="s">
        <v>2244</v>
      </c>
      <c r="C535" s="2" t="s">
        <v>2245</v>
      </c>
      <c r="D535" s="2">
        <v>57</v>
      </c>
      <c r="E535" s="2">
        <v>57</v>
      </c>
      <c r="F535" s="2" t="s">
        <v>2246</v>
      </c>
      <c r="H535" s="2" t="s">
        <v>17</v>
      </c>
      <c r="K535" s="4">
        <v>21652</v>
      </c>
      <c r="M535" s="2" t="s">
        <v>336</v>
      </c>
      <c r="N535" s="2" t="s">
        <v>1883</v>
      </c>
    </row>
    <row r="536" spans="1:14">
      <c r="A536" s="2">
        <v>535</v>
      </c>
      <c r="B536" s="3" t="s">
        <v>2247</v>
      </c>
      <c r="C536" s="2" t="s">
        <v>2248</v>
      </c>
      <c r="D536" s="2">
        <v>57</v>
      </c>
      <c r="E536" s="2">
        <v>57</v>
      </c>
      <c r="F536" s="2" t="s">
        <v>2249</v>
      </c>
      <c r="H536" s="2" t="s">
        <v>17</v>
      </c>
      <c r="I536" s="2" t="s">
        <v>2250</v>
      </c>
      <c r="J536" s="3" t="s">
        <v>2251</v>
      </c>
      <c r="K536" s="4">
        <v>26992</v>
      </c>
      <c r="M536" s="2" t="s">
        <v>341</v>
      </c>
      <c r="N536" s="2" t="s">
        <v>2252</v>
      </c>
    </row>
    <row r="537" spans="1:14">
      <c r="A537" s="2">
        <v>536</v>
      </c>
      <c r="B537" s="3" t="s">
        <v>2253</v>
      </c>
      <c r="C537" s="2" t="s">
        <v>2254</v>
      </c>
      <c r="D537" s="2">
        <v>57</v>
      </c>
      <c r="E537" s="2">
        <v>57</v>
      </c>
      <c r="F537" s="2" t="s">
        <v>2255</v>
      </c>
      <c r="H537" s="2" t="s">
        <v>17</v>
      </c>
      <c r="K537" s="4">
        <v>27724</v>
      </c>
      <c r="M537" s="2" t="s">
        <v>154</v>
      </c>
      <c r="N537" s="2" t="s">
        <v>2256</v>
      </c>
    </row>
    <row r="538" spans="1:14">
      <c r="A538" s="2">
        <v>537</v>
      </c>
      <c r="B538" s="3" t="s">
        <v>2257</v>
      </c>
      <c r="C538" s="2" t="s">
        <v>2258</v>
      </c>
      <c r="D538" s="2">
        <v>53</v>
      </c>
      <c r="E538" s="2">
        <v>57</v>
      </c>
      <c r="F538" s="2" t="s">
        <v>2259</v>
      </c>
      <c r="H538" s="2" t="s">
        <v>17</v>
      </c>
      <c r="I538" s="2" t="s">
        <v>2260</v>
      </c>
      <c r="K538" s="4">
        <v>26129</v>
      </c>
      <c r="M538" s="2" t="s">
        <v>35</v>
      </c>
      <c r="N538" s="2" t="s">
        <v>2261</v>
      </c>
    </row>
    <row r="539" spans="1:14">
      <c r="A539" s="2">
        <v>538</v>
      </c>
      <c r="B539" s="3" t="s">
        <v>2262</v>
      </c>
      <c r="C539" s="2" t="s">
        <v>2263</v>
      </c>
      <c r="D539" s="2">
        <v>57</v>
      </c>
      <c r="E539" s="2">
        <v>57</v>
      </c>
      <c r="F539" s="2" t="s">
        <v>2264</v>
      </c>
      <c r="H539" s="2" t="s">
        <v>17</v>
      </c>
      <c r="K539" s="4">
        <v>32524</v>
      </c>
      <c r="M539" s="2" t="s">
        <v>154</v>
      </c>
      <c r="N539" s="2" t="s">
        <v>2265</v>
      </c>
    </row>
    <row r="540" spans="1:14">
      <c r="A540" s="2">
        <v>539</v>
      </c>
      <c r="B540" s="3" t="s">
        <v>2266</v>
      </c>
      <c r="C540" s="2" t="s">
        <v>2267</v>
      </c>
      <c r="D540" s="2">
        <v>57</v>
      </c>
      <c r="E540" s="2">
        <v>57</v>
      </c>
      <c r="F540" s="2" t="s">
        <v>2268</v>
      </c>
      <c r="H540" s="2" t="s">
        <v>17</v>
      </c>
      <c r="I540" s="2" t="s">
        <v>2269</v>
      </c>
      <c r="K540" s="4">
        <v>30758</v>
      </c>
      <c r="M540" s="2" t="s">
        <v>47</v>
      </c>
      <c r="N540" s="2" t="s">
        <v>1718</v>
      </c>
    </row>
    <row r="541" spans="1:14">
      <c r="A541" s="2">
        <v>540</v>
      </c>
      <c r="B541" s="3" t="s">
        <v>2270</v>
      </c>
      <c r="C541" s="2" t="s">
        <v>2271</v>
      </c>
      <c r="D541" s="2">
        <v>53</v>
      </c>
      <c r="E541" s="2">
        <v>57</v>
      </c>
      <c r="F541" s="2" t="s">
        <v>2272</v>
      </c>
      <c r="H541" s="2" t="s">
        <v>17</v>
      </c>
      <c r="K541" s="4">
        <v>21744</v>
      </c>
      <c r="M541" s="2" t="s">
        <v>170</v>
      </c>
      <c r="N541" s="2" t="s">
        <v>323</v>
      </c>
    </row>
    <row r="542" spans="1:14">
      <c r="A542" s="2">
        <v>541</v>
      </c>
      <c r="B542" s="3" t="s">
        <v>2273</v>
      </c>
      <c r="C542" s="2" t="s">
        <v>2274</v>
      </c>
      <c r="D542" s="2">
        <v>57</v>
      </c>
      <c r="E542" s="2">
        <v>57</v>
      </c>
      <c r="F542" s="2" t="s">
        <v>2275</v>
      </c>
      <c r="H542" s="2" t="s">
        <v>17</v>
      </c>
      <c r="I542" s="2" t="s">
        <v>2276</v>
      </c>
      <c r="K542" s="4">
        <v>32726</v>
      </c>
      <c r="M542" s="2" t="s">
        <v>91</v>
      </c>
      <c r="N542" s="2" t="s">
        <v>677</v>
      </c>
    </row>
    <row r="543" spans="1:14">
      <c r="A543" s="2">
        <v>542</v>
      </c>
      <c r="B543" s="3" t="s">
        <v>2277</v>
      </c>
      <c r="C543" s="2" t="s">
        <v>2278</v>
      </c>
      <c r="D543" s="2">
        <v>57</v>
      </c>
      <c r="E543" s="2">
        <v>57</v>
      </c>
      <c r="F543" s="2" t="s">
        <v>2279</v>
      </c>
      <c r="H543" s="2" t="s">
        <v>45</v>
      </c>
      <c r="I543" s="2" t="s">
        <v>2280</v>
      </c>
      <c r="K543" s="4">
        <v>24338</v>
      </c>
      <c r="M543" s="2" t="s">
        <v>170</v>
      </c>
      <c r="N543" s="2" t="s">
        <v>323</v>
      </c>
    </row>
    <row r="544" spans="1:14">
      <c r="A544" s="2">
        <v>543</v>
      </c>
      <c r="B544" s="3" t="s">
        <v>2281</v>
      </c>
      <c r="C544" s="2" t="s">
        <v>2282</v>
      </c>
      <c r="D544" s="2">
        <v>56</v>
      </c>
      <c r="E544" s="2">
        <v>57</v>
      </c>
      <c r="F544" s="2" t="s">
        <v>2283</v>
      </c>
      <c r="H544" s="2" t="s">
        <v>17</v>
      </c>
      <c r="I544" s="2" t="s">
        <v>2284</v>
      </c>
      <c r="K544" s="4">
        <v>21196</v>
      </c>
      <c r="M544" s="2" t="s">
        <v>35</v>
      </c>
      <c r="N544" s="2" t="s">
        <v>58</v>
      </c>
    </row>
    <row r="545" spans="1:14">
      <c r="A545" s="2">
        <v>544</v>
      </c>
      <c r="B545" s="3" t="s">
        <v>2285</v>
      </c>
      <c r="C545" s="2" t="s">
        <v>2286</v>
      </c>
      <c r="D545" s="2">
        <v>54</v>
      </c>
      <c r="E545" s="2">
        <v>57</v>
      </c>
      <c r="F545" s="2" t="s">
        <v>2287</v>
      </c>
      <c r="H545" s="2" t="s">
        <v>17</v>
      </c>
      <c r="I545" s="2" t="s">
        <v>2288</v>
      </c>
      <c r="K545" s="4">
        <v>24116</v>
      </c>
      <c r="M545" s="2" t="s">
        <v>76</v>
      </c>
      <c r="N545" s="2" t="s">
        <v>77</v>
      </c>
    </row>
    <row r="546" spans="1:14">
      <c r="A546" s="2">
        <v>545</v>
      </c>
      <c r="B546" s="3" t="s">
        <v>2289</v>
      </c>
      <c r="C546" s="2" t="s">
        <v>2290</v>
      </c>
      <c r="D546" s="2">
        <v>54</v>
      </c>
      <c r="E546" s="2">
        <v>57</v>
      </c>
      <c r="F546" s="2" t="s">
        <v>2291</v>
      </c>
      <c r="H546" s="2" t="s">
        <v>17</v>
      </c>
      <c r="I546" s="2" t="s">
        <v>2292</v>
      </c>
      <c r="K546" s="4">
        <v>24222</v>
      </c>
      <c r="M546" s="2" t="s">
        <v>66</v>
      </c>
      <c r="N546" s="2" t="s">
        <v>1693</v>
      </c>
    </row>
    <row r="547" spans="1:14">
      <c r="A547" s="2">
        <v>546</v>
      </c>
      <c r="B547" s="3" t="s">
        <v>2293</v>
      </c>
      <c r="C547" s="2" t="s">
        <v>2294</v>
      </c>
      <c r="D547" s="2">
        <v>56</v>
      </c>
      <c r="E547" s="2">
        <v>57</v>
      </c>
      <c r="F547" s="2" t="s">
        <v>2295</v>
      </c>
      <c r="H547" s="2" t="s">
        <v>45</v>
      </c>
      <c r="I547" s="2" t="s">
        <v>2296</v>
      </c>
      <c r="K547" s="4">
        <v>25331</v>
      </c>
      <c r="M547" s="2" t="s">
        <v>47</v>
      </c>
      <c r="N547" s="2" t="s">
        <v>691</v>
      </c>
    </row>
    <row r="548" spans="1:14">
      <c r="A548" s="2">
        <v>547</v>
      </c>
      <c r="B548" s="3" t="s">
        <v>2297</v>
      </c>
      <c r="C548" s="2" t="s">
        <v>2298</v>
      </c>
      <c r="D548" s="2">
        <v>55</v>
      </c>
      <c r="E548" s="2">
        <v>57</v>
      </c>
      <c r="F548" s="2" t="s">
        <v>2299</v>
      </c>
      <c r="H548" s="2" t="s">
        <v>45</v>
      </c>
      <c r="I548" s="2" t="s">
        <v>2300</v>
      </c>
      <c r="J548" s="3" t="s">
        <v>2301</v>
      </c>
      <c r="K548" s="4">
        <v>24468</v>
      </c>
      <c r="M548" s="2" t="s">
        <v>170</v>
      </c>
      <c r="N548" s="2" t="s">
        <v>323</v>
      </c>
    </row>
    <row r="549" spans="1:14">
      <c r="A549" s="2">
        <v>548</v>
      </c>
      <c r="B549" s="3" t="s">
        <v>2302</v>
      </c>
      <c r="C549" s="2" t="s">
        <v>2303</v>
      </c>
      <c r="D549" s="2">
        <v>57</v>
      </c>
      <c r="E549" s="2">
        <v>57</v>
      </c>
      <c r="F549" s="2" t="s">
        <v>2304</v>
      </c>
      <c r="H549" s="2" t="s">
        <v>45</v>
      </c>
      <c r="I549" s="2" t="s">
        <v>2305</v>
      </c>
      <c r="K549" s="4">
        <v>27177</v>
      </c>
      <c r="M549" s="2" t="s">
        <v>154</v>
      </c>
      <c r="N549" s="2" t="s">
        <v>208</v>
      </c>
    </row>
    <row r="550" spans="1:14">
      <c r="A550" s="2">
        <v>549</v>
      </c>
      <c r="B550" s="3" t="s">
        <v>2306</v>
      </c>
      <c r="C550" s="2" t="s">
        <v>2307</v>
      </c>
      <c r="D550" s="2">
        <v>57</v>
      </c>
      <c r="E550" s="2">
        <v>57</v>
      </c>
      <c r="F550" s="2" t="s">
        <v>2308</v>
      </c>
      <c r="H550" s="2" t="s">
        <v>45</v>
      </c>
      <c r="I550" s="3" t="s">
        <v>2309</v>
      </c>
      <c r="K550" s="4">
        <v>23119</v>
      </c>
      <c r="M550" s="2" t="s">
        <v>35</v>
      </c>
      <c r="N550" s="2" t="s">
        <v>2310</v>
      </c>
    </row>
    <row r="551" spans="1:14">
      <c r="A551" s="2">
        <v>550</v>
      </c>
      <c r="B551" s="3" t="s">
        <v>2311</v>
      </c>
      <c r="C551" s="2" t="s">
        <v>2312</v>
      </c>
      <c r="D551" s="2">
        <v>49</v>
      </c>
      <c r="E551" s="2">
        <v>57</v>
      </c>
      <c r="F551" s="2" t="s">
        <v>2313</v>
      </c>
      <c r="H551" s="2" t="s">
        <v>45</v>
      </c>
      <c r="I551" s="2" t="s">
        <v>2314</v>
      </c>
      <c r="K551" s="4">
        <v>19511</v>
      </c>
      <c r="M551" s="2" t="s">
        <v>185</v>
      </c>
      <c r="N551" s="2" t="s">
        <v>838</v>
      </c>
    </row>
    <row r="552" spans="1:14">
      <c r="A552" s="2">
        <v>551</v>
      </c>
      <c r="B552" s="3" t="s">
        <v>2315</v>
      </c>
      <c r="C552" s="2" t="s">
        <v>2316</v>
      </c>
      <c r="D552" s="2">
        <v>52</v>
      </c>
      <c r="E552" s="2">
        <v>57</v>
      </c>
      <c r="F552" s="2" t="s">
        <v>2317</v>
      </c>
      <c r="H552" s="2" t="s">
        <v>17</v>
      </c>
      <c r="K552" s="4">
        <v>20491</v>
      </c>
      <c r="M552" s="2" t="s">
        <v>53</v>
      </c>
      <c r="N552" s="2" t="s">
        <v>2318</v>
      </c>
    </row>
    <row r="553" spans="1:14">
      <c r="A553" s="2">
        <v>552</v>
      </c>
      <c r="B553" s="3" t="s">
        <v>2319</v>
      </c>
      <c r="C553" s="2" t="s">
        <v>2320</v>
      </c>
      <c r="D553" s="2">
        <v>55</v>
      </c>
      <c r="E553" s="2">
        <v>57</v>
      </c>
      <c r="F553" s="2" t="s">
        <v>2321</v>
      </c>
      <c r="H553" s="2" t="s">
        <v>17</v>
      </c>
      <c r="I553" s="2" t="s">
        <v>2322</v>
      </c>
      <c r="K553" s="4">
        <v>30757</v>
      </c>
      <c r="M553" s="2" t="s">
        <v>185</v>
      </c>
      <c r="N553" s="2" t="s">
        <v>838</v>
      </c>
    </row>
    <row r="554" spans="1:14">
      <c r="A554" s="2">
        <v>553</v>
      </c>
      <c r="B554" s="3" t="s">
        <v>2323</v>
      </c>
      <c r="C554" s="2" t="s">
        <v>2324</v>
      </c>
      <c r="D554" s="2">
        <v>51</v>
      </c>
      <c r="E554" s="2">
        <v>57</v>
      </c>
      <c r="F554" s="2" t="s">
        <v>2325</v>
      </c>
      <c r="H554" s="2" t="s">
        <v>17</v>
      </c>
      <c r="I554" s="2" t="s">
        <v>2326</v>
      </c>
      <c r="K554" s="4">
        <v>16036</v>
      </c>
      <c r="M554" s="2" t="s">
        <v>35</v>
      </c>
      <c r="N554" s="2" t="s">
        <v>2327</v>
      </c>
    </row>
    <row r="555" spans="1:14">
      <c r="A555" s="2">
        <v>554</v>
      </c>
      <c r="B555" s="3" t="s">
        <v>2328</v>
      </c>
      <c r="C555" s="2" t="s">
        <v>2329</v>
      </c>
      <c r="D555" s="2">
        <v>54</v>
      </c>
      <c r="E555" s="2">
        <v>57</v>
      </c>
      <c r="F555" s="2" t="s">
        <v>2330</v>
      </c>
      <c r="H555" s="2" t="s">
        <v>17</v>
      </c>
      <c r="I555" s="2" t="s">
        <v>2331</v>
      </c>
      <c r="K555" s="4">
        <v>25797</v>
      </c>
      <c r="M555" s="2" t="s">
        <v>76</v>
      </c>
      <c r="N555" s="2" t="s">
        <v>906</v>
      </c>
    </row>
    <row r="556" spans="1:14">
      <c r="A556" s="2">
        <v>555</v>
      </c>
      <c r="B556" s="3" t="s">
        <v>2332</v>
      </c>
      <c r="C556" s="2" t="s">
        <v>2333</v>
      </c>
      <c r="D556" s="2">
        <v>56</v>
      </c>
      <c r="E556" s="2">
        <v>57</v>
      </c>
      <c r="F556" s="2" t="s">
        <v>2334</v>
      </c>
      <c r="H556" s="2" t="s">
        <v>45</v>
      </c>
      <c r="I556" s="2" t="s">
        <v>2335</v>
      </c>
      <c r="K556" s="4">
        <v>32742</v>
      </c>
      <c r="M556" s="2" t="s">
        <v>47</v>
      </c>
      <c r="N556" s="2" t="s">
        <v>1980</v>
      </c>
    </row>
    <row r="557" spans="1:14">
      <c r="A557" s="2">
        <v>556</v>
      </c>
      <c r="B557" s="3" t="s">
        <v>2336</v>
      </c>
      <c r="C557" s="2" t="s">
        <v>2337</v>
      </c>
      <c r="D557" s="2">
        <v>57</v>
      </c>
      <c r="E557" s="2">
        <v>57</v>
      </c>
      <c r="F557" s="2" t="s">
        <v>2338</v>
      </c>
      <c r="H557" s="2" t="s">
        <v>17</v>
      </c>
      <c r="I557" s="2" t="s">
        <v>2339</v>
      </c>
      <c r="K557" s="4">
        <v>26209</v>
      </c>
      <c r="M557" s="2" t="s">
        <v>40</v>
      </c>
      <c r="N557" s="2" t="s">
        <v>2340</v>
      </c>
    </row>
    <row r="558" spans="1:14">
      <c r="A558" s="2">
        <v>557</v>
      </c>
      <c r="B558" s="3" t="s">
        <v>2341</v>
      </c>
      <c r="C558" s="2" t="s">
        <v>2342</v>
      </c>
      <c r="D558" s="2">
        <v>57</v>
      </c>
      <c r="E558" s="2">
        <v>57</v>
      </c>
      <c r="F558" s="2" t="s">
        <v>2343</v>
      </c>
      <c r="H558" s="2" t="s">
        <v>17</v>
      </c>
      <c r="I558" s="2" t="s">
        <v>2344</v>
      </c>
      <c r="K558" s="4">
        <v>33668</v>
      </c>
      <c r="M558" s="2" t="s">
        <v>35</v>
      </c>
      <c r="N558" s="2" t="s">
        <v>58</v>
      </c>
    </row>
    <row r="559" spans="1:14">
      <c r="A559" s="2">
        <v>558</v>
      </c>
      <c r="B559" s="3" t="s">
        <v>2345</v>
      </c>
      <c r="C559" s="2" t="s">
        <v>2346</v>
      </c>
      <c r="D559" s="2">
        <v>56</v>
      </c>
      <c r="E559" s="2">
        <v>57</v>
      </c>
      <c r="F559" s="2" t="s">
        <v>2347</v>
      </c>
      <c r="H559" s="2" t="s">
        <v>17</v>
      </c>
      <c r="I559" s="2" t="s">
        <v>2348</v>
      </c>
      <c r="K559" s="4">
        <v>25538</v>
      </c>
      <c r="M559" s="2" t="s">
        <v>66</v>
      </c>
      <c r="N559" s="2" t="s">
        <v>2349</v>
      </c>
    </row>
    <row r="560" spans="1:14">
      <c r="A560" s="2">
        <v>559</v>
      </c>
      <c r="B560" s="3" t="s">
        <v>2350</v>
      </c>
      <c r="C560" s="2" t="s">
        <v>2351</v>
      </c>
      <c r="D560" s="2">
        <v>54</v>
      </c>
      <c r="E560" s="2">
        <v>57</v>
      </c>
      <c r="F560" s="2" t="s">
        <v>2352</v>
      </c>
      <c r="H560" s="2" t="s">
        <v>17</v>
      </c>
      <c r="K560" s="4">
        <v>26628</v>
      </c>
      <c r="M560" s="2" t="s">
        <v>154</v>
      </c>
      <c r="N560" s="2" t="s">
        <v>155</v>
      </c>
    </row>
    <row r="561" spans="1:14">
      <c r="A561" s="2">
        <v>560</v>
      </c>
      <c r="B561" s="3" t="s">
        <v>2353</v>
      </c>
      <c r="C561" s="2" t="s">
        <v>2354</v>
      </c>
      <c r="D561" s="2">
        <v>56</v>
      </c>
      <c r="E561" s="2">
        <v>57</v>
      </c>
      <c r="F561" s="2" t="s">
        <v>2355</v>
      </c>
      <c r="H561" s="2" t="s">
        <v>17</v>
      </c>
      <c r="I561" s="2" t="s">
        <v>2356</v>
      </c>
      <c r="K561" s="4">
        <v>23321</v>
      </c>
      <c r="M561" s="2" t="s">
        <v>154</v>
      </c>
      <c r="N561" s="2" t="s">
        <v>346</v>
      </c>
    </row>
    <row r="562" spans="1:14">
      <c r="A562" s="2">
        <v>561</v>
      </c>
      <c r="B562" s="3" t="s">
        <v>2357</v>
      </c>
      <c r="C562" s="2" t="s">
        <v>2358</v>
      </c>
      <c r="D562" s="2">
        <v>57</v>
      </c>
      <c r="E562" s="2">
        <v>57</v>
      </c>
      <c r="F562" s="2" t="s">
        <v>2359</v>
      </c>
      <c r="H562" s="2" t="s">
        <v>17</v>
      </c>
      <c r="I562" s="2" t="s">
        <v>2360</v>
      </c>
      <c r="K562" s="4">
        <v>30739</v>
      </c>
      <c r="M562" s="2" t="s">
        <v>76</v>
      </c>
      <c r="N562" s="2" t="s">
        <v>77</v>
      </c>
    </row>
    <row r="563" spans="1:14">
      <c r="A563" s="2">
        <v>562</v>
      </c>
      <c r="B563" s="3" t="s">
        <v>2361</v>
      </c>
      <c r="C563" s="2" t="s">
        <v>2362</v>
      </c>
      <c r="D563" s="2">
        <v>57</v>
      </c>
      <c r="E563" s="2">
        <v>57</v>
      </c>
      <c r="F563" s="2" t="s">
        <v>2363</v>
      </c>
      <c r="H563" s="2" t="s">
        <v>17</v>
      </c>
      <c r="I563" s="2" t="s">
        <v>2364</v>
      </c>
      <c r="K563" s="4">
        <v>27998</v>
      </c>
      <c r="M563" s="2" t="s">
        <v>170</v>
      </c>
      <c r="N563" s="2" t="s">
        <v>323</v>
      </c>
    </row>
    <row r="564" spans="1:14">
      <c r="A564" s="2">
        <v>563</v>
      </c>
      <c r="B564" s="3" t="s">
        <v>2365</v>
      </c>
      <c r="C564" s="2" t="s">
        <v>2366</v>
      </c>
      <c r="D564" s="2">
        <v>57</v>
      </c>
      <c r="E564" s="2">
        <v>57</v>
      </c>
      <c r="F564" s="2" t="s">
        <v>2367</v>
      </c>
      <c r="H564" s="2" t="s">
        <v>17</v>
      </c>
      <c r="I564" s="2" t="s">
        <v>2368</v>
      </c>
      <c r="K564" s="4">
        <v>30855</v>
      </c>
      <c r="M564" s="2" t="s">
        <v>30</v>
      </c>
      <c r="N564" s="2" t="s">
        <v>31</v>
      </c>
    </row>
    <row r="565" spans="1:14">
      <c r="A565" s="2">
        <v>564</v>
      </c>
      <c r="B565" s="3" t="s">
        <v>2369</v>
      </c>
      <c r="C565" s="2" t="s">
        <v>2370</v>
      </c>
      <c r="D565" s="2">
        <v>57</v>
      </c>
      <c r="E565" s="2">
        <v>57</v>
      </c>
      <c r="F565" s="2" t="s">
        <v>2371</v>
      </c>
      <c r="H565" s="2" t="s">
        <v>17</v>
      </c>
      <c r="I565" s="2" t="s">
        <v>2372</v>
      </c>
      <c r="K565" s="4">
        <v>30337</v>
      </c>
      <c r="M565" s="2" t="s">
        <v>47</v>
      </c>
      <c r="N565" s="2" t="s">
        <v>625</v>
      </c>
    </row>
    <row r="566" spans="1:14">
      <c r="A566" s="2">
        <v>565</v>
      </c>
      <c r="B566" s="3" t="s">
        <v>2373</v>
      </c>
      <c r="C566" s="2" t="s">
        <v>2374</v>
      </c>
      <c r="D566" s="2">
        <v>48</v>
      </c>
      <c r="E566" s="2">
        <v>57</v>
      </c>
      <c r="F566" s="2" t="s">
        <v>2375</v>
      </c>
      <c r="H566" s="2" t="s">
        <v>17</v>
      </c>
      <c r="K566" s="4">
        <v>22440</v>
      </c>
      <c r="M566" s="2" t="s">
        <v>40</v>
      </c>
      <c r="N566" s="2" t="s">
        <v>2376</v>
      </c>
    </row>
    <row r="567" spans="1:14">
      <c r="A567" s="2">
        <v>566</v>
      </c>
      <c r="B567" s="3" t="s">
        <v>2377</v>
      </c>
      <c r="C567" s="2" t="s">
        <v>2378</v>
      </c>
      <c r="D567" s="2">
        <v>55</v>
      </c>
      <c r="E567" s="2">
        <v>57</v>
      </c>
      <c r="F567" s="2" t="s">
        <v>2379</v>
      </c>
      <c r="H567" s="2" t="s">
        <v>17</v>
      </c>
      <c r="I567" s="2" t="s">
        <v>2380</v>
      </c>
      <c r="K567" s="4">
        <v>26005</v>
      </c>
      <c r="M567" s="2" t="s">
        <v>154</v>
      </c>
      <c r="N567" s="2" t="s">
        <v>2381</v>
      </c>
    </row>
    <row r="568" spans="1:14">
      <c r="A568" s="2">
        <v>567</v>
      </c>
      <c r="B568" s="3" t="s">
        <v>2382</v>
      </c>
      <c r="C568" s="2" t="s">
        <v>2383</v>
      </c>
      <c r="D568" s="2">
        <v>56</v>
      </c>
      <c r="E568" s="2">
        <v>57</v>
      </c>
      <c r="F568" s="2" t="s">
        <v>2384</v>
      </c>
      <c r="H568" s="2" t="s">
        <v>17</v>
      </c>
      <c r="K568" s="4">
        <v>24570</v>
      </c>
      <c r="M568" s="2" t="s">
        <v>30</v>
      </c>
      <c r="N568" s="2" t="s">
        <v>31</v>
      </c>
    </row>
    <row r="569" spans="1:14">
      <c r="A569" s="2">
        <v>568</v>
      </c>
      <c r="B569" s="3" t="s">
        <v>2385</v>
      </c>
      <c r="C569" s="2" t="s">
        <v>2386</v>
      </c>
      <c r="D569" s="2">
        <v>51</v>
      </c>
      <c r="E569" s="2">
        <v>57</v>
      </c>
      <c r="F569" s="2" t="s">
        <v>2387</v>
      </c>
      <c r="H569" s="2" t="s">
        <v>17</v>
      </c>
      <c r="K569" s="4">
        <v>22995</v>
      </c>
      <c r="M569" s="2" t="s">
        <v>247</v>
      </c>
      <c r="N569" s="2" t="s">
        <v>886</v>
      </c>
    </row>
    <row r="570" spans="1:14">
      <c r="A570" s="2">
        <v>569</v>
      </c>
      <c r="B570" s="3" t="s">
        <v>2388</v>
      </c>
      <c r="C570" s="2" t="s">
        <v>2389</v>
      </c>
      <c r="D570" s="2">
        <v>56</v>
      </c>
      <c r="E570" s="2">
        <v>57</v>
      </c>
      <c r="F570" s="2" t="s">
        <v>2390</v>
      </c>
      <c r="H570" s="2" t="s">
        <v>45</v>
      </c>
      <c r="K570" s="4">
        <v>27044</v>
      </c>
      <c r="M570" s="2" t="s">
        <v>192</v>
      </c>
      <c r="N570" s="2" t="s">
        <v>1736</v>
      </c>
    </row>
    <row r="571" spans="1:14">
      <c r="A571" s="2">
        <v>570</v>
      </c>
      <c r="B571" s="3" t="s">
        <v>2391</v>
      </c>
      <c r="C571" s="2" t="s">
        <v>2392</v>
      </c>
      <c r="D571" s="2">
        <v>57</v>
      </c>
      <c r="E571" s="2">
        <v>57</v>
      </c>
      <c r="F571" s="2" t="s">
        <v>2393</v>
      </c>
      <c r="H571" s="2" t="s">
        <v>45</v>
      </c>
      <c r="I571" s="2" t="s">
        <v>2394</v>
      </c>
      <c r="K571" s="4">
        <v>27635</v>
      </c>
      <c r="M571" s="2" t="s">
        <v>24</v>
      </c>
      <c r="N571" s="2" t="s">
        <v>25</v>
      </c>
    </row>
    <row r="572" spans="1:14">
      <c r="A572" s="2">
        <v>571</v>
      </c>
      <c r="B572" s="3" t="s">
        <v>2395</v>
      </c>
      <c r="C572" s="2" t="s">
        <v>2396</v>
      </c>
      <c r="D572" s="2">
        <v>57</v>
      </c>
      <c r="E572" s="2">
        <v>57</v>
      </c>
      <c r="F572" s="2" t="s">
        <v>2397</v>
      </c>
      <c r="H572" s="2" t="s">
        <v>17</v>
      </c>
      <c r="K572" s="4">
        <v>25421</v>
      </c>
      <c r="M572" s="2" t="s">
        <v>185</v>
      </c>
      <c r="N572" s="2" t="s">
        <v>838</v>
      </c>
    </row>
    <row r="573" spans="1:14">
      <c r="A573" s="2">
        <v>572</v>
      </c>
      <c r="B573" s="3" t="s">
        <v>2398</v>
      </c>
      <c r="C573" s="2" t="s">
        <v>2399</v>
      </c>
      <c r="D573" s="2">
        <v>56</v>
      </c>
      <c r="E573" s="2">
        <v>57</v>
      </c>
      <c r="F573" s="2" t="s">
        <v>2400</v>
      </c>
      <c r="H573" s="2" t="s">
        <v>17</v>
      </c>
      <c r="I573" s="2" t="s">
        <v>2401</v>
      </c>
      <c r="K573" s="4">
        <v>30015</v>
      </c>
      <c r="M573" s="2" t="s">
        <v>198</v>
      </c>
      <c r="N573" s="2" t="s">
        <v>199</v>
      </c>
    </row>
    <row r="574" spans="1:14">
      <c r="A574" s="2">
        <v>573</v>
      </c>
      <c r="B574" s="3" t="s">
        <v>2402</v>
      </c>
      <c r="C574" s="2" t="s">
        <v>2403</v>
      </c>
      <c r="D574" s="2">
        <v>57</v>
      </c>
      <c r="E574" s="2">
        <v>57</v>
      </c>
      <c r="F574" s="2" t="s">
        <v>2404</v>
      </c>
      <c r="H574" s="2" t="s">
        <v>45</v>
      </c>
      <c r="I574" s="2" t="s">
        <v>2405</v>
      </c>
      <c r="K574" s="4">
        <v>29533</v>
      </c>
      <c r="M574" s="2" t="s">
        <v>53</v>
      </c>
      <c r="N574" s="2" t="s">
        <v>847</v>
      </c>
    </row>
    <row r="575" spans="1:14">
      <c r="A575" s="2">
        <v>574</v>
      </c>
      <c r="B575" s="3" t="s">
        <v>2406</v>
      </c>
      <c r="C575" s="2" t="s">
        <v>2407</v>
      </c>
      <c r="D575" s="2">
        <v>57</v>
      </c>
      <c r="E575" s="2">
        <v>57</v>
      </c>
      <c r="F575" s="2" t="s">
        <v>2408</v>
      </c>
      <c r="H575" s="2" t="s">
        <v>45</v>
      </c>
      <c r="I575" s="3" t="s">
        <v>2409</v>
      </c>
      <c r="K575" s="4">
        <v>27657</v>
      </c>
      <c r="M575" s="2" t="s">
        <v>47</v>
      </c>
      <c r="N575" s="2" t="s">
        <v>48</v>
      </c>
    </row>
    <row r="576" spans="1:14">
      <c r="A576" s="2">
        <v>575</v>
      </c>
      <c r="B576" s="3" t="s">
        <v>2410</v>
      </c>
      <c r="C576" s="2" t="s">
        <v>2411</v>
      </c>
      <c r="D576" s="2">
        <v>57</v>
      </c>
      <c r="E576" s="2">
        <v>57</v>
      </c>
      <c r="F576" s="2" t="s">
        <v>2412</v>
      </c>
      <c r="H576" s="2" t="s">
        <v>45</v>
      </c>
      <c r="I576" s="2" t="s">
        <v>2413</v>
      </c>
      <c r="K576" s="4">
        <v>24246</v>
      </c>
      <c r="M576" s="2" t="s">
        <v>247</v>
      </c>
      <c r="N576" s="2" t="s">
        <v>2414</v>
      </c>
    </row>
    <row r="577" spans="1:14">
      <c r="A577" s="2">
        <v>576</v>
      </c>
      <c r="B577" s="3" t="s">
        <v>2415</v>
      </c>
      <c r="C577" s="2" t="s">
        <v>2416</v>
      </c>
      <c r="D577" s="2">
        <v>57</v>
      </c>
      <c r="E577" s="2">
        <v>57</v>
      </c>
      <c r="F577" s="2" t="s">
        <v>2417</v>
      </c>
      <c r="H577" s="2" t="s">
        <v>45</v>
      </c>
      <c r="K577" s="4">
        <v>27094</v>
      </c>
      <c r="M577" s="2" t="s">
        <v>185</v>
      </c>
      <c r="N577" s="2" t="s">
        <v>1571</v>
      </c>
    </row>
    <row r="578" spans="1:14">
      <c r="A578" s="2">
        <v>577</v>
      </c>
      <c r="B578" s="3" t="s">
        <v>2418</v>
      </c>
      <c r="C578" s="2" t="s">
        <v>2419</v>
      </c>
      <c r="D578" s="2">
        <v>57</v>
      </c>
      <c r="E578" s="2">
        <v>57</v>
      </c>
      <c r="F578" s="2" t="s">
        <v>2420</v>
      </c>
      <c r="H578" s="2" t="s">
        <v>45</v>
      </c>
      <c r="I578" s="2" t="s">
        <v>2421</v>
      </c>
      <c r="K578" s="4">
        <v>26065</v>
      </c>
      <c r="M578" s="2" t="s">
        <v>24</v>
      </c>
      <c r="N578" s="2" t="s">
        <v>25</v>
      </c>
    </row>
    <row r="579" spans="1:14">
      <c r="A579" s="2">
        <v>578</v>
      </c>
      <c r="B579" s="3" t="s">
        <v>2422</v>
      </c>
      <c r="C579" s="2" t="s">
        <v>2423</v>
      </c>
      <c r="D579" s="2">
        <v>55</v>
      </c>
      <c r="E579" s="2">
        <v>57</v>
      </c>
      <c r="F579" s="2" t="s">
        <v>2424</v>
      </c>
      <c r="H579" s="2" t="s">
        <v>45</v>
      </c>
      <c r="I579" s="2" t="s">
        <v>2425</v>
      </c>
      <c r="J579" s="2" t="s">
        <v>2426</v>
      </c>
      <c r="K579" s="4">
        <v>21523</v>
      </c>
      <c r="M579" s="2" t="s">
        <v>170</v>
      </c>
      <c r="N579" s="2" t="s">
        <v>759</v>
      </c>
    </row>
    <row r="580" spans="1:14">
      <c r="A580" s="2">
        <v>579</v>
      </c>
      <c r="B580" s="3" t="s">
        <v>2427</v>
      </c>
      <c r="C580" s="2" t="s">
        <v>2428</v>
      </c>
      <c r="D580" s="2">
        <v>55</v>
      </c>
      <c r="E580" s="2">
        <v>57</v>
      </c>
      <c r="F580" s="2" t="s">
        <v>2429</v>
      </c>
      <c r="H580" s="2" t="s">
        <v>17</v>
      </c>
      <c r="I580" s="2" t="s">
        <v>2430</v>
      </c>
      <c r="K580" s="4">
        <v>27410</v>
      </c>
      <c r="M580" s="2" t="s">
        <v>146</v>
      </c>
      <c r="N580" s="2" t="s">
        <v>147</v>
      </c>
    </row>
    <row r="581" spans="1:14">
      <c r="A581" s="2">
        <v>580</v>
      </c>
      <c r="B581" s="3" t="s">
        <v>2431</v>
      </c>
      <c r="C581" s="2" t="s">
        <v>2432</v>
      </c>
      <c r="D581" s="2">
        <v>54</v>
      </c>
      <c r="E581" s="2">
        <v>57</v>
      </c>
      <c r="F581" s="2" t="s">
        <v>2433</v>
      </c>
      <c r="H581" s="2" t="s">
        <v>17</v>
      </c>
      <c r="I581" s="2" t="s">
        <v>2434</v>
      </c>
      <c r="K581" s="4">
        <v>27822</v>
      </c>
      <c r="M581" s="2" t="s">
        <v>35</v>
      </c>
      <c r="N581" s="2" t="s">
        <v>58</v>
      </c>
    </row>
    <row r="582" spans="1:14">
      <c r="A582" s="2">
        <v>581</v>
      </c>
      <c r="B582" s="3" t="s">
        <v>2435</v>
      </c>
      <c r="C582" s="2" t="s">
        <v>2436</v>
      </c>
      <c r="D582" s="2">
        <v>56</v>
      </c>
      <c r="E582" s="2">
        <v>57</v>
      </c>
      <c r="F582" s="2" t="s">
        <v>2437</v>
      </c>
      <c r="H582" s="2" t="s">
        <v>45</v>
      </c>
      <c r="I582" s="2" t="s">
        <v>2438</v>
      </c>
      <c r="K582" s="4">
        <v>34287</v>
      </c>
      <c r="M582" s="2" t="s">
        <v>47</v>
      </c>
      <c r="N582" s="2" t="s">
        <v>48</v>
      </c>
    </row>
    <row r="583" spans="1:14">
      <c r="A583" s="2">
        <v>582</v>
      </c>
      <c r="B583" s="3" t="s">
        <v>2439</v>
      </c>
      <c r="C583" s="2" t="s">
        <v>2440</v>
      </c>
      <c r="D583" s="2">
        <v>57</v>
      </c>
      <c r="E583" s="2">
        <v>57</v>
      </c>
      <c r="F583" s="2" t="s">
        <v>2441</v>
      </c>
      <c r="H583" s="2" t="s">
        <v>17</v>
      </c>
      <c r="K583" s="4">
        <v>24405</v>
      </c>
      <c r="M583" s="2" t="s">
        <v>85</v>
      </c>
      <c r="N583" s="2" t="s">
        <v>2442</v>
      </c>
    </row>
    <row r="584" spans="1:14">
      <c r="A584" s="2">
        <v>583</v>
      </c>
      <c r="B584" s="3" t="s">
        <v>2443</v>
      </c>
      <c r="C584" s="2" t="s">
        <v>2444</v>
      </c>
      <c r="D584" s="2">
        <v>57</v>
      </c>
      <c r="E584" s="2">
        <v>57</v>
      </c>
      <c r="F584" s="2" t="s">
        <v>2445</v>
      </c>
      <c r="H584" s="2" t="s">
        <v>17</v>
      </c>
      <c r="K584" s="4">
        <v>19400</v>
      </c>
      <c r="M584" s="2" t="s">
        <v>154</v>
      </c>
      <c r="N584" s="2" t="s">
        <v>2446</v>
      </c>
    </row>
    <row r="585" spans="1:14">
      <c r="A585" s="2">
        <v>584</v>
      </c>
      <c r="B585" s="3" t="s">
        <v>2447</v>
      </c>
      <c r="C585" s="2" t="s">
        <v>2448</v>
      </c>
      <c r="D585" s="2">
        <v>56</v>
      </c>
      <c r="E585" s="2">
        <v>57</v>
      </c>
      <c r="F585" s="2" t="s">
        <v>2449</v>
      </c>
      <c r="H585" s="2" t="s">
        <v>45</v>
      </c>
      <c r="K585" s="4">
        <v>31146</v>
      </c>
      <c r="M585" s="2" t="s">
        <v>170</v>
      </c>
      <c r="N585" s="2" t="s">
        <v>171</v>
      </c>
    </row>
    <row r="586" spans="1:14">
      <c r="A586" s="2">
        <v>585</v>
      </c>
      <c r="B586" s="3" t="s">
        <v>2450</v>
      </c>
      <c r="C586" s="2" t="s">
        <v>2451</v>
      </c>
      <c r="D586" s="2">
        <v>57</v>
      </c>
      <c r="E586" s="2">
        <v>57</v>
      </c>
      <c r="F586" s="2" t="s">
        <v>2452</v>
      </c>
      <c r="H586" s="2" t="s">
        <v>17</v>
      </c>
      <c r="I586" s="2" t="s">
        <v>2453</v>
      </c>
      <c r="K586" s="4">
        <v>27422</v>
      </c>
      <c r="M586" s="2" t="s">
        <v>170</v>
      </c>
      <c r="N586" s="2" t="s">
        <v>1624</v>
      </c>
    </row>
    <row r="587" spans="1:14">
      <c r="A587" s="2">
        <v>586</v>
      </c>
      <c r="B587" s="3" t="s">
        <v>2454</v>
      </c>
      <c r="C587" s="2" t="s">
        <v>2455</v>
      </c>
      <c r="D587" s="2">
        <v>57</v>
      </c>
      <c r="E587" s="2">
        <v>57</v>
      </c>
      <c r="F587" s="2" t="s">
        <v>2456</v>
      </c>
      <c r="H587" s="2" t="s">
        <v>17</v>
      </c>
      <c r="I587" s="3" t="s">
        <v>2457</v>
      </c>
      <c r="K587" s="4">
        <v>30122</v>
      </c>
      <c r="M587" s="2" t="s">
        <v>47</v>
      </c>
      <c r="N587" s="2" t="s">
        <v>48</v>
      </c>
    </row>
    <row r="588" spans="1:14">
      <c r="A588" s="2">
        <v>587</v>
      </c>
      <c r="B588" s="3" t="s">
        <v>2458</v>
      </c>
      <c r="C588" s="2" t="s">
        <v>2459</v>
      </c>
      <c r="D588" s="2">
        <v>57</v>
      </c>
      <c r="E588" s="2">
        <v>57</v>
      </c>
      <c r="F588" s="2" t="s">
        <v>2460</v>
      </c>
      <c r="H588" s="2" t="s">
        <v>17</v>
      </c>
      <c r="I588" s="2" t="s">
        <v>2461</v>
      </c>
      <c r="K588" s="4">
        <v>29405</v>
      </c>
      <c r="M588" s="2" t="s">
        <v>47</v>
      </c>
      <c r="N588" s="2" t="s">
        <v>417</v>
      </c>
    </row>
    <row r="589" spans="1:14">
      <c r="A589" s="2">
        <v>588</v>
      </c>
      <c r="B589" s="3" t="s">
        <v>2462</v>
      </c>
      <c r="C589" s="2" t="s">
        <v>2463</v>
      </c>
      <c r="D589" s="2">
        <v>56</v>
      </c>
      <c r="E589" s="2">
        <v>57</v>
      </c>
      <c r="F589" s="2" t="s">
        <v>2464</v>
      </c>
      <c r="H589" s="2" t="s">
        <v>17</v>
      </c>
      <c r="I589" s="3" t="s">
        <v>2465</v>
      </c>
      <c r="K589" s="4">
        <v>32359</v>
      </c>
      <c r="M589" s="2" t="s">
        <v>35</v>
      </c>
      <c r="N589" s="2" t="s">
        <v>2466</v>
      </c>
    </row>
    <row r="590" spans="1:14">
      <c r="A590" s="2">
        <v>589</v>
      </c>
      <c r="B590" s="3" t="s">
        <v>2467</v>
      </c>
      <c r="C590" s="2" t="s">
        <v>2468</v>
      </c>
      <c r="D590" s="2">
        <v>57</v>
      </c>
      <c r="E590" s="2">
        <v>57</v>
      </c>
      <c r="F590" s="2" t="s">
        <v>2469</v>
      </c>
      <c r="H590" s="2" t="s">
        <v>17</v>
      </c>
      <c r="K590" s="4">
        <v>30324</v>
      </c>
      <c r="M590" s="2" t="s">
        <v>154</v>
      </c>
      <c r="N590" s="2" t="s">
        <v>2470</v>
      </c>
    </row>
    <row r="591" spans="1:14">
      <c r="A591" s="2">
        <v>590</v>
      </c>
      <c r="B591" s="3" t="s">
        <v>2471</v>
      </c>
      <c r="C591" s="2" t="s">
        <v>2472</v>
      </c>
      <c r="D591" s="2">
        <v>54</v>
      </c>
      <c r="E591" s="2">
        <v>57</v>
      </c>
      <c r="F591" s="2" t="s">
        <v>2473</v>
      </c>
      <c r="H591" s="2" t="s">
        <v>17</v>
      </c>
      <c r="K591" s="4">
        <v>23863</v>
      </c>
      <c r="M591" s="2" t="s">
        <v>85</v>
      </c>
      <c r="N591" s="2" t="s">
        <v>2474</v>
      </c>
    </row>
    <row r="592" spans="1:14">
      <c r="A592" s="2">
        <v>591</v>
      </c>
      <c r="B592" s="3" t="s">
        <v>2475</v>
      </c>
      <c r="C592" s="2" t="s">
        <v>2476</v>
      </c>
      <c r="D592" s="2">
        <v>55</v>
      </c>
      <c r="E592" s="2">
        <v>57</v>
      </c>
      <c r="F592" s="2" t="s">
        <v>2477</v>
      </c>
      <c r="H592" s="2" t="s">
        <v>17</v>
      </c>
      <c r="K592" s="4">
        <v>18506</v>
      </c>
      <c r="M592" s="2" t="s">
        <v>154</v>
      </c>
      <c r="N592" s="2" t="s">
        <v>2478</v>
      </c>
    </row>
    <row r="593" spans="1:14">
      <c r="A593" s="2">
        <v>592</v>
      </c>
      <c r="B593" s="3" t="s">
        <v>2479</v>
      </c>
      <c r="C593" s="2" t="s">
        <v>2480</v>
      </c>
      <c r="D593" s="2">
        <v>56</v>
      </c>
      <c r="E593" s="2">
        <v>57</v>
      </c>
      <c r="F593" s="2" t="s">
        <v>2481</v>
      </c>
      <c r="H593" s="2" t="s">
        <v>17</v>
      </c>
      <c r="I593" s="2" t="s">
        <v>2482</v>
      </c>
      <c r="K593" s="4">
        <v>32093</v>
      </c>
      <c r="M593" s="2" t="s">
        <v>198</v>
      </c>
      <c r="N593" s="2" t="s">
        <v>199</v>
      </c>
    </row>
    <row r="594" spans="1:14">
      <c r="A594" s="2">
        <v>593</v>
      </c>
      <c r="B594" s="3" t="s">
        <v>2483</v>
      </c>
      <c r="C594" s="2" t="s">
        <v>2484</v>
      </c>
      <c r="D594" s="2">
        <v>57</v>
      </c>
      <c r="E594" s="2">
        <v>57</v>
      </c>
      <c r="F594" s="2" t="s">
        <v>2485</v>
      </c>
      <c r="H594" s="2" t="s">
        <v>17</v>
      </c>
      <c r="K594" s="4">
        <v>32561</v>
      </c>
      <c r="M594" s="2" t="s">
        <v>35</v>
      </c>
      <c r="N594" s="2" t="s">
        <v>2486</v>
      </c>
    </row>
    <row r="595" spans="1:14">
      <c r="A595" s="2">
        <v>594</v>
      </c>
      <c r="B595" s="3" t="s">
        <v>2487</v>
      </c>
      <c r="C595" s="2" t="s">
        <v>2488</v>
      </c>
      <c r="D595" s="2">
        <v>54</v>
      </c>
      <c r="E595" s="2">
        <v>57</v>
      </c>
      <c r="F595" s="2" t="s">
        <v>2489</v>
      </c>
      <c r="H595" s="2" t="s">
        <v>17</v>
      </c>
      <c r="K595" s="4">
        <v>23728</v>
      </c>
      <c r="M595" s="2" t="s">
        <v>40</v>
      </c>
      <c r="N595" s="2" t="s">
        <v>2490</v>
      </c>
    </row>
    <row r="596" spans="1:14">
      <c r="A596" s="2">
        <v>595</v>
      </c>
      <c r="B596" s="3" t="s">
        <v>2491</v>
      </c>
      <c r="C596" s="2" t="s">
        <v>2492</v>
      </c>
      <c r="D596" s="2">
        <v>52</v>
      </c>
      <c r="E596" s="2">
        <v>57</v>
      </c>
      <c r="F596" s="2" t="s">
        <v>2493</v>
      </c>
      <c r="H596" s="2" t="s">
        <v>17</v>
      </c>
      <c r="I596" s="2" t="s">
        <v>2494</v>
      </c>
      <c r="K596" s="4">
        <v>23398</v>
      </c>
      <c r="M596" s="2" t="s">
        <v>341</v>
      </c>
      <c r="N596" s="2" t="s">
        <v>2495</v>
      </c>
    </row>
    <row r="597" spans="1:14">
      <c r="A597" s="2">
        <v>596</v>
      </c>
      <c r="B597" s="3" t="s">
        <v>2496</v>
      </c>
      <c r="C597" s="2" t="s">
        <v>2497</v>
      </c>
      <c r="D597" s="2">
        <v>56</v>
      </c>
      <c r="E597" s="2">
        <v>57</v>
      </c>
      <c r="F597" s="2" t="s">
        <v>2498</v>
      </c>
      <c r="H597" s="2" t="s">
        <v>17</v>
      </c>
      <c r="I597" s="2" t="s">
        <v>2499</v>
      </c>
      <c r="K597" s="4">
        <v>21610</v>
      </c>
      <c r="M597" s="2" t="s">
        <v>154</v>
      </c>
      <c r="N597" s="2" t="s">
        <v>2500</v>
      </c>
    </row>
    <row r="598" spans="1:14">
      <c r="A598" s="2">
        <v>597</v>
      </c>
      <c r="B598" s="3" t="s">
        <v>2501</v>
      </c>
      <c r="C598" s="2" t="s">
        <v>2502</v>
      </c>
      <c r="D598" s="2">
        <v>52</v>
      </c>
      <c r="E598" s="2">
        <v>57</v>
      </c>
      <c r="F598" s="2" t="s">
        <v>2503</v>
      </c>
      <c r="H598" s="2" t="s">
        <v>17</v>
      </c>
      <c r="I598" s="2" t="s">
        <v>2504</v>
      </c>
      <c r="K598" s="4">
        <v>20553</v>
      </c>
      <c r="M598" s="2" t="s">
        <v>336</v>
      </c>
      <c r="N598" s="2" t="s">
        <v>2505</v>
      </c>
    </row>
    <row r="599" spans="1:14">
      <c r="A599" s="2">
        <v>598</v>
      </c>
      <c r="B599" s="3" t="s">
        <v>2506</v>
      </c>
      <c r="C599" s="2" t="s">
        <v>2507</v>
      </c>
      <c r="D599" s="2">
        <v>55</v>
      </c>
      <c r="E599" s="2">
        <v>57</v>
      </c>
      <c r="F599" s="2" t="s">
        <v>2508</v>
      </c>
      <c r="H599" s="2" t="s">
        <v>17</v>
      </c>
      <c r="K599" s="4">
        <v>31148</v>
      </c>
      <c r="M599" s="2" t="s">
        <v>53</v>
      </c>
      <c r="N599" s="2" t="s">
        <v>847</v>
      </c>
    </row>
    <row r="600" spans="1:14">
      <c r="A600" s="2">
        <v>599</v>
      </c>
      <c r="B600" s="3" t="s">
        <v>2509</v>
      </c>
      <c r="C600" s="2" t="s">
        <v>2510</v>
      </c>
      <c r="D600" s="2">
        <v>53</v>
      </c>
      <c r="E600" s="2">
        <v>57</v>
      </c>
      <c r="F600" s="2" t="s">
        <v>2511</v>
      </c>
      <c r="H600" s="2" t="s">
        <v>17</v>
      </c>
      <c r="I600" s="2" t="s">
        <v>2512</v>
      </c>
      <c r="J600" s="2" t="s">
        <v>2513</v>
      </c>
      <c r="K600" s="4">
        <v>24114</v>
      </c>
      <c r="M600" s="2" t="s">
        <v>170</v>
      </c>
      <c r="N600" s="2" t="s">
        <v>323</v>
      </c>
    </row>
    <row r="601" spans="1:14">
      <c r="A601" s="2">
        <v>600</v>
      </c>
      <c r="B601" s="3" t="s">
        <v>2514</v>
      </c>
      <c r="C601" s="2" t="s">
        <v>2515</v>
      </c>
      <c r="D601" s="2">
        <v>54</v>
      </c>
      <c r="E601" s="2">
        <v>57</v>
      </c>
      <c r="F601" s="2" t="s">
        <v>2516</v>
      </c>
      <c r="H601" s="2" t="s">
        <v>17</v>
      </c>
      <c r="K601" s="4">
        <v>28702</v>
      </c>
      <c r="M601" s="2" t="s">
        <v>24</v>
      </c>
      <c r="N601" s="2" t="s">
        <v>25</v>
      </c>
    </row>
    <row r="602" spans="1:14">
      <c r="A602" s="2">
        <v>601</v>
      </c>
      <c r="B602" s="3" t="s">
        <v>2517</v>
      </c>
      <c r="C602" s="2" t="s">
        <v>2518</v>
      </c>
      <c r="D602" s="2">
        <v>55</v>
      </c>
      <c r="E602" s="2">
        <v>57</v>
      </c>
      <c r="F602" s="2" t="s">
        <v>2519</v>
      </c>
      <c r="H602" s="2" t="s">
        <v>17</v>
      </c>
      <c r="I602" s="2" t="s">
        <v>2520</v>
      </c>
      <c r="K602" s="4">
        <v>21688</v>
      </c>
      <c r="M602" s="2" t="s">
        <v>47</v>
      </c>
      <c r="N602" s="2" t="s">
        <v>1181</v>
      </c>
    </row>
    <row r="603" spans="1:14">
      <c r="A603" s="2">
        <v>602</v>
      </c>
      <c r="B603" s="3" t="s">
        <v>2521</v>
      </c>
      <c r="C603" s="2" t="s">
        <v>2522</v>
      </c>
      <c r="D603" s="2">
        <v>57</v>
      </c>
      <c r="E603" s="2">
        <v>57</v>
      </c>
      <c r="F603" s="2" t="s">
        <v>2523</v>
      </c>
      <c r="H603" s="2" t="s">
        <v>17</v>
      </c>
      <c r="I603" s="2" t="s">
        <v>2524</v>
      </c>
      <c r="K603" s="4">
        <v>26632</v>
      </c>
      <c r="M603" s="2" t="s">
        <v>198</v>
      </c>
      <c r="N603" s="2" t="s">
        <v>199</v>
      </c>
    </row>
    <row r="604" spans="1:14">
      <c r="A604" s="2">
        <v>603</v>
      </c>
      <c r="B604" s="3" t="s">
        <v>2525</v>
      </c>
      <c r="C604" s="2" t="s">
        <v>2526</v>
      </c>
      <c r="D604" s="2">
        <v>54</v>
      </c>
      <c r="E604" s="2">
        <v>57</v>
      </c>
      <c r="F604" s="2" t="s">
        <v>2527</v>
      </c>
      <c r="H604" s="2" t="s">
        <v>17</v>
      </c>
      <c r="K604" s="4">
        <v>19791</v>
      </c>
      <c r="M604" s="2" t="s">
        <v>40</v>
      </c>
      <c r="N604" s="2" t="s">
        <v>2528</v>
      </c>
    </row>
    <row r="605" spans="1:14">
      <c r="A605" s="2">
        <v>604</v>
      </c>
      <c r="B605" s="3" t="s">
        <v>2529</v>
      </c>
      <c r="C605" s="2" t="s">
        <v>2530</v>
      </c>
      <c r="D605" s="2">
        <v>57</v>
      </c>
      <c r="E605" s="2">
        <v>57</v>
      </c>
      <c r="F605" s="2" t="s">
        <v>2531</v>
      </c>
      <c r="H605" s="2" t="s">
        <v>17</v>
      </c>
      <c r="I605" s="2" t="s">
        <v>2532</v>
      </c>
      <c r="K605" s="4">
        <v>26084</v>
      </c>
      <c r="M605" s="2" t="s">
        <v>170</v>
      </c>
      <c r="N605" s="2" t="s">
        <v>2533</v>
      </c>
    </row>
    <row r="606" spans="1:14">
      <c r="A606" s="2">
        <v>605</v>
      </c>
      <c r="B606" s="3" t="s">
        <v>2534</v>
      </c>
      <c r="C606" s="2" t="s">
        <v>2535</v>
      </c>
      <c r="D606" s="2">
        <v>54</v>
      </c>
      <c r="E606" s="2">
        <v>57</v>
      </c>
      <c r="F606" s="2" t="s">
        <v>2536</v>
      </c>
      <c r="H606" s="2" t="s">
        <v>17</v>
      </c>
      <c r="I606" s="3" t="s">
        <v>2537</v>
      </c>
      <c r="K606" s="4">
        <v>27630</v>
      </c>
      <c r="M606" s="2" t="s">
        <v>35</v>
      </c>
      <c r="N606" s="2" t="s">
        <v>608</v>
      </c>
    </row>
    <row r="607" spans="1:14">
      <c r="A607" s="2">
        <v>606</v>
      </c>
      <c r="B607" s="3" t="s">
        <v>2538</v>
      </c>
      <c r="C607" s="2" t="s">
        <v>2539</v>
      </c>
      <c r="D607" s="2">
        <v>52</v>
      </c>
      <c r="E607" s="2">
        <v>57</v>
      </c>
      <c r="F607" s="2" t="s">
        <v>2540</v>
      </c>
      <c r="H607" s="2" t="s">
        <v>17</v>
      </c>
      <c r="I607" s="3" t="s">
        <v>2541</v>
      </c>
      <c r="K607" s="4">
        <v>21689</v>
      </c>
      <c r="M607" s="2" t="s">
        <v>76</v>
      </c>
      <c r="N607" s="2" t="s">
        <v>2542</v>
      </c>
    </row>
    <row r="608" spans="1:14">
      <c r="A608" s="2">
        <v>607</v>
      </c>
      <c r="B608" s="3" t="s">
        <v>2543</v>
      </c>
      <c r="C608" s="2" t="s">
        <v>2544</v>
      </c>
      <c r="D608" s="2">
        <v>57</v>
      </c>
      <c r="E608" s="2">
        <v>57</v>
      </c>
      <c r="F608" s="2" t="s">
        <v>2545</v>
      </c>
      <c r="H608" s="2" t="s">
        <v>17</v>
      </c>
      <c r="I608" s="2" t="s">
        <v>2546</v>
      </c>
      <c r="K608" s="4">
        <v>25165</v>
      </c>
      <c r="M608" s="2" t="s">
        <v>154</v>
      </c>
      <c r="N608" s="2" t="s">
        <v>2547</v>
      </c>
    </row>
    <row r="609" spans="1:14">
      <c r="A609" s="2">
        <v>608</v>
      </c>
      <c r="B609" s="3" t="s">
        <v>2548</v>
      </c>
      <c r="C609" s="2" t="s">
        <v>2549</v>
      </c>
      <c r="D609" s="2">
        <v>52</v>
      </c>
      <c r="E609" s="2">
        <v>57</v>
      </c>
      <c r="F609" s="2" t="s">
        <v>2550</v>
      </c>
      <c r="H609" s="2" t="s">
        <v>17</v>
      </c>
      <c r="I609" s="2" t="s">
        <v>2551</v>
      </c>
      <c r="K609" s="4">
        <v>20981</v>
      </c>
      <c r="M609" s="2" t="s">
        <v>76</v>
      </c>
      <c r="N609" s="2" t="s">
        <v>1644</v>
      </c>
    </row>
    <row r="610" spans="1:14">
      <c r="A610" s="2">
        <v>609</v>
      </c>
      <c r="B610" s="3" t="s">
        <v>2552</v>
      </c>
      <c r="C610" s="2" t="s">
        <v>2553</v>
      </c>
      <c r="D610" s="2">
        <v>56</v>
      </c>
      <c r="E610" s="2">
        <v>57</v>
      </c>
      <c r="F610" s="2" t="s">
        <v>2554</v>
      </c>
      <c r="H610" s="2" t="s">
        <v>17</v>
      </c>
      <c r="K610" s="4">
        <v>28348</v>
      </c>
      <c r="M610" s="2" t="s">
        <v>185</v>
      </c>
      <c r="N610" s="2" t="s">
        <v>838</v>
      </c>
    </row>
    <row r="611" spans="1:14">
      <c r="A611" s="2">
        <v>610</v>
      </c>
      <c r="B611" s="3" t="s">
        <v>2555</v>
      </c>
      <c r="C611" s="2" t="s">
        <v>2556</v>
      </c>
      <c r="D611" s="2">
        <v>57</v>
      </c>
      <c r="E611" s="2">
        <v>57</v>
      </c>
      <c r="F611" s="2" t="s">
        <v>2557</v>
      </c>
      <c r="H611" s="2" t="s">
        <v>45</v>
      </c>
      <c r="I611" s="2" t="s">
        <v>2558</v>
      </c>
      <c r="K611" s="4">
        <v>34449</v>
      </c>
      <c r="M611" s="2" t="s">
        <v>91</v>
      </c>
      <c r="N611" s="2" t="s">
        <v>677</v>
      </c>
    </row>
    <row r="612" spans="1:14">
      <c r="A612" s="2">
        <v>611</v>
      </c>
      <c r="B612" s="3" t="s">
        <v>2559</v>
      </c>
      <c r="C612" s="2" t="s">
        <v>2560</v>
      </c>
      <c r="D612" s="2">
        <v>57</v>
      </c>
      <c r="E612" s="2">
        <v>57</v>
      </c>
      <c r="F612" s="2" t="s">
        <v>2561</v>
      </c>
      <c r="H612" s="2" t="s">
        <v>17</v>
      </c>
      <c r="I612" s="2" t="s">
        <v>2562</v>
      </c>
      <c r="K612" s="4">
        <v>32294</v>
      </c>
      <c r="M612" s="2" t="s">
        <v>85</v>
      </c>
      <c r="N612" s="2" t="s">
        <v>2563</v>
      </c>
    </row>
    <row r="613" spans="1:14">
      <c r="A613" s="2">
        <v>612</v>
      </c>
      <c r="B613" s="3" t="s">
        <v>2564</v>
      </c>
      <c r="C613" s="2" t="s">
        <v>2565</v>
      </c>
      <c r="D613" s="2">
        <v>57</v>
      </c>
      <c r="E613" s="2">
        <v>57</v>
      </c>
      <c r="F613" s="2" t="s">
        <v>2566</v>
      </c>
      <c r="H613" s="2" t="s">
        <v>17</v>
      </c>
      <c r="K613" s="4">
        <v>24184</v>
      </c>
      <c r="M613" s="2" t="s">
        <v>247</v>
      </c>
      <c r="N613" s="2" t="s">
        <v>886</v>
      </c>
    </row>
    <row r="614" spans="1:14">
      <c r="A614" s="2">
        <v>613</v>
      </c>
      <c r="B614" s="3" t="s">
        <v>2567</v>
      </c>
      <c r="C614" s="2" t="s">
        <v>2568</v>
      </c>
      <c r="D614" s="2">
        <v>57</v>
      </c>
      <c r="E614" s="2">
        <v>57</v>
      </c>
      <c r="F614" s="2" t="s">
        <v>2569</v>
      </c>
      <c r="H614" s="2" t="s">
        <v>17</v>
      </c>
      <c r="K614" s="4">
        <v>30032</v>
      </c>
      <c r="M614" s="2" t="s">
        <v>18</v>
      </c>
      <c r="N614" s="2" t="s">
        <v>19</v>
      </c>
    </row>
    <row r="615" spans="1:14">
      <c r="A615" s="2">
        <v>614</v>
      </c>
      <c r="B615" s="3" t="s">
        <v>2570</v>
      </c>
      <c r="C615" s="2" t="s">
        <v>2571</v>
      </c>
      <c r="D615" s="2">
        <v>56</v>
      </c>
      <c r="E615" s="2">
        <v>57</v>
      </c>
      <c r="F615" s="2" t="s">
        <v>2572</v>
      </c>
      <c r="H615" s="2" t="s">
        <v>17</v>
      </c>
      <c r="K615" s="4">
        <v>23466</v>
      </c>
      <c r="M615" s="2" t="s">
        <v>40</v>
      </c>
      <c r="N615" s="2" t="s">
        <v>2573</v>
      </c>
    </row>
    <row r="616" spans="1:14">
      <c r="A616" s="2">
        <v>615</v>
      </c>
      <c r="B616" s="3" t="s">
        <v>2574</v>
      </c>
      <c r="C616" s="2" t="s">
        <v>2575</v>
      </c>
      <c r="D616" s="2">
        <v>54</v>
      </c>
      <c r="E616" s="2">
        <v>57</v>
      </c>
      <c r="F616" s="2" t="s">
        <v>2576</v>
      </c>
      <c r="H616" s="2" t="s">
        <v>17</v>
      </c>
      <c r="I616" s="2" t="s">
        <v>2577</v>
      </c>
      <c r="K616" s="4">
        <v>23142</v>
      </c>
      <c r="M616" s="2" t="s">
        <v>35</v>
      </c>
      <c r="N616" s="2" t="s">
        <v>1803</v>
      </c>
    </row>
    <row r="617" spans="1:14">
      <c r="A617" s="2">
        <v>616</v>
      </c>
      <c r="B617" s="3" t="s">
        <v>2578</v>
      </c>
      <c r="C617" s="2" t="s">
        <v>2579</v>
      </c>
      <c r="D617" s="2">
        <v>57</v>
      </c>
      <c r="E617" s="2">
        <v>57</v>
      </c>
      <c r="F617" s="2" t="s">
        <v>2580</v>
      </c>
      <c r="H617" s="2" t="s">
        <v>17</v>
      </c>
      <c r="K617" s="4">
        <v>32346</v>
      </c>
      <c r="M617" s="2" t="s">
        <v>47</v>
      </c>
      <c r="N617" s="2" t="s">
        <v>48</v>
      </c>
    </row>
    <row r="618" spans="1:14">
      <c r="A618" s="2">
        <v>617</v>
      </c>
      <c r="B618" s="3" t="s">
        <v>2581</v>
      </c>
      <c r="C618" s="2" t="s">
        <v>2582</v>
      </c>
      <c r="D618" s="2">
        <v>56</v>
      </c>
      <c r="E618" s="2">
        <v>57</v>
      </c>
      <c r="F618" s="2" t="s">
        <v>2583</v>
      </c>
      <c r="H618" s="2" t="s">
        <v>17</v>
      </c>
      <c r="I618" s="2" t="s">
        <v>2584</v>
      </c>
      <c r="K618" s="4">
        <v>30987</v>
      </c>
      <c r="M618" s="2" t="s">
        <v>35</v>
      </c>
      <c r="N618" s="2" t="s">
        <v>2585</v>
      </c>
    </row>
    <row r="619" spans="1:14">
      <c r="A619" s="2">
        <v>618</v>
      </c>
      <c r="B619" s="3" t="s">
        <v>2586</v>
      </c>
      <c r="C619" s="2" t="s">
        <v>2587</v>
      </c>
      <c r="D619" s="2">
        <v>54</v>
      </c>
      <c r="E619" s="2">
        <v>57</v>
      </c>
      <c r="F619" s="2" t="s">
        <v>2588</v>
      </c>
      <c r="H619" s="2" t="s">
        <v>17</v>
      </c>
      <c r="I619" s="2" t="s">
        <v>2589</v>
      </c>
      <c r="J619" s="3" t="s">
        <v>2590</v>
      </c>
      <c r="K619" s="4">
        <v>28662</v>
      </c>
      <c r="M619" s="2" t="s">
        <v>154</v>
      </c>
      <c r="N619" s="2" t="s">
        <v>2256</v>
      </c>
    </row>
    <row r="620" spans="1:14">
      <c r="A620" s="2">
        <v>619</v>
      </c>
      <c r="B620" s="3" t="s">
        <v>2591</v>
      </c>
      <c r="C620" s="2" t="s">
        <v>2592</v>
      </c>
      <c r="D620" s="2">
        <v>57</v>
      </c>
      <c r="E620" s="2">
        <v>57</v>
      </c>
      <c r="F620" s="2" t="s">
        <v>2593</v>
      </c>
      <c r="H620" s="2" t="s">
        <v>17</v>
      </c>
      <c r="I620" s="3" t="s">
        <v>2594</v>
      </c>
      <c r="K620" s="4">
        <v>24255</v>
      </c>
      <c r="M620" s="2" t="s">
        <v>247</v>
      </c>
      <c r="N620" s="2" t="s">
        <v>2595</v>
      </c>
    </row>
    <row r="621" spans="1:14">
      <c r="A621" s="2">
        <v>620</v>
      </c>
      <c r="B621" s="3" t="s">
        <v>2596</v>
      </c>
      <c r="C621" s="2" t="s">
        <v>2597</v>
      </c>
      <c r="D621" s="2">
        <v>57</v>
      </c>
      <c r="E621" s="2">
        <v>57</v>
      </c>
      <c r="F621" s="2" t="s">
        <v>2598</v>
      </c>
      <c r="H621" s="2" t="s">
        <v>17</v>
      </c>
      <c r="K621" s="4">
        <v>27097</v>
      </c>
      <c r="M621" s="2" t="s">
        <v>66</v>
      </c>
      <c r="N621" s="2" t="s">
        <v>1021</v>
      </c>
    </row>
    <row r="622" spans="1:14">
      <c r="A622" s="2">
        <v>621</v>
      </c>
      <c r="B622" s="3" t="s">
        <v>2599</v>
      </c>
      <c r="C622" s="2" t="s">
        <v>2600</v>
      </c>
      <c r="D622" s="2">
        <v>56</v>
      </c>
      <c r="E622" s="2">
        <v>56</v>
      </c>
      <c r="F622" s="2" t="s">
        <v>2601</v>
      </c>
      <c r="H622" s="2" t="s">
        <v>17</v>
      </c>
      <c r="K622" s="4">
        <v>23786</v>
      </c>
      <c r="M622" s="2" t="s">
        <v>40</v>
      </c>
      <c r="N622" s="2" t="s">
        <v>41</v>
      </c>
    </row>
    <row r="623" spans="1:14">
      <c r="A623" s="2">
        <v>622</v>
      </c>
      <c r="B623" s="3" t="s">
        <v>2602</v>
      </c>
      <c r="C623" s="2" t="s">
        <v>2603</v>
      </c>
      <c r="D623" s="2">
        <v>56</v>
      </c>
      <c r="E623" s="2">
        <v>56</v>
      </c>
      <c r="F623" s="2" t="s">
        <v>2604</v>
      </c>
      <c r="H623" s="2" t="s">
        <v>17</v>
      </c>
      <c r="I623" s="2" t="s">
        <v>2605</v>
      </c>
      <c r="J623" s="3" t="s">
        <v>2606</v>
      </c>
      <c r="K623" s="4">
        <v>24417</v>
      </c>
      <c r="M623" s="2" t="s">
        <v>47</v>
      </c>
      <c r="N623" s="2" t="s">
        <v>48</v>
      </c>
    </row>
    <row r="624" spans="1:14">
      <c r="A624" s="2">
        <v>623</v>
      </c>
      <c r="B624" s="3" t="s">
        <v>2607</v>
      </c>
      <c r="C624" s="2" t="s">
        <v>2608</v>
      </c>
      <c r="D624" s="2">
        <v>53</v>
      </c>
      <c r="E624" s="2">
        <v>56</v>
      </c>
      <c r="F624" s="2" t="s">
        <v>2609</v>
      </c>
      <c r="H624" s="2" t="s">
        <v>17</v>
      </c>
      <c r="J624" s="3" t="s">
        <v>2610</v>
      </c>
      <c r="K624" s="4">
        <v>22630</v>
      </c>
      <c r="M624" s="2" t="s">
        <v>35</v>
      </c>
      <c r="N624" s="2" t="s">
        <v>1803</v>
      </c>
    </row>
    <row r="625" spans="1:14">
      <c r="A625" s="2">
        <v>624</v>
      </c>
      <c r="B625" s="3" t="s">
        <v>2611</v>
      </c>
      <c r="C625" s="2" t="s">
        <v>2612</v>
      </c>
      <c r="D625" s="2">
        <v>55</v>
      </c>
      <c r="E625" s="2">
        <v>56</v>
      </c>
      <c r="F625" s="2" t="s">
        <v>2613</v>
      </c>
      <c r="H625" s="2" t="s">
        <v>17</v>
      </c>
      <c r="I625" s="2" t="s">
        <v>2614</v>
      </c>
      <c r="K625" s="4">
        <v>28056</v>
      </c>
      <c r="M625" s="2" t="s">
        <v>247</v>
      </c>
      <c r="N625" s="2" t="s">
        <v>886</v>
      </c>
    </row>
    <row r="626" spans="1:14">
      <c r="A626" s="2">
        <v>625</v>
      </c>
      <c r="B626" s="3" t="s">
        <v>2615</v>
      </c>
      <c r="C626" s="2" t="s">
        <v>2616</v>
      </c>
      <c r="D626" s="2">
        <v>56</v>
      </c>
      <c r="E626" s="2">
        <v>56</v>
      </c>
      <c r="F626" s="2" t="s">
        <v>2617</v>
      </c>
      <c r="H626" s="2" t="s">
        <v>17</v>
      </c>
      <c r="K626" s="4">
        <v>18544</v>
      </c>
      <c r="M626" s="2" t="s">
        <v>53</v>
      </c>
      <c r="N626" s="2" t="s">
        <v>2618</v>
      </c>
    </row>
    <row r="627" spans="1:14">
      <c r="A627" s="2">
        <v>626</v>
      </c>
      <c r="B627" s="3" t="s">
        <v>2619</v>
      </c>
      <c r="C627" s="2" t="s">
        <v>2620</v>
      </c>
      <c r="D627" s="2">
        <v>56</v>
      </c>
      <c r="E627" s="2">
        <v>56</v>
      </c>
      <c r="F627" s="2" t="s">
        <v>2621</v>
      </c>
      <c r="H627" s="2" t="s">
        <v>45</v>
      </c>
      <c r="I627" s="2" t="s">
        <v>2622</v>
      </c>
      <c r="K627" s="4">
        <v>27214</v>
      </c>
      <c r="M627" s="2" t="s">
        <v>170</v>
      </c>
      <c r="N627" s="2" t="s">
        <v>1624</v>
      </c>
    </row>
    <row r="628" spans="1:14">
      <c r="A628" s="2">
        <v>627</v>
      </c>
      <c r="B628" s="3" t="s">
        <v>2623</v>
      </c>
      <c r="C628" s="2" t="s">
        <v>2624</v>
      </c>
      <c r="D628" s="2">
        <v>54</v>
      </c>
      <c r="E628" s="2">
        <v>56</v>
      </c>
      <c r="F628" s="2" t="s">
        <v>2625</v>
      </c>
      <c r="H628" s="2" t="s">
        <v>17</v>
      </c>
      <c r="I628" s="2" t="s">
        <v>2626</v>
      </c>
      <c r="K628" s="4">
        <v>26234</v>
      </c>
      <c r="M628" s="2" t="s">
        <v>35</v>
      </c>
      <c r="N628" s="2" t="s">
        <v>58</v>
      </c>
    </row>
    <row r="629" spans="1:14">
      <c r="A629" s="2">
        <v>628</v>
      </c>
      <c r="B629" s="3" t="s">
        <v>2627</v>
      </c>
      <c r="C629" s="2" t="s">
        <v>2628</v>
      </c>
      <c r="D629" s="2">
        <v>56</v>
      </c>
      <c r="E629" s="2">
        <v>56</v>
      </c>
      <c r="F629" s="2" t="s">
        <v>2629</v>
      </c>
      <c r="H629" s="2" t="s">
        <v>17</v>
      </c>
      <c r="K629" s="4">
        <v>27097</v>
      </c>
      <c r="M629" s="2" t="s">
        <v>91</v>
      </c>
      <c r="N629" s="2" t="s">
        <v>677</v>
      </c>
    </row>
    <row r="630" spans="1:14">
      <c r="A630" s="2">
        <v>629</v>
      </c>
      <c r="B630" s="3" t="s">
        <v>2630</v>
      </c>
      <c r="C630" s="2" t="s">
        <v>2631</v>
      </c>
      <c r="D630" s="2">
        <v>56</v>
      </c>
      <c r="E630" s="2">
        <v>56</v>
      </c>
      <c r="F630" s="2" t="s">
        <v>2632</v>
      </c>
      <c r="H630" s="2" t="s">
        <v>17</v>
      </c>
      <c r="K630" s="4">
        <v>23298</v>
      </c>
      <c r="M630" s="2" t="s">
        <v>170</v>
      </c>
      <c r="N630" s="2" t="s">
        <v>323</v>
      </c>
    </row>
    <row r="631" spans="1:14">
      <c r="A631" s="2">
        <v>630</v>
      </c>
      <c r="B631" s="3" t="s">
        <v>2633</v>
      </c>
      <c r="C631" s="2" t="s">
        <v>2634</v>
      </c>
      <c r="D631" s="2">
        <v>55</v>
      </c>
      <c r="E631" s="2">
        <v>56</v>
      </c>
      <c r="F631" s="2" t="s">
        <v>2635</v>
      </c>
      <c r="H631" s="2" t="s">
        <v>17</v>
      </c>
      <c r="K631" s="4">
        <v>27727</v>
      </c>
      <c r="M631" s="2" t="s">
        <v>170</v>
      </c>
      <c r="N631" s="2" t="s">
        <v>2636</v>
      </c>
    </row>
    <row r="632" spans="1:14">
      <c r="A632" s="2">
        <v>631</v>
      </c>
      <c r="B632" s="3" t="s">
        <v>2637</v>
      </c>
      <c r="C632" s="2" t="s">
        <v>2638</v>
      </c>
      <c r="D632" s="2">
        <v>56</v>
      </c>
      <c r="E632" s="2">
        <v>56</v>
      </c>
      <c r="F632" s="2" t="s">
        <v>2639</v>
      </c>
      <c r="H632" s="2" t="s">
        <v>17</v>
      </c>
      <c r="I632" s="2" t="s">
        <v>2640</v>
      </c>
      <c r="K632" s="4">
        <v>24703</v>
      </c>
      <c r="M632" s="2" t="s">
        <v>47</v>
      </c>
      <c r="N632" s="2" t="s">
        <v>442</v>
      </c>
    </row>
    <row r="633" spans="1:14">
      <c r="A633" s="2">
        <v>632</v>
      </c>
      <c r="B633" s="3" t="s">
        <v>2641</v>
      </c>
      <c r="C633" s="2" t="s">
        <v>2642</v>
      </c>
      <c r="D633" s="2">
        <v>56</v>
      </c>
      <c r="E633" s="2">
        <v>56</v>
      </c>
      <c r="F633" s="2" t="s">
        <v>2643</v>
      </c>
      <c r="H633" s="2" t="s">
        <v>45</v>
      </c>
      <c r="I633" s="2" t="s">
        <v>2644</v>
      </c>
      <c r="K633" s="4">
        <v>29062</v>
      </c>
      <c r="M633" s="2" t="s">
        <v>154</v>
      </c>
      <c r="N633" s="2" t="s">
        <v>2645</v>
      </c>
    </row>
    <row r="634" spans="1:14">
      <c r="A634" s="2">
        <v>633</v>
      </c>
      <c r="B634" s="3" t="s">
        <v>2646</v>
      </c>
      <c r="C634" s="2" t="s">
        <v>2647</v>
      </c>
      <c r="D634" s="2">
        <v>51</v>
      </c>
      <c r="E634" s="2">
        <v>56</v>
      </c>
      <c r="F634" s="2" t="s">
        <v>2648</v>
      </c>
      <c r="H634" s="2" t="s">
        <v>17</v>
      </c>
      <c r="K634" s="4">
        <v>22484</v>
      </c>
      <c r="M634" s="2" t="s">
        <v>198</v>
      </c>
      <c r="N634" s="2" t="s">
        <v>199</v>
      </c>
    </row>
    <row r="635" spans="1:14">
      <c r="A635" s="2">
        <v>634</v>
      </c>
      <c r="B635" s="3" t="s">
        <v>2649</v>
      </c>
      <c r="C635" s="2" t="s">
        <v>2650</v>
      </c>
      <c r="D635" s="2">
        <v>53</v>
      </c>
      <c r="E635" s="2">
        <v>56</v>
      </c>
      <c r="F635" s="2" t="s">
        <v>2651</v>
      </c>
      <c r="H635" s="2" t="s">
        <v>45</v>
      </c>
      <c r="K635" s="4">
        <v>27223</v>
      </c>
      <c r="M635" s="2" t="s">
        <v>170</v>
      </c>
      <c r="N635" s="2" t="s">
        <v>323</v>
      </c>
    </row>
    <row r="636" spans="1:14">
      <c r="A636" s="2">
        <v>635</v>
      </c>
      <c r="B636" s="3" t="s">
        <v>2652</v>
      </c>
      <c r="C636" s="2" t="s">
        <v>2653</v>
      </c>
      <c r="D636" s="2">
        <v>49</v>
      </c>
      <c r="E636" s="2">
        <v>56</v>
      </c>
      <c r="F636" s="2" t="s">
        <v>2654</v>
      </c>
      <c r="H636" s="2" t="s">
        <v>45</v>
      </c>
      <c r="I636" s="2" t="s">
        <v>2655</v>
      </c>
      <c r="K636" s="4">
        <v>19713</v>
      </c>
      <c r="M636" s="2" t="s">
        <v>423</v>
      </c>
      <c r="N636" s="2" t="s">
        <v>2656</v>
      </c>
    </row>
    <row r="637" spans="1:14">
      <c r="A637" s="2">
        <v>636</v>
      </c>
      <c r="B637" s="3" t="s">
        <v>2657</v>
      </c>
      <c r="C637" s="2" t="s">
        <v>2658</v>
      </c>
      <c r="D637" s="2">
        <v>50</v>
      </c>
      <c r="E637" s="2">
        <v>56</v>
      </c>
      <c r="F637" s="2" t="s">
        <v>2659</v>
      </c>
      <c r="H637" s="2" t="s">
        <v>17</v>
      </c>
      <c r="K637" s="4">
        <v>19517</v>
      </c>
      <c r="M637" s="2" t="s">
        <v>170</v>
      </c>
      <c r="N637" s="2" t="s">
        <v>323</v>
      </c>
    </row>
    <row r="638" spans="1:14">
      <c r="A638" s="2">
        <v>637</v>
      </c>
      <c r="B638" s="3" t="s">
        <v>2660</v>
      </c>
      <c r="C638" s="2" t="s">
        <v>2661</v>
      </c>
      <c r="D638" s="2">
        <v>56</v>
      </c>
      <c r="E638" s="2">
        <v>56</v>
      </c>
      <c r="F638" s="2" t="s">
        <v>2662</v>
      </c>
      <c r="H638" s="2" t="s">
        <v>17</v>
      </c>
      <c r="K638" s="4">
        <v>22465</v>
      </c>
      <c r="M638" s="2" t="s">
        <v>47</v>
      </c>
      <c r="N638" s="2" t="s">
        <v>48</v>
      </c>
    </row>
    <row r="639" spans="1:14">
      <c r="A639" s="2">
        <v>638</v>
      </c>
      <c r="B639" s="3" t="s">
        <v>2663</v>
      </c>
      <c r="C639" s="2" t="s">
        <v>2664</v>
      </c>
      <c r="D639" s="2">
        <v>54</v>
      </c>
      <c r="E639" s="2">
        <v>56</v>
      </c>
      <c r="F639" s="2" t="s">
        <v>2665</v>
      </c>
      <c r="H639" s="2" t="s">
        <v>17</v>
      </c>
      <c r="K639" s="4">
        <v>22533</v>
      </c>
      <c r="L639" s="4">
        <v>44017</v>
      </c>
      <c r="M639" s="2" t="s">
        <v>140</v>
      </c>
      <c r="N639" s="2" t="s">
        <v>141</v>
      </c>
    </row>
    <row r="640" spans="1:14">
      <c r="A640" s="2">
        <v>639</v>
      </c>
      <c r="B640" s="3" t="s">
        <v>2666</v>
      </c>
      <c r="C640" s="2" t="s">
        <v>291</v>
      </c>
      <c r="D640" s="2">
        <v>48</v>
      </c>
      <c r="E640" s="2">
        <v>56</v>
      </c>
      <c r="F640" s="2" t="s">
        <v>2667</v>
      </c>
      <c r="H640" s="2" t="s">
        <v>17</v>
      </c>
      <c r="I640" s="2" t="s">
        <v>2668</v>
      </c>
      <c r="K640" s="4">
        <v>17264</v>
      </c>
      <c r="M640" s="2" t="s">
        <v>140</v>
      </c>
      <c r="N640" s="2" t="s">
        <v>2669</v>
      </c>
    </row>
    <row r="641" spans="1:14">
      <c r="A641" s="2">
        <v>640</v>
      </c>
      <c r="B641" s="3" t="s">
        <v>2670</v>
      </c>
      <c r="C641" s="2" t="s">
        <v>2671</v>
      </c>
      <c r="D641" s="2">
        <v>56</v>
      </c>
      <c r="E641" s="2">
        <v>56</v>
      </c>
      <c r="F641" s="2" t="s">
        <v>2672</v>
      </c>
      <c r="H641" s="2" t="s">
        <v>45</v>
      </c>
      <c r="I641" s="2" t="s">
        <v>2673</v>
      </c>
      <c r="J641" s="2" t="s">
        <v>2674</v>
      </c>
      <c r="K641" s="4">
        <v>30640</v>
      </c>
      <c r="M641" s="2" t="s">
        <v>164</v>
      </c>
      <c r="N641" s="2" t="s">
        <v>243</v>
      </c>
    </row>
    <row r="642" spans="1:14">
      <c r="A642" s="2">
        <v>641</v>
      </c>
      <c r="B642" s="3" t="s">
        <v>2675</v>
      </c>
      <c r="C642" s="2" t="s">
        <v>2676</v>
      </c>
      <c r="D642" s="2">
        <v>52</v>
      </c>
      <c r="E642" s="2">
        <v>56</v>
      </c>
      <c r="F642" s="2" t="s">
        <v>2677</v>
      </c>
      <c r="H642" s="2" t="s">
        <v>17</v>
      </c>
      <c r="K642" s="4">
        <v>25374</v>
      </c>
      <c r="M642" s="2" t="s">
        <v>164</v>
      </c>
      <c r="N642" s="2" t="s">
        <v>755</v>
      </c>
    </row>
    <row r="643" spans="1:14">
      <c r="A643" s="2">
        <v>642</v>
      </c>
      <c r="B643" s="3" t="s">
        <v>2678</v>
      </c>
      <c r="C643" s="2" t="s">
        <v>2679</v>
      </c>
      <c r="D643" s="2">
        <v>55</v>
      </c>
      <c r="E643" s="2">
        <v>56</v>
      </c>
      <c r="F643" s="2" t="s">
        <v>2680</v>
      </c>
      <c r="H643" s="2" t="s">
        <v>17</v>
      </c>
      <c r="K643" s="4">
        <v>29983</v>
      </c>
      <c r="M643" s="2" t="s">
        <v>336</v>
      </c>
      <c r="N643" s="2" t="s">
        <v>2681</v>
      </c>
    </row>
    <row r="644" spans="1:14">
      <c r="A644" s="2">
        <v>643</v>
      </c>
      <c r="B644" s="3" t="s">
        <v>2682</v>
      </c>
      <c r="C644" s="2" t="s">
        <v>2683</v>
      </c>
      <c r="D644" s="2">
        <v>56</v>
      </c>
      <c r="E644" s="2">
        <v>56</v>
      </c>
      <c r="F644" s="2" t="s">
        <v>2684</v>
      </c>
      <c r="H644" s="2" t="s">
        <v>45</v>
      </c>
      <c r="K644" s="4">
        <v>25217</v>
      </c>
      <c r="M644" s="2" t="s">
        <v>341</v>
      </c>
      <c r="N644" s="2" t="s">
        <v>834</v>
      </c>
    </row>
    <row r="645" spans="1:14">
      <c r="A645" s="2">
        <v>644</v>
      </c>
      <c r="B645" s="3" t="s">
        <v>2685</v>
      </c>
      <c r="C645" s="2" t="s">
        <v>2686</v>
      </c>
      <c r="D645" s="2">
        <v>53</v>
      </c>
      <c r="E645" s="2">
        <v>56</v>
      </c>
      <c r="F645" s="2" t="s">
        <v>2687</v>
      </c>
      <c r="H645" s="2" t="s">
        <v>17</v>
      </c>
      <c r="K645" s="4">
        <v>23170</v>
      </c>
      <c r="M645" s="2" t="s">
        <v>170</v>
      </c>
      <c r="N645" s="2" t="s">
        <v>323</v>
      </c>
    </row>
    <row r="646" spans="1:14">
      <c r="A646" s="2">
        <v>645</v>
      </c>
      <c r="B646" s="3" t="s">
        <v>2688</v>
      </c>
      <c r="C646" s="2" t="s">
        <v>2689</v>
      </c>
      <c r="D646" s="2">
        <v>56</v>
      </c>
      <c r="E646" s="2">
        <v>56</v>
      </c>
      <c r="F646" s="2" t="s">
        <v>2690</v>
      </c>
      <c r="H646" s="2" t="s">
        <v>17</v>
      </c>
      <c r="I646" s="2" t="s">
        <v>2691</v>
      </c>
      <c r="K646" s="4">
        <v>25143</v>
      </c>
      <c r="M646" s="2" t="s">
        <v>185</v>
      </c>
      <c r="N646" s="2" t="s">
        <v>2692</v>
      </c>
    </row>
    <row r="647" spans="1:14">
      <c r="A647" s="2">
        <v>646</v>
      </c>
      <c r="B647" s="3" t="s">
        <v>2693</v>
      </c>
      <c r="C647" s="2" t="s">
        <v>2694</v>
      </c>
      <c r="D647" s="2">
        <v>56</v>
      </c>
      <c r="E647" s="2">
        <v>56</v>
      </c>
      <c r="F647" s="2" t="s">
        <v>2695</v>
      </c>
      <c r="H647" s="2" t="s">
        <v>17</v>
      </c>
      <c r="K647" s="4">
        <v>26152</v>
      </c>
      <c r="M647" s="2" t="s">
        <v>154</v>
      </c>
      <c r="N647" s="2" t="s">
        <v>346</v>
      </c>
    </row>
    <row r="648" spans="1:14">
      <c r="A648" s="2">
        <v>647</v>
      </c>
      <c r="B648" s="3" t="s">
        <v>2696</v>
      </c>
      <c r="C648" s="2" t="s">
        <v>2697</v>
      </c>
      <c r="D648" s="2">
        <v>56</v>
      </c>
      <c r="E648" s="2">
        <v>56</v>
      </c>
      <c r="F648" s="2" t="s">
        <v>2698</v>
      </c>
      <c r="H648" s="2" t="s">
        <v>17</v>
      </c>
      <c r="K648" s="4">
        <v>21833</v>
      </c>
      <c r="M648" s="2" t="s">
        <v>30</v>
      </c>
      <c r="N648" s="2" t="s">
        <v>31</v>
      </c>
    </row>
    <row r="649" spans="1:14">
      <c r="A649" s="2">
        <v>648</v>
      </c>
      <c r="B649" s="3" t="s">
        <v>2699</v>
      </c>
      <c r="C649" s="2" t="s">
        <v>2700</v>
      </c>
      <c r="D649" s="2">
        <v>56</v>
      </c>
      <c r="E649" s="2">
        <v>56</v>
      </c>
      <c r="F649" s="2" t="s">
        <v>2701</v>
      </c>
      <c r="H649" s="2" t="s">
        <v>17</v>
      </c>
      <c r="K649" s="4">
        <v>29450</v>
      </c>
      <c r="M649" s="2" t="s">
        <v>47</v>
      </c>
      <c r="N649" s="2" t="s">
        <v>691</v>
      </c>
    </row>
    <row r="650" spans="1:14">
      <c r="A650" s="2">
        <v>649</v>
      </c>
      <c r="B650" s="3" t="s">
        <v>2702</v>
      </c>
      <c r="C650" s="2" t="s">
        <v>2703</v>
      </c>
      <c r="D650" s="2">
        <v>54</v>
      </c>
      <c r="E650" s="2">
        <v>56</v>
      </c>
      <c r="F650" s="2" t="s">
        <v>2704</v>
      </c>
      <c r="H650" s="2" t="s">
        <v>45</v>
      </c>
      <c r="K650" s="4">
        <v>30434</v>
      </c>
      <c r="M650" s="2" t="s">
        <v>47</v>
      </c>
      <c r="N650" s="2" t="s">
        <v>2705</v>
      </c>
    </row>
    <row r="651" spans="1:14">
      <c r="A651" s="2">
        <v>650</v>
      </c>
      <c r="B651" s="3" t="s">
        <v>2706</v>
      </c>
      <c r="C651" s="2" t="s">
        <v>2707</v>
      </c>
      <c r="D651" s="2">
        <v>55</v>
      </c>
      <c r="E651" s="2">
        <v>56</v>
      </c>
      <c r="F651" s="2" t="s">
        <v>2708</v>
      </c>
      <c r="H651" s="2" t="s">
        <v>17</v>
      </c>
      <c r="K651" s="4">
        <v>29162</v>
      </c>
      <c r="M651" s="2" t="s">
        <v>40</v>
      </c>
      <c r="N651" s="2" t="s">
        <v>41</v>
      </c>
    </row>
    <row r="652" spans="1:14">
      <c r="A652" s="2">
        <v>651</v>
      </c>
      <c r="B652" s="3" t="s">
        <v>2709</v>
      </c>
      <c r="C652" s="2" t="s">
        <v>2710</v>
      </c>
      <c r="D652" s="2">
        <v>56</v>
      </c>
      <c r="E652" s="2">
        <v>56</v>
      </c>
      <c r="F652" s="2" t="s">
        <v>2711</v>
      </c>
      <c r="H652" s="2" t="s">
        <v>17</v>
      </c>
      <c r="K652" s="4">
        <v>26442</v>
      </c>
      <c r="N652" s="2" t="s">
        <v>2712</v>
      </c>
    </row>
    <row r="653" spans="1:14">
      <c r="A653" s="2">
        <v>652</v>
      </c>
      <c r="B653" s="3" t="s">
        <v>2713</v>
      </c>
      <c r="C653" s="2" t="s">
        <v>2714</v>
      </c>
      <c r="D653" s="2">
        <v>55</v>
      </c>
      <c r="E653" s="2">
        <v>56</v>
      </c>
      <c r="F653" s="2" t="s">
        <v>2715</v>
      </c>
      <c r="H653" s="2" t="s">
        <v>17</v>
      </c>
      <c r="I653" s="3" t="s">
        <v>2716</v>
      </c>
      <c r="K653" s="4">
        <v>26664</v>
      </c>
      <c r="M653" s="2" t="s">
        <v>85</v>
      </c>
      <c r="N653" s="2" t="s">
        <v>86</v>
      </c>
    </row>
    <row r="654" spans="1:14">
      <c r="A654" s="2">
        <v>653</v>
      </c>
      <c r="B654" s="3" t="s">
        <v>2717</v>
      </c>
      <c r="C654" s="2" t="s">
        <v>2718</v>
      </c>
      <c r="D654" s="2">
        <v>56</v>
      </c>
      <c r="E654" s="2">
        <v>56</v>
      </c>
      <c r="F654" s="2" t="s">
        <v>2719</v>
      </c>
      <c r="H654" s="2" t="s">
        <v>17</v>
      </c>
      <c r="I654" s="2" t="s">
        <v>2720</v>
      </c>
      <c r="K654" s="4">
        <v>28876</v>
      </c>
      <c r="M654" s="2" t="s">
        <v>47</v>
      </c>
      <c r="N654" s="2" t="s">
        <v>554</v>
      </c>
    </row>
    <row r="655" spans="1:14">
      <c r="A655" s="2">
        <v>654</v>
      </c>
      <c r="B655" s="3" t="s">
        <v>2721</v>
      </c>
      <c r="C655" s="2" t="s">
        <v>2722</v>
      </c>
      <c r="D655" s="2">
        <v>46</v>
      </c>
      <c r="E655" s="2">
        <v>56</v>
      </c>
      <c r="F655" s="2" t="s">
        <v>2723</v>
      </c>
      <c r="H655" s="2" t="s">
        <v>17</v>
      </c>
      <c r="K655" s="4">
        <v>15284</v>
      </c>
      <c r="M655" s="2" t="s">
        <v>18</v>
      </c>
      <c r="N655" s="2" t="s">
        <v>2724</v>
      </c>
    </row>
    <row r="656" spans="1:14">
      <c r="A656" s="2">
        <v>655</v>
      </c>
      <c r="B656" s="3" t="s">
        <v>2725</v>
      </c>
      <c r="C656" s="2" t="s">
        <v>2726</v>
      </c>
      <c r="D656" s="2">
        <v>56</v>
      </c>
      <c r="E656" s="2">
        <v>56</v>
      </c>
      <c r="F656" s="2" t="s">
        <v>2727</v>
      </c>
      <c r="H656" s="2" t="s">
        <v>17</v>
      </c>
      <c r="K656" s="4">
        <v>29841</v>
      </c>
      <c r="M656" s="2" t="s">
        <v>40</v>
      </c>
      <c r="N656" s="2" t="s">
        <v>41</v>
      </c>
    </row>
    <row r="657" spans="1:14">
      <c r="A657" s="2">
        <v>656</v>
      </c>
      <c r="B657" s="3" t="s">
        <v>2728</v>
      </c>
      <c r="C657" s="2" t="s">
        <v>2729</v>
      </c>
      <c r="D657" s="2">
        <v>56</v>
      </c>
      <c r="E657" s="2">
        <v>56</v>
      </c>
      <c r="F657" s="2" t="s">
        <v>2730</v>
      </c>
      <c r="H657" s="2" t="s">
        <v>45</v>
      </c>
      <c r="I657" s="2" t="s">
        <v>2731</v>
      </c>
      <c r="J657" s="3" t="s">
        <v>2732</v>
      </c>
      <c r="K657" s="4">
        <v>28186</v>
      </c>
      <c r="M657" s="2" t="s">
        <v>53</v>
      </c>
      <c r="N657" s="2" t="s">
        <v>847</v>
      </c>
    </row>
    <row r="658" spans="1:14">
      <c r="A658" s="2">
        <v>657</v>
      </c>
      <c r="B658" s="3" t="s">
        <v>2733</v>
      </c>
      <c r="C658" s="2" t="s">
        <v>2734</v>
      </c>
      <c r="D658" s="2">
        <v>56</v>
      </c>
      <c r="E658" s="2">
        <v>56</v>
      </c>
      <c r="F658" s="2" t="s">
        <v>2735</v>
      </c>
      <c r="H658" s="2" t="s">
        <v>17</v>
      </c>
      <c r="K658" s="4">
        <v>19584</v>
      </c>
      <c r="M658" s="2" t="s">
        <v>35</v>
      </c>
      <c r="N658" s="2" t="s">
        <v>2736</v>
      </c>
    </row>
    <row r="659" spans="1:14">
      <c r="A659" s="2">
        <v>658</v>
      </c>
      <c r="B659" s="3" t="s">
        <v>2737</v>
      </c>
      <c r="C659" s="2" t="s">
        <v>2738</v>
      </c>
      <c r="D659" s="2">
        <v>53</v>
      </c>
      <c r="E659" s="2">
        <v>56</v>
      </c>
      <c r="F659" s="2" t="s">
        <v>2739</v>
      </c>
      <c r="H659" s="2" t="s">
        <v>17</v>
      </c>
      <c r="K659" s="4">
        <v>19601</v>
      </c>
      <c r="M659" s="2" t="s">
        <v>423</v>
      </c>
      <c r="N659" s="2" t="s">
        <v>464</v>
      </c>
    </row>
    <row r="660" spans="1:14">
      <c r="A660" s="2">
        <v>659</v>
      </c>
      <c r="B660" s="3" t="s">
        <v>2740</v>
      </c>
      <c r="C660" s="2" t="s">
        <v>2741</v>
      </c>
      <c r="D660" s="2">
        <v>56</v>
      </c>
      <c r="E660" s="2">
        <v>56</v>
      </c>
      <c r="F660" s="2" t="s">
        <v>2742</v>
      </c>
      <c r="H660" s="2" t="s">
        <v>17</v>
      </c>
      <c r="I660" s="2" t="s">
        <v>2743</v>
      </c>
      <c r="J660" s="3" t="s">
        <v>2744</v>
      </c>
      <c r="K660" s="4">
        <v>31043</v>
      </c>
      <c r="M660" s="2" t="s">
        <v>35</v>
      </c>
      <c r="N660" s="2" t="s">
        <v>1462</v>
      </c>
    </row>
    <row r="661" spans="1:14">
      <c r="A661" s="2">
        <v>660</v>
      </c>
      <c r="B661" s="3" t="s">
        <v>2745</v>
      </c>
      <c r="C661" s="2" t="s">
        <v>2746</v>
      </c>
      <c r="D661" s="2">
        <v>53</v>
      </c>
      <c r="E661" s="2">
        <v>56</v>
      </c>
      <c r="F661" s="2" t="s">
        <v>2747</v>
      </c>
      <c r="H661" s="2" t="s">
        <v>17</v>
      </c>
      <c r="I661" s="2" t="s">
        <v>2748</v>
      </c>
      <c r="K661" s="4">
        <v>19401</v>
      </c>
      <c r="M661" s="2" t="s">
        <v>170</v>
      </c>
      <c r="N661" s="2" t="s">
        <v>385</v>
      </c>
    </row>
    <row r="662" spans="1:14">
      <c r="A662" s="2">
        <v>661</v>
      </c>
      <c r="B662" s="3" t="s">
        <v>2749</v>
      </c>
      <c r="C662" s="2" t="s">
        <v>2750</v>
      </c>
      <c r="D662" s="2">
        <v>55</v>
      </c>
      <c r="E662" s="2">
        <v>56</v>
      </c>
      <c r="F662" s="2" t="s">
        <v>2751</v>
      </c>
      <c r="H662" s="2" t="s">
        <v>45</v>
      </c>
      <c r="I662" s="2" t="s">
        <v>2752</v>
      </c>
      <c r="K662" s="4">
        <v>21969</v>
      </c>
      <c r="M662" s="2" t="s">
        <v>154</v>
      </c>
      <c r="N662" s="2" t="s">
        <v>208</v>
      </c>
    </row>
    <row r="663" spans="1:14">
      <c r="A663" s="2">
        <v>662</v>
      </c>
      <c r="B663" s="3" t="s">
        <v>2753</v>
      </c>
      <c r="C663" s="2" t="s">
        <v>2754</v>
      </c>
      <c r="D663" s="2">
        <v>56</v>
      </c>
      <c r="E663" s="2">
        <v>56</v>
      </c>
      <c r="F663" s="2" t="s">
        <v>2755</v>
      </c>
      <c r="H663" s="2" t="s">
        <v>17</v>
      </c>
      <c r="K663" s="4">
        <v>22762</v>
      </c>
      <c r="M663" s="2" t="s">
        <v>170</v>
      </c>
      <c r="N663" s="2" t="s">
        <v>759</v>
      </c>
    </row>
    <row r="664" spans="1:14">
      <c r="A664" s="2">
        <v>663</v>
      </c>
      <c r="B664" s="3" t="s">
        <v>2756</v>
      </c>
      <c r="C664" s="2" t="s">
        <v>2757</v>
      </c>
      <c r="D664" s="2">
        <v>55</v>
      </c>
      <c r="E664" s="2">
        <v>56</v>
      </c>
      <c r="F664" s="2" t="s">
        <v>2758</v>
      </c>
      <c r="H664" s="2" t="s">
        <v>45</v>
      </c>
      <c r="K664" s="4">
        <v>30134</v>
      </c>
      <c r="M664" s="2" t="s">
        <v>170</v>
      </c>
      <c r="N664" s="2" t="s">
        <v>385</v>
      </c>
    </row>
    <row r="665" spans="1:14">
      <c r="A665" s="2">
        <v>664</v>
      </c>
      <c r="B665" s="3" t="s">
        <v>2759</v>
      </c>
      <c r="C665" s="2" t="s">
        <v>2760</v>
      </c>
      <c r="D665" s="2">
        <v>56</v>
      </c>
      <c r="E665" s="2">
        <v>56</v>
      </c>
      <c r="F665" s="2" t="s">
        <v>2761</v>
      </c>
      <c r="H665" s="2" t="s">
        <v>17</v>
      </c>
      <c r="K665" s="4">
        <v>25668</v>
      </c>
      <c r="M665" s="2" t="s">
        <v>35</v>
      </c>
      <c r="N665" s="2" t="s">
        <v>2762</v>
      </c>
    </row>
    <row r="666" spans="1:14">
      <c r="A666" s="2">
        <v>665</v>
      </c>
      <c r="B666" s="3" t="s">
        <v>2763</v>
      </c>
      <c r="C666" s="2" t="s">
        <v>2764</v>
      </c>
      <c r="D666" s="2">
        <v>55</v>
      </c>
      <c r="E666" s="2">
        <v>56</v>
      </c>
      <c r="F666" s="2" t="s">
        <v>2765</v>
      </c>
      <c r="H666" s="2" t="s">
        <v>17</v>
      </c>
      <c r="K666" s="4">
        <v>28798</v>
      </c>
      <c r="M666" s="2" t="s">
        <v>198</v>
      </c>
      <c r="N666" s="2" t="s">
        <v>199</v>
      </c>
    </row>
    <row r="667" spans="1:14">
      <c r="A667" s="2">
        <v>666</v>
      </c>
      <c r="B667" s="3" t="s">
        <v>2766</v>
      </c>
      <c r="C667" s="2" t="s">
        <v>2767</v>
      </c>
      <c r="D667" s="2">
        <v>56</v>
      </c>
      <c r="E667" s="2">
        <v>56</v>
      </c>
      <c r="F667" s="2" t="s">
        <v>2768</v>
      </c>
      <c r="H667" s="2" t="s">
        <v>17</v>
      </c>
      <c r="K667" s="4">
        <v>30280</v>
      </c>
      <c r="M667" s="2" t="s">
        <v>170</v>
      </c>
      <c r="N667" s="2" t="s">
        <v>1624</v>
      </c>
    </row>
    <row r="668" spans="1:14">
      <c r="A668" s="2">
        <v>667</v>
      </c>
      <c r="B668" s="3" t="s">
        <v>2769</v>
      </c>
      <c r="C668" s="2" t="s">
        <v>2770</v>
      </c>
      <c r="D668" s="2">
        <v>54</v>
      </c>
      <c r="E668" s="2">
        <v>56</v>
      </c>
      <c r="F668" s="2" t="s">
        <v>2771</v>
      </c>
      <c r="H668" s="2" t="s">
        <v>17</v>
      </c>
      <c r="K668" s="4">
        <v>24583</v>
      </c>
      <c r="M668" s="2" t="s">
        <v>198</v>
      </c>
      <c r="N668" s="2" t="s">
        <v>2772</v>
      </c>
    </row>
    <row r="669" spans="1:14">
      <c r="A669" s="2">
        <v>668</v>
      </c>
      <c r="B669" s="3" t="s">
        <v>2773</v>
      </c>
      <c r="C669" s="2" t="s">
        <v>2774</v>
      </c>
      <c r="D669" s="2">
        <v>50</v>
      </c>
      <c r="E669" s="2">
        <v>56</v>
      </c>
      <c r="F669" s="2" t="s">
        <v>2775</v>
      </c>
      <c r="H669" s="2" t="s">
        <v>17</v>
      </c>
      <c r="K669" s="4">
        <v>17259</v>
      </c>
      <c r="M669" s="2" t="s">
        <v>66</v>
      </c>
      <c r="N669" s="2" t="s">
        <v>1918</v>
      </c>
    </row>
    <row r="670" spans="1:14">
      <c r="A670" s="2">
        <v>669</v>
      </c>
      <c r="B670" s="3" t="s">
        <v>2776</v>
      </c>
      <c r="C670" s="2" t="s">
        <v>2777</v>
      </c>
      <c r="D670" s="2">
        <v>56</v>
      </c>
      <c r="E670" s="2">
        <v>56</v>
      </c>
      <c r="F670" s="2" t="s">
        <v>2778</v>
      </c>
      <c r="H670" s="2" t="s">
        <v>17</v>
      </c>
      <c r="I670" s="2" t="s">
        <v>2779</v>
      </c>
      <c r="K670" s="4">
        <v>31177</v>
      </c>
      <c r="L670" s="4">
        <v>45055</v>
      </c>
      <c r="M670" s="2" t="s">
        <v>170</v>
      </c>
      <c r="N670" s="2" t="s">
        <v>323</v>
      </c>
    </row>
    <row r="671" spans="1:14">
      <c r="A671" s="2">
        <v>670</v>
      </c>
      <c r="B671" s="3" t="s">
        <v>2780</v>
      </c>
      <c r="C671" s="2" t="s">
        <v>2781</v>
      </c>
      <c r="D671" s="2">
        <v>56</v>
      </c>
      <c r="E671" s="2">
        <v>56</v>
      </c>
      <c r="F671" s="2" t="s">
        <v>2782</v>
      </c>
      <c r="H671" s="2" t="s">
        <v>17</v>
      </c>
      <c r="I671" s="2" t="s">
        <v>2783</v>
      </c>
      <c r="K671" s="4">
        <v>26304</v>
      </c>
      <c r="M671" s="2" t="s">
        <v>170</v>
      </c>
      <c r="N671" s="2" t="s">
        <v>323</v>
      </c>
    </row>
    <row r="672" spans="1:14">
      <c r="A672" s="2">
        <v>671</v>
      </c>
      <c r="B672" s="3" t="s">
        <v>2784</v>
      </c>
      <c r="C672" s="2" t="s">
        <v>2785</v>
      </c>
      <c r="D672" s="2">
        <v>56</v>
      </c>
      <c r="E672" s="2">
        <v>56</v>
      </c>
      <c r="F672" s="2" t="s">
        <v>2786</v>
      </c>
      <c r="H672" s="2" t="s">
        <v>17</v>
      </c>
      <c r="I672" s="2" t="s">
        <v>2787</v>
      </c>
      <c r="K672" s="4">
        <v>27967</v>
      </c>
      <c r="M672" s="2" t="s">
        <v>30</v>
      </c>
      <c r="N672" s="2" t="s">
        <v>31</v>
      </c>
    </row>
    <row r="673" spans="1:14">
      <c r="A673" s="2">
        <v>672</v>
      </c>
      <c r="B673" s="3" t="s">
        <v>2788</v>
      </c>
      <c r="C673" s="2" t="s">
        <v>2789</v>
      </c>
      <c r="D673" s="2">
        <v>54</v>
      </c>
      <c r="E673" s="2">
        <v>56</v>
      </c>
      <c r="F673" s="2" t="s">
        <v>2790</v>
      </c>
      <c r="H673" s="2" t="s">
        <v>17</v>
      </c>
      <c r="K673" s="4">
        <v>22978</v>
      </c>
      <c r="M673" s="2" t="s">
        <v>154</v>
      </c>
      <c r="N673" s="2" t="s">
        <v>2791</v>
      </c>
    </row>
    <row r="674" spans="1:14">
      <c r="A674" s="2">
        <v>673</v>
      </c>
      <c r="B674" s="3" t="s">
        <v>2792</v>
      </c>
      <c r="C674" s="2" t="s">
        <v>2793</v>
      </c>
      <c r="D674" s="2">
        <v>56</v>
      </c>
      <c r="E674" s="2">
        <v>56</v>
      </c>
      <c r="F674" s="2" t="s">
        <v>2794</v>
      </c>
      <c r="H674" s="2" t="s">
        <v>17</v>
      </c>
      <c r="I674" s="2" t="s">
        <v>2795</v>
      </c>
      <c r="K674" s="4">
        <v>29297</v>
      </c>
      <c r="M674" s="2" t="s">
        <v>85</v>
      </c>
      <c r="N674" s="2" t="s">
        <v>86</v>
      </c>
    </row>
    <row r="675" spans="1:14">
      <c r="A675" s="2">
        <v>674</v>
      </c>
      <c r="B675" s="3" t="s">
        <v>2796</v>
      </c>
      <c r="C675" s="2" t="s">
        <v>2797</v>
      </c>
      <c r="D675" s="2">
        <v>56</v>
      </c>
      <c r="E675" s="2">
        <v>56</v>
      </c>
      <c r="F675" s="2" t="s">
        <v>2798</v>
      </c>
      <c r="H675" s="2" t="s">
        <v>17</v>
      </c>
      <c r="I675" s="2" t="s">
        <v>2799</v>
      </c>
      <c r="K675" s="4">
        <v>27657</v>
      </c>
      <c r="M675" s="2" t="s">
        <v>85</v>
      </c>
      <c r="N675" s="2" t="s">
        <v>2800</v>
      </c>
    </row>
    <row r="676" spans="1:14">
      <c r="A676" s="2">
        <v>675</v>
      </c>
      <c r="B676" s="3" t="s">
        <v>2801</v>
      </c>
      <c r="C676" s="2" t="s">
        <v>2802</v>
      </c>
      <c r="D676" s="2">
        <v>56</v>
      </c>
      <c r="E676" s="2">
        <v>56</v>
      </c>
      <c r="F676" s="2" t="s">
        <v>2803</v>
      </c>
      <c r="H676" s="2" t="s">
        <v>17</v>
      </c>
      <c r="K676" s="4">
        <v>19898</v>
      </c>
      <c r="M676" s="2" t="s">
        <v>85</v>
      </c>
      <c r="N676" s="2" t="s">
        <v>2804</v>
      </c>
    </row>
    <row r="677" spans="1:14">
      <c r="A677" s="2">
        <v>676</v>
      </c>
      <c r="B677" s="3" t="s">
        <v>2805</v>
      </c>
      <c r="C677" s="2" t="s">
        <v>2806</v>
      </c>
      <c r="D677" s="2">
        <v>56</v>
      </c>
      <c r="E677" s="2">
        <v>56</v>
      </c>
      <c r="F677" s="2" t="s">
        <v>2807</v>
      </c>
      <c r="H677" s="2" t="s">
        <v>17</v>
      </c>
      <c r="K677" s="4">
        <v>32953</v>
      </c>
      <c r="M677" s="2" t="s">
        <v>146</v>
      </c>
      <c r="N677" s="2" t="s">
        <v>147</v>
      </c>
    </row>
    <row r="678" spans="1:14">
      <c r="A678" s="2">
        <v>677</v>
      </c>
      <c r="B678" s="3" t="s">
        <v>2808</v>
      </c>
      <c r="C678" s="2" t="s">
        <v>2809</v>
      </c>
      <c r="D678" s="2">
        <v>56</v>
      </c>
      <c r="E678" s="2">
        <v>56</v>
      </c>
      <c r="F678" s="2" t="s">
        <v>2810</v>
      </c>
      <c r="H678" s="2" t="s">
        <v>17</v>
      </c>
      <c r="K678" s="4">
        <v>28655</v>
      </c>
      <c r="M678" s="2" t="s">
        <v>53</v>
      </c>
      <c r="N678" s="2" t="s">
        <v>686</v>
      </c>
    </row>
    <row r="679" spans="1:14">
      <c r="A679" s="2">
        <v>678</v>
      </c>
      <c r="B679" s="3" t="s">
        <v>2811</v>
      </c>
      <c r="C679" s="2" t="s">
        <v>2812</v>
      </c>
      <c r="D679" s="2">
        <v>54</v>
      </c>
      <c r="E679" s="2">
        <v>56</v>
      </c>
      <c r="F679" s="2" t="s">
        <v>2813</v>
      </c>
      <c r="H679" s="2" t="s">
        <v>17</v>
      </c>
      <c r="K679" s="4">
        <v>18682</v>
      </c>
      <c r="M679" s="2" t="s">
        <v>47</v>
      </c>
      <c r="N679" s="2" t="s">
        <v>48</v>
      </c>
    </row>
    <row r="680" spans="1:14">
      <c r="A680" s="2">
        <v>679</v>
      </c>
      <c r="B680" s="3" t="s">
        <v>2814</v>
      </c>
      <c r="C680" s="2" t="s">
        <v>2815</v>
      </c>
      <c r="D680" s="2">
        <v>56</v>
      </c>
      <c r="E680" s="2">
        <v>56</v>
      </c>
      <c r="F680" s="2" t="s">
        <v>2816</v>
      </c>
      <c r="H680" s="2" t="s">
        <v>45</v>
      </c>
      <c r="K680" s="4">
        <v>22350</v>
      </c>
      <c r="M680" s="2" t="s">
        <v>192</v>
      </c>
      <c r="N680" s="2" t="s">
        <v>1736</v>
      </c>
    </row>
    <row r="681" spans="1:14">
      <c r="A681" s="2">
        <v>680</v>
      </c>
      <c r="B681" s="3" t="s">
        <v>2817</v>
      </c>
      <c r="C681" s="2" t="s">
        <v>2818</v>
      </c>
      <c r="D681" s="2">
        <v>56</v>
      </c>
      <c r="E681" s="2">
        <v>56</v>
      </c>
      <c r="F681" s="2" t="s">
        <v>2819</v>
      </c>
      <c r="H681" s="2" t="s">
        <v>45</v>
      </c>
      <c r="K681" s="4">
        <v>19619</v>
      </c>
      <c r="M681" s="2" t="s">
        <v>47</v>
      </c>
      <c r="N681" s="2" t="s">
        <v>2820</v>
      </c>
    </row>
    <row r="682" spans="1:14">
      <c r="A682" s="2">
        <v>681</v>
      </c>
      <c r="B682" s="3" t="s">
        <v>2821</v>
      </c>
      <c r="C682" s="2" t="s">
        <v>2822</v>
      </c>
      <c r="D682" s="2">
        <v>55</v>
      </c>
      <c r="E682" s="2">
        <v>56</v>
      </c>
      <c r="F682" s="2" t="s">
        <v>2823</v>
      </c>
      <c r="H682" s="2" t="s">
        <v>45</v>
      </c>
      <c r="I682" s="2" t="s">
        <v>2824</v>
      </c>
      <c r="K682" s="4">
        <v>23360</v>
      </c>
      <c r="M682" s="2" t="s">
        <v>35</v>
      </c>
      <c r="N682" s="2" t="s">
        <v>2825</v>
      </c>
    </row>
    <row r="683" spans="1:14">
      <c r="A683" s="2">
        <v>682</v>
      </c>
      <c r="B683" s="3" t="s">
        <v>2826</v>
      </c>
      <c r="C683" s="2" t="s">
        <v>2827</v>
      </c>
      <c r="D683" s="2">
        <v>56</v>
      </c>
      <c r="E683" s="2">
        <v>56</v>
      </c>
      <c r="F683" s="2" t="s">
        <v>2828</v>
      </c>
      <c r="H683" s="2" t="s">
        <v>17</v>
      </c>
      <c r="I683" s="2" t="s">
        <v>2829</v>
      </c>
      <c r="K683" s="4">
        <v>29710</v>
      </c>
      <c r="M683" s="2" t="s">
        <v>185</v>
      </c>
      <c r="N683" s="2" t="s">
        <v>838</v>
      </c>
    </row>
    <row r="684" spans="1:14">
      <c r="A684" s="2">
        <v>683</v>
      </c>
      <c r="B684" s="3" t="s">
        <v>2830</v>
      </c>
      <c r="C684" s="2" t="s">
        <v>2831</v>
      </c>
      <c r="D684" s="2">
        <v>53</v>
      </c>
      <c r="E684" s="2">
        <v>56</v>
      </c>
      <c r="F684" s="2" t="s">
        <v>2832</v>
      </c>
      <c r="H684" s="2" t="s">
        <v>17</v>
      </c>
      <c r="I684" s="2" t="s">
        <v>2833</v>
      </c>
      <c r="J684" s="3" t="s">
        <v>2834</v>
      </c>
      <c r="K684" s="4">
        <v>18997</v>
      </c>
      <c r="M684" s="2" t="s">
        <v>47</v>
      </c>
      <c r="N684" s="2" t="s">
        <v>2835</v>
      </c>
    </row>
    <row r="685" spans="1:14">
      <c r="A685" s="2">
        <v>684</v>
      </c>
      <c r="B685" s="3" t="s">
        <v>2836</v>
      </c>
      <c r="C685" s="2" t="s">
        <v>2837</v>
      </c>
      <c r="D685" s="2">
        <v>55</v>
      </c>
      <c r="E685" s="2">
        <v>56</v>
      </c>
      <c r="F685" s="2" t="s">
        <v>2838</v>
      </c>
      <c r="H685" s="2" t="s">
        <v>17</v>
      </c>
      <c r="K685" s="4">
        <v>20966</v>
      </c>
      <c r="M685" s="2" t="s">
        <v>164</v>
      </c>
      <c r="N685" s="2" t="s">
        <v>165</v>
      </c>
    </row>
    <row r="686" spans="1:14">
      <c r="A686" s="2">
        <v>685</v>
      </c>
      <c r="B686" s="3" t="s">
        <v>2839</v>
      </c>
      <c r="C686" s="2" t="s">
        <v>2840</v>
      </c>
      <c r="D686" s="2">
        <v>56</v>
      </c>
      <c r="E686" s="2">
        <v>56</v>
      </c>
      <c r="F686" s="2" t="s">
        <v>2841</v>
      </c>
      <c r="H686" s="2" t="s">
        <v>45</v>
      </c>
      <c r="I686" s="2" t="s">
        <v>2842</v>
      </c>
      <c r="K686" s="4">
        <v>21432</v>
      </c>
      <c r="M686" s="2" t="s">
        <v>40</v>
      </c>
      <c r="N686" s="2" t="s">
        <v>2843</v>
      </c>
    </row>
    <row r="687" spans="1:14">
      <c r="A687" s="2">
        <v>686</v>
      </c>
      <c r="B687" s="3" t="s">
        <v>2844</v>
      </c>
      <c r="C687" s="2" t="s">
        <v>2845</v>
      </c>
      <c r="D687" s="2">
        <v>50</v>
      </c>
      <c r="E687" s="2">
        <v>56</v>
      </c>
      <c r="F687" s="2" t="s">
        <v>2846</v>
      </c>
      <c r="H687" s="2" t="s">
        <v>17</v>
      </c>
      <c r="I687" s="2" t="s">
        <v>2847</v>
      </c>
      <c r="J687" s="3" t="s">
        <v>2848</v>
      </c>
      <c r="K687" s="4">
        <v>21422</v>
      </c>
      <c r="L687" s="4">
        <v>45161</v>
      </c>
      <c r="M687" s="2" t="s">
        <v>35</v>
      </c>
      <c r="N687" s="2" t="s">
        <v>2849</v>
      </c>
    </row>
    <row r="688" spans="1:14">
      <c r="A688" s="2">
        <v>687</v>
      </c>
      <c r="B688" s="3" t="s">
        <v>2850</v>
      </c>
      <c r="C688" s="2" t="s">
        <v>2851</v>
      </c>
      <c r="D688" s="2">
        <v>56</v>
      </c>
      <c r="E688" s="2">
        <v>56</v>
      </c>
      <c r="F688" s="2" t="s">
        <v>2852</v>
      </c>
      <c r="H688" s="2" t="s">
        <v>17</v>
      </c>
      <c r="K688" s="4">
        <v>27771</v>
      </c>
      <c r="M688" s="2" t="s">
        <v>185</v>
      </c>
      <c r="N688" s="2" t="s">
        <v>838</v>
      </c>
    </row>
    <row r="689" spans="1:14">
      <c r="A689" s="2">
        <v>688</v>
      </c>
      <c r="B689" s="3" t="s">
        <v>2853</v>
      </c>
      <c r="C689" s="2" t="s">
        <v>2854</v>
      </c>
      <c r="D689" s="2">
        <v>56</v>
      </c>
      <c r="E689" s="2">
        <v>56</v>
      </c>
      <c r="F689" s="2" t="s">
        <v>2855</v>
      </c>
      <c r="H689" s="2" t="s">
        <v>17</v>
      </c>
      <c r="I689" s="2" t="s">
        <v>2856</v>
      </c>
      <c r="K689" s="4">
        <v>24884</v>
      </c>
      <c r="M689" s="2" t="s">
        <v>164</v>
      </c>
      <c r="N689" s="2" t="s">
        <v>165</v>
      </c>
    </row>
    <row r="690" spans="1:14">
      <c r="A690" s="2">
        <v>689</v>
      </c>
      <c r="B690" s="3" t="s">
        <v>2857</v>
      </c>
      <c r="C690" s="2" t="s">
        <v>2858</v>
      </c>
      <c r="D690" s="2">
        <v>55</v>
      </c>
      <c r="E690" s="2">
        <v>56</v>
      </c>
      <c r="F690" s="2" t="s">
        <v>2859</v>
      </c>
      <c r="H690" s="2" t="s">
        <v>17</v>
      </c>
      <c r="I690" s="2" t="s">
        <v>2860</v>
      </c>
      <c r="K690" s="4">
        <v>23273</v>
      </c>
      <c r="M690" s="2" t="s">
        <v>47</v>
      </c>
      <c r="N690" s="2" t="s">
        <v>2861</v>
      </c>
    </row>
    <row r="691" spans="1:14">
      <c r="A691" s="2">
        <v>690</v>
      </c>
      <c r="B691" s="3" t="s">
        <v>2862</v>
      </c>
      <c r="C691" s="2" t="s">
        <v>2863</v>
      </c>
      <c r="D691" s="2">
        <v>53</v>
      </c>
      <c r="E691" s="2">
        <v>56</v>
      </c>
      <c r="F691" s="2" t="s">
        <v>2864</v>
      </c>
      <c r="H691" s="2" t="s">
        <v>17</v>
      </c>
      <c r="I691" s="3" t="s">
        <v>2865</v>
      </c>
      <c r="K691" s="4">
        <v>28932</v>
      </c>
      <c r="M691" s="2" t="s">
        <v>76</v>
      </c>
      <c r="N691" s="2" t="s">
        <v>906</v>
      </c>
    </row>
    <row r="692" spans="1:14">
      <c r="A692" s="2">
        <v>691</v>
      </c>
      <c r="B692" s="3" t="s">
        <v>2866</v>
      </c>
      <c r="C692" s="2" t="s">
        <v>2867</v>
      </c>
      <c r="D692" s="2">
        <v>53</v>
      </c>
      <c r="E692" s="2">
        <v>56</v>
      </c>
      <c r="F692" s="2" t="s">
        <v>2868</v>
      </c>
      <c r="H692" s="2" t="s">
        <v>17</v>
      </c>
      <c r="K692" s="4">
        <v>19523</v>
      </c>
      <c r="M692" s="2" t="s">
        <v>47</v>
      </c>
      <c r="N692" s="2" t="s">
        <v>691</v>
      </c>
    </row>
    <row r="693" spans="1:14">
      <c r="A693" s="2">
        <v>692</v>
      </c>
      <c r="B693" s="3" t="s">
        <v>2869</v>
      </c>
      <c r="C693" s="2" t="s">
        <v>2870</v>
      </c>
      <c r="D693" s="2">
        <v>54</v>
      </c>
      <c r="E693" s="2">
        <v>56</v>
      </c>
      <c r="F693" s="2" t="s">
        <v>2871</v>
      </c>
      <c r="H693" s="2" t="s">
        <v>17</v>
      </c>
      <c r="I693" s="2" t="s">
        <v>2872</v>
      </c>
      <c r="K693" s="4">
        <v>27772</v>
      </c>
      <c r="M693" s="2" t="s">
        <v>47</v>
      </c>
      <c r="N693" s="2" t="s">
        <v>48</v>
      </c>
    </row>
    <row r="694" spans="1:14">
      <c r="A694" s="2">
        <v>693</v>
      </c>
      <c r="B694" s="3" t="s">
        <v>2873</v>
      </c>
      <c r="C694" s="2" t="s">
        <v>2874</v>
      </c>
      <c r="D694" s="2">
        <v>56</v>
      </c>
      <c r="E694" s="2">
        <v>56</v>
      </c>
      <c r="F694" s="2" t="s">
        <v>2875</v>
      </c>
      <c r="H694" s="2" t="s">
        <v>17</v>
      </c>
      <c r="I694" s="2" t="s">
        <v>2876</v>
      </c>
      <c r="J694" s="3" t="s">
        <v>2877</v>
      </c>
      <c r="K694" s="4">
        <v>24292</v>
      </c>
      <c r="M694" s="2" t="s">
        <v>53</v>
      </c>
      <c r="N694" s="2" t="s">
        <v>847</v>
      </c>
    </row>
    <row r="695" spans="1:14">
      <c r="A695" s="2">
        <v>694</v>
      </c>
      <c r="B695" s="3" t="s">
        <v>2878</v>
      </c>
      <c r="C695" s="2" t="s">
        <v>2879</v>
      </c>
      <c r="D695" s="2">
        <v>56</v>
      </c>
      <c r="E695" s="2">
        <v>56</v>
      </c>
      <c r="F695" s="2" t="s">
        <v>2880</v>
      </c>
      <c r="H695" s="2" t="s">
        <v>17</v>
      </c>
      <c r="K695" s="4">
        <v>16294</v>
      </c>
      <c r="M695" s="2" t="s">
        <v>66</v>
      </c>
      <c r="N695" s="2" t="s">
        <v>2881</v>
      </c>
    </row>
    <row r="696" spans="1:14">
      <c r="A696" s="2">
        <v>695</v>
      </c>
      <c r="B696" s="3" t="s">
        <v>2882</v>
      </c>
      <c r="C696" s="2" t="s">
        <v>2883</v>
      </c>
      <c r="D696" s="2">
        <v>56</v>
      </c>
      <c r="E696" s="2">
        <v>56</v>
      </c>
      <c r="F696" s="2" t="s">
        <v>2884</v>
      </c>
      <c r="H696" s="2" t="s">
        <v>17</v>
      </c>
      <c r="I696" s="2" t="s">
        <v>2885</v>
      </c>
      <c r="K696" s="4">
        <v>26608</v>
      </c>
      <c r="M696" s="2" t="s">
        <v>35</v>
      </c>
      <c r="N696" s="2" t="s">
        <v>2886</v>
      </c>
    </row>
    <row r="697" spans="1:14">
      <c r="A697" s="2">
        <v>696</v>
      </c>
      <c r="B697" s="3" t="s">
        <v>2887</v>
      </c>
      <c r="C697" s="2" t="s">
        <v>2888</v>
      </c>
      <c r="D697" s="2">
        <v>56</v>
      </c>
      <c r="E697" s="2">
        <v>56</v>
      </c>
      <c r="F697" s="2" t="s">
        <v>2889</v>
      </c>
      <c r="H697" s="2" t="s">
        <v>17</v>
      </c>
      <c r="K697" s="4">
        <v>34552</v>
      </c>
      <c r="M697" s="2" t="s">
        <v>47</v>
      </c>
      <c r="N697" s="2" t="s">
        <v>48</v>
      </c>
    </row>
    <row r="698" spans="1:14">
      <c r="A698" s="2">
        <v>697</v>
      </c>
      <c r="B698" s="3" t="s">
        <v>2890</v>
      </c>
      <c r="C698" s="2" t="s">
        <v>2891</v>
      </c>
      <c r="D698" s="2">
        <v>55</v>
      </c>
      <c r="E698" s="2">
        <v>56</v>
      </c>
      <c r="F698" s="2" t="s">
        <v>2892</v>
      </c>
      <c r="H698" s="2" t="s">
        <v>17</v>
      </c>
      <c r="K698" s="4">
        <v>32421</v>
      </c>
      <c r="M698" s="2" t="s">
        <v>571</v>
      </c>
      <c r="N698" s="2" t="s">
        <v>572</v>
      </c>
    </row>
    <row r="699" spans="1:14">
      <c r="A699" s="2">
        <v>698</v>
      </c>
      <c r="B699" s="3" t="s">
        <v>2893</v>
      </c>
      <c r="C699" s="2" t="s">
        <v>2894</v>
      </c>
      <c r="D699" s="2">
        <v>56</v>
      </c>
      <c r="E699" s="2">
        <v>56</v>
      </c>
      <c r="F699" s="2" t="s">
        <v>2895</v>
      </c>
      <c r="H699" s="2" t="s">
        <v>17</v>
      </c>
      <c r="K699" s="4">
        <v>27085</v>
      </c>
      <c r="M699" s="2" t="s">
        <v>35</v>
      </c>
      <c r="N699" s="2" t="s">
        <v>58</v>
      </c>
    </row>
    <row r="700" spans="1:14">
      <c r="A700" s="2">
        <v>699</v>
      </c>
      <c r="B700" s="3" t="s">
        <v>2896</v>
      </c>
      <c r="C700" s="2" t="s">
        <v>2897</v>
      </c>
      <c r="D700" s="2">
        <v>56</v>
      </c>
      <c r="E700" s="2">
        <v>56</v>
      </c>
      <c r="F700" s="2" t="s">
        <v>2898</v>
      </c>
      <c r="H700" s="2" t="s">
        <v>17</v>
      </c>
      <c r="K700" s="4">
        <v>26411</v>
      </c>
      <c r="M700" s="2" t="s">
        <v>198</v>
      </c>
      <c r="N700" s="2" t="s">
        <v>199</v>
      </c>
    </row>
    <row r="701" spans="1:14">
      <c r="A701" s="2">
        <v>700</v>
      </c>
      <c r="B701" s="3" t="s">
        <v>2899</v>
      </c>
      <c r="C701" s="2" t="s">
        <v>2900</v>
      </c>
      <c r="D701" s="2">
        <v>53</v>
      </c>
      <c r="E701" s="2">
        <v>56</v>
      </c>
      <c r="F701" s="2" t="s">
        <v>2901</v>
      </c>
      <c r="H701" s="2" t="s">
        <v>17</v>
      </c>
      <c r="K701" s="4">
        <v>28369</v>
      </c>
      <c r="M701" s="2" t="s">
        <v>336</v>
      </c>
      <c r="N701" s="2" t="s">
        <v>1883</v>
      </c>
    </row>
    <row r="702" spans="1:14">
      <c r="A702" s="2">
        <v>701</v>
      </c>
      <c r="B702" s="3" t="s">
        <v>2902</v>
      </c>
      <c r="C702" s="2" t="s">
        <v>2903</v>
      </c>
      <c r="D702" s="2">
        <v>55</v>
      </c>
      <c r="E702" s="2">
        <v>56</v>
      </c>
      <c r="F702" s="2" t="s">
        <v>2904</v>
      </c>
      <c r="H702" s="2" t="s">
        <v>17</v>
      </c>
      <c r="I702" s="2" t="s">
        <v>2905</v>
      </c>
      <c r="K702" s="4">
        <v>28180</v>
      </c>
      <c r="M702" s="2" t="s">
        <v>91</v>
      </c>
      <c r="N702" s="2" t="s">
        <v>677</v>
      </c>
    </row>
    <row r="703" spans="1:14">
      <c r="A703" s="2">
        <v>702</v>
      </c>
      <c r="B703" s="3" t="s">
        <v>2906</v>
      </c>
      <c r="C703" s="2" t="s">
        <v>2907</v>
      </c>
      <c r="D703" s="2">
        <v>53</v>
      </c>
      <c r="E703" s="2">
        <v>56</v>
      </c>
      <c r="F703" s="2" t="s">
        <v>2908</v>
      </c>
      <c r="H703" s="2" t="s">
        <v>17</v>
      </c>
      <c r="K703" s="4">
        <v>22637</v>
      </c>
      <c r="M703" s="2" t="s">
        <v>969</v>
      </c>
      <c r="N703" s="2" t="s">
        <v>970</v>
      </c>
    </row>
    <row r="704" spans="1:14">
      <c r="A704" s="2">
        <v>703</v>
      </c>
      <c r="B704" s="3" t="s">
        <v>2909</v>
      </c>
      <c r="C704" s="2" t="s">
        <v>2910</v>
      </c>
      <c r="D704" s="2">
        <v>54</v>
      </c>
      <c r="E704" s="2">
        <v>56</v>
      </c>
      <c r="F704" s="2" t="s">
        <v>2911</v>
      </c>
      <c r="H704" s="2" t="s">
        <v>17</v>
      </c>
      <c r="K704" s="4">
        <v>25433</v>
      </c>
      <c r="M704" s="2" t="s">
        <v>341</v>
      </c>
      <c r="N704" s="2" t="s">
        <v>342</v>
      </c>
    </row>
    <row r="705" spans="1:14">
      <c r="A705" s="2">
        <v>704</v>
      </c>
      <c r="B705" s="3" t="s">
        <v>2912</v>
      </c>
      <c r="C705" s="2" t="s">
        <v>2913</v>
      </c>
      <c r="D705" s="2">
        <v>56</v>
      </c>
      <c r="E705" s="2">
        <v>56</v>
      </c>
      <c r="F705" s="2" t="s">
        <v>2914</v>
      </c>
      <c r="H705" s="2" t="s">
        <v>17</v>
      </c>
      <c r="I705" s="2" t="s">
        <v>2915</v>
      </c>
      <c r="K705" s="4">
        <v>24618</v>
      </c>
      <c r="M705" s="2" t="s">
        <v>170</v>
      </c>
      <c r="N705" s="2" t="s">
        <v>385</v>
      </c>
    </row>
    <row r="706" spans="1:14">
      <c r="A706" s="2">
        <v>705</v>
      </c>
      <c r="B706" s="3" t="s">
        <v>2916</v>
      </c>
      <c r="C706" s="2" t="s">
        <v>2917</v>
      </c>
      <c r="D706" s="2">
        <v>56</v>
      </c>
      <c r="E706" s="2">
        <v>56</v>
      </c>
      <c r="F706" s="2" t="s">
        <v>2918</v>
      </c>
      <c r="H706" s="2" t="s">
        <v>17</v>
      </c>
      <c r="I706" s="2" t="s">
        <v>2919</v>
      </c>
      <c r="K706" s="4">
        <v>33402</v>
      </c>
      <c r="M706" s="2" t="s">
        <v>192</v>
      </c>
      <c r="N706" s="2" t="s">
        <v>1736</v>
      </c>
    </row>
    <row r="707" spans="1:14">
      <c r="A707" s="2">
        <v>706</v>
      </c>
      <c r="B707" s="3" t="s">
        <v>2920</v>
      </c>
      <c r="C707" s="2" t="s">
        <v>2921</v>
      </c>
      <c r="D707" s="2">
        <v>56</v>
      </c>
      <c r="E707" s="2">
        <v>56</v>
      </c>
      <c r="F707" s="2" t="s">
        <v>2922</v>
      </c>
      <c r="H707" s="2" t="s">
        <v>17</v>
      </c>
      <c r="K707" s="4">
        <v>23970</v>
      </c>
      <c r="M707" s="2" t="s">
        <v>35</v>
      </c>
      <c r="N707" s="2" t="s">
        <v>58</v>
      </c>
    </row>
    <row r="708" spans="1:14">
      <c r="A708" s="2">
        <v>707</v>
      </c>
      <c r="B708" s="3" t="s">
        <v>2923</v>
      </c>
      <c r="C708" s="2" t="s">
        <v>2924</v>
      </c>
      <c r="D708" s="2">
        <v>56</v>
      </c>
      <c r="E708" s="2">
        <v>56</v>
      </c>
      <c r="F708" s="2" t="s">
        <v>2925</v>
      </c>
      <c r="H708" s="2" t="s">
        <v>45</v>
      </c>
      <c r="I708" s="2" t="s">
        <v>2926</v>
      </c>
      <c r="J708" s="3" t="s">
        <v>2927</v>
      </c>
      <c r="K708" s="4">
        <v>29241</v>
      </c>
      <c r="M708" s="2" t="s">
        <v>969</v>
      </c>
      <c r="N708" s="2" t="s">
        <v>970</v>
      </c>
    </row>
    <row r="709" spans="1:14">
      <c r="A709" s="2">
        <v>708</v>
      </c>
      <c r="B709" s="3" t="s">
        <v>2928</v>
      </c>
      <c r="C709" s="2" t="s">
        <v>2929</v>
      </c>
      <c r="D709" s="2">
        <v>53</v>
      </c>
      <c r="E709" s="2">
        <v>56</v>
      </c>
      <c r="F709" s="2" t="s">
        <v>2930</v>
      </c>
      <c r="H709" s="2" t="s">
        <v>17</v>
      </c>
      <c r="I709" s="2" t="s">
        <v>2931</v>
      </c>
      <c r="J709" s="3" t="s">
        <v>2932</v>
      </c>
      <c r="K709" s="4">
        <v>18219</v>
      </c>
      <c r="L709" s="4">
        <v>45616</v>
      </c>
      <c r="M709" s="2" t="s">
        <v>247</v>
      </c>
      <c r="N709" s="2" t="s">
        <v>886</v>
      </c>
    </row>
    <row r="710" spans="1:14">
      <c r="A710" s="2">
        <v>709</v>
      </c>
      <c r="B710" s="3" t="s">
        <v>2933</v>
      </c>
      <c r="C710" s="2" t="s">
        <v>2934</v>
      </c>
      <c r="D710" s="2">
        <v>56</v>
      </c>
      <c r="E710" s="2">
        <v>56</v>
      </c>
      <c r="F710" s="2" t="s">
        <v>2935</v>
      </c>
      <c r="H710" s="2" t="s">
        <v>45</v>
      </c>
      <c r="I710" s="2" t="s">
        <v>2936</v>
      </c>
      <c r="K710" s="4">
        <v>22317</v>
      </c>
      <c r="M710" s="2" t="s">
        <v>170</v>
      </c>
      <c r="N710" s="2" t="s">
        <v>323</v>
      </c>
    </row>
    <row r="711" spans="1:14">
      <c r="A711" s="2">
        <v>710</v>
      </c>
      <c r="B711" s="3" t="s">
        <v>2937</v>
      </c>
      <c r="C711" s="2" t="s">
        <v>2938</v>
      </c>
      <c r="D711" s="2">
        <v>56</v>
      </c>
      <c r="E711" s="2">
        <v>56</v>
      </c>
      <c r="F711" s="2" t="s">
        <v>2939</v>
      </c>
      <c r="H711" s="2" t="s">
        <v>17</v>
      </c>
      <c r="I711" s="2" t="s">
        <v>2940</v>
      </c>
      <c r="K711" s="4">
        <v>25277</v>
      </c>
      <c r="M711" s="2" t="s">
        <v>53</v>
      </c>
      <c r="N711" s="2" t="s">
        <v>847</v>
      </c>
    </row>
    <row r="712" spans="1:14">
      <c r="A712" s="2">
        <v>711</v>
      </c>
      <c r="B712" s="3" t="s">
        <v>2941</v>
      </c>
      <c r="C712" s="2" t="s">
        <v>2942</v>
      </c>
      <c r="D712" s="2">
        <v>56</v>
      </c>
      <c r="E712" s="2">
        <v>56</v>
      </c>
      <c r="F712" s="2" t="s">
        <v>2943</v>
      </c>
      <c r="H712" s="2" t="s">
        <v>17</v>
      </c>
      <c r="I712" s="2" t="s">
        <v>2944</v>
      </c>
      <c r="K712" s="4">
        <v>31719</v>
      </c>
      <c r="M712" s="2" t="s">
        <v>35</v>
      </c>
      <c r="N712" s="2" t="s">
        <v>2466</v>
      </c>
    </row>
    <row r="713" spans="1:14">
      <c r="A713" s="2">
        <v>712</v>
      </c>
      <c r="B713" s="3" t="s">
        <v>2945</v>
      </c>
      <c r="C713" s="2" t="s">
        <v>2946</v>
      </c>
      <c r="D713" s="2">
        <v>56</v>
      </c>
      <c r="E713" s="2">
        <v>56</v>
      </c>
      <c r="F713" s="2" t="s">
        <v>2947</v>
      </c>
      <c r="H713" s="2" t="s">
        <v>17</v>
      </c>
      <c r="K713" s="4">
        <v>16134</v>
      </c>
      <c r="M713" s="2" t="s">
        <v>76</v>
      </c>
      <c r="N713" s="2" t="s">
        <v>2948</v>
      </c>
    </row>
    <row r="714" spans="1:14">
      <c r="A714" s="2">
        <v>713</v>
      </c>
      <c r="B714" s="3" t="s">
        <v>2949</v>
      </c>
      <c r="C714" s="2" t="s">
        <v>2950</v>
      </c>
      <c r="D714" s="2">
        <v>50</v>
      </c>
      <c r="E714" s="2">
        <v>56</v>
      </c>
      <c r="F714" s="2" t="s">
        <v>2951</v>
      </c>
      <c r="H714" s="2" t="s">
        <v>17</v>
      </c>
      <c r="K714" s="4">
        <v>16968</v>
      </c>
      <c r="M714" s="2" t="s">
        <v>185</v>
      </c>
      <c r="N714" s="2" t="s">
        <v>838</v>
      </c>
    </row>
    <row r="715" spans="1:14">
      <c r="A715" s="2">
        <v>714</v>
      </c>
      <c r="B715" s="3" t="s">
        <v>2952</v>
      </c>
      <c r="C715" s="2" t="s">
        <v>2953</v>
      </c>
      <c r="D715" s="2">
        <v>56</v>
      </c>
      <c r="E715" s="2">
        <v>56</v>
      </c>
      <c r="F715" s="2" t="s">
        <v>2954</v>
      </c>
      <c r="H715" s="2" t="s">
        <v>17</v>
      </c>
      <c r="K715" s="4">
        <v>23752</v>
      </c>
      <c r="M715" s="2" t="s">
        <v>170</v>
      </c>
      <c r="N715" s="2" t="s">
        <v>385</v>
      </c>
    </row>
    <row r="716" spans="1:14">
      <c r="A716" s="2">
        <v>715</v>
      </c>
      <c r="B716" s="3" t="s">
        <v>2955</v>
      </c>
      <c r="C716" s="2" t="s">
        <v>2956</v>
      </c>
      <c r="D716" s="2">
        <v>54</v>
      </c>
      <c r="E716" s="2">
        <v>56</v>
      </c>
      <c r="F716" s="2" t="s">
        <v>2957</v>
      </c>
      <c r="H716" s="2" t="s">
        <v>17</v>
      </c>
      <c r="K716" s="4">
        <v>23083</v>
      </c>
      <c r="M716" s="2" t="s">
        <v>85</v>
      </c>
      <c r="N716" s="2" t="s">
        <v>86</v>
      </c>
    </row>
    <row r="717" spans="1:14">
      <c r="A717" s="2">
        <v>716</v>
      </c>
      <c r="B717" s="3" t="s">
        <v>2958</v>
      </c>
      <c r="C717" s="2" t="s">
        <v>2959</v>
      </c>
      <c r="D717" s="2">
        <v>56</v>
      </c>
      <c r="E717" s="2">
        <v>56</v>
      </c>
      <c r="F717" s="2" t="s">
        <v>2960</v>
      </c>
      <c r="H717" s="2" t="s">
        <v>17</v>
      </c>
      <c r="I717" s="2" t="s">
        <v>2961</v>
      </c>
      <c r="K717" s="4">
        <v>19942</v>
      </c>
      <c r="M717" s="2" t="s">
        <v>47</v>
      </c>
      <c r="N717" s="2" t="s">
        <v>417</v>
      </c>
    </row>
    <row r="718" spans="1:14">
      <c r="A718" s="2">
        <v>717</v>
      </c>
      <c r="B718" s="3" t="s">
        <v>2962</v>
      </c>
      <c r="C718" s="2" t="s">
        <v>2963</v>
      </c>
      <c r="D718" s="2">
        <v>56</v>
      </c>
      <c r="E718" s="2">
        <v>56</v>
      </c>
      <c r="F718" s="2" t="s">
        <v>2964</v>
      </c>
      <c r="H718" s="2" t="s">
        <v>17</v>
      </c>
      <c r="I718" s="2" t="s">
        <v>2965</v>
      </c>
      <c r="K718" s="4">
        <v>27772</v>
      </c>
      <c r="M718" s="2" t="s">
        <v>47</v>
      </c>
      <c r="N718" s="2" t="s">
        <v>2966</v>
      </c>
    </row>
    <row r="719" spans="1:14">
      <c r="A719" s="2">
        <v>718</v>
      </c>
      <c r="B719" s="3" t="s">
        <v>2967</v>
      </c>
      <c r="C719" s="2" t="s">
        <v>2968</v>
      </c>
      <c r="D719" s="2">
        <v>56</v>
      </c>
      <c r="E719" s="2">
        <v>56</v>
      </c>
      <c r="F719" s="2" t="s">
        <v>2969</v>
      </c>
      <c r="H719" s="2" t="s">
        <v>17</v>
      </c>
      <c r="K719" s="4">
        <v>29154</v>
      </c>
      <c r="M719" s="2" t="s">
        <v>185</v>
      </c>
      <c r="N719" s="2" t="s">
        <v>838</v>
      </c>
    </row>
    <row r="720" spans="1:14">
      <c r="A720" s="2">
        <v>719</v>
      </c>
      <c r="B720" s="3" t="s">
        <v>2970</v>
      </c>
      <c r="C720" s="2" t="s">
        <v>2971</v>
      </c>
      <c r="D720" s="2">
        <v>55</v>
      </c>
      <c r="E720" s="2">
        <v>56</v>
      </c>
      <c r="F720" s="2" t="s">
        <v>2972</v>
      </c>
      <c r="H720" s="2" t="s">
        <v>17</v>
      </c>
      <c r="K720" s="4">
        <v>20920</v>
      </c>
      <c r="M720" s="2" t="s">
        <v>66</v>
      </c>
      <c r="N720" s="2" t="s">
        <v>1665</v>
      </c>
    </row>
    <row r="721" spans="1:14">
      <c r="A721" s="2">
        <v>720</v>
      </c>
      <c r="B721" s="3" t="s">
        <v>2973</v>
      </c>
      <c r="C721" s="2" t="s">
        <v>2974</v>
      </c>
      <c r="D721" s="2">
        <v>48</v>
      </c>
      <c r="E721" s="2">
        <v>56</v>
      </c>
      <c r="F721" s="2" t="s">
        <v>2975</v>
      </c>
      <c r="H721" s="2" t="s">
        <v>17</v>
      </c>
      <c r="K721" s="4">
        <v>16918</v>
      </c>
      <c r="M721" s="2" t="s">
        <v>198</v>
      </c>
      <c r="N721" s="2" t="s">
        <v>2976</v>
      </c>
    </row>
    <row r="722" spans="1:14">
      <c r="A722" s="2">
        <v>721</v>
      </c>
      <c r="B722" s="3" t="s">
        <v>2977</v>
      </c>
      <c r="C722" s="2" t="s">
        <v>2978</v>
      </c>
      <c r="D722" s="2">
        <v>52</v>
      </c>
      <c r="E722" s="2">
        <v>56</v>
      </c>
      <c r="F722" s="2" t="s">
        <v>2979</v>
      </c>
      <c r="H722" s="2" t="s">
        <v>45</v>
      </c>
      <c r="K722" s="4">
        <v>19094</v>
      </c>
      <c r="M722" s="2" t="s">
        <v>85</v>
      </c>
      <c r="N722" s="2" t="s">
        <v>2563</v>
      </c>
    </row>
    <row r="723" spans="1:14">
      <c r="A723" s="2">
        <v>722</v>
      </c>
      <c r="B723" s="3" t="s">
        <v>2980</v>
      </c>
      <c r="C723" s="2" t="s">
        <v>2981</v>
      </c>
      <c r="D723" s="2">
        <v>56</v>
      </c>
      <c r="E723" s="2">
        <v>56</v>
      </c>
      <c r="F723" s="2" t="s">
        <v>2982</v>
      </c>
      <c r="H723" s="2" t="s">
        <v>17</v>
      </c>
      <c r="K723" s="4">
        <v>22598</v>
      </c>
      <c r="M723" s="2" t="s">
        <v>47</v>
      </c>
      <c r="N723" s="2" t="s">
        <v>2983</v>
      </c>
    </row>
    <row r="724" spans="1:14">
      <c r="A724" s="2">
        <v>723</v>
      </c>
      <c r="B724" s="3" t="s">
        <v>2984</v>
      </c>
      <c r="C724" s="2" t="s">
        <v>2985</v>
      </c>
      <c r="D724" s="2">
        <v>54</v>
      </c>
      <c r="E724" s="2">
        <v>56</v>
      </c>
      <c r="F724" s="2" t="s">
        <v>2986</v>
      </c>
      <c r="H724" s="2" t="s">
        <v>17</v>
      </c>
      <c r="K724" s="4">
        <v>30238</v>
      </c>
      <c r="M724" s="2" t="s">
        <v>154</v>
      </c>
      <c r="N724" s="2" t="s">
        <v>208</v>
      </c>
    </row>
    <row r="725" spans="1:14">
      <c r="A725" s="2">
        <v>724</v>
      </c>
      <c r="B725" s="3" t="s">
        <v>2987</v>
      </c>
      <c r="C725" s="2" t="s">
        <v>2988</v>
      </c>
      <c r="D725" s="2">
        <v>56</v>
      </c>
      <c r="E725" s="2">
        <v>56</v>
      </c>
      <c r="F725" s="2" t="s">
        <v>2989</v>
      </c>
      <c r="H725" s="2" t="s">
        <v>17</v>
      </c>
      <c r="K725" s="4">
        <v>29557</v>
      </c>
      <c r="M725" s="2" t="s">
        <v>170</v>
      </c>
      <c r="N725" s="2" t="s">
        <v>323</v>
      </c>
    </row>
    <row r="726" spans="1:14">
      <c r="A726" s="2">
        <v>725</v>
      </c>
      <c r="B726" s="3" t="s">
        <v>2990</v>
      </c>
      <c r="C726" s="2" t="s">
        <v>2991</v>
      </c>
      <c r="D726" s="2">
        <v>51</v>
      </c>
      <c r="E726" s="2">
        <v>56</v>
      </c>
      <c r="F726" s="2" t="s">
        <v>2992</v>
      </c>
      <c r="H726" s="2" t="s">
        <v>17</v>
      </c>
      <c r="K726" s="4">
        <v>23119</v>
      </c>
      <c r="M726" s="2" t="s">
        <v>154</v>
      </c>
      <c r="N726" s="2" t="s">
        <v>208</v>
      </c>
    </row>
    <row r="727" spans="1:14">
      <c r="A727" s="2">
        <v>726</v>
      </c>
      <c r="B727" s="3" t="s">
        <v>2993</v>
      </c>
      <c r="C727" s="2" t="s">
        <v>2994</v>
      </c>
      <c r="D727" s="2">
        <v>56</v>
      </c>
      <c r="E727" s="2">
        <v>56</v>
      </c>
      <c r="F727" s="2" t="s">
        <v>2995</v>
      </c>
      <c r="H727" s="2" t="s">
        <v>17</v>
      </c>
      <c r="K727" s="4">
        <v>19490</v>
      </c>
      <c r="M727" s="2" t="s">
        <v>35</v>
      </c>
      <c r="N727" s="2" t="s">
        <v>2996</v>
      </c>
    </row>
    <row r="728" spans="1:14">
      <c r="A728" s="2">
        <v>727</v>
      </c>
      <c r="B728" s="3" t="s">
        <v>2997</v>
      </c>
      <c r="C728" s="2" t="s">
        <v>2998</v>
      </c>
      <c r="D728" s="2">
        <v>56</v>
      </c>
      <c r="E728" s="2">
        <v>56</v>
      </c>
      <c r="F728" s="2" t="s">
        <v>2999</v>
      </c>
      <c r="H728" s="2" t="s">
        <v>17</v>
      </c>
      <c r="I728" s="2" t="s">
        <v>3000</v>
      </c>
      <c r="K728" s="4">
        <v>29867</v>
      </c>
      <c r="M728" s="2" t="s">
        <v>85</v>
      </c>
      <c r="N728" s="2" t="s">
        <v>2563</v>
      </c>
    </row>
    <row r="729" spans="1:14">
      <c r="A729" s="2">
        <v>728</v>
      </c>
      <c r="B729" s="3" t="s">
        <v>3001</v>
      </c>
      <c r="C729" s="2" t="s">
        <v>3002</v>
      </c>
      <c r="D729" s="2">
        <v>56</v>
      </c>
      <c r="E729" s="2">
        <v>56</v>
      </c>
      <c r="F729" s="2" t="s">
        <v>3003</v>
      </c>
      <c r="H729" s="2" t="s">
        <v>17</v>
      </c>
      <c r="I729" s="2" t="s">
        <v>3004</v>
      </c>
      <c r="K729" s="4">
        <v>19786</v>
      </c>
      <c r="M729" s="2" t="s">
        <v>423</v>
      </c>
      <c r="N729" s="2" t="s">
        <v>3005</v>
      </c>
    </row>
    <row r="730" spans="1:14">
      <c r="A730" s="2">
        <v>729</v>
      </c>
      <c r="B730" s="3" t="s">
        <v>3006</v>
      </c>
      <c r="C730" s="2" t="s">
        <v>3007</v>
      </c>
      <c r="D730" s="2">
        <v>56</v>
      </c>
      <c r="E730" s="2">
        <v>56</v>
      </c>
      <c r="F730" s="2" t="s">
        <v>3008</v>
      </c>
      <c r="H730" s="2" t="s">
        <v>17</v>
      </c>
      <c r="K730" s="4">
        <v>31205</v>
      </c>
      <c r="M730" s="2" t="s">
        <v>47</v>
      </c>
      <c r="N730" s="2" t="s">
        <v>3009</v>
      </c>
    </row>
    <row r="731" spans="1:14">
      <c r="A731" s="2">
        <v>730</v>
      </c>
      <c r="B731" s="3" t="s">
        <v>3010</v>
      </c>
      <c r="C731" s="2" t="s">
        <v>3011</v>
      </c>
      <c r="D731" s="2">
        <v>51</v>
      </c>
      <c r="E731" s="2">
        <v>56</v>
      </c>
      <c r="F731" s="2" t="s">
        <v>3012</v>
      </c>
      <c r="H731" s="2" t="s">
        <v>17</v>
      </c>
      <c r="K731" s="4">
        <v>21933</v>
      </c>
      <c r="M731" s="2" t="s">
        <v>66</v>
      </c>
      <c r="N731" s="2" t="s">
        <v>71</v>
      </c>
    </row>
    <row r="732" spans="1:14">
      <c r="A732" s="2">
        <v>731</v>
      </c>
      <c r="B732" s="3" t="s">
        <v>3013</v>
      </c>
      <c r="C732" s="2" t="s">
        <v>3014</v>
      </c>
      <c r="D732" s="2">
        <v>55</v>
      </c>
      <c r="E732" s="2">
        <v>56</v>
      </c>
      <c r="F732" s="2" t="s">
        <v>3015</v>
      </c>
      <c r="H732" s="2" t="s">
        <v>17</v>
      </c>
      <c r="I732" s="2" t="s">
        <v>3016</v>
      </c>
      <c r="J732" s="3" t="s">
        <v>3017</v>
      </c>
      <c r="K732" s="4">
        <v>20671</v>
      </c>
      <c r="M732" s="2" t="s">
        <v>47</v>
      </c>
      <c r="N732" s="2" t="s">
        <v>1863</v>
      </c>
    </row>
    <row r="733" spans="1:14">
      <c r="A733" s="2">
        <v>732</v>
      </c>
      <c r="B733" s="3" t="s">
        <v>3018</v>
      </c>
      <c r="C733" s="2" t="s">
        <v>3019</v>
      </c>
      <c r="D733" s="2">
        <v>50</v>
      </c>
      <c r="E733" s="2">
        <v>56</v>
      </c>
      <c r="F733" s="2" t="s">
        <v>3020</v>
      </c>
      <c r="H733" s="2" t="s">
        <v>17</v>
      </c>
      <c r="K733" s="4">
        <v>21300</v>
      </c>
      <c r="M733" s="2" t="s">
        <v>154</v>
      </c>
      <c r="N733" s="2" t="s">
        <v>3021</v>
      </c>
    </row>
    <row r="734" spans="1:14">
      <c r="A734" s="2">
        <v>733</v>
      </c>
      <c r="B734" s="3" t="s">
        <v>3022</v>
      </c>
      <c r="C734" s="2" t="s">
        <v>3023</v>
      </c>
      <c r="D734" s="2">
        <v>55</v>
      </c>
      <c r="E734" s="2">
        <v>56</v>
      </c>
      <c r="F734" s="2" t="s">
        <v>3024</v>
      </c>
      <c r="H734" s="2" t="s">
        <v>17</v>
      </c>
      <c r="I734" s="2" t="s">
        <v>3025</v>
      </c>
      <c r="J734" s="3" t="s">
        <v>3026</v>
      </c>
      <c r="K734" s="4">
        <v>20990</v>
      </c>
      <c r="M734" s="2" t="s">
        <v>30</v>
      </c>
      <c r="N734" s="2" t="s">
        <v>540</v>
      </c>
    </row>
    <row r="735" spans="1:14">
      <c r="A735" s="2">
        <v>734</v>
      </c>
      <c r="B735" s="3" t="s">
        <v>3027</v>
      </c>
      <c r="C735" s="2" t="s">
        <v>3028</v>
      </c>
      <c r="D735" s="2">
        <v>56</v>
      </c>
      <c r="E735" s="2">
        <v>56</v>
      </c>
      <c r="F735" s="2" t="s">
        <v>3029</v>
      </c>
      <c r="H735" s="2" t="s">
        <v>17</v>
      </c>
      <c r="I735" s="2" t="s">
        <v>3030</v>
      </c>
      <c r="K735" s="4">
        <v>31015</v>
      </c>
      <c r="M735" s="2" t="s">
        <v>40</v>
      </c>
      <c r="N735" s="2" t="s">
        <v>41</v>
      </c>
    </row>
    <row r="736" spans="1:14">
      <c r="A736" s="2">
        <v>735</v>
      </c>
      <c r="B736" s="3" t="s">
        <v>3031</v>
      </c>
      <c r="C736" s="2" t="s">
        <v>3032</v>
      </c>
      <c r="D736" s="2">
        <v>54</v>
      </c>
      <c r="E736" s="2">
        <v>56</v>
      </c>
      <c r="F736" s="2" t="s">
        <v>3033</v>
      </c>
      <c r="H736" s="2" t="s">
        <v>45</v>
      </c>
      <c r="I736" s="2" t="s">
        <v>3034</v>
      </c>
      <c r="K736" s="4">
        <v>24220</v>
      </c>
      <c r="M736" s="2" t="s">
        <v>140</v>
      </c>
      <c r="N736" s="2" t="s">
        <v>294</v>
      </c>
    </row>
    <row r="737" spans="1:14">
      <c r="A737" s="2">
        <v>736</v>
      </c>
      <c r="B737" s="3" t="s">
        <v>3035</v>
      </c>
      <c r="C737" s="2" t="s">
        <v>3036</v>
      </c>
      <c r="D737" s="2">
        <v>56</v>
      </c>
      <c r="E737" s="2">
        <v>56</v>
      </c>
      <c r="F737" s="2" t="s">
        <v>3037</v>
      </c>
      <c r="H737" s="2" t="s">
        <v>45</v>
      </c>
      <c r="I737" s="2" t="s">
        <v>3038</v>
      </c>
      <c r="K737" s="4">
        <v>27366</v>
      </c>
      <c r="M737" s="2" t="s">
        <v>423</v>
      </c>
      <c r="N737" s="2" t="s">
        <v>3039</v>
      </c>
    </row>
    <row r="738" spans="1:14">
      <c r="A738" s="2">
        <v>737</v>
      </c>
      <c r="B738" s="3" t="s">
        <v>3040</v>
      </c>
      <c r="C738" s="2" t="s">
        <v>3041</v>
      </c>
      <c r="D738" s="2">
        <v>54</v>
      </c>
      <c r="E738" s="2">
        <v>56</v>
      </c>
      <c r="F738" s="2" t="s">
        <v>3042</v>
      </c>
      <c r="H738" s="2" t="s">
        <v>17</v>
      </c>
      <c r="K738" s="4">
        <v>27779</v>
      </c>
      <c r="M738" s="2" t="s">
        <v>66</v>
      </c>
      <c r="N738" s="2" t="s">
        <v>3043</v>
      </c>
    </row>
    <row r="739" spans="1:14">
      <c r="A739" s="2">
        <v>738</v>
      </c>
      <c r="B739" s="3" t="s">
        <v>3044</v>
      </c>
      <c r="C739" s="2" t="s">
        <v>3045</v>
      </c>
      <c r="D739" s="2">
        <v>55</v>
      </c>
      <c r="E739" s="2">
        <v>56</v>
      </c>
      <c r="F739" s="2" t="s">
        <v>3046</v>
      </c>
      <c r="H739" s="2" t="s">
        <v>45</v>
      </c>
      <c r="K739" s="4">
        <v>29553</v>
      </c>
      <c r="M739" s="2" t="s">
        <v>247</v>
      </c>
      <c r="N739" s="2" t="s">
        <v>562</v>
      </c>
    </row>
    <row r="740" spans="1:14">
      <c r="A740" s="2">
        <v>739</v>
      </c>
      <c r="B740" s="3" t="s">
        <v>3047</v>
      </c>
      <c r="C740" s="2" t="s">
        <v>3048</v>
      </c>
      <c r="D740" s="2">
        <v>56</v>
      </c>
      <c r="E740" s="2">
        <v>56</v>
      </c>
      <c r="F740" s="2" t="s">
        <v>3049</v>
      </c>
      <c r="H740" s="2" t="s">
        <v>17</v>
      </c>
      <c r="K740" s="4">
        <v>26825</v>
      </c>
      <c r="M740" s="2" t="s">
        <v>247</v>
      </c>
      <c r="N740" s="2" t="s">
        <v>2414</v>
      </c>
    </row>
    <row r="741" spans="1:14">
      <c r="A741" s="2">
        <v>740</v>
      </c>
      <c r="B741" s="3" t="s">
        <v>3050</v>
      </c>
      <c r="C741" s="2" t="s">
        <v>3051</v>
      </c>
      <c r="D741" s="2">
        <v>55</v>
      </c>
      <c r="E741" s="2">
        <v>56</v>
      </c>
      <c r="F741" s="2" t="s">
        <v>3052</v>
      </c>
      <c r="H741" s="2" t="s">
        <v>17</v>
      </c>
      <c r="I741" s="2" t="s">
        <v>3053</v>
      </c>
      <c r="K741" s="4">
        <v>31980</v>
      </c>
      <c r="M741" s="2" t="s">
        <v>146</v>
      </c>
      <c r="N741" s="2" t="s">
        <v>147</v>
      </c>
    </row>
    <row r="742" spans="1:14">
      <c r="A742" s="2">
        <v>741</v>
      </c>
      <c r="B742" s="3" t="s">
        <v>3054</v>
      </c>
      <c r="C742" s="2" t="s">
        <v>3055</v>
      </c>
      <c r="D742" s="2">
        <v>52</v>
      </c>
      <c r="E742" s="2">
        <v>56</v>
      </c>
      <c r="F742" s="2" t="s">
        <v>3056</v>
      </c>
      <c r="H742" s="2" t="s">
        <v>17</v>
      </c>
      <c r="I742" s="2" t="s">
        <v>3057</v>
      </c>
      <c r="K742" s="4">
        <v>23008</v>
      </c>
      <c r="M742" s="2" t="s">
        <v>122</v>
      </c>
      <c r="N742" s="2" t="s">
        <v>3058</v>
      </c>
    </row>
    <row r="743" spans="1:14">
      <c r="A743" s="2">
        <v>742</v>
      </c>
      <c r="B743" s="3" t="s">
        <v>3059</v>
      </c>
      <c r="C743" s="2" t="s">
        <v>3060</v>
      </c>
      <c r="D743" s="2">
        <v>56</v>
      </c>
      <c r="E743" s="2">
        <v>56</v>
      </c>
      <c r="F743" s="2" t="s">
        <v>3061</v>
      </c>
      <c r="H743" s="2" t="s">
        <v>17</v>
      </c>
      <c r="K743" s="4">
        <v>34299</v>
      </c>
      <c r="M743" s="2" t="s">
        <v>198</v>
      </c>
      <c r="N743" s="2" t="s">
        <v>199</v>
      </c>
    </row>
    <row r="744" spans="1:14">
      <c r="A744" s="2">
        <v>743</v>
      </c>
      <c r="B744" s="3" t="s">
        <v>3062</v>
      </c>
      <c r="C744" s="2" t="s">
        <v>3063</v>
      </c>
      <c r="D744" s="2">
        <v>55</v>
      </c>
      <c r="E744" s="2">
        <v>56</v>
      </c>
      <c r="F744" s="2" t="s">
        <v>3064</v>
      </c>
      <c r="H744" s="2" t="s">
        <v>17</v>
      </c>
      <c r="I744" s="2" t="s">
        <v>3065</v>
      </c>
      <c r="K744" s="4">
        <v>26979</v>
      </c>
      <c r="M744" s="2" t="s">
        <v>185</v>
      </c>
      <c r="N744" s="2" t="s">
        <v>838</v>
      </c>
    </row>
    <row r="745" spans="1:14">
      <c r="A745" s="2">
        <v>744</v>
      </c>
      <c r="B745" s="3" t="s">
        <v>3066</v>
      </c>
      <c r="C745" s="2" t="s">
        <v>3067</v>
      </c>
      <c r="D745" s="2">
        <v>56</v>
      </c>
      <c r="E745" s="2">
        <v>56</v>
      </c>
      <c r="F745" s="2" t="s">
        <v>3068</v>
      </c>
      <c r="H745" s="2" t="s">
        <v>17</v>
      </c>
      <c r="K745" s="4">
        <v>26620</v>
      </c>
      <c r="M745" s="2" t="s">
        <v>198</v>
      </c>
      <c r="N745" s="2" t="s">
        <v>199</v>
      </c>
    </row>
    <row r="746" spans="1:14">
      <c r="A746" s="2">
        <v>745</v>
      </c>
      <c r="B746" s="3" t="s">
        <v>3069</v>
      </c>
      <c r="C746" s="2" t="s">
        <v>3070</v>
      </c>
      <c r="D746" s="2">
        <v>56</v>
      </c>
      <c r="E746" s="2">
        <v>56</v>
      </c>
      <c r="F746" s="2" t="s">
        <v>3071</v>
      </c>
      <c r="H746" s="2" t="s">
        <v>17</v>
      </c>
      <c r="K746" s="4">
        <v>25845</v>
      </c>
      <c r="M746" s="2" t="s">
        <v>40</v>
      </c>
      <c r="N746" s="2" t="s">
        <v>41</v>
      </c>
    </row>
    <row r="747" spans="1:14">
      <c r="A747" s="2">
        <v>746</v>
      </c>
      <c r="B747" s="3" t="s">
        <v>3072</v>
      </c>
      <c r="C747" s="2" t="s">
        <v>3073</v>
      </c>
      <c r="D747" s="2">
        <v>56</v>
      </c>
      <c r="E747" s="2">
        <v>56</v>
      </c>
      <c r="F747" s="2" t="s">
        <v>3074</v>
      </c>
      <c r="H747" s="2" t="s">
        <v>45</v>
      </c>
      <c r="I747" s="2" t="s">
        <v>3075</v>
      </c>
      <c r="K747" s="4">
        <v>26774</v>
      </c>
      <c r="M747" s="2" t="s">
        <v>662</v>
      </c>
      <c r="N747" s="2" t="s">
        <v>663</v>
      </c>
    </row>
    <row r="748" spans="1:14">
      <c r="A748" s="2">
        <v>747</v>
      </c>
      <c r="B748" s="3" t="s">
        <v>3076</v>
      </c>
      <c r="C748" s="2" t="s">
        <v>3077</v>
      </c>
      <c r="D748" s="2">
        <v>56</v>
      </c>
      <c r="E748" s="2">
        <v>56</v>
      </c>
      <c r="F748" s="2" t="s">
        <v>3078</v>
      </c>
      <c r="H748" s="2" t="s">
        <v>45</v>
      </c>
      <c r="I748" s="2" t="s">
        <v>3079</v>
      </c>
      <c r="K748" s="4">
        <v>28519</v>
      </c>
      <c r="M748" s="2" t="s">
        <v>154</v>
      </c>
      <c r="N748" s="2" t="s">
        <v>155</v>
      </c>
    </row>
    <row r="749" spans="1:14">
      <c r="A749" s="2">
        <v>748</v>
      </c>
      <c r="B749" s="3" t="s">
        <v>3080</v>
      </c>
      <c r="C749" s="2" t="s">
        <v>3081</v>
      </c>
      <c r="D749" s="2">
        <v>56</v>
      </c>
      <c r="E749" s="2">
        <v>56</v>
      </c>
      <c r="F749" s="2" t="s">
        <v>3082</v>
      </c>
      <c r="H749" s="2" t="s">
        <v>17</v>
      </c>
      <c r="I749" s="2" t="s">
        <v>3083</v>
      </c>
      <c r="K749" s="4">
        <v>29413</v>
      </c>
      <c r="M749" s="2" t="s">
        <v>24</v>
      </c>
      <c r="N749" s="2" t="s">
        <v>25</v>
      </c>
    </row>
    <row r="750" spans="1:14">
      <c r="A750" s="2">
        <v>749</v>
      </c>
      <c r="B750" s="3" t="s">
        <v>3084</v>
      </c>
      <c r="C750" s="2" t="s">
        <v>3085</v>
      </c>
      <c r="D750" s="2">
        <v>56</v>
      </c>
      <c r="E750" s="2">
        <v>56</v>
      </c>
      <c r="F750" s="2" t="s">
        <v>3086</v>
      </c>
      <c r="H750" s="2" t="s">
        <v>17</v>
      </c>
      <c r="I750" s="2" t="s">
        <v>3087</v>
      </c>
      <c r="K750" s="4">
        <v>22320</v>
      </c>
      <c r="M750" s="2" t="s">
        <v>423</v>
      </c>
      <c r="N750" s="2" t="s">
        <v>3088</v>
      </c>
    </row>
    <row r="751" spans="1:14">
      <c r="A751" s="2">
        <v>750</v>
      </c>
      <c r="B751" s="3" t="s">
        <v>3089</v>
      </c>
      <c r="C751" s="2" t="s">
        <v>3090</v>
      </c>
      <c r="D751" s="2">
        <v>54</v>
      </c>
      <c r="E751" s="2">
        <v>56</v>
      </c>
      <c r="F751" s="2" t="s">
        <v>3091</v>
      </c>
      <c r="H751" s="2" t="s">
        <v>17</v>
      </c>
      <c r="K751" s="4">
        <v>18615</v>
      </c>
      <c r="M751" s="2" t="s">
        <v>198</v>
      </c>
      <c r="N751" s="2" t="s">
        <v>3092</v>
      </c>
    </row>
    <row r="752" spans="1:14">
      <c r="A752" s="2">
        <v>751</v>
      </c>
      <c r="B752" s="3" t="s">
        <v>3093</v>
      </c>
      <c r="C752" s="2" t="s">
        <v>3094</v>
      </c>
      <c r="D752" s="2">
        <v>56</v>
      </c>
      <c r="E752" s="2">
        <v>56</v>
      </c>
      <c r="F752" s="2" t="s">
        <v>3095</v>
      </c>
      <c r="H752" s="2" t="s">
        <v>17</v>
      </c>
      <c r="K752" s="4">
        <v>23551</v>
      </c>
      <c r="M752" s="2" t="s">
        <v>66</v>
      </c>
      <c r="N752" s="2" t="s">
        <v>3096</v>
      </c>
    </row>
    <row r="753" spans="1:14">
      <c r="A753" s="2">
        <v>752</v>
      </c>
      <c r="B753" s="3" t="s">
        <v>3097</v>
      </c>
      <c r="C753" s="2" t="s">
        <v>3098</v>
      </c>
      <c r="D753" s="2">
        <v>56</v>
      </c>
      <c r="E753" s="2">
        <v>56</v>
      </c>
      <c r="F753" s="2" t="s">
        <v>3099</v>
      </c>
      <c r="H753" s="2" t="s">
        <v>17</v>
      </c>
      <c r="K753" s="4">
        <v>27764</v>
      </c>
      <c r="M753" s="2" t="s">
        <v>76</v>
      </c>
      <c r="N753" s="2" t="s">
        <v>77</v>
      </c>
    </row>
    <row r="754" spans="1:14">
      <c r="A754" s="2">
        <v>753</v>
      </c>
      <c r="B754" s="3" t="s">
        <v>3100</v>
      </c>
      <c r="C754" s="2" t="s">
        <v>3101</v>
      </c>
      <c r="D754" s="2">
        <v>51</v>
      </c>
      <c r="E754" s="2">
        <v>56</v>
      </c>
      <c r="F754" s="2" t="s">
        <v>3102</v>
      </c>
      <c r="H754" s="2" t="s">
        <v>17</v>
      </c>
      <c r="I754" s="2" t="s">
        <v>3103</v>
      </c>
      <c r="K754" s="4">
        <v>24429</v>
      </c>
      <c r="M754" s="2" t="s">
        <v>35</v>
      </c>
      <c r="N754" s="2" t="s">
        <v>1462</v>
      </c>
    </row>
    <row r="755" spans="1:14">
      <c r="A755" s="2">
        <v>754</v>
      </c>
      <c r="B755" s="3" t="s">
        <v>3104</v>
      </c>
      <c r="C755" s="2" t="s">
        <v>3105</v>
      </c>
      <c r="D755" s="2">
        <v>53</v>
      </c>
      <c r="E755" s="2">
        <v>56</v>
      </c>
      <c r="F755" s="2" t="s">
        <v>3106</v>
      </c>
      <c r="H755" s="2" t="s">
        <v>17</v>
      </c>
      <c r="K755" s="4">
        <v>21655</v>
      </c>
      <c r="M755" s="2" t="s">
        <v>198</v>
      </c>
      <c r="N755" s="2" t="s">
        <v>199</v>
      </c>
    </row>
    <row r="756" spans="1:14">
      <c r="A756" s="2">
        <v>755</v>
      </c>
      <c r="B756" s="3" t="s">
        <v>3107</v>
      </c>
      <c r="C756" s="2" t="s">
        <v>3108</v>
      </c>
      <c r="D756" s="2">
        <v>53</v>
      </c>
      <c r="E756" s="2">
        <v>56</v>
      </c>
      <c r="F756" s="2" t="s">
        <v>3109</v>
      </c>
      <c r="H756" s="2" t="s">
        <v>17</v>
      </c>
      <c r="K756" s="4">
        <v>19845</v>
      </c>
      <c r="M756" s="2" t="s">
        <v>53</v>
      </c>
      <c r="N756" s="2" t="s">
        <v>847</v>
      </c>
    </row>
    <row r="757" spans="1:14">
      <c r="A757" s="2">
        <v>756</v>
      </c>
      <c r="B757" s="3" t="s">
        <v>3110</v>
      </c>
      <c r="C757" s="2" t="s">
        <v>3111</v>
      </c>
      <c r="D757" s="2">
        <v>54</v>
      </c>
      <c r="E757" s="2">
        <v>56</v>
      </c>
      <c r="F757" s="2" t="s">
        <v>3112</v>
      </c>
      <c r="H757" s="2" t="s">
        <v>45</v>
      </c>
      <c r="K757" s="4">
        <v>25622</v>
      </c>
      <c r="M757" s="2" t="s">
        <v>192</v>
      </c>
      <c r="N757" s="2" t="s">
        <v>3113</v>
      </c>
    </row>
    <row r="758" spans="1:14">
      <c r="A758" s="2">
        <v>757</v>
      </c>
      <c r="B758" s="3" t="s">
        <v>3114</v>
      </c>
      <c r="C758" s="2" t="s">
        <v>3115</v>
      </c>
      <c r="D758" s="2">
        <v>56</v>
      </c>
      <c r="E758" s="2">
        <v>56</v>
      </c>
      <c r="F758" s="2" t="s">
        <v>3116</v>
      </c>
      <c r="H758" s="2" t="s">
        <v>45</v>
      </c>
      <c r="I758" s="2" t="s">
        <v>3117</v>
      </c>
      <c r="K758" s="4">
        <v>24269</v>
      </c>
      <c r="M758" s="2" t="s">
        <v>164</v>
      </c>
      <c r="N758" s="2" t="s">
        <v>3118</v>
      </c>
    </row>
    <row r="759" spans="1:14">
      <c r="A759" s="2">
        <v>758</v>
      </c>
      <c r="B759" s="3" t="s">
        <v>3119</v>
      </c>
      <c r="C759" s="2" t="s">
        <v>3120</v>
      </c>
      <c r="D759" s="2">
        <v>55</v>
      </c>
      <c r="E759" s="2">
        <v>56</v>
      </c>
      <c r="F759" s="2" t="s">
        <v>3121</v>
      </c>
      <c r="H759" s="2" t="s">
        <v>17</v>
      </c>
      <c r="I759" s="3" t="s">
        <v>3122</v>
      </c>
      <c r="K759" s="4">
        <v>28958</v>
      </c>
      <c r="M759" s="2" t="s">
        <v>247</v>
      </c>
      <c r="N759" s="2" t="s">
        <v>886</v>
      </c>
    </row>
    <row r="760" spans="1:14">
      <c r="A760" s="2">
        <v>759</v>
      </c>
      <c r="B760" s="3" t="s">
        <v>3123</v>
      </c>
      <c r="C760" s="2" t="s">
        <v>3124</v>
      </c>
      <c r="D760" s="2">
        <v>56</v>
      </c>
      <c r="E760" s="2">
        <v>56</v>
      </c>
      <c r="F760" s="2" t="s">
        <v>3125</v>
      </c>
      <c r="H760" s="2" t="s">
        <v>17</v>
      </c>
      <c r="K760" s="4">
        <v>30692</v>
      </c>
      <c r="M760" s="2" t="s">
        <v>154</v>
      </c>
      <c r="N760" s="2" t="s">
        <v>2478</v>
      </c>
    </row>
    <row r="761" spans="1:14">
      <c r="A761" s="2">
        <v>760</v>
      </c>
      <c r="B761" s="3" t="s">
        <v>3126</v>
      </c>
      <c r="C761" s="2" t="s">
        <v>3127</v>
      </c>
      <c r="D761" s="2">
        <v>56</v>
      </c>
      <c r="E761" s="2">
        <v>56</v>
      </c>
      <c r="F761" s="2" t="s">
        <v>3128</v>
      </c>
      <c r="H761" s="2" t="s">
        <v>17</v>
      </c>
      <c r="I761" s="2" t="s">
        <v>3129</v>
      </c>
      <c r="K761" s="4">
        <v>26963</v>
      </c>
      <c r="M761" s="2" t="s">
        <v>35</v>
      </c>
      <c r="N761" s="2" t="s">
        <v>1913</v>
      </c>
    </row>
    <row r="762" spans="1:14">
      <c r="A762" s="2">
        <v>761</v>
      </c>
      <c r="B762" s="3" t="s">
        <v>3130</v>
      </c>
      <c r="C762" s="2" t="s">
        <v>3131</v>
      </c>
      <c r="D762" s="2">
        <v>52</v>
      </c>
      <c r="E762" s="2">
        <v>56</v>
      </c>
      <c r="F762" s="2" t="s">
        <v>3132</v>
      </c>
      <c r="H762" s="2" t="s">
        <v>17</v>
      </c>
      <c r="K762" s="4">
        <v>29165</v>
      </c>
      <c r="M762" s="2" t="s">
        <v>170</v>
      </c>
      <c r="N762" s="2" t="s">
        <v>3133</v>
      </c>
    </row>
    <row r="763" spans="1:14">
      <c r="A763" s="2">
        <v>762</v>
      </c>
      <c r="B763" s="3" t="s">
        <v>3134</v>
      </c>
      <c r="C763" s="2" t="s">
        <v>3135</v>
      </c>
      <c r="D763" s="2">
        <v>56</v>
      </c>
      <c r="E763" s="2">
        <v>56</v>
      </c>
      <c r="F763" s="2" t="s">
        <v>3136</v>
      </c>
      <c r="H763" s="2" t="s">
        <v>45</v>
      </c>
      <c r="K763" s="4">
        <v>29610</v>
      </c>
      <c r="M763" s="2" t="s">
        <v>66</v>
      </c>
      <c r="N763" s="2" t="s">
        <v>3137</v>
      </c>
    </row>
    <row r="764" spans="1:14">
      <c r="A764" s="2">
        <v>763</v>
      </c>
      <c r="B764" s="3" t="s">
        <v>3138</v>
      </c>
      <c r="C764" s="2" t="s">
        <v>3139</v>
      </c>
      <c r="D764" s="2">
        <v>56</v>
      </c>
      <c r="E764" s="2">
        <v>56</v>
      </c>
      <c r="F764" s="2" t="s">
        <v>3140</v>
      </c>
      <c r="H764" s="2" t="s">
        <v>17</v>
      </c>
      <c r="I764" s="2" t="s">
        <v>3141</v>
      </c>
      <c r="K764" s="4">
        <v>30215</v>
      </c>
      <c r="M764" s="2" t="s">
        <v>341</v>
      </c>
      <c r="N764" s="2" t="s">
        <v>342</v>
      </c>
    </row>
    <row r="765" spans="1:14">
      <c r="A765" s="2">
        <v>764</v>
      </c>
      <c r="B765" s="3" t="s">
        <v>3142</v>
      </c>
      <c r="C765" s="2" t="s">
        <v>3143</v>
      </c>
      <c r="D765" s="2">
        <v>55</v>
      </c>
      <c r="E765" s="2">
        <v>56</v>
      </c>
      <c r="F765" s="2" t="s">
        <v>3144</v>
      </c>
      <c r="H765" s="2" t="s">
        <v>17</v>
      </c>
      <c r="K765" s="4">
        <v>20292</v>
      </c>
      <c r="M765" s="2" t="s">
        <v>170</v>
      </c>
      <c r="N765" s="2" t="s">
        <v>323</v>
      </c>
    </row>
    <row r="766" spans="1:14">
      <c r="A766" s="2">
        <v>765</v>
      </c>
      <c r="B766" s="3" t="s">
        <v>3145</v>
      </c>
      <c r="C766" s="2" t="s">
        <v>3146</v>
      </c>
      <c r="D766" s="2">
        <v>56</v>
      </c>
      <c r="E766" s="2">
        <v>56</v>
      </c>
      <c r="F766" s="2" t="s">
        <v>3147</v>
      </c>
      <c r="H766" s="2" t="s">
        <v>17</v>
      </c>
      <c r="K766" s="4">
        <v>31622</v>
      </c>
      <c r="M766" s="2" t="s">
        <v>571</v>
      </c>
      <c r="N766" s="2" t="s">
        <v>2143</v>
      </c>
    </row>
    <row r="767" spans="1:14">
      <c r="A767" s="2">
        <v>766</v>
      </c>
      <c r="B767" s="3" t="s">
        <v>3148</v>
      </c>
      <c r="C767" s="2" t="s">
        <v>3149</v>
      </c>
      <c r="D767" s="2">
        <v>56</v>
      </c>
      <c r="E767" s="2">
        <v>56</v>
      </c>
      <c r="F767" s="2" t="s">
        <v>3150</v>
      </c>
      <c r="H767" s="2" t="s">
        <v>17</v>
      </c>
      <c r="I767" s="2" t="s">
        <v>3151</v>
      </c>
      <c r="J767" s="3" t="s">
        <v>3152</v>
      </c>
      <c r="K767" s="4">
        <v>32498</v>
      </c>
      <c r="M767" s="2" t="s">
        <v>35</v>
      </c>
      <c r="N767" s="2" t="s">
        <v>58</v>
      </c>
    </row>
    <row r="768" spans="1:14">
      <c r="A768" s="2">
        <v>767</v>
      </c>
      <c r="B768" s="3" t="s">
        <v>3153</v>
      </c>
      <c r="C768" s="2" t="s">
        <v>3154</v>
      </c>
      <c r="D768" s="2">
        <v>55</v>
      </c>
      <c r="E768" s="2">
        <v>56</v>
      </c>
      <c r="F768" s="2" t="s">
        <v>3155</v>
      </c>
      <c r="H768" s="2" t="s">
        <v>17</v>
      </c>
      <c r="K768" s="4">
        <v>31875</v>
      </c>
      <c r="M768" s="2" t="s">
        <v>53</v>
      </c>
      <c r="N768" s="2" t="s">
        <v>847</v>
      </c>
    </row>
    <row r="769" spans="1:14">
      <c r="A769" s="2">
        <v>768</v>
      </c>
      <c r="B769" s="3" t="s">
        <v>3156</v>
      </c>
      <c r="C769" s="2" t="s">
        <v>3157</v>
      </c>
      <c r="D769" s="2">
        <v>56</v>
      </c>
      <c r="E769" s="2">
        <v>56</v>
      </c>
      <c r="F769" s="2" t="s">
        <v>3158</v>
      </c>
      <c r="H769" s="2" t="s">
        <v>17</v>
      </c>
      <c r="I769" s="2" t="s">
        <v>3159</v>
      </c>
      <c r="K769" s="4">
        <v>29307</v>
      </c>
      <c r="M769" s="2" t="s">
        <v>969</v>
      </c>
      <c r="N769" s="2" t="s">
        <v>970</v>
      </c>
    </row>
    <row r="770" spans="1:14">
      <c r="A770" s="2">
        <v>769</v>
      </c>
      <c r="B770" s="3" t="s">
        <v>3160</v>
      </c>
      <c r="C770" s="2" t="s">
        <v>3161</v>
      </c>
      <c r="D770" s="2">
        <v>54</v>
      </c>
      <c r="E770" s="2">
        <v>56</v>
      </c>
      <c r="F770" s="2" t="s">
        <v>3162</v>
      </c>
      <c r="H770" s="2" t="s">
        <v>17</v>
      </c>
      <c r="K770" s="4">
        <v>29083</v>
      </c>
      <c r="M770" s="2" t="s">
        <v>24</v>
      </c>
      <c r="N770" s="2" t="s">
        <v>3163</v>
      </c>
    </row>
    <row r="771" spans="1:14">
      <c r="A771" s="2">
        <v>770</v>
      </c>
      <c r="B771" s="3" t="s">
        <v>3164</v>
      </c>
      <c r="C771" s="2" t="s">
        <v>3165</v>
      </c>
      <c r="D771" s="2">
        <v>56</v>
      </c>
      <c r="E771" s="2">
        <v>56</v>
      </c>
      <c r="F771" s="2" t="s">
        <v>3166</v>
      </c>
      <c r="H771" s="2" t="s">
        <v>17</v>
      </c>
      <c r="I771" s="2" t="s">
        <v>3167</v>
      </c>
      <c r="K771" s="4">
        <v>20946</v>
      </c>
      <c r="L771" s="4">
        <v>43922</v>
      </c>
      <c r="M771" s="2" t="s">
        <v>47</v>
      </c>
      <c r="N771" s="2" t="s">
        <v>3168</v>
      </c>
    </row>
    <row r="772" spans="1:14">
      <c r="A772" s="2">
        <v>771</v>
      </c>
      <c r="B772" s="3" t="s">
        <v>3169</v>
      </c>
      <c r="C772" s="2" t="s">
        <v>3170</v>
      </c>
      <c r="D772" s="2">
        <v>55</v>
      </c>
      <c r="E772" s="2">
        <v>56</v>
      </c>
      <c r="F772" s="2" t="s">
        <v>3171</v>
      </c>
      <c r="H772" s="2" t="s">
        <v>17</v>
      </c>
      <c r="K772" s="4">
        <v>28651</v>
      </c>
      <c r="L772" s="4">
        <v>43969</v>
      </c>
      <c r="M772" s="2" t="s">
        <v>47</v>
      </c>
      <c r="N772" s="2" t="s">
        <v>442</v>
      </c>
    </row>
    <row r="773" spans="1:14">
      <c r="A773" s="2">
        <v>772</v>
      </c>
      <c r="B773" s="3" t="s">
        <v>3172</v>
      </c>
      <c r="C773" s="2" t="s">
        <v>3173</v>
      </c>
      <c r="D773" s="2">
        <v>56</v>
      </c>
      <c r="E773" s="2">
        <v>56</v>
      </c>
      <c r="F773" s="2" t="s">
        <v>3174</v>
      </c>
      <c r="H773" s="2" t="s">
        <v>17</v>
      </c>
      <c r="K773" s="4">
        <v>22803</v>
      </c>
      <c r="M773" s="2" t="s">
        <v>154</v>
      </c>
      <c r="N773" s="2" t="s">
        <v>3175</v>
      </c>
    </row>
    <row r="774" spans="1:14">
      <c r="A774" s="2">
        <v>773</v>
      </c>
      <c r="B774" s="3" t="s">
        <v>3176</v>
      </c>
      <c r="C774" s="2" t="s">
        <v>3177</v>
      </c>
      <c r="D774" s="2">
        <v>53</v>
      </c>
      <c r="E774" s="2">
        <v>56</v>
      </c>
      <c r="F774" s="2" t="s">
        <v>3178</v>
      </c>
      <c r="H774" s="2" t="s">
        <v>17</v>
      </c>
      <c r="K774" s="4">
        <v>27241</v>
      </c>
      <c r="M774" s="2" t="s">
        <v>140</v>
      </c>
      <c r="N774" s="2" t="s">
        <v>3179</v>
      </c>
    </row>
    <row r="775" spans="1:14">
      <c r="A775" s="2">
        <v>774</v>
      </c>
      <c r="B775" s="3" t="s">
        <v>3180</v>
      </c>
      <c r="C775" s="2" t="s">
        <v>3181</v>
      </c>
      <c r="D775" s="2">
        <v>56</v>
      </c>
      <c r="E775" s="2">
        <v>56</v>
      </c>
      <c r="F775" s="2" t="s">
        <v>3182</v>
      </c>
      <c r="H775" s="2" t="s">
        <v>45</v>
      </c>
      <c r="K775" s="4">
        <v>29229</v>
      </c>
      <c r="M775" s="2" t="s">
        <v>170</v>
      </c>
      <c r="N775" s="2" t="s">
        <v>323</v>
      </c>
    </row>
    <row r="776" spans="1:14">
      <c r="A776" s="2">
        <v>775</v>
      </c>
      <c r="B776" s="3" t="s">
        <v>3183</v>
      </c>
      <c r="C776" s="2" t="s">
        <v>3184</v>
      </c>
      <c r="D776" s="2">
        <v>56</v>
      </c>
      <c r="E776" s="2">
        <v>56</v>
      </c>
      <c r="F776" s="2" t="s">
        <v>3185</v>
      </c>
      <c r="H776" s="2" t="s">
        <v>17</v>
      </c>
      <c r="I776" s="2" t="s">
        <v>3186</v>
      </c>
      <c r="K776" s="4">
        <v>28276</v>
      </c>
      <c r="M776" s="2" t="s">
        <v>40</v>
      </c>
      <c r="N776" s="2" t="s">
        <v>41</v>
      </c>
    </row>
    <row r="777" spans="1:14">
      <c r="A777" s="2">
        <v>776</v>
      </c>
      <c r="B777" s="3" t="s">
        <v>3187</v>
      </c>
      <c r="C777" s="2" t="s">
        <v>3188</v>
      </c>
      <c r="D777" s="2">
        <v>56</v>
      </c>
      <c r="E777" s="2">
        <v>56</v>
      </c>
      <c r="F777" s="2" t="s">
        <v>3189</v>
      </c>
      <c r="H777" s="2" t="s">
        <v>17</v>
      </c>
      <c r="K777" s="4">
        <v>26426</v>
      </c>
      <c r="M777" s="2" t="s">
        <v>85</v>
      </c>
      <c r="N777" s="2" t="s">
        <v>3190</v>
      </c>
    </row>
    <row r="778" spans="1:14">
      <c r="A778" s="2">
        <v>777</v>
      </c>
      <c r="B778" s="3" t="s">
        <v>3191</v>
      </c>
      <c r="C778" s="2" t="s">
        <v>3192</v>
      </c>
      <c r="D778" s="2">
        <v>56</v>
      </c>
      <c r="E778" s="2">
        <v>56</v>
      </c>
      <c r="F778" s="2" t="s">
        <v>3193</v>
      </c>
      <c r="H778" s="2" t="s">
        <v>45</v>
      </c>
      <c r="K778" s="4">
        <v>26911</v>
      </c>
      <c r="M778" s="2" t="s">
        <v>247</v>
      </c>
      <c r="N778" s="2" t="s">
        <v>886</v>
      </c>
    </row>
    <row r="779" spans="1:14">
      <c r="A779" s="2">
        <v>778</v>
      </c>
      <c r="B779" s="3" t="s">
        <v>3194</v>
      </c>
      <c r="C779" s="2" t="s">
        <v>3195</v>
      </c>
      <c r="D779" s="2">
        <v>56</v>
      </c>
      <c r="E779" s="2">
        <v>56</v>
      </c>
      <c r="F779" s="2" t="s">
        <v>3196</v>
      </c>
      <c r="H779" s="2" t="s">
        <v>17</v>
      </c>
      <c r="I779" s="2" t="s">
        <v>3197</v>
      </c>
      <c r="K779" s="4">
        <v>27282</v>
      </c>
      <c r="M779" s="2" t="s">
        <v>170</v>
      </c>
      <c r="N779" s="2" t="s">
        <v>323</v>
      </c>
    </row>
    <row r="780" spans="1:14">
      <c r="A780" s="2">
        <v>779</v>
      </c>
      <c r="B780" s="3" t="s">
        <v>3198</v>
      </c>
      <c r="C780" s="2" t="s">
        <v>3199</v>
      </c>
      <c r="D780" s="2">
        <v>55</v>
      </c>
      <c r="E780" s="2">
        <v>56</v>
      </c>
      <c r="F780" s="2" t="s">
        <v>3200</v>
      </c>
      <c r="H780" s="2" t="s">
        <v>17</v>
      </c>
      <c r="K780" s="4">
        <v>31940</v>
      </c>
      <c r="M780" s="2" t="s">
        <v>35</v>
      </c>
      <c r="N780" s="2" t="s">
        <v>58</v>
      </c>
    </row>
    <row r="781" spans="1:14">
      <c r="A781" s="2">
        <v>780</v>
      </c>
      <c r="B781" s="3" t="s">
        <v>3201</v>
      </c>
      <c r="C781" s="2" t="s">
        <v>3202</v>
      </c>
      <c r="D781" s="2">
        <v>56</v>
      </c>
      <c r="E781" s="2">
        <v>56</v>
      </c>
      <c r="F781" s="2" t="s">
        <v>3203</v>
      </c>
      <c r="H781" s="2" t="s">
        <v>17</v>
      </c>
      <c r="K781" s="4">
        <v>26628</v>
      </c>
      <c r="M781" s="2" t="s">
        <v>66</v>
      </c>
      <c r="N781" s="2" t="s">
        <v>2712</v>
      </c>
    </row>
    <row r="782" spans="1:14">
      <c r="A782" s="2">
        <v>781</v>
      </c>
      <c r="B782" s="3" t="s">
        <v>3204</v>
      </c>
      <c r="C782" s="2" t="s">
        <v>3205</v>
      </c>
      <c r="D782" s="2">
        <v>56</v>
      </c>
      <c r="E782" s="2">
        <v>56</v>
      </c>
      <c r="F782" s="2" t="s">
        <v>3206</v>
      </c>
      <c r="H782" s="2" t="s">
        <v>17</v>
      </c>
      <c r="K782" s="4">
        <v>24574</v>
      </c>
      <c r="M782" s="2" t="s">
        <v>170</v>
      </c>
      <c r="N782" s="2" t="s">
        <v>171</v>
      </c>
    </row>
    <row r="783" spans="1:14">
      <c r="A783" s="2">
        <v>782</v>
      </c>
      <c r="B783" s="3" t="s">
        <v>3207</v>
      </c>
      <c r="C783" s="2" t="s">
        <v>3208</v>
      </c>
      <c r="D783" s="2">
        <v>56</v>
      </c>
      <c r="E783" s="2">
        <v>56</v>
      </c>
      <c r="F783" s="2" t="s">
        <v>3209</v>
      </c>
      <c r="H783" s="2" t="s">
        <v>17</v>
      </c>
      <c r="K783" s="4">
        <v>20205</v>
      </c>
      <c r="M783" s="2" t="s">
        <v>40</v>
      </c>
      <c r="N783" s="2" t="s">
        <v>3210</v>
      </c>
    </row>
    <row r="784" spans="1:14">
      <c r="A784" s="2">
        <v>783</v>
      </c>
      <c r="B784" s="3" t="s">
        <v>3211</v>
      </c>
      <c r="C784" s="2" t="s">
        <v>3212</v>
      </c>
      <c r="D784" s="2">
        <v>56</v>
      </c>
      <c r="E784" s="2">
        <v>56</v>
      </c>
      <c r="F784" s="2" t="s">
        <v>3213</v>
      </c>
      <c r="H784" s="2" t="s">
        <v>17</v>
      </c>
      <c r="K784" s="4">
        <v>26905</v>
      </c>
      <c r="M784" s="2" t="s">
        <v>30</v>
      </c>
      <c r="N784" s="2" t="s">
        <v>31</v>
      </c>
    </row>
    <row r="785" spans="1:14">
      <c r="A785" s="2">
        <v>784</v>
      </c>
      <c r="B785" s="3" t="s">
        <v>3214</v>
      </c>
      <c r="C785" s="2" t="s">
        <v>3215</v>
      </c>
      <c r="D785" s="2">
        <v>55</v>
      </c>
      <c r="E785" s="2">
        <v>56</v>
      </c>
      <c r="F785" s="2" t="s">
        <v>3216</v>
      </c>
      <c r="H785" s="2" t="s">
        <v>17</v>
      </c>
      <c r="K785" s="4">
        <v>24729</v>
      </c>
      <c r="M785" s="2" t="s">
        <v>47</v>
      </c>
      <c r="N785" s="2" t="s">
        <v>48</v>
      </c>
    </row>
    <row r="786" spans="1:14">
      <c r="A786" s="2">
        <v>785</v>
      </c>
      <c r="B786" s="3" t="s">
        <v>3217</v>
      </c>
      <c r="C786" s="2" t="s">
        <v>3218</v>
      </c>
      <c r="D786" s="2">
        <v>56</v>
      </c>
      <c r="E786" s="2">
        <v>56</v>
      </c>
      <c r="F786" s="2" t="s">
        <v>3219</v>
      </c>
      <c r="H786" s="2" t="s">
        <v>45</v>
      </c>
      <c r="K786" s="4">
        <v>25512</v>
      </c>
      <c r="M786" s="2" t="s">
        <v>66</v>
      </c>
      <c r="N786" s="2" t="s">
        <v>3220</v>
      </c>
    </row>
    <row r="787" spans="1:14">
      <c r="A787" s="2">
        <v>786</v>
      </c>
      <c r="B787" s="3" t="s">
        <v>3221</v>
      </c>
      <c r="C787" s="2" t="s">
        <v>3222</v>
      </c>
      <c r="D787" s="2">
        <v>56</v>
      </c>
      <c r="E787" s="2">
        <v>56</v>
      </c>
      <c r="F787" s="2" t="s">
        <v>3223</v>
      </c>
      <c r="H787" s="2" t="s">
        <v>17</v>
      </c>
      <c r="K787" s="4">
        <v>24605</v>
      </c>
      <c r="M787" s="2" t="s">
        <v>91</v>
      </c>
      <c r="N787" s="2" t="s">
        <v>3224</v>
      </c>
    </row>
    <row r="788" spans="1:14">
      <c r="A788" s="2">
        <v>787</v>
      </c>
      <c r="B788" s="3" t="s">
        <v>3225</v>
      </c>
      <c r="C788" s="2" t="s">
        <v>3226</v>
      </c>
      <c r="D788" s="2">
        <v>56</v>
      </c>
      <c r="E788" s="2">
        <v>56</v>
      </c>
      <c r="F788" s="2" t="s">
        <v>3227</v>
      </c>
      <c r="H788" s="2" t="s">
        <v>17</v>
      </c>
      <c r="I788" s="3" t="s">
        <v>3228</v>
      </c>
      <c r="K788" s="4">
        <v>27087</v>
      </c>
      <c r="M788" s="2" t="s">
        <v>170</v>
      </c>
      <c r="N788" s="2" t="s">
        <v>323</v>
      </c>
    </row>
    <row r="789" spans="1:14">
      <c r="A789" s="2">
        <v>788</v>
      </c>
      <c r="B789" s="3" t="s">
        <v>3229</v>
      </c>
      <c r="C789" s="2" t="s">
        <v>3230</v>
      </c>
      <c r="D789" s="2">
        <v>54</v>
      </c>
      <c r="E789" s="2">
        <v>56</v>
      </c>
      <c r="F789" s="2" t="s">
        <v>3231</v>
      </c>
      <c r="H789" s="2" t="s">
        <v>17</v>
      </c>
      <c r="K789" s="4">
        <v>25829</v>
      </c>
      <c r="M789" s="2" t="s">
        <v>40</v>
      </c>
      <c r="N789" s="2" t="s">
        <v>314</v>
      </c>
    </row>
    <row r="790" spans="1:14">
      <c r="A790" s="2">
        <v>789</v>
      </c>
      <c r="B790" s="3" t="s">
        <v>3232</v>
      </c>
      <c r="C790" s="2" t="s">
        <v>3233</v>
      </c>
      <c r="D790" s="2">
        <v>52</v>
      </c>
      <c r="E790" s="2">
        <v>56</v>
      </c>
      <c r="F790" s="2" t="s">
        <v>3234</v>
      </c>
      <c r="H790" s="2" t="s">
        <v>17</v>
      </c>
      <c r="I790" s="2" t="s">
        <v>3235</v>
      </c>
      <c r="K790" s="4">
        <v>24103</v>
      </c>
      <c r="M790" s="2" t="s">
        <v>66</v>
      </c>
      <c r="N790" s="2" t="s">
        <v>268</v>
      </c>
    </row>
    <row r="791" spans="1:14">
      <c r="A791" s="2">
        <v>790</v>
      </c>
      <c r="B791" s="3" t="s">
        <v>3236</v>
      </c>
      <c r="C791" s="2" t="s">
        <v>3237</v>
      </c>
      <c r="D791" s="2">
        <v>55</v>
      </c>
      <c r="E791" s="2">
        <v>56</v>
      </c>
      <c r="F791" s="2" t="s">
        <v>3238</v>
      </c>
      <c r="H791" s="2" t="s">
        <v>17</v>
      </c>
      <c r="K791" s="4">
        <v>27161</v>
      </c>
      <c r="M791" s="2" t="s">
        <v>969</v>
      </c>
      <c r="N791" s="2" t="s">
        <v>970</v>
      </c>
    </row>
    <row r="792" spans="1:14">
      <c r="A792" s="2">
        <v>791</v>
      </c>
      <c r="B792" s="3" t="s">
        <v>3239</v>
      </c>
      <c r="C792" s="2" t="s">
        <v>3240</v>
      </c>
      <c r="D792" s="2">
        <v>56</v>
      </c>
      <c r="E792" s="2">
        <v>56</v>
      </c>
      <c r="F792" s="2" t="s">
        <v>3241</v>
      </c>
      <c r="H792" s="2" t="s">
        <v>45</v>
      </c>
      <c r="I792" s="2" t="s">
        <v>3242</v>
      </c>
      <c r="K792" s="4">
        <v>22352</v>
      </c>
      <c r="M792" s="2" t="s">
        <v>140</v>
      </c>
      <c r="N792" s="2" t="s">
        <v>3243</v>
      </c>
    </row>
    <row r="793" spans="1:14">
      <c r="A793" s="2">
        <v>792</v>
      </c>
      <c r="B793" s="3" t="s">
        <v>3244</v>
      </c>
      <c r="C793" s="2" t="s">
        <v>3245</v>
      </c>
      <c r="D793" s="2">
        <v>54</v>
      </c>
      <c r="E793" s="2">
        <v>56</v>
      </c>
      <c r="F793" s="2" t="s">
        <v>3246</v>
      </c>
      <c r="H793" s="2" t="s">
        <v>45</v>
      </c>
      <c r="I793" s="2" t="s">
        <v>3247</v>
      </c>
      <c r="J793" s="3" t="s">
        <v>3248</v>
      </c>
      <c r="K793" s="4">
        <v>18424</v>
      </c>
      <c r="M793" s="2" t="s">
        <v>35</v>
      </c>
      <c r="N793" s="2" t="s">
        <v>1462</v>
      </c>
    </row>
    <row r="794" spans="1:14">
      <c r="A794" s="2">
        <v>793</v>
      </c>
      <c r="B794" s="3" t="s">
        <v>3249</v>
      </c>
      <c r="C794" s="2" t="s">
        <v>1764</v>
      </c>
      <c r="D794" s="2">
        <v>55</v>
      </c>
      <c r="E794" s="2">
        <v>56</v>
      </c>
      <c r="F794" s="2" t="s">
        <v>3250</v>
      </c>
      <c r="H794" s="2" t="s">
        <v>45</v>
      </c>
      <c r="I794" s="2" t="s">
        <v>3251</v>
      </c>
      <c r="K794" s="4">
        <v>31742</v>
      </c>
      <c r="M794" s="2" t="s">
        <v>47</v>
      </c>
      <c r="N794" s="2" t="s">
        <v>48</v>
      </c>
    </row>
    <row r="795" spans="1:14">
      <c r="A795" s="2">
        <v>794</v>
      </c>
      <c r="B795" s="3" t="s">
        <v>3252</v>
      </c>
      <c r="C795" s="2" t="s">
        <v>3253</v>
      </c>
      <c r="D795" s="2">
        <v>56</v>
      </c>
      <c r="E795" s="2">
        <v>56</v>
      </c>
      <c r="F795" s="2" t="s">
        <v>3254</v>
      </c>
      <c r="H795" s="2" t="s">
        <v>45</v>
      </c>
      <c r="I795" s="2" t="s">
        <v>3255</v>
      </c>
      <c r="K795" s="4">
        <v>30784</v>
      </c>
      <c r="M795" s="2" t="s">
        <v>198</v>
      </c>
      <c r="N795" s="2" t="s">
        <v>199</v>
      </c>
    </row>
    <row r="796" spans="1:14">
      <c r="A796" s="2">
        <v>795</v>
      </c>
      <c r="B796" s="3" t="s">
        <v>3256</v>
      </c>
      <c r="C796" s="2" t="s">
        <v>3257</v>
      </c>
      <c r="D796" s="2">
        <v>56</v>
      </c>
      <c r="E796" s="2">
        <v>56</v>
      </c>
      <c r="F796" s="2" t="s">
        <v>3258</v>
      </c>
      <c r="H796" s="2" t="s">
        <v>45</v>
      </c>
      <c r="K796" s="4">
        <v>29477</v>
      </c>
      <c r="M796" s="2" t="s">
        <v>140</v>
      </c>
      <c r="N796" s="2" t="s">
        <v>3179</v>
      </c>
    </row>
    <row r="797" spans="1:14">
      <c r="A797" s="2">
        <v>796</v>
      </c>
      <c r="B797" s="3" t="s">
        <v>3259</v>
      </c>
      <c r="C797" s="2" t="s">
        <v>3260</v>
      </c>
      <c r="D797" s="2">
        <v>56</v>
      </c>
      <c r="E797" s="2">
        <v>56</v>
      </c>
      <c r="F797" s="2" t="s">
        <v>3261</v>
      </c>
      <c r="H797" s="2" t="s">
        <v>17</v>
      </c>
      <c r="K797" s="4">
        <v>27662</v>
      </c>
      <c r="M797" s="2" t="s">
        <v>66</v>
      </c>
      <c r="N797" s="2" t="s">
        <v>3262</v>
      </c>
    </row>
    <row r="798" spans="1:14">
      <c r="A798" s="2">
        <v>797</v>
      </c>
      <c r="B798" s="3" t="s">
        <v>3263</v>
      </c>
      <c r="C798" s="2" t="s">
        <v>3264</v>
      </c>
      <c r="D798" s="2">
        <v>54</v>
      </c>
      <c r="E798" s="2">
        <v>56</v>
      </c>
      <c r="F798" s="2" t="s">
        <v>3265</v>
      </c>
      <c r="H798" s="2" t="s">
        <v>17</v>
      </c>
      <c r="K798" s="4">
        <v>29062</v>
      </c>
      <c r="M798" s="2" t="s">
        <v>154</v>
      </c>
      <c r="N798" s="2" t="s">
        <v>208</v>
      </c>
    </row>
    <row r="799" spans="1:14">
      <c r="A799" s="2">
        <v>798</v>
      </c>
      <c r="B799" s="3" t="s">
        <v>3266</v>
      </c>
      <c r="C799" s="2" t="s">
        <v>3267</v>
      </c>
      <c r="D799" s="2">
        <v>50</v>
      </c>
      <c r="E799" s="2">
        <v>56</v>
      </c>
      <c r="F799" s="2" t="s">
        <v>3268</v>
      </c>
      <c r="H799" s="2" t="s">
        <v>17</v>
      </c>
      <c r="K799" s="4">
        <v>13294</v>
      </c>
      <c r="M799" s="2" t="s">
        <v>35</v>
      </c>
      <c r="N799" s="2" t="s">
        <v>3269</v>
      </c>
    </row>
    <row r="800" spans="1:14">
      <c r="A800" s="2">
        <v>799</v>
      </c>
      <c r="B800" s="3" t="s">
        <v>3270</v>
      </c>
      <c r="C800" s="2" t="s">
        <v>3271</v>
      </c>
      <c r="D800" s="2">
        <v>53</v>
      </c>
      <c r="E800" s="2">
        <v>56</v>
      </c>
      <c r="F800" s="2" t="s">
        <v>3272</v>
      </c>
      <c r="H800" s="2" t="s">
        <v>17</v>
      </c>
      <c r="I800" s="2" t="s">
        <v>3273</v>
      </c>
      <c r="K800" s="4">
        <v>21580</v>
      </c>
      <c r="M800" s="2" t="s">
        <v>170</v>
      </c>
      <c r="N800" s="2" t="s">
        <v>3274</v>
      </c>
    </row>
    <row r="801" spans="1:14">
      <c r="A801" s="2">
        <v>800</v>
      </c>
      <c r="B801" s="3" t="s">
        <v>3275</v>
      </c>
      <c r="C801" s="2" t="s">
        <v>3276</v>
      </c>
      <c r="D801" s="2">
        <v>55</v>
      </c>
      <c r="E801" s="2">
        <v>56</v>
      </c>
      <c r="F801" s="2" t="s">
        <v>3277</v>
      </c>
      <c r="H801" s="2" t="s">
        <v>17</v>
      </c>
      <c r="K801" s="4">
        <v>21108</v>
      </c>
      <c r="M801" s="2" t="s">
        <v>47</v>
      </c>
      <c r="N801" s="2" t="s">
        <v>3278</v>
      </c>
    </row>
    <row r="802" spans="1:14">
      <c r="A802" s="2">
        <v>801</v>
      </c>
      <c r="B802" s="3" t="s">
        <v>3279</v>
      </c>
      <c r="C802" s="2" t="s">
        <v>3280</v>
      </c>
      <c r="D802" s="2">
        <v>56</v>
      </c>
      <c r="E802" s="2">
        <v>56</v>
      </c>
      <c r="F802" s="2" t="s">
        <v>3281</v>
      </c>
      <c r="H802" s="2" t="s">
        <v>17</v>
      </c>
      <c r="I802" s="2" t="s">
        <v>3282</v>
      </c>
      <c r="K802" s="4">
        <v>23732</v>
      </c>
      <c r="M802" s="2" t="s">
        <v>185</v>
      </c>
      <c r="N802" s="2" t="s">
        <v>3283</v>
      </c>
    </row>
    <row r="803" spans="1:14">
      <c r="A803" s="2">
        <v>802</v>
      </c>
      <c r="B803" s="3" t="s">
        <v>3284</v>
      </c>
      <c r="C803" s="2" t="s">
        <v>3285</v>
      </c>
      <c r="D803" s="2">
        <v>56</v>
      </c>
      <c r="E803" s="2">
        <v>56</v>
      </c>
      <c r="F803" s="2" t="s">
        <v>3286</v>
      </c>
      <c r="H803" s="2" t="s">
        <v>17</v>
      </c>
      <c r="K803" s="4">
        <v>25678</v>
      </c>
      <c r="M803" s="2" t="s">
        <v>85</v>
      </c>
      <c r="N803" s="2" t="s">
        <v>221</v>
      </c>
    </row>
    <row r="804" spans="1:14">
      <c r="A804" s="2">
        <v>803</v>
      </c>
      <c r="B804" s="3" t="s">
        <v>3287</v>
      </c>
      <c r="C804" s="2" t="s">
        <v>3288</v>
      </c>
      <c r="D804" s="2">
        <v>51</v>
      </c>
      <c r="E804" s="2">
        <v>56</v>
      </c>
      <c r="F804" s="2" t="s">
        <v>3289</v>
      </c>
      <c r="H804" s="2" t="s">
        <v>17</v>
      </c>
      <c r="K804" s="4">
        <v>22277</v>
      </c>
      <c r="M804" s="2" t="s">
        <v>40</v>
      </c>
      <c r="N804" s="2" t="s">
        <v>41</v>
      </c>
    </row>
    <row r="805" spans="1:14">
      <c r="A805" s="2">
        <v>804</v>
      </c>
      <c r="B805" s="3" t="s">
        <v>3290</v>
      </c>
      <c r="C805" s="2" t="s">
        <v>3291</v>
      </c>
      <c r="D805" s="2">
        <v>56</v>
      </c>
      <c r="E805" s="2">
        <v>56</v>
      </c>
      <c r="F805" s="2" t="s">
        <v>3292</v>
      </c>
      <c r="H805" s="2" t="s">
        <v>17</v>
      </c>
      <c r="I805" s="2" t="s">
        <v>3293</v>
      </c>
      <c r="K805" s="4">
        <v>23213</v>
      </c>
      <c r="M805" s="2" t="s">
        <v>66</v>
      </c>
      <c r="N805" s="2" t="s">
        <v>71</v>
      </c>
    </row>
    <row r="806" spans="1:14">
      <c r="A806" s="2">
        <v>805</v>
      </c>
      <c r="B806" s="3" t="s">
        <v>3294</v>
      </c>
      <c r="C806" s="2" t="s">
        <v>3295</v>
      </c>
      <c r="D806" s="2">
        <v>53</v>
      </c>
      <c r="E806" s="2">
        <v>56</v>
      </c>
      <c r="F806" s="2" t="s">
        <v>3296</v>
      </c>
      <c r="H806" s="2" t="s">
        <v>17</v>
      </c>
      <c r="K806" s="4">
        <v>25149</v>
      </c>
      <c r="M806" s="2" t="s">
        <v>66</v>
      </c>
      <c r="N806" s="2" t="s">
        <v>3297</v>
      </c>
    </row>
    <row r="807" spans="1:14">
      <c r="A807" s="2">
        <v>806</v>
      </c>
      <c r="B807" s="3" t="s">
        <v>3298</v>
      </c>
      <c r="C807" s="2" t="s">
        <v>3299</v>
      </c>
      <c r="D807" s="2">
        <v>52</v>
      </c>
      <c r="E807" s="2">
        <v>56</v>
      </c>
      <c r="F807" s="2" t="s">
        <v>3300</v>
      </c>
      <c r="H807" s="2" t="s">
        <v>17</v>
      </c>
      <c r="I807" s="2" t="s">
        <v>3301</v>
      </c>
      <c r="K807" s="4">
        <v>24284</v>
      </c>
      <c r="M807" s="2" t="s">
        <v>40</v>
      </c>
      <c r="N807" s="2" t="s">
        <v>3302</v>
      </c>
    </row>
    <row r="808" spans="1:14">
      <c r="A808" s="2">
        <v>807</v>
      </c>
      <c r="B808" s="3" t="s">
        <v>3303</v>
      </c>
      <c r="C808" s="2" t="s">
        <v>3304</v>
      </c>
      <c r="D808" s="2">
        <v>56</v>
      </c>
      <c r="E808" s="2">
        <v>56</v>
      </c>
      <c r="F808" s="2" t="s">
        <v>3305</v>
      </c>
      <c r="H808" s="2" t="s">
        <v>17</v>
      </c>
      <c r="K808" s="4">
        <v>26963</v>
      </c>
      <c r="M808" s="2" t="s">
        <v>154</v>
      </c>
      <c r="N808" s="2" t="s">
        <v>208</v>
      </c>
    </row>
    <row r="809" spans="1:14">
      <c r="A809" s="2">
        <v>808</v>
      </c>
      <c r="B809" s="3" t="s">
        <v>3306</v>
      </c>
      <c r="C809" s="2" t="s">
        <v>3307</v>
      </c>
      <c r="D809" s="2">
        <v>56</v>
      </c>
      <c r="E809" s="2">
        <v>56</v>
      </c>
      <c r="F809" s="2" t="s">
        <v>3308</v>
      </c>
      <c r="H809" s="2" t="s">
        <v>17</v>
      </c>
      <c r="I809" s="2" t="s">
        <v>3309</v>
      </c>
      <c r="K809" s="4">
        <v>23250</v>
      </c>
      <c r="M809" s="2" t="s">
        <v>423</v>
      </c>
      <c r="N809" s="2" t="s">
        <v>3310</v>
      </c>
    </row>
    <row r="810" spans="1:14">
      <c r="A810" s="2">
        <v>809</v>
      </c>
      <c r="B810" s="3" t="s">
        <v>3311</v>
      </c>
      <c r="C810" s="2" t="s">
        <v>3312</v>
      </c>
      <c r="D810" s="2">
        <v>51</v>
      </c>
      <c r="E810" s="2">
        <v>56</v>
      </c>
      <c r="F810" s="2" t="s">
        <v>3313</v>
      </c>
      <c r="H810" s="2" t="s">
        <v>17</v>
      </c>
      <c r="K810" s="4">
        <v>19078</v>
      </c>
      <c r="M810" s="2" t="s">
        <v>164</v>
      </c>
      <c r="N810" s="2" t="s">
        <v>165</v>
      </c>
    </row>
    <row r="811" spans="1:14">
      <c r="A811" s="2">
        <v>810</v>
      </c>
      <c r="B811" s="3" t="s">
        <v>3314</v>
      </c>
      <c r="C811" s="2" t="s">
        <v>3315</v>
      </c>
      <c r="D811" s="2">
        <v>55</v>
      </c>
      <c r="E811" s="2">
        <v>56</v>
      </c>
      <c r="F811" s="2" t="s">
        <v>3316</v>
      </c>
      <c r="H811" s="2" t="s">
        <v>17</v>
      </c>
      <c r="I811" s="2" t="s">
        <v>3317</v>
      </c>
      <c r="K811" s="4">
        <v>32149</v>
      </c>
      <c r="M811" s="2" t="s">
        <v>146</v>
      </c>
      <c r="N811" s="2" t="s">
        <v>147</v>
      </c>
    </row>
    <row r="812" spans="1:14">
      <c r="A812" s="2">
        <v>811</v>
      </c>
      <c r="B812" s="3" t="s">
        <v>3318</v>
      </c>
      <c r="C812" s="2" t="s">
        <v>3319</v>
      </c>
      <c r="D812" s="2">
        <v>55</v>
      </c>
      <c r="E812" s="2">
        <v>56</v>
      </c>
      <c r="F812" s="2" t="s">
        <v>3320</v>
      </c>
      <c r="H812" s="2" t="s">
        <v>45</v>
      </c>
      <c r="K812" s="4">
        <v>21800</v>
      </c>
      <c r="M812" s="2" t="s">
        <v>192</v>
      </c>
      <c r="N812" s="2" t="s">
        <v>193</v>
      </c>
    </row>
    <row r="813" spans="1:14">
      <c r="A813" s="2">
        <v>812</v>
      </c>
      <c r="B813" s="3" t="s">
        <v>3321</v>
      </c>
      <c r="C813" s="2" t="s">
        <v>3322</v>
      </c>
      <c r="D813" s="2">
        <v>56</v>
      </c>
      <c r="E813" s="2">
        <v>56</v>
      </c>
      <c r="F813" s="2" t="s">
        <v>3323</v>
      </c>
      <c r="H813" s="2" t="s">
        <v>45</v>
      </c>
      <c r="K813" s="4">
        <v>20875</v>
      </c>
      <c r="M813" s="2" t="s">
        <v>423</v>
      </c>
      <c r="N813" s="2" t="s">
        <v>3324</v>
      </c>
    </row>
    <row r="814" spans="1:14">
      <c r="A814" s="2">
        <v>813</v>
      </c>
      <c r="B814" s="3" t="s">
        <v>3325</v>
      </c>
      <c r="C814" s="2" t="s">
        <v>3326</v>
      </c>
      <c r="D814" s="2">
        <v>55</v>
      </c>
      <c r="E814" s="2">
        <v>56</v>
      </c>
      <c r="F814" s="2" t="s">
        <v>3327</v>
      </c>
      <c r="H814" s="2" t="s">
        <v>17</v>
      </c>
      <c r="I814" s="2" t="s">
        <v>3328</v>
      </c>
      <c r="K814" s="4">
        <v>22504</v>
      </c>
      <c r="M814" s="2" t="s">
        <v>85</v>
      </c>
      <c r="N814" s="2" t="s">
        <v>3329</v>
      </c>
    </row>
    <row r="815" spans="1:14">
      <c r="A815" s="2">
        <v>814</v>
      </c>
      <c r="B815" s="3" t="s">
        <v>3330</v>
      </c>
      <c r="C815" s="2" t="s">
        <v>3331</v>
      </c>
      <c r="D815" s="2">
        <v>52</v>
      </c>
      <c r="E815" s="2">
        <v>56</v>
      </c>
      <c r="F815" s="2" t="s">
        <v>3332</v>
      </c>
      <c r="H815" s="2" t="s">
        <v>17</v>
      </c>
      <c r="K815" s="4">
        <v>20000</v>
      </c>
      <c r="M815" s="2" t="s">
        <v>66</v>
      </c>
      <c r="N815" s="2" t="s">
        <v>71</v>
      </c>
    </row>
    <row r="816" spans="1:14">
      <c r="A816" s="2">
        <v>815</v>
      </c>
      <c r="B816" s="3" t="s">
        <v>3333</v>
      </c>
      <c r="C816" s="2" t="s">
        <v>3334</v>
      </c>
      <c r="D816" s="2">
        <v>56</v>
      </c>
      <c r="E816" s="2">
        <v>56</v>
      </c>
      <c r="F816" s="2" t="s">
        <v>3335</v>
      </c>
      <c r="H816" s="2" t="s">
        <v>17</v>
      </c>
      <c r="I816" s="2" t="s">
        <v>3336</v>
      </c>
      <c r="K816" s="4">
        <v>23117</v>
      </c>
      <c r="M816" s="2" t="s">
        <v>53</v>
      </c>
      <c r="N816" s="2" t="s">
        <v>3337</v>
      </c>
    </row>
    <row r="817" spans="1:14">
      <c r="A817" s="2">
        <v>816</v>
      </c>
      <c r="B817" s="3" t="s">
        <v>3338</v>
      </c>
      <c r="C817" s="2" t="s">
        <v>3339</v>
      </c>
      <c r="D817" s="2">
        <v>51</v>
      </c>
      <c r="E817" s="2">
        <v>56</v>
      </c>
      <c r="F817" s="2" t="s">
        <v>3340</v>
      </c>
      <c r="H817" s="2" t="s">
        <v>17</v>
      </c>
      <c r="K817" s="4">
        <v>17676</v>
      </c>
      <c r="M817" s="2" t="s">
        <v>66</v>
      </c>
      <c r="N817" s="2" t="s">
        <v>2349</v>
      </c>
    </row>
    <row r="818" spans="1:14">
      <c r="A818" s="2">
        <v>817</v>
      </c>
      <c r="B818" s="3" t="s">
        <v>3341</v>
      </c>
      <c r="C818" s="2" t="s">
        <v>3342</v>
      </c>
      <c r="D818" s="2">
        <v>53</v>
      </c>
      <c r="E818" s="2">
        <v>56</v>
      </c>
      <c r="F818" s="2" t="s">
        <v>3343</v>
      </c>
      <c r="H818" s="2" t="s">
        <v>17</v>
      </c>
      <c r="I818" s="2" t="s">
        <v>3344</v>
      </c>
      <c r="K818" s="4">
        <v>22491</v>
      </c>
      <c r="M818" s="2" t="s">
        <v>91</v>
      </c>
      <c r="N818" s="2" t="s">
        <v>677</v>
      </c>
    </row>
    <row r="819" spans="1:14">
      <c r="A819" s="2">
        <v>818</v>
      </c>
      <c r="B819" s="3" t="s">
        <v>3345</v>
      </c>
      <c r="C819" s="2" t="s">
        <v>3346</v>
      </c>
      <c r="D819" s="2">
        <v>56</v>
      </c>
      <c r="E819" s="2">
        <v>56</v>
      </c>
      <c r="F819" s="2" t="s">
        <v>3347</v>
      </c>
      <c r="H819" s="2" t="s">
        <v>17</v>
      </c>
      <c r="I819" s="2" t="s">
        <v>3348</v>
      </c>
      <c r="K819" s="4">
        <v>28355</v>
      </c>
      <c r="M819" s="2" t="s">
        <v>30</v>
      </c>
      <c r="N819" s="2" t="s">
        <v>2001</v>
      </c>
    </row>
    <row r="820" spans="1:14">
      <c r="A820" s="2">
        <v>819</v>
      </c>
      <c r="B820" s="3" t="s">
        <v>3349</v>
      </c>
      <c r="C820" s="2" t="s">
        <v>3350</v>
      </c>
      <c r="D820" s="2">
        <v>48</v>
      </c>
      <c r="E820" s="2">
        <v>56</v>
      </c>
      <c r="F820" s="2" t="s">
        <v>3351</v>
      </c>
      <c r="H820" s="2" t="s">
        <v>17</v>
      </c>
      <c r="K820" s="4">
        <v>13597</v>
      </c>
      <c r="M820" s="2" t="s">
        <v>140</v>
      </c>
      <c r="N820" s="2" t="s">
        <v>3352</v>
      </c>
    </row>
    <row r="821" spans="1:14">
      <c r="A821" s="2">
        <v>820</v>
      </c>
      <c r="B821" s="3" t="s">
        <v>3353</v>
      </c>
      <c r="C821" s="2" t="s">
        <v>3354</v>
      </c>
      <c r="D821" s="2">
        <v>56</v>
      </c>
      <c r="E821" s="2">
        <v>56</v>
      </c>
      <c r="F821" s="2" t="s">
        <v>3355</v>
      </c>
      <c r="H821" s="2" t="s">
        <v>45</v>
      </c>
      <c r="I821" s="2" t="s">
        <v>3356</v>
      </c>
      <c r="K821" s="4">
        <v>29229</v>
      </c>
      <c r="M821" s="2" t="s">
        <v>35</v>
      </c>
      <c r="N821" s="2" t="s">
        <v>58</v>
      </c>
    </row>
    <row r="822" spans="1:14">
      <c r="A822" s="2">
        <v>821</v>
      </c>
      <c r="B822" s="3" t="s">
        <v>3357</v>
      </c>
      <c r="C822" s="2" t="s">
        <v>3358</v>
      </c>
      <c r="D822" s="2">
        <v>56</v>
      </c>
      <c r="E822" s="2">
        <v>56</v>
      </c>
      <c r="F822" s="2" t="s">
        <v>3359</v>
      </c>
      <c r="H822" s="2" t="s">
        <v>17</v>
      </c>
      <c r="K822" s="4">
        <v>35519</v>
      </c>
      <c r="M822" s="2" t="s">
        <v>66</v>
      </c>
      <c r="N822" s="2" t="s">
        <v>71</v>
      </c>
    </row>
    <row r="823" spans="1:14">
      <c r="A823" s="2">
        <v>822</v>
      </c>
      <c r="B823" s="3" t="s">
        <v>3360</v>
      </c>
      <c r="C823" s="2" t="s">
        <v>3361</v>
      </c>
      <c r="D823" s="2">
        <v>56</v>
      </c>
      <c r="E823" s="2">
        <v>56</v>
      </c>
      <c r="F823" s="2" t="s">
        <v>3362</v>
      </c>
      <c r="H823" s="2" t="s">
        <v>45</v>
      </c>
      <c r="I823" s="2" t="s">
        <v>3363</v>
      </c>
      <c r="J823" s="3" t="s">
        <v>3364</v>
      </c>
      <c r="K823" s="4">
        <v>26838</v>
      </c>
      <c r="M823" s="2" t="s">
        <v>47</v>
      </c>
      <c r="N823" s="2" t="s">
        <v>554</v>
      </c>
    </row>
    <row r="824" spans="1:14">
      <c r="A824" s="2">
        <v>823</v>
      </c>
      <c r="B824" s="3" t="s">
        <v>3365</v>
      </c>
      <c r="C824" s="2" t="s">
        <v>3366</v>
      </c>
      <c r="D824" s="2">
        <v>56</v>
      </c>
      <c r="E824" s="2">
        <v>56</v>
      </c>
      <c r="F824" s="2" t="s">
        <v>3367</v>
      </c>
      <c r="H824" s="2" t="s">
        <v>17</v>
      </c>
      <c r="K824" s="4">
        <v>27035</v>
      </c>
      <c r="M824" s="2" t="s">
        <v>40</v>
      </c>
      <c r="N824" s="2" t="s">
        <v>2376</v>
      </c>
    </row>
    <row r="825" spans="1:14">
      <c r="A825" s="2">
        <v>824</v>
      </c>
      <c r="B825" s="3" t="s">
        <v>3368</v>
      </c>
      <c r="C825" s="2" t="s">
        <v>3369</v>
      </c>
      <c r="D825" s="2">
        <v>55</v>
      </c>
      <c r="E825" s="2">
        <v>56</v>
      </c>
      <c r="F825" s="2" t="s">
        <v>3370</v>
      </c>
      <c r="H825" s="2" t="s">
        <v>17</v>
      </c>
      <c r="I825" s="2" t="s">
        <v>3371</v>
      </c>
      <c r="K825" s="4">
        <v>29696</v>
      </c>
      <c r="M825" s="2" t="s">
        <v>47</v>
      </c>
      <c r="N825" s="2" t="s">
        <v>3372</v>
      </c>
    </row>
    <row r="826" spans="1:14">
      <c r="A826" s="2">
        <v>825</v>
      </c>
      <c r="B826" s="3" t="s">
        <v>3373</v>
      </c>
      <c r="C826" s="2" t="s">
        <v>3374</v>
      </c>
      <c r="D826" s="2">
        <v>56</v>
      </c>
      <c r="E826" s="2">
        <v>56</v>
      </c>
      <c r="F826" s="2" t="s">
        <v>3375</v>
      </c>
      <c r="H826" s="2" t="s">
        <v>17</v>
      </c>
      <c r="I826" s="2" t="s">
        <v>3376</v>
      </c>
      <c r="K826" s="4">
        <v>30425</v>
      </c>
      <c r="M826" s="2" t="s">
        <v>170</v>
      </c>
      <c r="N826" s="2" t="s">
        <v>323</v>
      </c>
    </row>
    <row r="827" spans="1:14">
      <c r="A827" s="2">
        <v>826</v>
      </c>
      <c r="B827" s="3" t="s">
        <v>3377</v>
      </c>
      <c r="C827" s="2" t="s">
        <v>3378</v>
      </c>
      <c r="D827" s="2">
        <v>48</v>
      </c>
      <c r="E827" s="2">
        <v>56</v>
      </c>
      <c r="F827" s="2" t="s">
        <v>3379</v>
      </c>
      <c r="H827" s="2" t="s">
        <v>17</v>
      </c>
      <c r="I827" s="2" t="s">
        <v>3380</v>
      </c>
      <c r="K827" s="4">
        <v>16363</v>
      </c>
      <c r="M827" s="2" t="s">
        <v>170</v>
      </c>
      <c r="N827" s="2" t="s">
        <v>323</v>
      </c>
    </row>
    <row r="828" spans="1:14">
      <c r="A828" s="2">
        <v>827</v>
      </c>
      <c r="B828" s="3" t="s">
        <v>3381</v>
      </c>
      <c r="C828" s="2" t="s">
        <v>3382</v>
      </c>
      <c r="D828" s="2">
        <v>56</v>
      </c>
      <c r="E828" s="2">
        <v>56</v>
      </c>
      <c r="F828" s="2" t="s">
        <v>3383</v>
      </c>
      <c r="H828" s="2" t="s">
        <v>17</v>
      </c>
      <c r="K828" s="4">
        <v>17762</v>
      </c>
      <c r="M828" s="2" t="s">
        <v>66</v>
      </c>
      <c r="N828" s="2" t="s">
        <v>3384</v>
      </c>
    </row>
    <row r="829" spans="1:14">
      <c r="A829" s="2">
        <v>828</v>
      </c>
      <c r="B829" s="3" t="s">
        <v>3385</v>
      </c>
      <c r="C829" s="2" t="s">
        <v>3386</v>
      </c>
      <c r="D829" s="2">
        <v>56</v>
      </c>
      <c r="E829" s="2">
        <v>56</v>
      </c>
      <c r="F829" s="2" t="s">
        <v>3387</v>
      </c>
      <c r="H829" s="2" t="s">
        <v>17</v>
      </c>
      <c r="I829" s="2" t="s">
        <v>3388</v>
      </c>
      <c r="K829" s="4">
        <v>29505</v>
      </c>
      <c r="M829" s="2" t="s">
        <v>85</v>
      </c>
      <c r="N829" s="2" t="s">
        <v>2563</v>
      </c>
    </row>
    <row r="830" spans="1:14">
      <c r="A830" s="2">
        <v>829</v>
      </c>
      <c r="B830" s="3" t="s">
        <v>3389</v>
      </c>
      <c r="C830" s="2" t="s">
        <v>3390</v>
      </c>
      <c r="D830" s="2">
        <v>56</v>
      </c>
      <c r="E830" s="2">
        <v>56</v>
      </c>
      <c r="F830" s="2" t="s">
        <v>3391</v>
      </c>
      <c r="H830" s="2" t="s">
        <v>17</v>
      </c>
      <c r="I830" s="2" t="s">
        <v>3392</v>
      </c>
      <c r="K830" s="4">
        <v>23139</v>
      </c>
      <c r="M830" s="2" t="s">
        <v>47</v>
      </c>
      <c r="N830" s="2" t="s">
        <v>417</v>
      </c>
    </row>
    <row r="831" spans="1:14">
      <c r="A831" s="2">
        <v>830</v>
      </c>
      <c r="B831" s="3" t="s">
        <v>3393</v>
      </c>
      <c r="C831" s="2" t="s">
        <v>3394</v>
      </c>
      <c r="D831" s="2">
        <v>55</v>
      </c>
      <c r="E831" s="2">
        <v>56</v>
      </c>
      <c r="F831" s="2" t="s">
        <v>3395</v>
      </c>
      <c r="H831" s="2" t="s">
        <v>17</v>
      </c>
      <c r="K831" s="4">
        <v>32370</v>
      </c>
      <c r="M831" s="2" t="s">
        <v>76</v>
      </c>
      <c r="N831" s="2" t="s">
        <v>77</v>
      </c>
    </row>
    <row r="832" spans="1:14">
      <c r="A832" s="2">
        <v>831</v>
      </c>
      <c r="B832" s="3" t="s">
        <v>3396</v>
      </c>
      <c r="C832" s="2" t="s">
        <v>3397</v>
      </c>
      <c r="D832" s="2">
        <v>56</v>
      </c>
      <c r="E832" s="2">
        <v>56</v>
      </c>
      <c r="F832" s="2" t="s">
        <v>3398</v>
      </c>
      <c r="H832" s="2" t="s">
        <v>17</v>
      </c>
      <c r="K832" s="4">
        <v>28283</v>
      </c>
      <c r="M832" s="2" t="s">
        <v>164</v>
      </c>
      <c r="N832" s="2" t="s">
        <v>165</v>
      </c>
    </row>
    <row r="833" spans="1:14">
      <c r="A833" s="2">
        <v>832</v>
      </c>
      <c r="B833" s="3" t="s">
        <v>3399</v>
      </c>
      <c r="C833" s="2" t="s">
        <v>3400</v>
      </c>
      <c r="D833" s="2">
        <v>55</v>
      </c>
      <c r="E833" s="2">
        <v>56</v>
      </c>
      <c r="F833" s="2" t="s">
        <v>3401</v>
      </c>
      <c r="H833" s="2" t="s">
        <v>17</v>
      </c>
      <c r="I833" s="2" t="s">
        <v>3402</v>
      </c>
      <c r="K833" s="4">
        <v>31168</v>
      </c>
      <c r="M833" s="2" t="s">
        <v>146</v>
      </c>
      <c r="N833" s="2" t="s">
        <v>147</v>
      </c>
    </row>
    <row r="834" spans="1:14">
      <c r="A834" s="2">
        <v>833</v>
      </c>
      <c r="B834" s="3" t="s">
        <v>3403</v>
      </c>
      <c r="C834" s="2" t="s">
        <v>3404</v>
      </c>
      <c r="D834" s="2">
        <v>52</v>
      </c>
      <c r="E834" s="2">
        <v>56</v>
      </c>
      <c r="F834" s="2" t="s">
        <v>3405</v>
      </c>
      <c r="H834" s="2" t="s">
        <v>45</v>
      </c>
      <c r="I834" s="3" t="s">
        <v>3406</v>
      </c>
      <c r="K834" s="4">
        <v>23739</v>
      </c>
      <c r="M834" s="2" t="s">
        <v>247</v>
      </c>
      <c r="N834" s="2" t="s">
        <v>2595</v>
      </c>
    </row>
    <row r="835" spans="1:14">
      <c r="A835" s="2">
        <v>834</v>
      </c>
      <c r="B835" s="3" t="s">
        <v>3407</v>
      </c>
      <c r="C835" s="2" t="s">
        <v>3408</v>
      </c>
      <c r="D835" s="2">
        <v>56</v>
      </c>
      <c r="E835" s="2">
        <v>56</v>
      </c>
      <c r="F835" s="2" t="s">
        <v>3409</v>
      </c>
      <c r="H835" s="2" t="s">
        <v>45</v>
      </c>
      <c r="K835" s="4">
        <v>27854</v>
      </c>
      <c r="M835" s="2" t="s">
        <v>47</v>
      </c>
      <c r="N835" s="2" t="s">
        <v>48</v>
      </c>
    </row>
    <row r="836" spans="1:14">
      <c r="A836" s="2">
        <v>835</v>
      </c>
      <c r="B836" s="3" t="s">
        <v>3410</v>
      </c>
      <c r="C836" s="2" t="s">
        <v>3411</v>
      </c>
      <c r="D836" s="2">
        <v>56</v>
      </c>
      <c r="E836" s="2">
        <v>56</v>
      </c>
      <c r="F836" s="2" t="s">
        <v>3412</v>
      </c>
      <c r="H836" s="2" t="s">
        <v>17</v>
      </c>
      <c r="K836" s="4">
        <v>30073</v>
      </c>
      <c r="M836" s="2" t="s">
        <v>969</v>
      </c>
      <c r="N836" s="2" t="s">
        <v>970</v>
      </c>
    </row>
    <row r="837" spans="1:14">
      <c r="A837" s="2">
        <v>836</v>
      </c>
      <c r="B837" s="3" t="s">
        <v>3413</v>
      </c>
      <c r="C837" s="2" t="s">
        <v>3414</v>
      </c>
      <c r="D837" s="2">
        <v>56</v>
      </c>
      <c r="E837" s="2">
        <v>56</v>
      </c>
      <c r="F837" s="2" t="s">
        <v>3415</v>
      </c>
      <c r="H837" s="2" t="s">
        <v>17</v>
      </c>
      <c r="I837" s="2" t="s">
        <v>3416</v>
      </c>
      <c r="K837" s="4">
        <v>24219</v>
      </c>
      <c r="M837" s="2" t="s">
        <v>170</v>
      </c>
      <c r="N837" s="2" t="s">
        <v>309</v>
      </c>
    </row>
    <row r="838" spans="1:14">
      <c r="A838" s="2">
        <v>837</v>
      </c>
      <c r="B838" s="3" t="s">
        <v>3417</v>
      </c>
      <c r="C838" s="2" t="s">
        <v>3418</v>
      </c>
      <c r="D838" s="2">
        <v>56</v>
      </c>
      <c r="E838" s="2">
        <v>56</v>
      </c>
      <c r="F838" s="2" t="s">
        <v>3419</v>
      </c>
      <c r="H838" s="2" t="s">
        <v>45</v>
      </c>
      <c r="I838" s="2" t="s">
        <v>3420</v>
      </c>
      <c r="K838" s="4">
        <v>31442</v>
      </c>
      <c r="M838" s="2" t="s">
        <v>40</v>
      </c>
      <c r="N838" s="2" t="s">
        <v>2573</v>
      </c>
    </row>
    <row r="839" spans="1:14">
      <c r="A839" s="2">
        <v>838</v>
      </c>
      <c r="B839" s="3" t="s">
        <v>3421</v>
      </c>
      <c r="C839" s="2" t="s">
        <v>3422</v>
      </c>
      <c r="D839" s="2">
        <v>54</v>
      </c>
      <c r="E839" s="2">
        <v>56</v>
      </c>
      <c r="F839" s="2" t="s">
        <v>3423</v>
      </c>
      <c r="H839" s="2" t="s">
        <v>45</v>
      </c>
      <c r="I839" s="2" t="s">
        <v>3424</v>
      </c>
      <c r="J839" s="3" t="s">
        <v>3425</v>
      </c>
      <c r="K839" s="4">
        <v>23651</v>
      </c>
      <c r="M839" s="2" t="s">
        <v>53</v>
      </c>
      <c r="N839" s="2" t="s">
        <v>847</v>
      </c>
    </row>
    <row r="840" spans="1:14">
      <c r="A840" s="2">
        <v>839</v>
      </c>
      <c r="B840" s="3" t="s">
        <v>3426</v>
      </c>
      <c r="C840" s="2" t="s">
        <v>3427</v>
      </c>
      <c r="D840" s="2">
        <v>56</v>
      </c>
      <c r="E840" s="2">
        <v>56</v>
      </c>
      <c r="F840" s="2" t="s">
        <v>3428</v>
      </c>
      <c r="H840" s="2" t="s">
        <v>45</v>
      </c>
      <c r="I840" s="2" t="s">
        <v>3429</v>
      </c>
      <c r="K840" s="4">
        <v>23231</v>
      </c>
      <c r="M840" s="2" t="s">
        <v>40</v>
      </c>
      <c r="N840" s="2" t="s">
        <v>592</v>
      </c>
    </row>
    <row r="841" spans="1:14">
      <c r="A841" s="2">
        <v>840</v>
      </c>
      <c r="B841" s="3" t="s">
        <v>3430</v>
      </c>
      <c r="C841" s="2" t="s">
        <v>3431</v>
      </c>
      <c r="D841" s="2">
        <v>56</v>
      </c>
      <c r="E841" s="2">
        <v>56</v>
      </c>
      <c r="F841" s="2" t="s">
        <v>3432</v>
      </c>
      <c r="H841" s="2" t="s">
        <v>45</v>
      </c>
      <c r="K841" s="4">
        <v>22590</v>
      </c>
      <c r="M841" s="2" t="s">
        <v>85</v>
      </c>
      <c r="N841" s="2" t="s">
        <v>86</v>
      </c>
    </row>
    <row r="842" spans="1:14">
      <c r="A842" s="2">
        <v>841</v>
      </c>
      <c r="B842" s="3" t="s">
        <v>3433</v>
      </c>
      <c r="C842" s="2" t="s">
        <v>3434</v>
      </c>
      <c r="D842" s="2">
        <v>55</v>
      </c>
      <c r="E842" s="2">
        <v>56</v>
      </c>
      <c r="F842" s="2" t="s">
        <v>3435</v>
      </c>
      <c r="H842" s="2" t="s">
        <v>17</v>
      </c>
      <c r="I842" s="2" t="s">
        <v>3436</v>
      </c>
      <c r="K842" s="4">
        <v>31639</v>
      </c>
      <c r="M842" s="2" t="s">
        <v>336</v>
      </c>
      <c r="N842" s="2" t="s">
        <v>1883</v>
      </c>
    </row>
    <row r="843" spans="1:14">
      <c r="A843" s="2">
        <v>842</v>
      </c>
      <c r="B843" s="3" t="s">
        <v>3437</v>
      </c>
      <c r="C843" s="2" t="s">
        <v>3438</v>
      </c>
      <c r="D843" s="2">
        <v>56</v>
      </c>
      <c r="E843" s="2">
        <v>56</v>
      </c>
      <c r="F843" s="2" t="s">
        <v>3439</v>
      </c>
      <c r="H843" s="2" t="s">
        <v>17</v>
      </c>
      <c r="K843" s="4">
        <v>33107</v>
      </c>
      <c r="M843" s="2" t="s">
        <v>76</v>
      </c>
      <c r="N843" s="2" t="s">
        <v>77</v>
      </c>
    </row>
    <row r="844" spans="1:14">
      <c r="A844" s="2">
        <v>843</v>
      </c>
      <c r="B844" s="3" t="s">
        <v>3440</v>
      </c>
      <c r="C844" s="2" t="s">
        <v>3441</v>
      </c>
      <c r="D844" s="2">
        <v>53</v>
      </c>
      <c r="E844" s="2">
        <v>56</v>
      </c>
      <c r="F844" s="2" t="s">
        <v>3442</v>
      </c>
      <c r="H844" s="2" t="s">
        <v>17</v>
      </c>
      <c r="K844" s="4">
        <v>23534</v>
      </c>
      <c r="M844" s="2" t="s">
        <v>198</v>
      </c>
      <c r="N844" s="2" t="s">
        <v>199</v>
      </c>
    </row>
    <row r="845" spans="1:14">
      <c r="A845" s="2">
        <v>844</v>
      </c>
      <c r="B845" s="3" t="s">
        <v>3443</v>
      </c>
      <c r="C845" s="2" t="s">
        <v>3444</v>
      </c>
      <c r="D845" s="2">
        <v>55</v>
      </c>
      <c r="E845" s="2">
        <v>56</v>
      </c>
      <c r="F845" s="2" t="s">
        <v>3445</v>
      </c>
      <c r="H845" s="2" t="s">
        <v>45</v>
      </c>
      <c r="K845" s="4">
        <v>26546</v>
      </c>
      <c r="M845" s="2" t="s">
        <v>140</v>
      </c>
      <c r="N845" s="2" t="s">
        <v>294</v>
      </c>
    </row>
    <row r="846" spans="1:14">
      <c r="A846" s="2">
        <v>845</v>
      </c>
      <c r="B846" s="3" t="s">
        <v>3446</v>
      </c>
      <c r="C846" s="2" t="s">
        <v>3447</v>
      </c>
      <c r="D846" s="2">
        <v>56</v>
      </c>
      <c r="E846" s="2">
        <v>56</v>
      </c>
      <c r="F846" s="2" t="s">
        <v>3448</v>
      </c>
      <c r="H846" s="2" t="s">
        <v>17</v>
      </c>
      <c r="K846" s="4">
        <v>26712</v>
      </c>
      <c r="M846" s="2" t="s">
        <v>969</v>
      </c>
      <c r="N846" s="2" t="s">
        <v>970</v>
      </c>
    </row>
    <row r="847" spans="1:14">
      <c r="A847" s="2">
        <v>846</v>
      </c>
      <c r="B847" s="3" t="s">
        <v>3449</v>
      </c>
      <c r="C847" s="2" t="s">
        <v>3450</v>
      </c>
      <c r="D847" s="2">
        <v>56</v>
      </c>
      <c r="E847" s="2">
        <v>56</v>
      </c>
      <c r="F847" s="2" t="s">
        <v>3451</v>
      </c>
      <c r="H847" s="2" t="s">
        <v>17</v>
      </c>
      <c r="K847" s="4">
        <v>21850</v>
      </c>
      <c r="M847" s="2" t="s">
        <v>170</v>
      </c>
      <c r="N847" s="2" t="s">
        <v>3452</v>
      </c>
    </row>
    <row r="848" spans="1:14">
      <c r="A848" s="2">
        <v>847</v>
      </c>
      <c r="B848" s="3" t="s">
        <v>3453</v>
      </c>
      <c r="C848" s="2" t="s">
        <v>3454</v>
      </c>
      <c r="D848" s="2">
        <v>54</v>
      </c>
      <c r="E848" s="2">
        <v>56</v>
      </c>
      <c r="F848" s="2" t="s">
        <v>3455</v>
      </c>
      <c r="H848" s="2" t="s">
        <v>17</v>
      </c>
      <c r="I848" s="2" t="s">
        <v>3456</v>
      </c>
      <c r="J848" s="3" t="s">
        <v>3457</v>
      </c>
      <c r="K848" s="4">
        <v>25051</v>
      </c>
      <c r="M848" s="2" t="s">
        <v>47</v>
      </c>
      <c r="N848" s="2" t="s">
        <v>48</v>
      </c>
    </row>
    <row r="849" spans="1:14">
      <c r="A849" s="2">
        <v>848</v>
      </c>
      <c r="B849" s="3" t="s">
        <v>3458</v>
      </c>
      <c r="C849" s="2" t="s">
        <v>3459</v>
      </c>
      <c r="D849" s="2">
        <v>56</v>
      </c>
      <c r="E849" s="2">
        <v>56</v>
      </c>
      <c r="F849" s="2" t="s">
        <v>3460</v>
      </c>
      <c r="H849" s="2" t="s">
        <v>17</v>
      </c>
      <c r="K849" s="4">
        <v>24170</v>
      </c>
      <c r="M849" s="2" t="s">
        <v>170</v>
      </c>
      <c r="N849" s="2" t="s">
        <v>323</v>
      </c>
    </row>
    <row r="850" spans="1:14">
      <c r="A850" s="2">
        <v>849</v>
      </c>
      <c r="B850" s="3" t="s">
        <v>3461</v>
      </c>
      <c r="C850" s="2" t="s">
        <v>3462</v>
      </c>
      <c r="D850" s="2">
        <v>55</v>
      </c>
      <c r="E850" s="2">
        <v>56</v>
      </c>
      <c r="F850" s="2" t="s">
        <v>3463</v>
      </c>
      <c r="H850" s="2" t="s">
        <v>17</v>
      </c>
      <c r="K850" s="4">
        <v>24033</v>
      </c>
      <c r="M850" s="2" t="s">
        <v>198</v>
      </c>
      <c r="N850" s="2" t="s">
        <v>3464</v>
      </c>
    </row>
    <row r="851" spans="1:14">
      <c r="A851" s="2">
        <v>850</v>
      </c>
      <c r="B851" s="3" t="s">
        <v>3465</v>
      </c>
      <c r="C851" s="2" t="s">
        <v>3466</v>
      </c>
      <c r="D851" s="2">
        <v>53</v>
      </c>
      <c r="E851" s="2">
        <v>56</v>
      </c>
      <c r="F851" s="2" t="s">
        <v>3467</v>
      </c>
      <c r="H851" s="2" t="s">
        <v>17</v>
      </c>
      <c r="I851" s="2" t="s">
        <v>3468</v>
      </c>
      <c r="K851" s="4">
        <v>22063</v>
      </c>
      <c r="M851" s="2" t="s">
        <v>47</v>
      </c>
      <c r="N851" s="2" t="s">
        <v>1538</v>
      </c>
    </row>
    <row r="852" spans="1:14">
      <c r="A852" s="2">
        <v>851</v>
      </c>
      <c r="B852" s="3" t="s">
        <v>3469</v>
      </c>
      <c r="C852" s="2" t="s">
        <v>3470</v>
      </c>
      <c r="D852" s="2">
        <v>54</v>
      </c>
      <c r="E852" s="2">
        <v>56</v>
      </c>
      <c r="F852" s="2" t="s">
        <v>3471</v>
      </c>
      <c r="H852" s="2" t="s">
        <v>17</v>
      </c>
      <c r="I852" s="2" t="s">
        <v>3472</v>
      </c>
      <c r="K852" s="4">
        <v>24215</v>
      </c>
      <c r="M852" s="2" t="s">
        <v>47</v>
      </c>
      <c r="N852" s="2" t="s">
        <v>3473</v>
      </c>
    </row>
    <row r="853" spans="1:14">
      <c r="A853" s="2">
        <v>852</v>
      </c>
      <c r="B853" s="3" t="s">
        <v>3474</v>
      </c>
      <c r="C853" s="2" t="s">
        <v>3475</v>
      </c>
      <c r="D853" s="2">
        <v>50</v>
      </c>
      <c r="E853" s="2">
        <v>56</v>
      </c>
      <c r="F853" s="2" t="s">
        <v>3476</v>
      </c>
      <c r="H853" s="2" t="s">
        <v>17</v>
      </c>
      <c r="I853" s="2" t="s">
        <v>3477</v>
      </c>
      <c r="J853" s="3" t="s">
        <v>3478</v>
      </c>
      <c r="K853" s="4">
        <v>15847</v>
      </c>
      <c r="M853" s="2" t="s">
        <v>85</v>
      </c>
      <c r="N853" s="2" t="s">
        <v>86</v>
      </c>
    </row>
    <row r="854" spans="1:14">
      <c r="A854" s="2">
        <v>853</v>
      </c>
      <c r="B854" s="3" t="s">
        <v>3479</v>
      </c>
      <c r="C854" s="2" t="s">
        <v>3480</v>
      </c>
      <c r="D854" s="2">
        <v>56</v>
      </c>
      <c r="E854" s="2">
        <v>56</v>
      </c>
      <c r="F854" s="2" t="s">
        <v>3481</v>
      </c>
      <c r="H854" s="2" t="s">
        <v>17</v>
      </c>
      <c r="I854" s="2" t="s">
        <v>3482</v>
      </c>
      <c r="K854" s="4">
        <v>28471</v>
      </c>
      <c r="M854" s="2" t="s">
        <v>47</v>
      </c>
      <c r="N854" s="2" t="s">
        <v>651</v>
      </c>
    </row>
    <row r="855" spans="1:14">
      <c r="A855" s="2">
        <v>854</v>
      </c>
      <c r="B855" s="3" t="s">
        <v>3483</v>
      </c>
      <c r="C855" s="2" t="s">
        <v>3484</v>
      </c>
      <c r="D855" s="2">
        <v>56</v>
      </c>
      <c r="E855" s="2">
        <v>56</v>
      </c>
      <c r="F855" s="2" t="s">
        <v>3485</v>
      </c>
      <c r="H855" s="2" t="s">
        <v>17</v>
      </c>
      <c r="I855" s="2" t="s">
        <v>3486</v>
      </c>
      <c r="J855" s="3" t="s">
        <v>3487</v>
      </c>
      <c r="K855" s="4">
        <v>29401</v>
      </c>
      <c r="M855" s="2" t="s">
        <v>423</v>
      </c>
      <c r="N855" s="2" t="s">
        <v>3488</v>
      </c>
    </row>
    <row r="856" spans="1:14">
      <c r="A856" s="2">
        <v>855</v>
      </c>
      <c r="B856" s="3" t="s">
        <v>3489</v>
      </c>
      <c r="C856" s="2" t="s">
        <v>3490</v>
      </c>
      <c r="D856" s="2">
        <v>51</v>
      </c>
      <c r="E856" s="2">
        <v>56</v>
      </c>
      <c r="F856" s="2" t="s">
        <v>3491</v>
      </c>
      <c r="H856" s="2" t="s">
        <v>17</v>
      </c>
      <c r="K856" s="4">
        <v>25731</v>
      </c>
      <c r="N856" s="2" t="s">
        <v>2712</v>
      </c>
    </row>
    <row r="857" spans="1:14">
      <c r="A857" s="2">
        <v>856</v>
      </c>
      <c r="B857" s="3" t="s">
        <v>3492</v>
      </c>
      <c r="C857" s="2" t="s">
        <v>3493</v>
      </c>
      <c r="D857" s="2">
        <v>54</v>
      </c>
      <c r="E857" s="2">
        <v>56</v>
      </c>
      <c r="F857" s="2" t="s">
        <v>3494</v>
      </c>
      <c r="H857" s="2" t="s">
        <v>17</v>
      </c>
      <c r="I857" s="2" t="s">
        <v>3495</v>
      </c>
      <c r="K857" s="4">
        <v>19386</v>
      </c>
      <c r="M857" s="2" t="s">
        <v>423</v>
      </c>
      <c r="N857" s="2" t="s">
        <v>3496</v>
      </c>
    </row>
    <row r="858" spans="1:14">
      <c r="A858" s="2">
        <v>857</v>
      </c>
      <c r="B858" s="3" t="s">
        <v>3497</v>
      </c>
      <c r="C858" s="2" t="s">
        <v>3498</v>
      </c>
      <c r="D858" s="2">
        <v>55</v>
      </c>
      <c r="E858" s="2">
        <v>56</v>
      </c>
      <c r="F858" s="2" t="s">
        <v>3499</v>
      </c>
      <c r="H858" s="2" t="s">
        <v>17</v>
      </c>
      <c r="I858" s="2" t="s">
        <v>3500</v>
      </c>
      <c r="K858" s="4">
        <v>26726</v>
      </c>
      <c r="M858" s="2" t="s">
        <v>66</v>
      </c>
      <c r="N858" s="2" t="s">
        <v>3501</v>
      </c>
    </row>
    <row r="859" spans="1:14">
      <c r="A859" s="2">
        <v>858</v>
      </c>
      <c r="B859" s="3" t="s">
        <v>3502</v>
      </c>
      <c r="C859" s="2" t="s">
        <v>3503</v>
      </c>
      <c r="D859" s="2">
        <v>55</v>
      </c>
      <c r="E859" s="2">
        <v>56</v>
      </c>
      <c r="F859" s="2" t="s">
        <v>3504</v>
      </c>
      <c r="H859" s="2" t="s">
        <v>17</v>
      </c>
      <c r="K859" s="4">
        <v>21920</v>
      </c>
      <c r="M859" s="2" t="s">
        <v>192</v>
      </c>
      <c r="N859" s="2" t="s">
        <v>3505</v>
      </c>
    </row>
    <row r="860" spans="1:14">
      <c r="A860" s="2">
        <v>859</v>
      </c>
      <c r="B860" s="3" t="s">
        <v>3506</v>
      </c>
      <c r="C860" s="2" t="s">
        <v>3507</v>
      </c>
      <c r="D860" s="2">
        <v>55</v>
      </c>
      <c r="E860" s="2">
        <v>56</v>
      </c>
      <c r="F860" s="2" t="s">
        <v>3508</v>
      </c>
      <c r="H860" s="2" t="s">
        <v>17</v>
      </c>
      <c r="K860" s="4">
        <v>28511</v>
      </c>
      <c r="M860" s="2" t="s">
        <v>47</v>
      </c>
      <c r="N860" s="2" t="s">
        <v>48</v>
      </c>
    </row>
    <row r="861" spans="1:14">
      <c r="A861" s="2">
        <v>860</v>
      </c>
      <c r="B861" s="3" t="s">
        <v>3509</v>
      </c>
      <c r="C861" s="2" t="s">
        <v>3510</v>
      </c>
      <c r="D861" s="2">
        <v>56</v>
      </c>
      <c r="E861" s="2">
        <v>56</v>
      </c>
      <c r="F861" s="2" t="s">
        <v>3511</v>
      </c>
      <c r="H861" s="2" t="s">
        <v>45</v>
      </c>
      <c r="K861" s="4">
        <v>28541</v>
      </c>
      <c r="M861" s="2" t="s">
        <v>341</v>
      </c>
      <c r="N861" s="2" t="s">
        <v>3512</v>
      </c>
    </row>
    <row r="862" spans="1:14">
      <c r="A862" s="2">
        <v>861</v>
      </c>
      <c r="B862" s="3" t="s">
        <v>3513</v>
      </c>
      <c r="C862" s="2" t="s">
        <v>3514</v>
      </c>
      <c r="D862" s="2">
        <v>55</v>
      </c>
      <c r="E862" s="2">
        <v>56</v>
      </c>
      <c r="F862" s="2" t="s">
        <v>3515</v>
      </c>
      <c r="H862" s="2" t="s">
        <v>17</v>
      </c>
      <c r="K862" s="4">
        <v>19321</v>
      </c>
      <c r="M862" s="2" t="s">
        <v>154</v>
      </c>
      <c r="N862" s="2" t="s">
        <v>3516</v>
      </c>
    </row>
    <row r="863" spans="1:14">
      <c r="A863" s="2">
        <v>862</v>
      </c>
      <c r="B863" s="3" t="s">
        <v>3517</v>
      </c>
      <c r="C863" s="2" t="s">
        <v>3518</v>
      </c>
      <c r="D863" s="2">
        <v>56</v>
      </c>
      <c r="E863" s="2">
        <v>56</v>
      </c>
      <c r="F863" s="2" t="s">
        <v>3519</v>
      </c>
      <c r="H863" s="2" t="s">
        <v>17</v>
      </c>
      <c r="K863" s="4">
        <v>30681</v>
      </c>
      <c r="M863" s="2" t="s">
        <v>662</v>
      </c>
      <c r="N863" s="2" t="s">
        <v>663</v>
      </c>
    </row>
    <row r="864" spans="1:14">
      <c r="A864" s="2">
        <v>863</v>
      </c>
      <c r="B864" s="3" t="s">
        <v>3520</v>
      </c>
      <c r="C864" s="2" t="s">
        <v>3521</v>
      </c>
      <c r="D864" s="2">
        <v>49</v>
      </c>
      <c r="E864" s="2">
        <v>56</v>
      </c>
      <c r="F864" s="2" t="s">
        <v>3522</v>
      </c>
      <c r="H864" s="2" t="s">
        <v>17</v>
      </c>
      <c r="K864" s="4">
        <v>17676</v>
      </c>
      <c r="M864" s="2" t="s">
        <v>154</v>
      </c>
      <c r="N864" s="2" t="s">
        <v>3523</v>
      </c>
    </row>
    <row r="865" spans="1:14">
      <c r="A865" s="2">
        <v>864</v>
      </c>
      <c r="B865" s="3" t="s">
        <v>3524</v>
      </c>
      <c r="C865" s="2" t="s">
        <v>3525</v>
      </c>
      <c r="D865" s="2">
        <v>56</v>
      </c>
      <c r="E865" s="2">
        <v>56</v>
      </c>
      <c r="F865" s="2" t="s">
        <v>3526</v>
      </c>
      <c r="H865" s="2" t="s">
        <v>17</v>
      </c>
      <c r="K865" s="4">
        <v>28936</v>
      </c>
      <c r="M865" s="2" t="s">
        <v>170</v>
      </c>
      <c r="N865" s="2" t="s">
        <v>323</v>
      </c>
    </row>
    <row r="866" spans="1:14">
      <c r="A866" s="2">
        <v>865</v>
      </c>
      <c r="B866" s="3" t="s">
        <v>3527</v>
      </c>
      <c r="C866" s="2" t="s">
        <v>3528</v>
      </c>
      <c r="D866" s="2">
        <v>55</v>
      </c>
      <c r="E866" s="2">
        <v>56</v>
      </c>
      <c r="F866" s="2" t="s">
        <v>3529</v>
      </c>
      <c r="H866" s="2" t="s">
        <v>17</v>
      </c>
      <c r="I866" s="2" t="s">
        <v>3530</v>
      </c>
      <c r="K866" s="4">
        <v>23051</v>
      </c>
      <c r="M866" s="2" t="s">
        <v>35</v>
      </c>
      <c r="N866" s="2" t="s">
        <v>955</v>
      </c>
    </row>
    <row r="867" spans="1:14">
      <c r="A867" s="2">
        <v>866</v>
      </c>
      <c r="B867" s="3" t="s">
        <v>3531</v>
      </c>
      <c r="C867" s="2" t="s">
        <v>3532</v>
      </c>
      <c r="D867" s="2">
        <v>56</v>
      </c>
      <c r="E867" s="2">
        <v>56</v>
      </c>
      <c r="F867" s="2" t="s">
        <v>3533</v>
      </c>
      <c r="H867" s="2" t="s">
        <v>17</v>
      </c>
      <c r="K867" s="4">
        <v>26939</v>
      </c>
      <c r="M867" s="2" t="s">
        <v>66</v>
      </c>
      <c r="N867" s="2" t="s">
        <v>3534</v>
      </c>
    </row>
    <row r="868" spans="1:14">
      <c r="A868" s="2">
        <v>867</v>
      </c>
      <c r="B868" s="3" t="s">
        <v>3535</v>
      </c>
      <c r="C868" s="2" t="s">
        <v>3536</v>
      </c>
      <c r="D868" s="2">
        <v>56</v>
      </c>
      <c r="E868" s="2">
        <v>56</v>
      </c>
      <c r="F868" s="2" t="s">
        <v>3537</v>
      </c>
      <c r="H868" s="2" t="s">
        <v>17</v>
      </c>
      <c r="K868" s="4">
        <v>25515</v>
      </c>
      <c r="M868" s="2" t="s">
        <v>198</v>
      </c>
      <c r="N868" s="2" t="s">
        <v>199</v>
      </c>
    </row>
    <row r="869" spans="1:14">
      <c r="A869" s="2">
        <v>868</v>
      </c>
      <c r="B869" s="3" t="s">
        <v>3538</v>
      </c>
      <c r="C869" s="2" t="s">
        <v>3539</v>
      </c>
      <c r="D869" s="2">
        <v>56</v>
      </c>
      <c r="E869" s="2">
        <v>56</v>
      </c>
      <c r="F869" s="2" t="s">
        <v>3540</v>
      </c>
      <c r="H869" s="2" t="s">
        <v>17</v>
      </c>
      <c r="I869" s="2" t="s">
        <v>3541</v>
      </c>
      <c r="K869" s="4">
        <v>19979</v>
      </c>
      <c r="L869" s="4">
        <v>44299</v>
      </c>
      <c r="M869" s="2" t="s">
        <v>154</v>
      </c>
      <c r="N869" s="2" t="s">
        <v>3542</v>
      </c>
    </row>
    <row r="870" spans="1:14">
      <c r="A870" s="2">
        <v>869</v>
      </c>
      <c r="B870" s="3" t="s">
        <v>3543</v>
      </c>
      <c r="C870" s="2" t="s">
        <v>3544</v>
      </c>
      <c r="D870" s="2">
        <v>55</v>
      </c>
      <c r="E870" s="2">
        <v>56</v>
      </c>
      <c r="F870" s="2" t="s">
        <v>3545</v>
      </c>
      <c r="H870" s="2" t="s">
        <v>17</v>
      </c>
      <c r="I870" s="2" t="s">
        <v>3546</v>
      </c>
      <c r="K870" s="4">
        <v>25081</v>
      </c>
      <c r="M870" s="2" t="s">
        <v>198</v>
      </c>
      <c r="N870" s="2" t="s">
        <v>199</v>
      </c>
    </row>
    <row r="871" spans="1:14">
      <c r="A871" s="2">
        <v>870</v>
      </c>
      <c r="B871" s="3" t="s">
        <v>3547</v>
      </c>
      <c r="C871" s="2" t="s">
        <v>3548</v>
      </c>
      <c r="D871" s="2">
        <v>56</v>
      </c>
      <c r="E871" s="2">
        <v>56</v>
      </c>
      <c r="F871" s="2" t="s">
        <v>3549</v>
      </c>
      <c r="H871" s="2" t="s">
        <v>17</v>
      </c>
      <c r="K871" s="4">
        <v>22675</v>
      </c>
      <c r="M871" s="2" t="s">
        <v>146</v>
      </c>
      <c r="N871" s="2" t="s">
        <v>147</v>
      </c>
    </row>
    <row r="872" spans="1:14">
      <c r="A872" s="2">
        <v>871</v>
      </c>
      <c r="B872" s="3" t="s">
        <v>3550</v>
      </c>
      <c r="C872" s="2" t="s">
        <v>3551</v>
      </c>
      <c r="D872" s="2">
        <v>55</v>
      </c>
      <c r="E872" s="2">
        <v>56</v>
      </c>
      <c r="F872" s="2" t="s">
        <v>3552</v>
      </c>
      <c r="H872" s="2" t="s">
        <v>17</v>
      </c>
      <c r="I872" s="2" t="s">
        <v>3553</v>
      </c>
      <c r="K872" s="4">
        <v>20948</v>
      </c>
      <c r="M872" s="2" t="s">
        <v>192</v>
      </c>
      <c r="N872" s="2" t="s">
        <v>193</v>
      </c>
    </row>
    <row r="873" spans="1:14">
      <c r="A873" s="2">
        <v>872</v>
      </c>
      <c r="B873" s="3" t="s">
        <v>3554</v>
      </c>
      <c r="C873" s="2" t="s">
        <v>3555</v>
      </c>
      <c r="D873" s="2">
        <v>54</v>
      </c>
      <c r="E873" s="2">
        <v>56</v>
      </c>
      <c r="F873" s="2" t="s">
        <v>3556</v>
      </c>
      <c r="H873" s="2" t="s">
        <v>17</v>
      </c>
      <c r="K873" s="4">
        <v>19067</v>
      </c>
      <c r="M873" s="2" t="s">
        <v>198</v>
      </c>
      <c r="N873" s="2" t="s">
        <v>3557</v>
      </c>
    </row>
    <row r="874" spans="1:14">
      <c r="A874" s="2">
        <v>873</v>
      </c>
      <c r="B874" s="3" t="s">
        <v>3558</v>
      </c>
      <c r="C874" s="2" t="s">
        <v>3559</v>
      </c>
      <c r="D874" s="2">
        <v>56</v>
      </c>
      <c r="E874" s="2">
        <v>56</v>
      </c>
      <c r="F874" s="2" t="s">
        <v>3560</v>
      </c>
      <c r="H874" s="2" t="s">
        <v>17</v>
      </c>
      <c r="K874" s="4">
        <v>25605</v>
      </c>
      <c r="M874" s="2" t="s">
        <v>146</v>
      </c>
      <c r="N874" s="2" t="s">
        <v>3561</v>
      </c>
    </row>
    <row r="875" spans="1:14">
      <c r="A875" s="2">
        <v>874</v>
      </c>
      <c r="B875" s="3" t="s">
        <v>3562</v>
      </c>
      <c r="C875" s="2" t="s">
        <v>3563</v>
      </c>
      <c r="D875" s="2">
        <v>55</v>
      </c>
      <c r="E875" s="2">
        <v>56</v>
      </c>
      <c r="F875" s="2" t="s">
        <v>3564</v>
      </c>
      <c r="H875" s="2" t="s">
        <v>45</v>
      </c>
      <c r="K875" s="4">
        <v>30783</v>
      </c>
      <c r="M875" s="2" t="s">
        <v>662</v>
      </c>
      <c r="N875" s="2" t="s">
        <v>663</v>
      </c>
    </row>
    <row r="876" spans="1:14">
      <c r="A876" s="2">
        <v>875</v>
      </c>
      <c r="B876" s="3" t="s">
        <v>3565</v>
      </c>
      <c r="C876" s="2" t="s">
        <v>3566</v>
      </c>
      <c r="D876" s="2">
        <v>54</v>
      </c>
      <c r="E876" s="2">
        <v>56</v>
      </c>
      <c r="F876" s="2" t="s">
        <v>3567</v>
      </c>
      <c r="H876" s="2" t="s">
        <v>17</v>
      </c>
      <c r="I876" s="2" t="s">
        <v>3568</v>
      </c>
      <c r="K876" s="4">
        <v>25311</v>
      </c>
      <c r="M876" s="2" t="s">
        <v>185</v>
      </c>
      <c r="N876" s="2" t="s">
        <v>3569</v>
      </c>
    </row>
    <row r="877" spans="1:14">
      <c r="A877" s="2">
        <v>876</v>
      </c>
      <c r="B877" s="3" t="s">
        <v>3570</v>
      </c>
      <c r="C877" s="2" t="s">
        <v>3571</v>
      </c>
      <c r="D877" s="2">
        <v>54</v>
      </c>
      <c r="E877" s="2">
        <v>56</v>
      </c>
      <c r="F877" s="2" t="s">
        <v>3572</v>
      </c>
      <c r="H877" s="2" t="s">
        <v>17</v>
      </c>
      <c r="K877" s="4">
        <v>22797</v>
      </c>
      <c r="M877" s="2" t="s">
        <v>35</v>
      </c>
      <c r="N877" s="2" t="s">
        <v>2762</v>
      </c>
    </row>
    <row r="878" spans="1:14">
      <c r="A878" s="2">
        <v>877</v>
      </c>
      <c r="B878" s="3" t="s">
        <v>3573</v>
      </c>
      <c r="C878" s="2" t="s">
        <v>3574</v>
      </c>
      <c r="D878" s="2">
        <v>55</v>
      </c>
      <c r="E878" s="2">
        <v>56</v>
      </c>
      <c r="F878" s="2" t="s">
        <v>3575</v>
      </c>
      <c r="H878" s="2" t="s">
        <v>17</v>
      </c>
      <c r="K878" s="4">
        <v>23109</v>
      </c>
      <c r="M878" s="2" t="s">
        <v>85</v>
      </c>
      <c r="N878" s="2" t="s">
        <v>2563</v>
      </c>
    </row>
    <row r="879" spans="1:14">
      <c r="A879" s="2">
        <v>878</v>
      </c>
      <c r="B879" s="3" t="s">
        <v>3576</v>
      </c>
      <c r="C879" s="2" t="s">
        <v>3577</v>
      </c>
      <c r="D879" s="2">
        <v>51</v>
      </c>
      <c r="E879" s="2">
        <v>56</v>
      </c>
      <c r="F879" s="2" t="s">
        <v>3578</v>
      </c>
      <c r="H879" s="2" t="s">
        <v>17</v>
      </c>
      <c r="K879" s="4">
        <v>18029</v>
      </c>
      <c r="M879" s="2" t="s">
        <v>47</v>
      </c>
      <c r="N879" s="2" t="s">
        <v>3579</v>
      </c>
    </row>
    <row r="880" spans="1:14">
      <c r="A880" s="2">
        <v>879</v>
      </c>
      <c r="B880" s="3" t="s">
        <v>3580</v>
      </c>
      <c r="C880" s="2" t="s">
        <v>3581</v>
      </c>
      <c r="D880" s="2">
        <v>56</v>
      </c>
      <c r="E880" s="2">
        <v>56</v>
      </c>
      <c r="F880" s="2" t="s">
        <v>3582</v>
      </c>
      <c r="H880" s="2" t="s">
        <v>17</v>
      </c>
      <c r="K880" s="4">
        <v>23739</v>
      </c>
      <c r="M880" s="2" t="s">
        <v>192</v>
      </c>
      <c r="N880" s="2" t="s">
        <v>3583</v>
      </c>
    </row>
    <row r="881" spans="1:14">
      <c r="A881" s="2">
        <v>880</v>
      </c>
      <c r="B881" s="3" t="s">
        <v>3584</v>
      </c>
      <c r="C881" s="2" t="s">
        <v>3585</v>
      </c>
      <c r="D881" s="2">
        <v>55</v>
      </c>
      <c r="E881" s="2">
        <v>56</v>
      </c>
      <c r="F881" s="2" t="s">
        <v>3586</v>
      </c>
      <c r="H881" s="2" t="s">
        <v>45</v>
      </c>
      <c r="K881" s="4">
        <v>19911</v>
      </c>
      <c r="M881" s="2" t="s">
        <v>341</v>
      </c>
      <c r="N881" s="2" t="s">
        <v>342</v>
      </c>
    </row>
    <row r="882" spans="1:14">
      <c r="A882" s="2">
        <v>881</v>
      </c>
      <c r="B882" s="3" t="s">
        <v>3587</v>
      </c>
      <c r="C882" s="2" t="s">
        <v>3588</v>
      </c>
      <c r="D882" s="2">
        <v>56</v>
      </c>
      <c r="E882" s="2">
        <v>56</v>
      </c>
      <c r="F882" s="2" t="s">
        <v>3589</v>
      </c>
      <c r="H882" s="2" t="s">
        <v>45</v>
      </c>
      <c r="I882" s="2" t="s">
        <v>3590</v>
      </c>
      <c r="K882" s="4">
        <v>21100</v>
      </c>
      <c r="M882" s="2" t="s">
        <v>146</v>
      </c>
      <c r="N882" s="2" t="s">
        <v>147</v>
      </c>
    </row>
    <row r="883" spans="1:14">
      <c r="A883" s="2">
        <v>882</v>
      </c>
      <c r="B883" s="3" t="s">
        <v>3591</v>
      </c>
      <c r="C883" s="2" t="s">
        <v>3592</v>
      </c>
      <c r="D883" s="2">
        <v>56</v>
      </c>
      <c r="E883" s="2">
        <v>56</v>
      </c>
      <c r="F883" s="2" t="s">
        <v>3593</v>
      </c>
      <c r="H883" s="2" t="s">
        <v>17</v>
      </c>
      <c r="K883" s="4">
        <v>30196</v>
      </c>
      <c r="M883" s="2" t="s">
        <v>336</v>
      </c>
      <c r="N883" s="2" t="s">
        <v>1883</v>
      </c>
    </row>
    <row r="884" spans="1:14">
      <c r="A884" s="2">
        <v>883</v>
      </c>
      <c r="B884" s="3" t="s">
        <v>3594</v>
      </c>
      <c r="C884" s="2" t="s">
        <v>3595</v>
      </c>
      <c r="D884" s="2">
        <v>55</v>
      </c>
      <c r="E884" s="2">
        <v>56</v>
      </c>
      <c r="F884" s="2" t="s">
        <v>3596</v>
      </c>
      <c r="H884" s="2" t="s">
        <v>45</v>
      </c>
      <c r="I884" s="3" t="s">
        <v>3597</v>
      </c>
      <c r="K884" s="4">
        <v>26452</v>
      </c>
      <c r="M884" s="2" t="s">
        <v>40</v>
      </c>
      <c r="N884" s="2" t="s">
        <v>41</v>
      </c>
    </row>
    <row r="885" spans="1:14">
      <c r="A885" s="2">
        <v>884</v>
      </c>
      <c r="B885" s="3" t="s">
        <v>3598</v>
      </c>
      <c r="C885" s="2" t="s">
        <v>3599</v>
      </c>
      <c r="D885" s="2">
        <v>56</v>
      </c>
      <c r="E885" s="2">
        <v>56</v>
      </c>
      <c r="F885" s="2" t="s">
        <v>3600</v>
      </c>
      <c r="H885" s="2" t="s">
        <v>17</v>
      </c>
      <c r="I885" s="2" t="s">
        <v>3601</v>
      </c>
      <c r="K885" s="4">
        <v>29569</v>
      </c>
      <c r="M885" s="2" t="s">
        <v>35</v>
      </c>
      <c r="N885" s="2" t="s">
        <v>3602</v>
      </c>
    </row>
    <row r="886" spans="1:14">
      <c r="A886" s="2">
        <v>885</v>
      </c>
      <c r="B886" s="3" t="s">
        <v>3603</v>
      </c>
      <c r="C886" s="2" t="s">
        <v>3604</v>
      </c>
      <c r="D886" s="2">
        <v>56</v>
      </c>
      <c r="E886" s="2">
        <v>56</v>
      </c>
      <c r="F886" s="2" t="s">
        <v>3605</v>
      </c>
      <c r="H886" s="2" t="s">
        <v>17</v>
      </c>
      <c r="I886" s="2" t="s">
        <v>3606</v>
      </c>
      <c r="J886" s="3" t="s">
        <v>3607</v>
      </c>
      <c r="K886" s="4">
        <v>31639</v>
      </c>
      <c r="M886" s="2" t="s">
        <v>969</v>
      </c>
      <c r="N886" s="2" t="s">
        <v>970</v>
      </c>
    </row>
    <row r="887" spans="1:14">
      <c r="A887" s="2">
        <v>886</v>
      </c>
      <c r="B887" s="3" t="s">
        <v>3608</v>
      </c>
      <c r="C887" s="2" t="s">
        <v>3609</v>
      </c>
      <c r="D887" s="2">
        <v>56</v>
      </c>
      <c r="E887" s="2">
        <v>56</v>
      </c>
      <c r="F887" s="2" t="s">
        <v>3610</v>
      </c>
      <c r="H887" s="2" t="s">
        <v>17</v>
      </c>
      <c r="K887" s="4">
        <v>28081</v>
      </c>
      <c r="M887" s="2" t="s">
        <v>40</v>
      </c>
      <c r="N887" s="2" t="s">
        <v>3611</v>
      </c>
    </row>
    <row r="888" spans="1:14">
      <c r="A888" s="2">
        <v>887</v>
      </c>
      <c r="B888" s="3" t="s">
        <v>3612</v>
      </c>
      <c r="C888" s="2" t="s">
        <v>3613</v>
      </c>
      <c r="D888" s="2">
        <v>56</v>
      </c>
      <c r="E888" s="2">
        <v>56</v>
      </c>
      <c r="F888" s="2" t="s">
        <v>3614</v>
      </c>
      <c r="H888" s="2" t="s">
        <v>17</v>
      </c>
      <c r="I888" s="2" t="s">
        <v>3615</v>
      </c>
      <c r="K888" s="4">
        <v>30621</v>
      </c>
      <c r="M888" s="2" t="s">
        <v>85</v>
      </c>
      <c r="N888" s="2" t="s">
        <v>3616</v>
      </c>
    </row>
    <row r="889" spans="1:14">
      <c r="A889" s="2">
        <v>888</v>
      </c>
      <c r="B889" s="3" t="s">
        <v>3617</v>
      </c>
      <c r="C889" s="2" t="s">
        <v>3618</v>
      </c>
      <c r="D889" s="2">
        <v>55</v>
      </c>
      <c r="E889" s="2">
        <v>56</v>
      </c>
      <c r="F889" s="2" t="s">
        <v>3619</v>
      </c>
      <c r="H889" s="2" t="s">
        <v>17</v>
      </c>
      <c r="I889" s="2" t="s">
        <v>3620</v>
      </c>
      <c r="K889" s="4">
        <v>33633</v>
      </c>
      <c r="M889" s="2" t="s">
        <v>969</v>
      </c>
      <c r="N889" s="2" t="s">
        <v>970</v>
      </c>
    </row>
    <row r="890" spans="1:14">
      <c r="A890" s="2">
        <v>889</v>
      </c>
      <c r="B890" s="3" t="s">
        <v>3621</v>
      </c>
      <c r="C890" s="2" t="s">
        <v>3622</v>
      </c>
      <c r="D890" s="2">
        <v>55</v>
      </c>
      <c r="E890" s="2">
        <v>56</v>
      </c>
      <c r="F890" s="2" t="s">
        <v>3623</v>
      </c>
      <c r="H890" s="2" t="s">
        <v>17</v>
      </c>
      <c r="K890" s="4">
        <v>27486</v>
      </c>
      <c r="M890" s="2" t="s">
        <v>85</v>
      </c>
      <c r="N890" s="2" t="s">
        <v>3624</v>
      </c>
    </row>
    <row r="891" spans="1:14">
      <c r="A891" s="2">
        <v>890</v>
      </c>
      <c r="B891" s="3" t="s">
        <v>3625</v>
      </c>
      <c r="C891" s="2" t="s">
        <v>3626</v>
      </c>
      <c r="D891" s="2">
        <v>56</v>
      </c>
      <c r="E891" s="2">
        <v>56</v>
      </c>
      <c r="F891" s="2" t="s">
        <v>3627</v>
      </c>
      <c r="H891" s="2" t="s">
        <v>17</v>
      </c>
      <c r="I891" s="2" t="s">
        <v>3628</v>
      </c>
      <c r="K891" s="4">
        <v>25374</v>
      </c>
      <c r="M891" s="2" t="s">
        <v>91</v>
      </c>
      <c r="N891" s="2" t="s">
        <v>92</v>
      </c>
    </row>
    <row r="892" spans="1:14">
      <c r="A892" s="2">
        <v>891</v>
      </c>
      <c r="B892" s="3" t="s">
        <v>3629</v>
      </c>
      <c r="C892" s="2" t="s">
        <v>3630</v>
      </c>
      <c r="D892" s="2">
        <v>53</v>
      </c>
      <c r="E892" s="2">
        <v>56</v>
      </c>
      <c r="F892" s="2" t="s">
        <v>3631</v>
      </c>
      <c r="H892" s="2" t="s">
        <v>17</v>
      </c>
      <c r="K892" s="4">
        <v>26261</v>
      </c>
      <c r="M892" s="2" t="s">
        <v>18</v>
      </c>
      <c r="N892" s="2" t="s">
        <v>3632</v>
      </c>
    </row>
    <row r="893" spans="1:14">
      <c r="A893" s="2">
        <v>892</v>
      </c>
      <c r="B893" s="3" t="s">
        <v>3633</v>
      </c>
      <c r="C893" s="2" t="s">
        <v>3634</v>
      </c>
      <c r="D893" s="2">
        <v>53</v>
      </c>
      <c r="E893" s="2">
        <v>56</v>
      </c>
      <c r="F893" s="2" t="s">
        <v>3635</v>
      </c>
      <c r="H893" s="2" t="s">
        <v>17</v>
      </c>
      <c r="K893" s="4">
        <v>18403</v>
      </c>
      <c r="M893" s="2" t="s">
        <v>47</v>
      </c>
      <c r="N893" s="2" t="s">
        <v>3636</v>
      </c>
    </row>
    <row r="894" spans="1:14">
      <c r="A894" s="2">
        <v>893</v>
      </c>
      <c r="B894" s="3" t="s">
        <v>3637</v>
      </c>
      <c r="C894" s="2" t="s">
        <v>3638</v>
      </c>
      <c r="D894" s="2">
        <v>56</v>
      </c>
      <c r="E894" s="2">
        <v>56</v>
      </c>
      <c r="F894" s="2" t="s">
        <v>3639</v>
      </c>
      <c r="H894" s="2" t="s">
        <v>17</v>
      </c>
      <c r="K894" s="4">
        <v>30105</v>
      </c>
      <c r="M894" s="2" t="s">
        <v>66</v>
      </c>
      <c r="N894" s="2" t="s">
        <v>3640</v>
      </c>
    </row>
    <row r="895" spans="1:14">
      <c r="A895" s="2">
        <v>894</v>
      </c>
      <c r="B895" s="3" t="s">
        <v>3641</v>
      </c>
      <c r="C895" s="2" t="s">
        <v>3642</v>
      </c>
      <c r="D895" s="2">
        <v>55</v>
      </c>
      <c r="E895" s="2">
        <v>56</v>
      </c>
      <c r="F895" s="2" t="s">
        <v>3643</v>
      </c>
      <c r="H895" s="2" t="s">
        <v>17</v>
      </c>
      <c r="I895" s="2" t="s">
        <v>3644</v>
      </c>
      <c r="K895" s="4">
        <v>29089</v>
      </c>
      <c r="M895" s="2" t="s">
        <v>185</v>
      </c>
      <c r="N895" s="2" t="s">
        <v>3645</v>
      </c>
    </row>
    <row r="896" spans="1:14">
      <c r="A896" s="2">
        <v>895</v>
      </c>
      <c r="B896" s="3" t="s">
        <v>3646</v>
      </c>
      <c r="C896" s="2" t="s">
        <v>3647</v>
      </c>
      <c r="D896" s="2">
        <v>56</v>
      </c>
      <c r="E896" s="2">
        <v>56</v>
      </c>
      <c r="F896" s="2" t="s">
        <v>3648</v>
      </c>
      <c r="H896" s="2" t="s">
        <v>17</v>
      </c>
      <c r="I896" s="2" t="s">
        <v>3649</v>
      </c>
      <c r="K896" s="4">
        <v>20941</v>
      </c>
      <c r="M896" s="2" t="s">
        <v>35</v>
      </c>
      <c r="N896" s="2" t="s">
        <v>3650</v>
      </c>
    </row>
    <row r="897" spans="1:14">
      <c r="A897" s="2">
        <v>896</v>
      </c>
      <c r="B897" s="3" t="s">
        <v>3651</v>
      </c>
      <c r="C897" s="2" t="s">
        <v>3652</v>
      </c>
      <c r="D897" s="2">
        <v>56</v>
      </c>
      <c r="E897" s="2">
        <v>56</v>
      </c>
      <c r="F897" s="2" t="s">
        <v>3653</v>
      </c>
      <c r="H897" s="2" t="s">
        <v>17</v>
      </c>
      <c r="K897" s="4">
        <v>23914</v>
      </c>
      <c r="M897" s="2" t="s">
        <v>170</v>
      </c>
      <c r="N897" s="2" t="s">
        <v>3654</v>
      </c>
    </row>
    <row r="898" spans="1:14">
      <c r="A898" s="2">
        <v>897</v>
      </c>
      <c r="B898" s="3" t="s">
        <v>3655</v>
      </c>
      <c r="C898" s="2" t="s">
        <v>3656</v>
      </c>
      <c r="D898" s="2">
        <v>56</v>
      </c>
      <c r="E898" s="2">
        <v>56</v>
      </c>
      <c r="F898" s="2" t="s">
        <v>3657</v>
      </c>
      <c r="H898" s="2" t="s">
        <v>17</v>
      </c>
      <c r="I898" s="2" t="s">
        <v>3658</v>
      </c>
      <c r="K898" s="4">
        <v>31443</v>
      </c>
      <c r="M898" s="2" t="s">
        <v>47</v>
      </c>
      <c r="N898" s="2" t="s">
        <v>115</v>
      </c>
    </row>
    <row r="899" spans="1:14">
      <c r="A899" s="2">
        <v>898</v>
      </c>
      <c r="B899" s="3" t="s">
        <v>3659</v>
      </c>
      <c r="C899" s="2" t="s">
        <v>3660</v>
      </c>
      <c r="D899" s="2">
        <v>56</v>
      </c>
      <c r="E899" s="2">
        <v>56</v>
      </c>
      <c r="F899" s="2" t="s">
        <v>3661</v>
      </c>
      <c r="H899" s="2" t="s">
        <v>45</v>
      </c>
      <c r="K899" s="4">
        <v>33455</v>
      </c>
      <c r="M899" s="2" t="s">
        <v>164</v>
      </c>
      <c r="N899" s="2" t="s">
        <v>165</v>
      </c>
    </row>
    <row r="900" spans="1:14">
      <c r="A900" s="2">
        <v>899</v>
      </c>
      <c r="B900" s="3" t="s">
        <v>3662</v>
      </c>
      <c r="C900" s="2" t="s">
        <v>3663</v>
      </c>
      <c r="D900" s="2">
        <v>55</v>
      </c>
      <c r="E900" s="2">
        <v>56</v>
      </c>
      <c r="F900" s="2" t="s">
        <v>3664</v>
      </c>
      <c r="H900" s="2" t="s">
        <v>17</v>
      </c>
      <c r="K900" s="4">
        <v>29278</v>
      </c>
      <c r="M900" s="2" t="s">
        <v>336</v>
      </c>
      <c r="N900" s="2" t="s">
        <v>1883</v>
      </c>
    </row>
    <row r="901" spans="1:14">
      <c r="A901" s="2">
        <v>900</v>
      </c>
      <c r="B901" s="3" t="s">
        <v>3665</v>
      </c>
      <c r="C901" s="2" t="s">
        <v>3666</v>
      </c>
      <c r="D901" s="2">
        <v>56</v>
      </c>
      <c r="E901" s="2">
        <v>56</v>
      </c>
      <c r="F901" s="2" t="s">
        <v>3667</v>
      </c>
      <c r="H901" s="2" t="s">
        <v>17</v>
      </c>
      <c r="K901" s="4">
        <v>31060</v>
      </c>
      <c r="M901" s="2" t="s">
        <v>170</v>
      </c>
      <c r="N901" s="2" t="s">
        <v>323</v>
      </c>
    </row>
    <row r="902" spans="1:14">
      <c r="A902" s="2">
        <v>901</v>
      </c>
      <c r="B902" s="3" t="s">
        <v>3668</v>
      </c>
      <c r="C902" s="2" t="s">
        <v>3669</v>
      </c>
      <c r="D902" s="2">
        <v>50</v>
      </c>
      <c r="E902" s="2">
        <v>56</v>
      </c>
      <c r="F902" s="2" t="s">
        <v>3670</v>
      </c>
      <c r="H902" s="2" t="s">
        <v>17</v>
      </c>
      <c r="K902" s="4">
        <v>26645</v>
      </c>
      <c r="M902" s="2" t="s">
        <v>198</v>
      </c>
      <c r="N902" s="2" t="s">
        <v>3671</v>
      </c>
    </row>
    <row r="903" spans="1:14">
      <c r="A903" s="2">
        <v>902</v>
      </c>
      <c r="B903" s="3" t="s">
        <v>3672</v>
      </c>
      <c r="C903" s="2" t="s">
        <v>3673</v>
      </c>
      <c r="D903" s="2">
        <v>55</v>
      </c>
      <c r="E903" s="2">
        <v>56</v>
      </c>
      <c r="F903" s="2" t="s">
        <v>3674</v>
      </c>
      <c r="H903" s="2" t="s">
        <v>17</v>
      </c>
      <c r="K903" s="4">
        <v>20581</v>
      </c>
      <c r="M903" s="2" t="s">
        <v>192</v>
      </c>
      <c r="N903" s="2" t="s">
        <v>3675</v>
      </c>
    </row>
    <row r="904" spans="1:14">
      <c r="A904" s="2">
        <v>903</v>
      </c>
      <c r="B904" s="3" t="s">
        <v>3676</v>
      </c>
      <c r="C904" s="2" t="s">
        <v>3677</v>
      </c>
      <c r="D904" s="2">
        <v>55</v>
      </c>
      <c r="E904" s="2">
        <v>56</v>
      </c>
      <c r="F904" s="2" t="s">
        <v>3678</v>
      </c>
      <c r="H904" s="2" t="s">
        <v>17</v>
      </c>
      <c r="K904" s="4">
        <v>20235</v>
      </c>
      <c r="M904" s="2" t="s">
        <v>185</v>
      </c>
      <c r="N904" s="2" t="s">
        <v>838</v>
      </c>
    </row>
    <row r="905" spans="1:14">
      <c r="A905" s="2">
        <v>904</v>
      </c>
      <c r="B905" s="3" t="s">
        <v>3679</v>
      </c>
      <c r="C905" s="2" t="s">
        <v>3680</v>
      </c>
      <c r="D905" s="2">
        <v>55</v>
      </c>
      <c r="E905" s="2">
        <v>56</v>
      </c>
      <c r="F905" s="2" t="s">
        <v>3681</v>
      </c>
      <c r="H905" s="2" t="s">
        <v>17</v>
      </c>
      <c r="K905" s="4">
        <v>24309</v>
      </c>
      <c r="M905" s="2" t="s">
        <v>198</v>
      </c>
      <c r="N905" s="2" t="s">
        <v>3682</v>
      </c>
    </row>
    <row r="906" spans="1:14">
      <c r="A906" s="2">
        <v>905</v>
      </c>
      <c r="B906" s="3" t="s">
        <v>3683</v>
      </c>
      <c r="C906" s="2" t="s">
        <v>3684</v>
      </c>
      <c r="D906" s="2">
        <v>55</v>
      </c>
      <c r="E906" s="2">
        <v>55</v>
      </c>
      <c r="F906" s="2" t="s">
        <v>3685</v>
      </c>
      <c r="H906" s="2" t="s">
        <v>17</v>
      </c>
      <c r="K906" s="4">
        <v>22734</v>
      </c>
      <c r="M906" s="2" t="s">
        <v>662</v>
      </c>
      <c r="N906" s="2" t="s">
        <v>663</v>
      </c>
    </row>
    <row r="907" spans="1:14">
      <c r="A907" s="2">
        <v>906</v>
      </c>
      <c r="B907" s="3" t="s">
        <v>3686</v>
      </c>
      <c r="C907" s="2" t="s">
        <v>3687</v>
      </c>
      <c r="D907" s="2">
        <v>55</v>
      </c>
      <c r="E907" s="2">
        <v>55</v>
      </c>
      <c r="F907" s="2" t="s">
        <v>3688</v>
      </c>
      <c r="H907" s="2" t="s">
        <v>17</v>
      </c>
      <c r="K907" s="4">
        <v>23203</v>
      </c>
      <c r="M907" s="2" t="s">
        <v>85</v>
      </c>
      <c r="N907" s="2" t="s">
        <v>3689</v>
      </c>
    </row>
    <row r="908" spans="1:14">
      <c r="A908" s="2">
        <v>907</v>
      </c>
      <c r="B908" s="3" t="s">
        <v>3690</v>
      </c>
      <c r="C908" s="2" t="s">
        <v>3691</v>
      </c>
      <c r="D908" s="2">
        <v>55</v>
      </c>
      <c r="E908" s="2">
        <v>55</v>
      </c>
      <c r="F908" s="2" t="s">
        <v>3692</v>
      </c>
      <c r="H908" s="2" t="s">
        <v>17</v>
      </c>
      <c r="K908" s="4">
        <v>21226</v>
      </c>
      <c r="M908" s="2" t="s">
        <v>40</v>
      </c>
      <c r="N908" s="2" t="s">
        <v>3693</v>
      </c>
    </row>
    <row r="909" spans="1:14">
      <c r="A909" s="2">
        <v>908</v>
      </c>
      <c r="B909" s="3" t="s">
        <v>3694</v>
      </c>
      <c r="C909" s="2" t="s">
        <v>3695</v>
      </c>
      <c r="D909" s="2">
        <v>55</v>
      </c>
      <c r="E909" s="2">
        <v>55</v>
      </c>
      <c r="F909" s="2" t="s">
        <v>3696</v>
      </c>
      <c r="H909" s="2" t="s">
        <v>17</v>
      </c>
      <c r="K909" s="4">
        <v>18043</v>
      </c>
      <c r="M909" s="2" t="s">
        <v>35</v>
      </c>
      <c r="N909" s="2" t="s">
        <v>3697</v>
      </c>
    </row>
    <row r="910" spans="1:14">
      <c r="A910" s="2">
        <v>909</v>
      </c>
      <c r="B910" s="3" t="s">
        <v>3698</v>
      </c>
      <c r="C910" s="2" t="s">
        <v>3699</v>
      </c>
      <c r="D910" s="2">
        <v>55</v>
      </c>
      <c r="E910" s="2">
        <v>55</v>
      </c>
      <c r="F910" s="2" t="s">
        <v>3700</v>
      </c>
      <c r="H910" s="2" t="s">
        <v>17</v>
      </c>
      <c r="K910" s="4">
        <v>23642</v>
      </c>
      <c r="M910" s="2" t="s">
        <v>91</v>
      </c>
      <c r="N910" s="2" t="s">
        <v>677</v>
      </c>
    </row>
    <row r="911" spans="1:14">
      <c r="A911" s="2">
        <v>910</v>
      </c>
      <c r="B911" s="3" t="s">
        <v>3701</v>
      </c>
      <c r="C911" s="2" t="s">
        <v>3702</v>
      </c>
      <c r="D911" s="2">
        <v>52</v>
      </c>
      <c r="E911" s="2">
        <v>55</v>
      </c>
      <c r="F911" s="2" t="s">
        <v>3703</v>
      </c>
      <c r="H911" s="2" t="s">
        <v>17</v>
      </c>
      <c r="K911" s="4">
        <v>23527</v>
      </c>
      <c r="M911" s="2" t="s">
        <v>35</v>
      </c>
      <c r="N911" s="2" t="s">
        <v>372</v>
      </c>
    </row>
    <row r="912" spans="1:14">
      <c r="A912" s="2">
        <v>911</v>
      </c>
      <c r="B912" s="3" t="s">
        <v>3704</v>
      </c>
      <c r="C912" s="2" t="s">
        <v>3705</v>
      </c>
      <c r="D912" s="2">
        <v>55</v>
      </c>
      <c r="E912" s="2">
        <v>55</v>
      </c>
      <c r="F912" s="2" t="s">
        <v>3706</v>
      </c>
      <c r="H912" s="2" t="s">
        <v>17</v>
      </c>
      <c r="K912" s="4">
        <v>25402</v>
      </c>
      <c r="M912" s="2" t="s">
        <v>47</v>
      </c>
      <c r="N912" s="2" t="s">
        <v>3707</v>
      </c>
    </row>
    <row r="913" spans="1:14">
      <c r="A913" s="2">
        <v>912</v>
      </c>
      <c r="B913" s="3" t="s">
        <v>3708</v>
      </c>
      <c r="C913" s="2" t="s">
        <v>3709</v>
      </c>
      <c r="D913" s="2">
        <v>55</v>
      </c>
      <c r="E913" s="2">
        <v>55</v>
      </c>
      <c r="F913" s="2" t="s">
        <v>3710</v>
      </c>
      <c r="H913" s="2" t="s">
        <v>17</v>
      </c>
      <c r="K913" s="4">
        <v>20490</v>
      </c>
      <c r="M913" s="2" t="s">
        <v>423</v>
      </c>
      <c r="N913" s="2" t="s">
        <v>3711</v>
      </c>
    </row>
    <row r="914" spans="1:14">
      <c r="A914" s="2">
        <v>913</v>
      </c>
      <c r="B914" s="3" t="s">
        <v>3712</v>
      </c>
      <c r="C914" s="2" t="s">
        <v>3713</v>
      </c>
      <c r="D914" s="2">
        <v>54</v>
      </c>
      <c r="E914" s="2">
        <v>55</v>
      </c>
      <c r="F914" s="2" t="s">
        <v>3714</v>
      </c>
      <c r="H914" s="2" t="s">
        <v>17</v>
      </c>
      <c r="K914" s="4">
        <v>31818</v>
      </c>
      <c r="M914" s="2" t="s">
        <v>185</v>
      </c>
      <c r="N914" s="2" t="s">
        <v>3569</v>
      </c>
    </row>
    <row r="915" spans="1:14">
      <c r="A915" s="2">
        <v>914</v>
      </c>
      <c r="B915" s="3" t="s">
        <v>3715</v>
      </c>
      <c r="C915" s="2" t="s">
        <v>3716</v>
      </c>
      <c r="D915" s="2">
        <v>51</v>
      </c>
      <c r="E915" s="2">
        <v>55</v>
      </c>
      <c r="F915" s="2" t="s">
        <v>3717</v>
      </c>
      <c r="H915" s="2" t="s">
        <v>17</v>
      </c>
      <c r="I915" s="2" t="s">
        <v>3718</v>
      </c>
      <c r="K915" s="4">
        <v>23539</v>
      </c>
      <c r="M915" s="2" t="s">
        <v>154</v>
      </c>
      <c r="N915" s="2" t="s">
        <v>346</v>
      </c>
    </row>
    <row r="916" spans="1:14">
      <c r="A916" s="2">
        <v>915</v>
      </c>
      <c r="B916" s="3" t="s">
        <v>3719</v>
      </c>
      <c r="C916" s="2" t="s">
        <v>3720</v>
      </c>
      <c r="D916" s="2">
        <v>55</v>
      </c>
      <c r="E916" s="2">
        <v>55</v>
      </c>
      <c r="F916" s="2" t="s">
        <v>3721</v>
      </c>
      <c r="H916" s="2" t="s">
        <v>17</v>
      </c>
      <c r="K916" s="4">
        <v>29423</v>
      </c>
      <c r="M916" s="2" t="s">
        <v>53</v>
      </c>
      <c r="N916" s="2" t="s">
        <v>847</v>
      </c>
    </row>
    <row r="917" spans="1:14">
      <c r="A917" s="2">
        <v>916</v>
      </c>
      <c r="B917" s="3" t="s">
        <v>3722</v>
      </c>
      <c r="C917" s="2" t="s">
        <v>3723</v>
      </c>
      <c r="D917" s="2">
        <v>55</v>
      </c>
      <c r="E917" s="2">
        <v>55</v>
      </c>
      <c r="F917" s="2" t="s">
        <v>3724</v>
      </c>
      <c r="H917" s="2" t="s">
        <v>17</v>
      </c>
      <c r="K917" s="4">
        <v>26761</v>
      </c>
      <c r="M917" s="2" t="s">
        <v>170</v>
      </c>
      <c r="N917" s="2" t="s">
        <v>323</v>
      </c>
    </row>
    <row r="918" spans="1:14">
      <c r="A918" s="2">
        <v>917</v>
      </c>
      <c r="B918" s="3" t="s">
        <v>3725</v>
      </c>
      <c r="C918" s="2" t="s">
        <v>3726</v>
      </c>
      <c r="D918" s="2">
        <v>53</v>
      </c>
      <c r="E918" s="2">
        <v>55</v>
      </c>
      <c r="F918" s="2" t="s">
        <v>3727</v>
      </c>
      <c r="H918" s="2" t="s">
        <v>17</v>
      </c>
      <c r="K918" s="4">
        <v>20400</v>
      </c>
      <c r="M918" s="2" t="s">
        <v>66</v>
      </c>
      <c r="N918" s="2" t="s">
        <v>3728</v>
      </c>
    </row>
    <row r="919" spans="1:14">
      <c r="A919" s="2">
        <v>918</v>
      </c>
      <c r="B919" s="3" t="s">
        <v>3729</v>
      </c>
      <c r="C919" s="2" t="s">
        <v>3730</v>
      </c>
      <c r="D919" s="2">
        <v>55</v>
      </c>
      <c r="E919" s="2">
        <v>55</v>
      </c>
      <c r="F919" s="2" t="s">
        <v>3731</v>
      </c>
      <c r="H919" s="2" t="s">
        <v>17</v>
      </c>
      <c r="K919" s="4">
        <v>19119</v>
      </c>
      <c r="M919" s="2" t="s">
        <v>336</v>
      </c>
      <c r="N919" s="2" t="s">
        <v>3732</v>
      </c>
    </row>
    <row r="920" spans="1:14">
      <c r="A920" s="2">
        <v>919</v>
      </c>
      <c r="B920" s="3" t="s">
        <v>3733</v>
      </c>
      <c r="C920" s="2" t="s">
        <v>3734</v>
      </c>
      <c r="D920" s="2">
        <v>55</v>
      </c>
      <c r="E920" s="2">
        <v>55</v>
      </c>
      <c r="F920" s="2" t="s">
        <v>3735</v>
      </c>
      <c r="H920" s="2" t="s">
        <v>45</v>
      </c>
      <c r="K920" s="4">
        <v>23245</v>
      </c>
      <c r="M920" s="2" t="s">
        <v>192</v>
      </c>
      <c r="N920" s="2" t="s">
        <v>3736</v>
      </c>
    </row>
    <row r="921" spans="1:14">
      <c r="A921" s="2">
        <v>920</v>
      </c>
      <c r="B921" s="3" t="s">
        <v>3737</v>
      </c>
      <c r="C921" s="2" t="s">
        <v>3738</v>
      </c>
      <c r="D921" s="2">
        <v>54</v>
      </c>
      <c r="E921" s="2">
        <v>55</v>
      </c>
      <c r="F921" s="2" t="s">
        <v>3739</v>
      </c>
      <c r="H921" s="2" t="s">
        <v>17</v>
      </c>
      <c r="K921" s="4">
        <v>26643</v>
      </c>
      <c r="M921" s="2" t="s">
        <v>198</v>
      </c>
      <c r="N921" s="2" t="s">
        <v>199</v>
      </c>
    </row>
    <row r="922" spans="1:14">
      <c r="A922" s="2">
        <v>921</v>
      </c>
      <c r="B922" s="3" t="s">
        <v>3740</v>
      </c>
      <c r="C922" s="2" t="s">
        <v>3741</v>
      </c>
      <c r="D922" s="2">
        <v>55</v>
      </c>
      <c r="E922" s="2">
        <v>55</v>
      </c>
      <c r="F922" s="2" t="s">
        <v>3742</v>
      </c>
      <c r="H922" s="2" t="s">
        <v>17</v>
      </c>
      <c r="K922" s="4">
        <v>33080</v>
      </c>
      <c r="M922" s="2" t="s">
        <v>76</v>
      </c>
      <c r="N922" s="2" t="s">
        <v>906</v>
      </c>
    </row>
    <row r="923" spans="1:14">
      <c r="A923" s="2">
        <v>922</v>
      </c>
      <c r="B923" s="3" t="s">
        <v>3743</v>
      </c>
      <c r="C923" s="2" t="s">
        <v>3744</v>
      </c>
      <c r="D923" s="2">
        <v>54</v>
      </c>
      <c r="E923" s="2">
        <v>55</v>
      </c>
      <c r="F923" s="2" t="s">
        <v>3745</v>
      </c>
      <c r="H923" s="2" t="s">
        <v>17</v>
      </c>
      <c r="I923" s="3" t="s">
        <v>3746</v>
      </c>
      <c r="K923" s="4">
        <v>26352</v>
      </c>
      <c r="M923" s="2" t="s">
        <v>40</v>
      </c>
      <c r="N923" s="2" t="s">
        <v>41</v>
      </c>
    </row>
    <row r="924" spans="1:14">
      <c r="A924" s="2">
        <v>923</v>
      </c>
      <c r="B924" s="3" t="s">
        <v>3747</v>
      </c>
      <c r="C924" s="2" t="s">
        <v>3748</v>
      </c>
      <c r="D924" s="2">
        <v>55</v>
      </c>
      <c r="E924" s="2">
        <v>55</v>
      </c>
      <c r="F924" s="2" t="s">
        <v>3749</v>
      </c>
      <c r="H924" s="2" t="s">
        <v>17</v>
      </c>
      <c r="K924" s="4">
        <v>23369</v>
      </c>
      <c r="M924" s="2" t="s">
        <v>47</v>
      </c>
      <c r="N924" s="2" t="s">
        <v>1656</v>
      </c>
    </row>
    <row r="925" spans="1:14">
      <c r="A925" s="2">
        <v>924</v>
      </c>
      <c r="B925" s="3" t="s">
        <v>3750</v>
      </c>
      <c r="C925" s="2" t="s">
        <v>3751</v>
      </c>
      <c r="D925" s="2">
        <v>55</v>
      </c>
      <c r="E925" s="2">
        <v>55</v>
      </c>
      <c r="F925" s="2" t="s">
        <v>3751</v>
      </c>
      <c r="H925" s="2" t="s">
        <v>45</v>
      </c>
      <c r="K925" s="4">
        <v>25443</v>
      </c>
      <c r="M925" s="2" t="s">
        <v>423</v>
      </c>
      <c r="N925" s="2" t="s">
        <v>3005</v>
      </c>
    </row>
    <row r="926" spans="1:14">
      <c r="A926" s="2">
        <v>925</v>
      </c>
      <c r="B926" s="3" t="s">
        <v>3752</v>
      </c>
      <c r="C926" s="2" t="s">
        <v>3753</v>
      </c>
      <c r="D926" s="2">
        <v>55</v>
      </c>
      <c r="E926" s="2">
        <v>55</v>
      </c>
      <c r="F926" s="2" t="s">
        <v>3754</v>
      </c>
      <c r="H926" s="2" t="s">
        <v>17</v>
      </c>
      <c r="K926" s="4">
        <v>20139</v>
      </c>
      <c r="M926" s="2" t="s">
        <v>247</v>
      </c>
      <c r="N926" s="2" t="s">
        <v>886</v>
      </c>
    </row>
    <row r="927" spans="1:14">
      <c r="A927" s="2">
        <v>926</v>
      </c>
      <c r="B927" s="3" t="s">
        <v>3755</v>
      </c>
      <c r="C927" s="2" t="s">
        <v>3756</v>
      </c>
      <c r="D927" s="2">
        <v>50</v>
      </c>
      <c r="E927" s="2">
        <v>55</v>
      </c>
      <c r="F927" s="2" t="s">
        <v>3757</v>
      </c>
      <c r="H927" s="2" t="s">
        <v>17</v>
      </c>
      <c r="I927" s="2" t="s">
        <v>3758</v>
      </c>
      <c r="K927" s="4">
        <v>18132</v>
      </c>
      <c r="M927" s="2" t="s">
        <v>85</v>
      </c>
      <c r="N927" s="2" t="s">
        <v>1891</v>
      </c>
    </row>
    <row r="928" spans="1:14">
      <c r="A928" s="2">
        <v>927</v>
      </c>
      <c r="B928" s="3" t="s">
        <v>3759</v>
      </c>
      <c r="C928" s="2" t="s">
        <v>3760</v>
      </c>
      <c r="D928" s="2">
        <v>53</v>
      </c>
      <c r="E928" s="2">
        <v>55</v>
      </c>
      <c r="F928" s="2" t="s">
        <v>3761</v>
      </c>
      <c r="H928" s="2" t="s">
        <v>17</v>
      </c>
      <c r="K928" s="4">
        <v>24963</v>
      </c>
      <c r="M928" s="2" t="s">
        <v>170</v>
      </c>
      <c r="N928" s="2" t="s">
        <v>323</v>
      </c>
    </row>
    <row r="929" spans="1:14">
      <c r="A929" s="2">
        <v>928</v>
      </c>
      <c r="B929" s="3" t="s">
        <v>3762</v>
      </c>
      <c r="C929" s="2" t="s">
        <v>3763</v>
      </c>
      <c r="D929" s="2">
        <v>48</v>
      </c>
      <c r="E929" s="2">
        <v>55</v>
      </c>
      <c r="F929" s="2" t="s">
        <v>3764</v>
      </c>
      <c r="H929" s="2" t="s">
        <v>17</v>
      </c>
      <c r="K929" s="4">
        <v>16966</v>
      </c>
      <c r="L929" s="4">
        <v>44679</v>
      </c>
      <c r="M929" s="2" t="s">
        <v>47</v>
      </c>
      <c r="N929" s="2" t="s">
        <v>3765</v>
      </c>
    </row>
    <row r="930" spans="1:14">
      <c r="A930" s="2">
        <v>929</v>
      </c>
      <c r="B930" s="3" t="s">
        <v>3766</v>
      </c>
      <c r="C930" s="2" t="s">
        <v>3767</v>
      </c>
      <c r="D930" s="2">
        <v>54</v>
      </c>
      <c r="E930" s="2">
        <v>55</v>
      </c>
      <c r="F930" s="2" t="s">
        <v>3768</v>
      </c>
      <c r="H930" s="2" t="s">
        <v>17</v>
      </c>
      <c r="I930" s="2" t="s">
        <v>3769</v>
      </c>
      <c r="K930" s="4">
        <v>17604</v>
      </c>
      <c r="M930" s="2" t="s">
        <v>40</v>
      </c>
      <c r="N930" s="2" t="s">
        <v>41</v>
      </c>
    </row>
    <row r="931" spans="1:14">
      <c r="A931" s="2">
        <v>930</v>
      </c>
      <c r="B931" s="3" t="s">
        <v>3770</v>
      </c>
      <c r="C931" s="2" t="s">
        <v>3771</v>
      </c>
      <c r="D931" s="2">
        <v>55</v>
      </c>
      <c r="E931" s="2">
        <v>55</v>
      </c>
      <c r="F931" s="2" t="s">
        <v>3772</v>
      </c>
      <c r="H931" s="2" t="s">
        <v>17</v>
      </c>
      <c r="K931" s="4">
        <v>22792</v>
      </c>
      <c r="M931" s="2" t="s">
        <v>76</v>
      </c>
      <c r="N931" s="2" t="s">
        <v>764</v>
      </c>
    </row>
    <row r="932" spans="1:14">
      <c r="A932" s="2">
        <v>931</v>
      </c>
      <c r="B932" s="3" t="s">
        <v>3773</v>
      </c>
      <c r="C932" s="2" t="s">
        <v>3774</v>
      </c>
      <c r="D932" s="2">
        <v>49</v>
      </c>
      <c r="E932" s="2">
        <v>55</v>
      </c>
      <c r="F932" s="2" t="s">
        <v>3775</v>
      </c>
      <c r="H932" s="2" t="s">
        <v>17</v>
      </c>
      <c r="K932" s="4">
        <v>14164</v>
      </c>
      <c r="M932" s="2" t="s">
        <v>85</v>
      </c>
      <c r="N932" s="2" t="s">
        <v>3776</v>
      </c>
    </row>
    <row r="933" spans="1:14">
      <c r="A933" s="2">
        <v>932</v>
      </c>
      <c r="B933" s="3" t="s">
        <v>3777</v>
      </c>
      <c r="C933" s="2" t="s">
        <v>3778</v>
      </c>
      <c r="D933" s="2">
        <v>48</v>
      </c>
      <c r="E933" s="2">
        <v>55</v>
      </c>
      <c r="F933" s="2" t="s">
        <v>3778</v>
      </c>
      <c r="H933" s="2" t="s">
        <v>17</v>
      </c>
      <c r="K933" s="4">
        <v>16801</v>
      </c>
      <c r="L933" s="4">
        <v>44728</v>
      </c>
      <c r="M933" s="2" t="s">
        <v>47</v>
      </c>
      <c r="N933" s="2" t="s">
        <v>48</v>
      </c>
    </row>
    <row r="934" spans="1:14">
      <c r="A934" s="2">
        <v>933</v>
      </c>
      <c r="B934" s="3" t="s">
        <v>3779</v>
      </c>
      <c r="C934" s="2" t="s">
        <v>3780</v>
      </c>
      <c r="D934" s="2">
        <v>54</v>
      </c>
      <c r="E934" s="2">
        <v>55</v>
      </c>
      <c r="F934" s="2" t="s">
        <v>3781</v>
      </c>
      <c r="H934" s="2" t="s">
        <v>17</v>
      </c>
      <c r="K934" s="4">
        <v>21519</v>
      </c>
      <c r="M934" s="2" t="s">
        <v>164</v>
      </c>
      <c r="N934" s="2" t="s">
        <v>165</v>
      </c>
    </row>
    <row r="935" spans="1:14">
      <c r="A935" s="2">
        <v>934</v>
      </c>
      <c r="B935" s="3" t="s">
        <v>3782</v>
      </c>
      <c r="C935" s="2" t="s">
        <v>3783</v>
      </c>
      <c r="D935" s="2">
        <v>50</v>
      </c>
      <c r="E935" s="2">
        <v>55</v>
      </c>
      <c r="F935" s="2" t="s">
        <v>3784</v>
      </c>
      <c r="H935" s="2" t="s">
        <v>17</v>
      </c>
      <c r="K935" s="4">
        <v>18853</v>
      </c>
      <c r="M935" s="2" t="s">
        <v>85</v>
      </c>
      <c r="N935" s="2" t="s">
        <v>1254</v>
      </c>
    </row>
    <row r="936" spans="1:14">
      <c r="A936" s="2">
        <v>935</v>
      </c>
      <c r="B936" s="3" t="s">
        <v>3785</v>
      </c>
      <c r="C936" s="2" t="s">
        <v>3786</v>
      </c>
      <c r="D936" s="2">
        <v>47</v>
      </c>
      <c r="E936" s="2">
        <v>55</v>
      </c>
      <c r="F936" s="2" t="s">
        <v>3786</v>
      </c>
      <c r="H936" s="2" t="s">
        <v>17</v>
      </c>
      <c r="K936" s="4">
        <v>13585</v>
      </c>
      <c r="L936" s="4">
        <v>44125</v>
      </c>
      <c r="M936" s="2" t="s">
        <v>66</v>
      </c>
      <c r="N936" s="2" t="s">
        <v>3787</v>
      </c>
    </row>
    <row r="937" spans="1:14">
      <c r="A937" s="2">
        <v>936</v>
      </c>
      <c r="B937" s="3" t="s">
        <v>3788</v>
      </c>
      <c r="C937" s="2" t="s">
        <v>3789</v>
      </c>
      <c r="D937" s="2">
        <v>55</v>
      </c>
      <c r="E937" s="2">
        <v>55</v>
      </c>
      <c r="F937" s="2" t="s">
        <v>3790</v>
      </c>
      <c r="H937" s="2" t="s">
        <v>17</v>
      </c>
      <c r="K937" s="4">
        <v>29129</v>
      </c>
      <c r="L937" s="4">
        <v>45440</v>
      </c>
      <c r="M937" s="2" t="s">
        <v>969</v>
      </c>
      <c r="N937" s="2" t="s">
        <v>970</v>
      </c>
    </row>
    <row r="938" spans="1:14">
      <c r="A938" s="2">
        <v>937</v>
      </c>
      <c r="B938" s="3" t="s">
        <v>3791</v>
      </c>
      <c r="C938" s="2" t="s">
        <v>3792</v>
      </c>
      <c r="D938" s="2">
        <v>52</v>
      </c>
      <c r="E938" s="2">
        <v>55</v>
      </c>
      <c r="F938" s="2" t="s">
        <v>3793</v>
      </c>
      <c r="H938" s="2" t="s">
        <v>17</v>
      </c>
      <c r="K938" s="4">
        <v>22571</v>
      </c>
      <c r="M938" s="2" t="s">
        <v>154</v>
      </c>
      <c r="N938" s="2" t="s">
        <v>3794</v>
      </c>
    </row>
    <row r="939" spans="1:14">
      <c r="A939" s="2">
        <v>938</v>
      </c>
      <c r="B939" s="3" t="s">
        <v>3795</v>
      </c>
      <c r="C939" s="2" t="s">
        <v>3796</v>
      </c>
      <c r="D939" s="2">
        <v>54</v>
      </c>
      <c r="E939" s="2">
        <v>55</v>
      </c>
      <c r="F939" s="2" t="s">
        <v>3797</v>
      </c>
      <c r="H939" s="2" t="s">
        <v>17</v>
      </c>
      <c r="I939" s="2" t="s">
        <v>3798</v>
      </c>
      <c r="K939" s="4">
        <v>22903</v>
      </c>
      <c r="M939" s="2" t="s">
        <v>66</v>
      </c>
      <c r="N939" s="2" t="s">
        <v>3799</v>
      </c>
    </row>
    <row r="940" spans="1:14">
      <c r="A940" s="2">
        <v>939</v>
      </c>
      <c r="B940" s="3" t="s">
        <v>3800</v>
      </c>
      <c r="C940" s="2" t="s">
        <v>3801</v>
      </c>
      <c r="D940" s="2">
        <v>55</v>
      </c>
      <c r="E940" s="2">
        <v>55</v>
      </c>
      <c r="F940" s="2" t="s">
        <v>3802</v>
      </c>
      <c r="H940" s="2" t="s">
        <v>17</v>
      </c>
      <c r="K940" s="4">
        <v>27204</v>
      </c>
      <c r="M940" s="2" t="s">
        <v>170</v>
      </c>
      <c r="N940" s="2" t="s">
        <v>323</v>
      </c>
    </row>
    <row r="941" spans="1:14">
      <c r="A941" s="2">
        <v>940</v>
      </c>
      <c r="B941" s="3" t="s">
        <v>3803</v>
      </c>
      <c r="C941" s="2" t="s">
        <v>3804</v>
      </c>
      <c r="D941" s="2">
        <v>48</v>
      </c>
      <c r="E941" s="2">
        <v>55</v>
      </c>
      <c r="F941" s="2" t="s">
        <v>3805</v>
      </c>
      <c r="H941" s="2" t="s">
        <v>17</v>
      </c>
      <c r="K941" s="4">
        <v>19567</v>
      </c>
      <c r="M941" s="2" t="s">
        <v>35</v>
      </c>
      <c r="N941" s="2" t="s">
        <v>3806</v>
      </c>
    </row>
    <row r="942" spans="1:14">
      <c r="A942" s="2">
        <v>941</v>
      </c>
      <c r="B942" s="3" t="s">
        <v>3807</v>
      </c>
      <c r="C942" s="2" t="s">
        <v>3808</v>
      </c>
      <c r="D942" s="2">
        <v>54</v>
      </c>
      <c r="E942" s="2">
        <v>55</v>
      </c>
      <c r="F942" s="2" t="s">
        <v>3809</v>
      </c>
      <c r="H942" s="2" t="s">
        <v>17</v>
      </c>
      <c r="K942" s="4">
        <v>22806</v>
      </c>
      <c r="M942" s="2" t="s">
        <v>40</v>
      </c>
      <c r="N942" s="2" t="s">
        <v>3810</v>
      </c>
    </row>
    <row r="943" spans="1:14">
      <c r="A943" s="2">
        <v>942</v>
      </c>
      <c r="B943" s="3" t="s">
        <v>3811</v>
      </c>
      <c r="C943" s="2" t="s">
        <v>3812</v>
      </c>
      <c r="D943" s="2">
        <v>48</v>
      </c>
      <c r="E943" s="2">
        <v>55</v>
      </c>
      <c r="F943" s="2" t="s">
        <v>3813</v>
      </c>
      <c r="H943" s="2" t="s">
        <v>17</v>
      </c>
      <c r="K943" s="4">
        <v>17774</v>
      </c>
      <c r="M943" s="2" t="s">
        <v>40</v>
      </c>
      <c r="N943" s="2" t="s">
        <v>3814</v>
      </c>
    </row>
    <row r="944" spans="1:14">
      <c r="A944" s="2">
        <v>943</v>
      </c>
      <c r="B944" s="3" t="s">
        <v>3815</v>
      </c>
      <c r="C944" s="2" t="s">
        <v>3816</v>
      </c>
      <c r="D944" s="2">
        <v>52</v>
      </c>
      <c r="E944" s="2">
        <v>55</v>
      </c>
      <c r="F944" s="2" t="s">
        <v>3817</v>
      </c>
      <c r="H944" s="2" t="s">
        <v>17</v>
      </c>
      <c r="K944" s="4">
        <v>26267</v>
      </c>
      <c r="M944" s="2" t="s">
        <v>76</v>
      </c>
      <c r="N944" s="2" t="s">
        <v>906</v>
      </c>
    </row>
    <row r="945" spans="1:14">
      <c r="A945" s="2">
        <v>944</v>
      </c>
      <c r="B945" s="3" t="s">
        <v>3818</v>
      </c>
      <c r="C945" s="2" t="s">
        <v>3819</v>
      </c>
      <c r="D945" s="2">
        <v>55</v>
      </c>
      <c r="E945" s="2">
        <v>55</v>
      </c>
      <c r="F945" s="2" t="s">
        <v>3820</v>
      </c>
      <c r="H945" s="2" t="s">
        <v>17</v>
      </c>
      <c r="I945" s="2" t="s">
        <v>3821</v>
      </c>
      <c r="J945" s="3" t="s">
        <v>3822</v>
      </c>
      <c r="K945" s="4">
        <v>27511</v>
      </c>
      <c r="M945" s="2" t="s">
        <v>198</v>
      </c>
      <c r="N945" s="2" t="s">
        <v>3823</v>
      </c>
    </row>
    <row r="946" spans="1:14">
      <c r="A946" s="2">
        <v>945</v>
      </c>
      <c r="B946" s="3" t="s">
        <v>3824</v>
      </c>
      <c r="C946" s="2" t="s">
        <v>3825</v>
      </c>
      <c r="D946" s="2">
        <v>49</v>
      </c>
      <c r="E946" s="2">
        <v>55</v>
      </c>
      <c r="F946" s="2" t="s">
        <v>3826</v>
      </c>
      <c r="H946" s="2" t="s">
        <v>17</v>
      </c>
      <c r="K946" s="4">
        <v>18816</v>
      </c>
      <c r="M946" s="2" t="s">
        <v>47</v>
      </c>
      <c r="N946" s="2" t="s">
        <v>3827</v>
      </c>
    </row>
    <row r="947" spans="1:14">
      <c r="A947" s="2">
        <v>946</v>
      </c>
      <c r="B947" s="3" t="s">
        <v>3828</v>
      </c>
      <c r="C947" s="2" t="s">
        <v>3829</v>
      </c>
      <c r="D947" s="2">
        <v>55</v>
      </c>
      <c r="E947" s="2">
        <v>55</v>
      </c>
      <c r="F947" s="2" t="s">
        <v>3830</v>
      </c>
      <c r="H947" s="2" t="s">
        <v>17</v>
      </c>
      <c r="K947" s="4">
        <v>27072</v>
      </c>
      <c r="M947" s="2" t="s">
        <v>164</v>
      </c>
      <c r="N947" s="2" t="s">
        <v>3831</v>
      </c>
    </row>
    <row r="948" spans="1:14">
      <c r="A948" s="2">
        <v>947</v>
      </c>
      <c r="B948" s="3" t="s">
        <v>3832</v>
      </c>
      <c r="C948" s="2" t="s">
        <v>3833</v>
      </c>
      <c r="D948" s="2">
        <v>46</v>
      </c>
      <c r="E948" s="2">
        <v>55</v>
      </c>
      <c r="F948" s="2" t="s">
        <v>3834</v>
      </c>
      <c r="H948" s="2" t="s">
        <v>17</v>
      </c>
      <c r="K948" s="4">
        <v>11092</v>
      </c>
      <c r="L948" s="4">
        <v>44201</v>
      </c>
      <c r="M948" s="2" t="s">
        <v>35</v>
      </c>
      <c r="N948" s="2" t="s">
        <v>672</v>
      </c>
    </row>
    <row r="949" spans="1:14">
      <c r="A949" s="2">
        <v>948</v>
      </c>
      <c r="B949" s="3" t="s">
        <v>3835</v>
      </c>
      <c r="C949" s="2" t="s">
        <v>3836</v>
      </c>
      <c r="D949" s="2">
        <v>55</v>
      </c>
      <c r="E949" s="2">
        <v>55</v>
      </c>
      <c r="F949" s="2" t="s">
        <v>3837</v>
      </c>
      <c r="H949" s="2" t="s">
        <v>45</v>
      </c>
      <c r="K949" s="4">
        <v>32741</v>
      </c>
      <c r="M949" s="2" t="s">
        <v>35</v>
      </c>
      <c r="N949" s="2" t="s">
        <v>955</v>
      </c>
    </row>
    <row r="950" spans="1:14">
      <c r="A950" s="2">
        <v>949</v>
      </c>
      <c r="B950" s="3" t="s">
        <v>3838</v>
      </c>
      <c r="C950" s="2" t="s">
        <v>3839</v>
      </c>
      <c r="D950" s="2">
        <v>53</v>
      </c>
      <c r="E950" s="2">
        <v>55</v>
      </c>
      <c r="F950" s="2" t="s">
        <v>3840</v>
      </c>
      <c r="H950" s="2" t="s">
        <v>17</v>
      </c>
      <c r="K950" s="4">
        <v>26373</v>
      </c>
      <c r="M950" s="2" t="s">
        <v>198</v>
      </c>
      <c r="N950" s="2" t="s">
        <v>199</v>
      </c>
    </row>
    <row r="951" spans="1:14">
      <c r="A951" s="2">
        <v>950</v>
      </c>
      <c r="B951" s="3" t="s">
        <v>3841</v>
      </c>
      <c r="C951" s="2" t="s">
        <v>3842</v>
      </c>
      <c r="D951" s="2">
        <v>55</v>
      </c>
      <c r="E951" s="2">
        <v>55</v>
      </c>
      <c r="F951" s="2" t="s">
        <v>3843</v>
      </c>
      <c r="H951" s="2" t="s">
        <v>17</v>
      </c>
      <c r="K951" s="4">
        <v>29318</v>
      </c>
      <c r="L951" s="4">
        <v>44332</v>
      </c>
      <c r="M951" s="2" t="s">
        <v>47</v>
      </c>
      <c r="N951" s="2" t="s">
        <v>691</v>
      </c>
    </row>
    <row r="952" spans="1:14">
      <c r="A952" s="2">
        <v>951</v>
      </c>
      <c r="B952" s="3" t="s">
        <v>3844</v>
      </c>
      <c r="C952" s="2" t="s">
        <v>3845</v>
      </c>
      <c r="D952" s="2">
        <v>55</v>
      </c>
      <c r="E952" s="2">
        <v>55</v>
      </c>
      <c r="F952" s="2" t="s">
        <v>3846</v>
      </c>
      <c r="H952" s="2" t="s">
        <v>17</v>
      </c>
      <c r="K952" s="4">
        <v>27849</v>
      </c>
      <c r="M952" s="2" t="s">
        <v>423</v>
      </c>
      <c r="N952" s="2" t="s">
        <v>3005</v>
      </c>
    </row>
    <row r="953" spans="1:14">
      <c r="A953" s="2">
        <v>952</v>
      </c>
      <c r="B953" s="3" t="s">
        <v>3847</v>
      </c>
      <c r="C953" s="2" t="s">
        <v>3848</v>
      </c>
      <c r="D953" s="2">
        <v>55</v>
      </c>
      <c r="E953" s="2">
        <v>55</v>
      </c>
      <c r="F953" s="2" t="s">
        <v>3849</v>
      </c>
      <c r="H953" s="2" t="s">
        <v>17</v>
      </c>
      <c r="K953" s="4">
        <v>25980</v>
      </c>
      <c r="M953" s="2" t="s">
        <v>85</v>
      </c>
      <c r="N953" s="2" t="s">
        <v>3850</v>
      </c>
    </row>
    <row r="954" spans="1:14">
      <c r="A954" s="2">
        <v>953</v>
      </c>
      <c r="B954" s="3" t="s">
        <v>3851</v>
      </c>
      <c r="C954" s="2" t="s">
        <v>3852</v>
      </c>
      <c r="D954" s="2">
        <v>55</v>
      </c>
      <c r="E954" s="2">
        <v>55</v>
      </c>
      <c r="F954" s="2" t="s">
        <v>3853</v>
      </c>
      <c r="H954" s="2" t="s">
        <v>17</v>
      </c>
      <c r="K954" s="4">
        <v>23442</v>
      </c>
      <c r="M954" s="2" t="s">
        <v>571</v>
      </c>
      <c r="N954" s="2" t="s">
        <v>572</v>
      </c>
    </row>
    <row r="955" spans="1:14">
      <c r="A955" s="2">
        <v>954</v>
      </c>
      <c r="B955" s="3" t="s">
        <v>3854</v>
      </c>
      <c r="C955" s="2" t="s">
        <v>3855</v>
      </c>
      <c r="D955" s="2">
        <v>55</v>
      </c>
      <c r="E955" s="2">
        <v>55</v>
      </c>
      <c r="F955" s="2" t="s">
        <v>3856</v>
      </c>
      <c r="H955" s="2" t="s">
        <v>17</v>
      </c>
      <c r="K955" s="4">
        <v>19990</v>
      </c>
      <c r="M955" s="2" t="s">
        <v>40</v>
      </c>
      <c r="N955" s="2" t="s">
        <v>3857</v>
      </c>
    </row>
    <row r="956" spans="1:14">
      <c r="A956" s="2">
        <v>955</v>
      </c>
      <c r="B956" s="3" t="s">
        <v>3858</v>
      </c>
      <c r="C956" s="2" t="s">
        <v>3859</v>
      </c>
      <c r="D956" s="2">
        <v>55</v>
      </c>
      <c r="E956" s="2">
        <v>55</v>
      </c>
      <c r="F956" s="2" t="s">
        <v>3860</v>
      </c>
      <c r="H956" s="2" t="s">
        <v>17</v>
      </c>
      <c r="I956" s="3" t="s">
        <v>3861</v>
      </c>
      <c r="K956" s="4">
        <v>31645</v>
      </c>
      <c r="L956" s="4">
        <v>44059</v>
      </c>
      <c r="M956" s="2" t="s">
        <v>35</v>
      </c>
      <c r="N956" s="2" t="s">
        <v>608</v>
      </c>
    </row>
    <row r="957" spans="1:14">
      <c r="A957" s="2">
        <v>956</v>
      </c>
      <c r="B957" s="3" t="s">
        <v>3862</v>
      </c>
      <c r="C957" s="2" t="s">
        <v>3863</v>
      </c>
      <c r="D957" s="2">
        <v>55</v>
      </c>
      <c r="E957" s="2">
        <v>55</v>
      </c>
      <c r="F957" s="2" t="s">
        <v>3864</v>
      </c>
      <c r="H957" s="2" t="s">
        <v>17</v>
      </c>
      <c r="K957" s="4">
        <v>24062</v>
      </c>
      <c r="M957" s="2" t="s">
        <v>66</v>
      </c>
      <c r="N957" s="2" t="s">
        <v>3865</v>
      </c>
    </row>
    <row r="958" spans="1:14">
      <c r="A958" s="2">
        <v>957</v>
      </c>
      <c r="B958" s="3" t="s">
        <v>3866</v>
      </c>
      <c r="C958" s="2" t="s">
        <v>3867</v>
      </c>
      <c r="D958" s="2">
        <v>55</v>
      </c>
      <c r="E958" s="2">
        <v>55</v>
      </c>
      <c r="F958" s="2" t="s">
        <v>3868</v>
      </c>
      <c r="H958" s="2" t="s">
        <v>45</v>
      </c>
      <c r="K958" s="4">
        <v>23677</v>
      </c>
      <c r="M958" s="2" t="s">
        <v>341</v>
      </c>
      <c r="N958" s="2" t="s">
        <v>342</v>
      </c>
    </row>
    <row r="959" spans="1:14">
      <c r="A959" s="2">
        <v>958</v>
      </c>
      <c r="B959" s="3" t="s">
        <v>3869</v>
      </c>
      <c r="C959" s="2" t="s">
        <v>3870</v>
      </c>
      <c r="D959" s="2">
        <v>55</v>
      </c>
      <c r="E959" s="2">
        <v>55</v>
      </c>
      <c r="F959" s="2" t="s">
        <v>3871</v>
      </c>
      <c r="H959" s="2" t="s">
        <v>17</v>
      </c>
      <c r="K959" s="4">
        <v>23646</v>
      </c>
      <c r="M959" s="2" t="s">
        <v>662</v>
      </c>
      <c r="N959" s="2" t="s">
        <v>663</v>
      </c>
    </row>
    <row r="960" spans="1:14">
      <c r="A960" s="2">
        <v>959</v>
      </c>
      <c r="B960" s="3" t="s">
        <v>3872</v>
      </c>
      <c r="C960" s="2" t="s">
        <v>3873</v>
      </c>
      <c r="D960" s="2">
        <v>51</v>
      </c>
      <c r="E960" s="2">
        <v>55</v>
      </c>
      <c r="F960" s="2" t="s">
        <v>3874</v>
      </c>
      <c r="H960" s="2" t="s">
        <v>17</v>
      </c>
      <c r="K960" s="4">
        <v>14724</v>
      </c>
      <c r="L960" s="4">
        <v>44178</v>
      </c>
      <c r="M960" s="2" t="s">
        <v>198</v>
      </c>
      <c r="N960" s="2" t="s">
        <v>199</v>
      </c>
    </row>
    <row r="961" spans="1:14">
      <c r="A961" s="2">
        <v>960</v>
      </c>
      <c r="B961" s="3" t="s">
        <v>3875</v>
      </c>
      <c r="C961" s="2" t="s">
        <v>3876</v>
      </c>
      <c r="D961" s="2">
        <v>52</v>
      </c>
      <c r="E961" s="2">
        <v>55</v>
      </c>
      <c r="F961" s="2" t="s">
        <v>3877</v>
      </c>
      <c r="H961" s="2" t="s">
        <v>17</v>
      </c>
      <c r="K961" s="4">
        <v>21039</v>
      </c>
      <c r="M961" s="2" t="s">
        <v>192</v>
      </c>
      <c r="N961" s="2" t="s">
        <v>3878</v>
      </c>
    </row>
    <row r="962" spans="1:14">
      <c r="A962" s="2">
        <v>961</v>
      </c>
      <c r="B962" s="3" t="s">
        <v>3879</v>
      </c>
      <c r="C962" s="2" t="s">
        <v>3880</v>
      </c>
      <c r="D962" s="2">
        <v>55</v>
      </c>
      <c r="E962" s="2">
        <v>55</v>
      </c>
      <c r="F962" s="2" t="s">
        <v>3881</v>
      </c>
      <c r="H962" s="2" t="s">
        <v>17</v>
      </c>
      <c r="K962" s="4">
        <v>22241</v>
      </c>
      <c r="M962" s="2" t="s">
        <v>66</v>
      </c>
      <c r="N962" s="2" t="s">
        <v>71</v>
      </c>
    </row>
    <row r="963" spans="1:14">
      <c r="A963" s="2">
        <v>962</v>
      </c>
      <c r="B963" s="3" t="s">
        <v>3882</v>
      </c>
      <c r="C963" s="2" t="s">
        <v>3883</v>
      </c>
      <c r="D963" s="2">
        <v>50</v>
      </c>
      <c r="E963" s="2">
        <v>55</v>
      </c>
      <c r="F963" s="2" t="s">
        <v>3884</v>
      </c>
      <c r="H963" s="2" t="s">
        <v>17</v>
      </c>
      <c r="K963" s="4">
        <v>17237</v>
      </c>
      <c r="M963" s="2" t="s">
        <v>35</v>
      </c>
      <c r="N963" s="2" t="s">
        <v>3885</v>
      </c>
    </row>
    <row r="964" spans="1:14">
      <c r="A964" s="2">
        <v>963</v>
      </c>
      <c r="B964" s="3" t="s">
        <v>3886</v>
      </c>
      <c r="C964" s="2" t="s">
        <v>3887</v>
      </c>
      <c r="D964" s="2">
        <v>52</v>
      </c>
      <c r="E964" s="2">
        <v>55</v>
      </c>
      <c r="F964" s="2" t="s">
        <v>3888</v>
      </c>
      <c r="H964" s="2" t="s">
        <v>17</v>
      </c>
      <c r="K964" s="4">
        <v>19223</v>
      </c>
      <c r="M964" s="2" t="s">
        <v>30</v>
      </c>
      <c r="N964" s="2" t="s">
        <v>31</v>
      </c>
    </row>
    <row r="965" spans="1:14">
      <c r="A965" s="2">
        <v>964</v>
      </c>
      <c r="B965" s="3" t="s">
        <v>3889</v>
      </c>
      <c r="C965" s="2" t="s">
        <v>3890</v>
      </c>
      <c r="D965" s="2">
        <v>51</v>
      </c>
      <c r="E965" s="2">
        <v>55</v>
      </c>
      <c r="F965" s="2" t="s">
        <v>3891</v>
      </c>
      <c r="H965" s="2" t="s">
        <v>17</v>
      </c>
      <c r="K965" s="4">
        <v>20839</v>
      </c>
      <c r="M965" s="2" t="s">
        <v>170</v>
      </c>
      <c r="N965" s="2" t="s">
        <v>3654</v>
      </c>
    </row>
    <row r="966" spans="1:14">
      <c r="A966" s="2">
        <v>965</v>
      </c>
      <c r="B966" s="3" t="s">
        <v>3892</v>
      </c>
      <c r="C966" s="2" t="s">
        <v>3893</v>
      </c>
      <c r="D966" s="2">
        <v>55</v>
      </c>
      <c r="E966" s="2">
        <v>55</v>
      </c>
      <c r="F966" s="2" t="s">
        <v>3893</v>
      </c>
      <c r="H966" s="2" t="s">
        <v>17</v>
      </c>
      <c r="K966" s="4">
        <v>23294</v>
      </c>
      <c r="M966" s="2" t="s">
        <v>66</v>
      </c>
      <c r="N966" s="2" t="s">
        <v>3894</v>
      </c>
    </row>
    <row r="967" spans="1:14">
      <c r="A967" s="2">
        <v>966</v>
      </c>
      <c r="B967" s="3" t="s">
        <v>3895</v>
      </c>
      <c r="C967" s="2" t="s">
        <v>3896</v>
      </c>
      <c r="D967" s="2">
        <v>54</v>
      </c>
      <c r="E967" s="2">
        <v>55</v>
      </c>
      <c r="F967" s="2" t="s">
        <v>3897</v>
      </c>
      <c r="H967" s="2" t="s">
        <v>17</v>
      </c>
      <c r="K967" s="4">
        <v>19793</v>
      </c>
      <c r="M967" s="2" t="s">
        <v>53</v>
      </c>
      <c r="N967" s="2" t="s">
        <v>1697</v>
      </c>
    </row>
    <row r="968" spans="1:14">
      <c r="A968" s="2">
        <v>967</v>
      </c>
      <c r="B968" s="3" t="s">
        <v>3898</v>
      </c>
      <c r="C968" s="2" t="s">
        <v>3899</v>
      </c>
      <c r="D968" s="2">
        <v>55</v>
      </c>
      <c r="E968" s="2">
        <v>55</v>
      </c>
      <c r="F968" s="2" t="s">
        <v>3900</v>
      </c>
      <c r="H968" s="2" t="s">
        <v>17</v>
      </c>
      <c r="K968" s="4">
        <v>21371</v>
      </c>
      <c r="M968" s="2" t="s">
        <v>247</v>
      </c>
      <c r="N968" s="2" t="s">
        <v>562</v>
      </c>
    </row>
    <row r="969" spans="1:14">
      <c r="A969" s="2">
        <v>968</v>
      </c>
      <c r="B969" s="3" t="s">
        <v>3901</v>
      </c>
      <c r="C969" s="2" t="s">
        <v>3902</v>
      </c>
      <c r="D969" s="2">
        <v>49</v>
      </c>
      <c r="E969" s="2">
        <v>55</v>
      </c>
      <c r="F969" s="2" t="s">
        <v>3903</v>
      </c>
      <c r="H969" s="2" t="s">
        <v>17</v>
      </c>
      <c r="K969" s="4">
        <v>21132</v>
      </c>
      <c r="M969" s="2" t="s">
        <v>423</v>
      </c>
      <c r="N969" s="2" t="s">
        <v>1134</v>
      </c>
    </row>
    <row r="970" spans="1:14">
      <c r="A970" s="2">
        <v>969</v>
      </c>
      <c r="B970" s="3" t="s">
        <v>3904</v>
      </c>
      <c r="C970" s="2" t="s">
        <v>3905</v>
      </c>
      <c r="D970" s="2">
        <v>53</v>
      </c>
      <c r="E970" s="2">
        <v>55</v>
      </c>
      <c r="F970" s="2" t="s">
        <v>3906</v>
      </c>
      <c r="H970" s="2" t="s">
        <v>17</v>
      </c>
      <c r="K970" s="4">
        <v>14470</v>
      </c>
      <c r="M970" s="2" t="s">
        <v>140</v>
      </c>
      <c r="N970" s="2" t="s">
        <v>294</v>
      </c>
    </row>
    <row r="971" spans="1:14">
      <c r="A971" s="2">
        <v>970</v>
      </c>
      <c r="B971" s="3" t="s">
        <v>3907</v>
      </c>
      <c r="C971" s="2" t="s">
        <v>3908</v>
      </c>
      <c r="D971" s="2">
        <v>55</v>
      </c>
      <c r="E971" s="2">
        <v>55</v>
      </c>
      <c r="F971" s="2" t="s">
        <v>3909</v>
      </c>
      <c r="H971" s="2" t="s">
        <v>17</v>
      </c>
      <c r="K971" s="4">
        <v>21193</v>
      </c>
      <c r="M971" s="2" t="s">
        <v>146</v>
      </c>
      <c r="N971" s="2" t="s">
        <v>3910</v>
      </c>
    </row>
    <row r="972" spans="1:14">
      <c r="A972" s="2">
        <v>971</v>
      </c>
      <c r="B972" s="3" t="s">
        <v>3911</v>
      </c>
      <c r="C972" s="2" t="s">
        <v>3912</v>
      </c>
      <c r="D972" s="2">
        <v>55</v>
      </c>
      <c r="E972" s="2">
        <v>55</v>
      </c>
      <c r="F972" s="2" t="s">
        <v>3913</v>
      </c>
      <c r="H972" s="2" t="s">
        <v>45</v>
      </c>
      <c r="K972" s="4">
        <v>24108</v>
      </c>
      <c r="M972" s="2" t="s">
        <v>164</v>
      </c>
      <c r="N972" s="2" t="s">
        <v>3914</v>
      </c>
    </row>
    <row r="973" spans="1:14">
      <c r="A973" s="2">
        <v>972</v>
      </c>
      <c r="B973" s="3" t="s">
        <v>3915</v>
      </c>
      <c r="C973" s="2" t="s">
        <v>3916</v>
      </c>
      <c r="D973" s="2">
        <v>55</v>
      </c>
      <c r="E973" s="2">
        <v>55</v>
      </c>
      <c r="F973" s="2" t="s">
        <v>3917</v>
      </c>
      <c r="H973" s="2" t="s">
        <v>17</v>
      </c>
      <c r="K973" s="4">
        <v>24397</v>
      </c>
      <c r="M973" s="2" t="s">
        <v>341</v>
      </c>
      <c r="N973" s="2" t="s">
        <v>3918</v>
      </c>
    </row>
    <row r="974" spans="1:14">
      <c r="A974" s="2">
        <v>973</v>
      </c>
      <c r="B974" s="3" t="s">
        <v>3919</v>
      </c>
      <c r="C974" s="2" t="s">
        <v>3920</v>
      </c>
      <c r="D974" s="2">
        <v>55</v>
      </c>
      <c r="E974" s="2">
        <v>55</v>
      </c>
      <c r="F974" s="2" t="s">
        <v>3921</v>
      </c>
      <c r="H974" s="2" t="s">
        <v>45</v>
      </c>
      <c r="K974" s="4">
        <v>13341</v>
      </c>
      <c r="M974" s="2" t="s">
        <v>198</v>
      </c>
      <c r="N974" s="2" t="s">
        <v>3922</v>
      </c>
    </row>
    <row r="975" spans="1:14">
      <c r="A975" s="2">
        <v>974</v>
      </c>
      <c r="B975" s="3" t="s">
        <v>3923</v>
      </c>
      <c r="C975" s="2" t="s">
        <v>3924</v>
      </c>
      <c r="D975" s="2">
        <v>55</v>
      </c>
      <c r="E975" s="2">
        <v>55</v>
      </c>
      <c r="F975" s="2" t="s">
        <v>3925</v>
      </c>
      <c r="H975" s="2" t="s">
        <v>45</v>
      </c>
      <c r="K975" s="4">
        <v>27019</v>
      </c>
      <c r="M975" s="2" t="s">
        <v>170</v>
      </c>
      <c r="N975" s="2" t="s">
        <v>1624</v>
      </c>
    </row>
    <row r="976" spans="1:14">
      <c r="A976" s="2">
        <v>975</v>
      </c>
      <c r="B976" s="3" t="s">
        <v>3926</v>
      </c>
      <c r="C976" s="2" t="s">
        <v>3927</v>
      </c>
      <c r="D976" s="2">
        <v>55</v>
      </c>
      <c r="E976" s="2">
        <v>55</v>
      </c>
      <c r="F976" s="2" t="s">
        <v>3928</v>
      </c>
      <c r="H976" s="2" t="s">
        <v>45</v>
      </c>
      <c r="K976" s="4">
        <v>19330</v>
      </c>
      <c r="M976" s="2" t="s">
        <v>35</v>
      </c>
      <c r="N976" s="2" t="s">
        <v>3929</v>
      </c>
    </row>
    <row r="977" spans="1:14">
      <c r="A977" s="2">
        <v>976</v>
      </c>
      <c r="B977" s="3" t="s">
        <v>3930</v>
      </c>
      <c r="C977" s="2" t="s">
        <v>3931</v>
      </c>
      <c r="D977" s="2">
        <v>55</v>
      </c>
      <c r="E977" s="2">
        <v>55</v>
      </c>
      <c r="F977" s="2" t="s">
        <v>3932</v>
      </c>
      <c r="H977" s="2" t="s">
        <v>17</v>
      </c>
      <c r="K977" s="4">
        <v>30612</v>
      </c>
      <c r="M977" s="2" t="s">
        <v>53</v>
      </c>
      <c r="N977" s="2" t="s">
        <v>3933</v>
      </c>
    </row>
    <row r="978" spans="1:14">
      <c r="A978" s="2">
        <v>977</v>
      </c>
      <c r="B978" s="3" t="s">
        <v>3934</v>
      </c>
      <c r="C978" s="2" t="s">
        <v>3935</v>
      </c>
      <c r="D978" s="2">
        <v>53</v>
      </c>
      <c r="E978" s="2">
        <v>55</v>
      </c>
      <c r="F978" s="2" t="s">
        <v>3935</v>
      </c>
      <c r="H978" s="2" t="s">
        <v>17</v>
      </c>
      <c r="K978" s="4">
        <v>28086</v>
      </c>
      <c r="M978" s="2" t="s">
        <v>185</v>
      </c>
      <c r="N978" s="2" t="s">
        <v>1571</v>
      </c>
    </row>
    <row r="979" spans="1:14">
      <c r="A979" s="2">
        <v>978</v>
      </c>
      <c r="B979" s="3" t="s">
        <v>3936</v>
      </c>
      <c r="C979" s="2" t="s">
        <v>3937</v>
      </c>
      <c r="D979" s="2">
        <v>55</v>
      </c>
      <c r="E979" s="2">
        <v>55</v>
      </c>
      <c r="F979" s="2" t="s">
        <v>3938</v>
      </c>
      <c r="H979" s="2" t="s">
        <v>17</v>
      </c>
      <c r="K979" s="4">
        <v>22227</v>
      </c>
      <c r="M979" s="2" t="s">
        <v>40</v>
      </c>
      <c r="N979" s="2" t="s">
        <v>1017</v>
      </c>
    </row>
    <row r="980" spans="1:14">
      <c r="A980" s="2">
        <v>979</v>
      </c>
      <c r="B980" s="3" t="s">
        <v>3939</v>
      </c>
      <c r="C980" s="2" t="s">
        <v>3940</v>
      </c>
      <c r="D980" s="2">
        <v>53</v>
      </c>
      <c r="E980" s="2">
        <v>55</v>
      </c>
      <c r="F980" s="2" t="s">
        <v>3941</v>
      </c>
      <c r="H980" s="2" t="s">
        <v>17</v>
      </c>
      <c r="K980" s="4">
        <v>22190</v>
      </c>
      <c r="M980" s="2" t="s">
        <v>423</v>
      </c>
      <c r="N980" s="2" t="s">
        <v>3942</v>
      </c>
    </row>
    <row r="981" spans="1:14">
      <c r="A981" s="2">
        <v>980</v>
      </c>
      <c r="B981" s="3" t="s">
        <v>3943</v>
      </c>
      <c r="C981" s="2" t="s">
        <v>3944</v>
      </c>
      <c r="D981" s="2">
        <v>55</v>
      </c>
      <c r="E981" s="2">
        <v>55</v>
      </c>
      <c r="F981" s="2" t="s">
        <v>3945</v>
      </c>
      <c r="H981" s="2" t="s">
        <v>17</v>
      </c>
      <c r="K981" s="4">
        <v>27198</v>
      </c>
      <c r="M981" s="2" t="s">
        <v>170</v>
      </c>
      <c r="N981" s="2" t="s">
        <v>2533</v>
      </c>
    </row>
    <row r="982" spans="1:14">
      <c r="A982" s="2">
        <v>981</v>
      </c>
      <c r="B982" s="3" t="s">
        <v>3946</v>
      </c>
      <c r="C982" s="2" t="s">
        <v>3947</v>
      </c>
      <c r="D982" s="2">
        <v>55</v>
      </c>
      <c r="E982" s="2">
        <v>55</v>
      </c>
      <c r="F982" s="2" t="s">
        <v>3948</v>
      </c>
      <c r="H982" s="2" t="s">
        <v>17</v>
      </c>
      <c r="I982" s="2" t="s">
        <v>3949</v>
      </c>
      <c r="J982" s="3" t="s">
        <v>3950</v>
      </c>
      <c r="K982" s="4">
        <v>21656</v>
      </c>
      <c r="M982" s="2" t="s">
        <v>47</v>
      </c>
      <c r="N982" s="2" t="s">
        <v>48</v>
      </c>
    </row>
    <row r="983" spans="1:14">
      <c r="A983" s="2">
        <v>982</v>
      </c>
      <c r="B983" s="3" t="s">
        <v>3951</v>
      </c>
      <c r="C983" s="2" t="s">
        <v>3952</v>
      </c>
      <c r="D983" s="2">
        <v>54</v>
      </c>
      <c r="E983" s="2">
        <v>55</v>
      </c>
      <c r="F983" s="2" t="s">
        <v>3953</v>
      </c>
      <c r="H983" s="2" t="s">
        <v>17</v>
      </c>
      <c r="I983" s="3" t="s">
        <v>3954</v>
      </c>
      <c r="K983" s="4">
        <v>25653</v>
      </c>
      <c r="M983" s="2" t="s">
        <v>154</v>
      </c>
      <c r="N983" s="2" t="s">
        <v>346</v>
      </c>
    </row>
    <row r="984" spans="1:14">
      <c r="A984" s="2">
        <v>983</v>
      </c>
      <c r="B984" s="3" t="s">
        <v>3955</v>
      </c>
      <c r="C984" s="2" t="s">
        <v>3956</v>
      </c>
      <c r="D984" s="2">
        <v>52</v>
      </c>
      <c r="E984" s="2">
        <v>55</v>
      </c>
      <c r="F984" s="2" t="s">
        <v>3957</v>
      </c>
      <c r="H984" s="2" t="s">
        <v>17</v>
      </c>
      <c r="K984" s="4">
        <v>21790</v>
      </c>
      <c r="M984" s="2" t="s">
        <v>170</v>
      </c>
      <c r="N984" s="2" t="s">
        <v>3958</v>
      </c>
    </row>
    <row r="985" spans="1:14">
      <c r="A985" s="2">
        <v>984</v>
      </c>
      <c r="B985" s="3" t="s">
        <v>3959</v>
      </c>
      <c r="C985" s="2" t="s">
        <v>3960</v>
      </c>
      <c r="D985" s="2">
        <v>55</v>
      </c>
      <c r="E985" s="2">
        <v>55</v>
      </c>
      <c r="F985" s="2" t="s">
        <v>3961</v>
      </c>
      <c r="H985" s="2" t="s">
        <v>17</v>
      </c>
      <c r="K985" s="4">
        <v>22989</v>
      </c>
      <c r="M985" s="2" t="s">
        <v>185</v>
      </c>
      <c r="N985" s="2" t="s">
        <v>3962</v>
      </c>
    </row>
    <row r="986" spans="1:14">
      <c r="A986" s="2">
        <v>985</v>
      </c>
      <c r="B986" s="3" t="s">
        <v>3963</v>
      </c>
      <c r="C986" s="2" t="s">
        <v>3964</v>
      </c>
      <c r="D986" s="2">
        <v>55</v>
      </c>
      <c r="E986" s="2">
        <v>55</v>
      </c>
      <c r="F986" s="2" t="s">
        <v>3965</v>
      </c>
      <c r="H986" s="2" t="s">
        <v>17</v>
      </c>
      <c r="K986" s="4">
        <v>18480</v>
      </c>
      <c r="M986" s="2" t="s">
        <v>85</v>
      </c>
      <c r="N986" s="2" t="s">
        <v>86</v>
      </c>
    </row>
    <row r="987" spans="1:14">
      <c r="A987" s="2">
        <v>986</v>
      </c>
      <c r="B987" s="3" t="s">
        <v>3966</v>
      </c>
      <c r="C987" s="2" t="s">
        <v>3967</v>
      </c>
      <c r="D987" s="2">
        <v>54</v>
      </c>
      <c r="E987" s="2">
        <v>55</v>
      </c>
      <c r="F987" s="2" t="s">
        <v>3968</v>
      </c>
      <c r="H987" s="2" t="s">
        <v>17</v>
      </c>
      <c r="K987" s="4">
        <v>19148</v>
      </c>
      <c r="M987" s="2" t="s">
        <v>192</v>
      </c>
      <c r="N987" s="2" t="s">
        <v>3969</v>
      </c>
    </row>
    <row r="988" spans="1:14">
      <c r="A988" s="2">
        <v>987</v>
      </c>
      <c r="B988" s="3" t="s">
        <v>3970</v>
      </c>
      <c r="C988" s="2" t="s">
        <v>3971</v>
      </c>
      <c r="D988" s="2">
        <v>53</v>
      </c>
      <c r="E988" s="2">
        <v>55</v>
      </c>
      <c r="F988" s="2" t="s">
        <v>3972</v>
      </c>
      <c r="H988" s="2" t="s">
        <v>17</v>
      </c>
      <c r="K988" s="4">
        <v>23513</v>
      </c>
      <c r="M988" s="2" t="s">
        <v>47</v>
      </c>
      <c r="N988" s="2" t="s">
        <v>417</v>
      </c>
    </row>
    <row r="989" spans="1:14">
      <c r="A989" s="2">
        <v>988</v>
      </c>
      <c r="B989" s="3" t="s">
        <v>3973</v>
      </c>
      <c r="C989" s="2" t="s">
        <v>3974</v>
      </c>
      <c r="D989" s="2">
        <v>50</v>
      </c>
      <c r="E989" s="2">
        <v>55</v>
      </c>
      <c r="F989" s="2" t="s">
        <v>3975</v>
      </c>
      <c r="H989" s="2" t="s">
        <v>17</v>
      </c>
      <c r="I989" s="2" t="s">
        <v>3976</v>
      </c>
      <c r="K989" s="4">
        <v>18109</v>
      </c>
      <c r="M989" s="2" t="s">
        <v>47</v>
      </c>
      <c r="N989" s="2" t="s">
        <v>3977</v>
      </c>
    </row>
    <row r="990" spans="1:14">
      <c r="A990" s="2">
        <v>989</v>
      </c>
      <c r="B990" s="3" t="s">
        <v>3978</v>
      </c>
      <c r="C990" s="2" t="s">
        <v>3979</v>
      </c>
      <c r="D990" s="2">
        <v>50</v>
      </c>
      <c r="E990" s="2">
        <v>55</v>
      </c>
      <c r="F990" s="2" t="s">
        <v>3980</v>
      </c>
      <c r="H990" s="2" t="s">
        <v>17</v>
      </c>
      <c r="K990" s="4">
        <v>18328</v>
      </c>
      <c r="M990" s="2" t="s">
        <v>423</v>
      </c>
      <c r="N990" s="2" t="s">
        <v>3981</v>
      </c>
    </row>
    <row r="991" spans="1:14">
      <c r="A991" s="2">
        <v>990</v>
      </c>
      <c r="B991" s="3" t="s">
        <v>3982</v>
      </c>
      <c r="C991" s="2" t="s">
        <v>3983</v>
      </c>
      <c r="D991" s="2">
        <v>54</v>
      </c>
      <c r="E991" s="2">
        <v>55</v>
      </c>
      <c r="F991" s="2" t="s">
        <v>3984</v>
      </c>
      <c r="H991" s="2" t="s">
        <v>17</v>
      </c>
      <c r="K991" s="4">
        <v>21819</v>
      </c>
      <c r="M991" s="2" t="s">
        <v>154</v>
      </c>
      <c r="N991" s="2" t="s">
        <v>935</v>
      </c>
    </row>
    <row r="992" spans="1:14">
      <c r="A992" s="2">
        <v>991</v>
      </c>
      <c r="B992" s="3" t="s">
        <v>3985</v>
      </c>
      <c r="C992" s="2" t="s">
        <v>3986</v>
      </c>
      <c r="D992" s="2">
        <v>52</v>
      </c>
      <c r="E992" s="2">
        <v>55</v>
      </c>
      <c r="F992" s="2" t="s">
        <v>3987</v>
      </c>
      <c r="H992" s="2" t="s">
        <v>17</v>
      </c>
      <c r="K992" s="4">
        <v>21457</v>
      </c>
      <c r="M992" s="2" t="s">
        <v>170</v>
      </c>
      <c r="N992" s="2" t="s">
        <v>323</v>
      </c>
    </row>
    <row r="993" spans="1:14">
      <c r="A993" s="2">
        <v>992</v>
      </c>
      <c r="B993" s="3" t="s">
        <v>3988</v>
      </c>
      <c r="C993" s="2" t="s">
        <v>3989</v>
      </c>
      <c r="D993" s="2">
        <v>55</v>
      </c>
      <c r="E993" s="2">
        <v>55</v>
      </c>
      <c r="F993" s="2" t="s">
        <v>3990</v>
      </c>
      <c r="H993" s="2" t="s">
        <v>17</v>
      </c>
      <c r="I993" s="2" t="s">
        <v>3991</v>
      </c>
      <c r="K993" s="4">
        <v>29975</v>
      </c>
      <c r="M993" s="2" t="s">
        <v>192</v>
      </c>
      <c r="N993" s="2" t="s">
        <v>3992</v>
      </c>
    </row>
    <row r="994" spans="1:14">
      <c r="A994" s="2">
        <v>993</v>
      </c>
      <c r="B994" s="3" t="s">
        <v>3993</v>
      </c>
      <c r="C994" s="2" t="s">
        <v>3994</v>
      </c>
      <c r="D994" s="2">
        <v>55</v>
      </c>
      <c r="E994" s="2">
        <v>55</v>
      </c>
      <c r="F994" s="2" t="s">
        <v>3995</v>
      </c>
      <c r="H994" s="2" t="s">
        <v>45</v>
      </c>
      <c r="K994" s="4">
        <v>28183</v>
      </c>
      <c r="M994" s="2" t="s">
        <v>185</v>
      </c>
      <c r="N994" s="2" t="s">
        <v>3996</v>
      </c>
    </row>
    <row r="995" spans="1:14">
      <c r="A995" s="2">
        <v>994</v>
      </c>
      <c r="B995" s="3" t="s">
        <v>3997</v>
      </c>
      <c r="C995" s="2" t="s">
        <v>3998</v>
      </c>
      <c r="D995" s="2">
        <v>54</v>
      </c>
      <c r="E995" s="2">
        <v>55</v>
      </c>
      <c r="F995" s="2" t="s">
        <v>3999</v>
      </c>
      <c r="H995" s="2" t="s">
        <v>17</v>
      </c>
      <c r="K995" s="4">
        <v>23771</v>
      </c>
      <c r="M995" s="2" t="s">
        <v>40</v>
      </c>
      <c r="N995" s="2" t="s">
        <v>41</v>
      </c>
    </row>
    <row r="996" spans="1:14">
      <c r="A996" s="2">
        <v>995</v>
      </c>
      <c r="B996" s="3" t="s">
        <v>4000</v>
      </c>
      <c r="C996" s="2" t="s">
        <v>4001</v>
      </c>
      <c r="D996" s="2">
        <v>54</v>
      </c>
      <c r="E996" s="2">
        <v>55</v>
      </c>
      <c r="F996" s="2" t="s">
        <v>4002</v>
      </c>
      <c r="H996" s="2" t="s">
        <v>17</v>
      </c>
      <c r="K996" s="4">
        <v>19399</v>
      </c>
      <c r="M996" s="2" t="s">
        <v>30</v>
      </c>
      <c r="N996" s="2" t="s">
        <v>4003</v>
      </c>
    </row>
    <row r="997" spans="1:14">
      <c r="A997" s="2">
        <v>996</v>
      </c>
      <c r="B997" s="3" t="s">
        <v>4004</v>
      </c>
      <c r="C997" s="2" t="s">
        <v>4005</v>
      </c>
      <c r="D997" s="2">
        <v>46</v>
      </c>
      <c r="E997" s="2">
        <v>55</v>
      </c>
      <c r="F997" s="2" t="s">
        <v>4006</v>
      </c>
      <c r="H997" s="2" t="s">
        <v>17</v>
      </c>
      <c r="K997" s="4">
        <v>17522</v>
      </c>
      <c r="M997" s="2" t="s">
        <v>423</v>
      </c>
      <c r="N997" s="2" t="s">
        <v>3005</v>
      </c>
    </row>
    <row r="998" spans="1:14">
      <c r="A998" s="2">
        <v>997</v>
      </c>
      <c r="B998" s="3" t="s">
        <v>4007</v>
      </c>
      <c r="C998" s="2" t="s">
        <v>4008</v>
      </c>
      <c r="D998" s="2">
        <v>55</v>
      </c>
      <c r="E998" s="2">
        <v>55</v>
      </c>
      <c r="F998" s="2" t="s">
        <v>4009</v>
      </c>
      <c r="H998" s="2" t="s">
        <v>45</v>
      </c>
      <c r="K998" s="4">
        <v>27869</v>
      </c>
      <c r="M998" s="2" t="s">
        <v>185</v>
      </c>
      <c r="N998" s="2" t="s">
        <v>3996</v>
      </c>
    </row>
    <row r="999" spans="1:14">
      <c r="A999" s="2">
        <v>998</v>
      </c>
      <c r="B999" s="3" t="s">
        <v>4010</v>
      </c>
      <c r="C999" s="2" t="s">
        <v>4011</v>
      </c>
      <c r="D999" s="2">
        <v>55</v>
      </c>
      <c r="E999" s="2">
        <v>55</v>
      </c>
      <c r="F999" s="2" t="s">
        <v>4012</v>
      </c>
      <c r="H999" s="2" t="s">
        <v>17</v>
      </c>
      <c r="K999" s="4">
        <v>29475</v>
      </c>
      <c r="M999" s="2" t="s">
        <v>47</v>
      </c>
      <c r="N999" s="2" t="s">
        <v>1980</v>
      </c>
    </row>
    <row r="1000" spans="1:14">
      <c r="A1000" s="2">
        <v>999</v>
      </c>
      <c r="B1000" s="3" t="s">
        <v>4013</v>
      </c>
      <c r="C1000" s="2" t="s">
        <v>4014</v>
      </c>
      <c r="D1000" s="2">
        <v>55</v>
      </c>
      <c r="E1000" s="2">
        <v>55</v>
      </c>
      <c r="F1000" s="2" t="s">
        <v>4015</v>
      </c>
      <c r="H1000" s="2" t="s">
        <v>17</v>
      </c>
      <c r="K1000" s="4">
        <v>23312</v>
      </c>
      <c r="M1000" s="2" t="s">
        <v>47</v>
      </c>
      <c r="N1000" s="2" t="s">
        <v>4016</v>
      </c>
    </row>
    <row r="1001" spans="1:14">
      <c r="A1001" s="2">
        <v>1000</v>
      </c>
      <c r="B1001" s="3" t="s">
        <v>4017</v>
      </c>
      <c r="C1001" s="2" t="s">
        <v>4018</v>
      </c>
      <c r="D1001" s="2">
        <v>55</v>
      </c>
      <c r="E1001" s="2">
        <v>55</v>
      </c>
      <c r="F1001" s="2" t="s">
        <v>4019</v>
      </c>
      <c r="H1001" s="2" t="s">
        <v>17</v>
      </c>
      <c r="K1001" s="4">
        <v>20145</v>
      </c>
      <c r="M1001" s="2" t="s">
        <v>170</v>
      </c>
      <c r="N1001" s="2" t="s">
        <v>323</v>
      </c>
    </row>
    <row r="1002" spans="1:14">
      <c r="A1002" s="2">
        <v>1001</v>
      </c>
      <c r="B1002" s="3" t="s">
        <v>4020</v>
      </c>
      <c r="C1002" s="2" t="s">
        <v>4021</v>
      </c>
      <c r="D1002" s="2">
        <v>55</v>
      </c>
      <c r="E1002" s="2">
        <v>55</v>
      </c>
      <c r="F1002" s="2" t="s">
        <v>4022</v>
      </c>
      <c r="H1002" s="2" t="s">
        <v>17</v>
      </c>
      <c r="K1002" s="4">
        <v>27266</v>
      </c>
      <c r="M1002" s="2" t="s">
        <v>170</v>
      </c>
      <c r="N1002" s="2" t="s">
        <v>171</v>
      </c>
    </row>
    <row r="1003" spans="1:14">
      <c r="A1003" s="2">
        <v>1002</v>
      </c>
      <c r="B1003" s="3" t="s">
        <v>4023</v>
      </c>
      <c r="C1003" s="2" t="s">
        <v>4024</v>
      </c>
      <c r="D1003" s="2">
        <v>55</v>
      </c>
      <c r="E1003" s="2">
        <v>55</v>
      </c>
      <c r="F1003" s="2" t="s">
        <v>4025</v>
      </c>
      <c r="H1003" s="2" t="s">
        <v>17</v>
      </c>
      <c r="K1003" s="4">
        <v>30205</v>
      </c>
      <c r="M1003" s="2" t="s">
        <v>53</v>
      </c>
      <c r="N1003" s="2" t="s">
        <v>847</v>
      </c>
    </row>
    <row r="1004" spans="1:14">
      <c r="A1004" s="2">
        <v>1003</v>
      </c>
      <c r="B1004" s="3" t="s">
        <v>4026</v>
      </c>
      <c r="C1004" s="2" t="s">
        <v>4027</v>
      </c>
      <c r="D1004" s="2">
        <v>55</v>
      </c>
      <c r="E1004" s="2">
        <v>55</v>
      </c>
      <c r="F1004" s="2" t="s">
        <v>4028</v>
      </c>
      <c r="H1004" s="2" t="s">
        <v>17</v>
      </c>
      <c r="K1004" s="4">
        <v>27576</v>
      </c>
      <c r="M1004" s="2" t="s">
        <v>154</v>
      </c>
      <c r="N1004" s="2" t="s">
        <v>208</v>
      </c>
    </row>
    <row r="1005" spans="1:14">
      <c r="A1005" s="2">
        <v>1004</v>
      </c>
      <c r="B1005" s="3" t="s">
        <v>4029</v>
      </c>
      <c r="C1005" s="2" t="s">
        <v>4030</v>
      </c>
      <c r="D1005" s="2">
        <v>53</v>
      </c>
      <c r="E1005" s="2">
        <v>55</v>
      </c>
      <c r="F1005" s="2" t="s">
        <v>4031</v>
      </c>
      <c r="H1005" s="2" t="s">
        <v>17</v>
      </c>
      <c r="K1005" s="4">
        <v>28850</v>
      </c>
      <c r="M1005" s="2" t="s">
        <v>170</v>
      </c>
      <c r="N1005" s="2" t="s">
        <v>323</v>
      </c>
    </row>
    <row r="1006" spans="1:14">
      <c r="A1006" s="2">
        <v>1005</v>
      </c>
      <c r="B1006" s="3" t="s">
        <v>4032</v>
      </c>
      <c r="C1006" s="2" t="s">
        <v>4033</v>
      </c>
      <c r="D1006" s="2">
        <v>53</v>
      </c>
      <c r="E1006" s="2">
        <v>55</v>
      </c>
      <c r="F1006" s="2" t="s">
        <v>4034</v>
      </c>
      <c r="H1006" s="2" t="s">
        <v>17</v>
      </c>
      <c r="K1006" s="4">
        <v>27005</v>
      </c>
      <c r="M1006" s="2" t="s">
        <v>170</v>
      </c>
      <c r="N1006" s="2" t="s">
        <v>323</v>
      </c>
    </row>
    <row r="1007" spans="1:14">
      <c r="A1007" s="2">
        <v>1006</v>
      </c>
      <c r="B1007" s="3" t="s">
        <v>4035</v>
      </c>
      <c r="C1007" s="2" t="s">
        <v>4036</v>
      </c>
      <c r="D1007" s="2">
        <v>55</v>
      </c>
      <c r="E1007" s="2">
        <v>55</v>
      </c>
      <c r="F1007" s="2" t="s">
        <v>4037</v>
      </c>
      <c r="H1007" s="2" t="s">
        <v>17</v>
      </c>
      <c r="K1007" s="4">
        <v>26210</v>
      </c>
      <c r="M1007" s="2" t="s">
        <v>30</v>
      </c>
      <c r="N1007" s="2" t="s">
        <v>31</v>
      </c>
    </row>
    <row r="1008" spans="1:14">
      <c r="A1008" s="2">
        <v>1007</v>
      </c>
      <c r="B1008" s="3" t="s">
        <v>4038</v>
      </c>
      <c r="C1008" s="2" t="s">
        <v>4039</v>
      </c>
      <c r="D1008" s="2">
        <v>54</v>
      </c>
      <c r="E1008" s="2">
        <v>55</v>
      </c>
      <c r="F1008" s="2" t="s">
        <v>4040</v>
      </c>
      <c r="H1008" s="2" t="s">
        <v>17</v>
      </c>
      <c r="K1008" s="4">
        <v>19168</v>
      </c>
      <c r="M1008" s="2" t="s">
        <v>170</v>
      </c>
      <c r="N1008" s="2" t="s">
        <v>323</v>
      </c>
    </row>
    <row r="1009" spans="1:14">
      <c r="A1009" s="2">
        <v>1008</v>
      </c>
      <c r="B1009" s="3" t="s">
        <v>4041</v>
      </c>
      <c r="C1009" s="2" t="s">
        <v>4042</v>
      </c>
      <c r="D1009" s="2">
        <v>51</v>
      </c>
      <c r="E1009" s="2">
        <v>55</v>
      </c>
      <c r="F1009" s="2" t="s">
        <v>4043</v>
      </c>
      <c r="H1009" s="2" t="s">
        <v>17</v>
      </c>
      <c r="K1009" s="4">
        <v>20667</v>
      </c>
      <c r="M1009" s="2" t="s">
        <v>66</v>
      </c>
      <c r="N1009" s="2" t="s">
        <v>3640</v>
      </c>
    </row>
    <row r="1010" spans="1:14">
      <c r="A1010" s="2">
        <v>1009</v>
      </c>
      <c r="B1010" s="3" t="s">
        <v>4044</v>
      </c>
      <c r="C1010" s="2" t="s">
        <v>4045</v>
      </c>
      <c r="D1010" s="2">
        <v>54</v>
      </c>
      <c r="E1010" s="2">
        <v>55</v>
      </c>
      <c r="F1010" s="2" t="s">
        <v>4046</v>
      </c>
      <c r="H1010" s="2" t="s">
        <v>17</v>
      </c>
      <c r="K1010" s="4">
        <v>25200</v>
      </c>
      <c r="M1010" s="2" t="s">
        <v>40</v>
      </c>
      <c r="N1010" s="2" t="s">
        <v>2573</v>
      </c>
    </row>
    <row r="1011" spans="1:14">
      <c r="A1011" s="2">
        <v>1010</v>
      </c>
      <c r="B1011" s="3" t="s">
        <v>4047</v>
      </c>
      <c r="C1011" s="2" t="s">
        <v>4048</v>
      </c>
      <c r="D1011" s="2">
        <v>55</v>
      </c>
      <c r="E1011" s="2">
        <v>55</v>
      </c>
      <c r="F1011" s="2" t="s">
        <v>4049</v>
      </c>
      <c r="H1011" s="2" t="s">
        <v>17</v>
      </c>
      <c r="K1011" s="4">
        <v>26250</v>
      </c>
      <c r="M1011" s="2" t="s">
        <v>47</v>
      </c>
      <c r="N1011" s="2" t="s">
        <v>4050</v>
      </c>
    </row>
    <row r="1012" spans="1:14">
      <c r="A1012" s="2">
        <v>1011</v>
      </c>
      <c r="B1012" s="3" t="s">
        <v>4051</v>
      </c>
      <c r="C1012" s="2" t="s">
        <v>4052</v>
      </c>
      <c r="D1012" s="2">
        <v>55</v>
      </c>
      <c r="E1012" s="2">
        <v>55</v>
      </c>
      <c r="F1012" s="2" t="s">
        <v>4053</v>
      </c>
      <c r="H1012" s="2" t="s">
        <v>17</v>
      </c>
      <c r="K1012" s="4">
        <v>24942</v>
      </c>
      <c r="M1012" s="2" t="s">
        <v>47</v>
      </c>
      <c r="N1012" s="2" t="s">
        <v>48</v>
      </c>
    </row>
    <row r="1013" spans="1:14">
      <c r="A1013" s="2">
        <v>1012</v>
      </c>
      <c r="B1013" s="3" t="s">
        <v>4054</v>
      </c>
      <c r="C1013" s="2" t="s">
        <v>4055</v>
      </c>
      <c r="D1013" s="2">
        <v>55</v>
      </c>
      <c r="E1013" s="2">
        <v>55</v>
      </c>
      <c r="F1013" s="2" t="s">
        <v>4056</v>
      </c>
      <c r="H1013" s="2" t="s">
        <v>17</v>
      </c>
      <c r="K1013" s="4">
        <v>20691</v>
      </c>
      <c r="M1013" s="2" t="s">
        <v>140</v>
      </c>
      <c r="N1013" s="2" t="s">
        <v>4057</v>
      </c>
    </row>
    <row r="1014" spans="1:14">
      <c r="A1014" s="2">
        <v>1013</v>
      </c>
      <c r="B1014" s="3" t="s">
        <v>4058</v>
      </c>
      <c r="C1014" s="2" t="s">
        <v>4059</v>
      </c>
      <c r="D1014" s="2">
        <v>54</v>
      </c>
      <c r="E1014" s="2">
        <v>55</v>
      </c>
      <c r="F1014" s="2" t="s">
        <v>4060</v>
      </c>
      <c r="H1014" s="2" t="s">
        <v>17</v>
      </c>
      <c r="I1014" s="2" t="s">
        <v>4061</v>
      </c>
      <c r="J1014" s="3" t="s">
        <v>4062</v>
      </c>
      <c r="K1014" s="4">
        <v>21814</v>
      </c>
      <c r="M1014" s="2" t="s">
        <v>170</v>
      </c>
      <c r="N1014" s="2" t="s">
        <v>323</v>
      </c>
    </row>
    <row r="1015" spans="1:14">
      <c r="A1015" s="2">
        <v>1014</v>
      </c>
      <c r="B1015" s="3" t="s">
        <v>4063</v>
      </c>
      <c r="C1015" s="2" t="s">
        <v>4064</v>
      </c>
      <c r="D1015" s="2">
        <v>55</v>
      </c>
      <c r="E1015" s="2">
        <v>55</v>
      </c>
      <c r="F1015" s="2" t="s">
        <v>4065</v>
      </c>
      <c r="H1015" s="2" t="s">
        <v>17</v>
      </c>
      <c r="K1015" s="4">
        <v>26758</v>
      </c>
      <c r="M1015" s="2" t="s">
        <v>47</v>
      </c>
      <c r="N1015" s="2" t="s">
        <v>4066</v>
      </c>
    </row>
    <row r="1016" spans="1:14">
      <c r="A1016" s="2">
        <v>1015</v>
      </c>
      <c r="B1016" s="3" t="s">
        <v>4067</v>
      </c>
      <c r="C1016" s="2" t="s">
        <v>4068</v>
      </c>
      <c r="D1016" s="2">
        <v>48</v>
      </c>
      <c r="E1016" s="2">
        <v>55</v>
      </c>
      <c r="F1016" s="2" t="s">
        <v>4069</v>
      </c>
      <c r="H1016" s="2" t="s">
        <v>17</v>
      </c>
      <c r="K1016" s="4">
        <v>20314</v>
      </c>
      <c r="M1016" s="2" t="s">
        <v>53</v>
      </c>
      <c r="N1016" s="2" t="s">
        <v>847</v>
      </c>
    </row>
    <row r="1017" spans="1:14">
      <c r="A1017" s="2">
        <v>1016</v>
      </c>
      <c r="B1017" s="3" t="s">
        <v>4070</v>
      </c>
      <c r="C1017" s="2" t="s">
        <v>4071</v>
      </c>
      <c r="D1017" s="2">
        <v>55</v>
      </c>
      <c r="E1017" s="2">
        <v>55</v>
      </c>
      <c r="F1017" s="2" t="s">
        <v>4072</v>
      </c>
      <c r="H1017" s="2" t="s">
        <v>17</v>
      </c>
      <c r="K1017" s="4">
        <v>22772</v>
      </c>
      <c r="M1017" s="2" t="s">
        <v>185</v>
      </c>
      <c r="N1017" s="2" t="s">
        <v>4073</v>
      </c>
    </row>
    <row r="1018" spans="1:14">
      <c r="A1018" s="2">
        <v>1017</v>
      </c>
      <c r="B1018" s="3" t="s">
        <v>4074</v>
      </c>
      <c r="C1018" s="2" t="s">
        <v>4075</v>
      </c>
      <c r="D1018" s="2">
        <v>54</v>
      </c>
      <c r="E1018" s="2">
        <v>55</v>
      </c>
      <c r="F1018" s="2" t="s">
        <v>4076</v>
      </c>
      <c r="H1018" s="2" t="s">
        <v>17</v>
      </c>
      <c r="I1018" s="3" t="s">
        <v>4077</v>
      </c>
      <c r="K1018" s="4">
        <v>30473</v>
      </c>
      <c r="M1018" s="2" t="s">
        <v>35</v>
      </c>
      <c r="N1018" s="2" t="s">
        <v>955</v>
      </c>
    </row>
    <row r="1019" spans="1:14">
      <c r="A1019" s="2">
        <v>1018</v>
      </c>
      <c r="B1019" s="3" t="s">
        <v>4078</v>
      </c>
      <c r="C1019" s="2" t="s">
        <v>4079</v>
      </c>
      <c r="D1019" s="2">
        <v>53</v>
      </c>
      <c r="E1019" s="2">
        <v>55</v>
      </c>
      <c r="F1019" s="2" t="s">
        <v>4080</v>
      </c>
      <c r="H1019" s="2" t="s">
        <v>17</v>
      </c>
      <c r="K1019" s="4">
        <v>26095</v>
      </c>
      <c r="M1019" s="2" t="s">
        <v>40</v>
      </c>
      <c r="N1019" s="2" t="s">
        <v>1381</v>
      </c>
    </row>
    <row r="1020" spans="1:14">
      <c r="A1020" s="2">
        <v>1019</v>
      </c>
      <c r="B1020" s="3" t="s">
        <v>4081</v>
      </c>
      <c r="C1020" s="2" t="s">
        <v>4082</v>
      </c>
      <c r="D1020" s="2">
        <v>49</v>
      </c>
      <c r="E1020" s="2">
        <v>55</v>
      </c>
      <c r="F1020" s="2" t="s">
        <v>4083</v>
      </c>
      <c r="H1020" s="2" t="s">
        <v>17</v>
      </c>
      <c r="K1020" s="4">
        <v>16998</v>
      </c>
      <c r="M1020" s="2" t="s">
        <v>35</v>
      </c>
      <c r="N1020" s="2" t="s">
        <v>4084</v>
      </c>
    </row>
    <row r="1021" spans="1:14">
      <c r="A1021" s="2">
        <v>1020</v>
      </c>
      <c r="B1021" s="3" t="s">
        <v>4085</v>
      </c>
      <c r="C1021" s="2" t="s">
        <v>4086</v>
      </c>
      <c r="D1021" s="2">
        <v>55</v>
      </c>
      <c r="E1021" s="2">
        <v>55</v>
      </c>
      <c r="F1021" s="2" t="s">
        <v>4086</v>
      </c>
      <c r="H1021" s="2" t="s">
        <v>17</v>
      </c>
      <c r="K1021" s="4">
        <v>20834</v>
      </c>
      <c r="M1021" s="2" t="s">
        <v>53</v>
      </c>
      <c r="N1021" s="2" t="s">
        <v>4087</v>
      </c>
    </row>
    <row r="1022" spans="1:14">
      <c r="A1022" s="2">
        <v>1021</v>
      </c>
      <c r="B1022" s="3" t="s">
        <v>4088</v>
      </c>
      <c r="C1022" s="2" t="s">
        <v>4089</v>
      </c>
      <c r="D1022" s="2">
        <v>51</v>
      </c>
      <c r="E1022" s="2">
        <v>55</v>
      </c>
      <c r="F1022" s="2" t="s">
        <v>4090</v>
      </c>
      <c r="H1022" s="2" t="s">
        <v>17</v>
      </c>
      <c r="K1022" s="4">
        <v>21107</v>
      </c>
      <c r="M1022" s="2" t="s">
        <v>91</v>
      </c>
      <c r="N1022" s="2" t="s">
        <v>4091</v>
      </c>
    </row>
    <row r="1023" spans="1:14">
      <c r="A1023" s="2">
        <v>1022</v>
      </c>
      <c r="B1023" s="3" t="s">
        <v>4092</v>
      </c>
      <c r="C1023" s="2" t="s">
        <v>4093</v>
      </c>
      <c r="D1023" s="2">
        <v>55</v>
      </c>
      <c r="E1023" s="2">
        <v>55</v>
      </c>
      <c r="F1023" s="2" t="s">
        <v>4094</v>
      </c>
      <c r="H1023" s="2" t="s">
        <v>17</v>
      </c>
      <c r="K1023" s="4">
        <v>25504</v>
      </c>
      <c r="M1023" s="2" t="s">
        <v>192</v>
      </c>
      <c r="N1023" s="2" t="s">
        <v>4095</v>
      </c>
    </row>
    <row r="1024" spans="1:14">
      <c r="A1024" s="2">
        <v>1023</v>
      </c>
      <c r="B1024" s="3" t="s">
        <v>4096</v>
      </c>
      <c r="C1024" s="2" t="s">
        <v>4097</v>
      </c>
      <c r="D1024" s="2">
        <v>55</v>
      </c>
      <c r="E1024" s="2">
        <v>55</v>
      </c>
      <c r="F1024" s="2" t="s">
        <v>4098</v>
      </c>
      <c r="H1024" s="2" t="s">
        <v>17</v>
      </c>
      <c r="K1024" s="4">
        <v>19716</v>
      </c>
      <c r="M1024" s="2" t="s">
        <v>35</v>
      </c>
      <c r="N1024" s="2" t="s">
        <v>4099</v>
      </c>
    </row>
    <row r="1025" spans="1:14">
      <c r="A1025" s="2">
        <v>1024</v>
      </c>
      <c r="B1025" s="3" t="s">
        <v>4100</v>
      </c>
      <c r="C1025" s="2" t="s">
        <v>4101</v>
      </c>
      <c r="D1025" s="2">
        <v>55</v>
      </c>
      <c r="E1025" s="2">
        <v>55</v>
      </c>
      <c r="F1025" s="2" t="s">
        <v>4102</v>
      </c>
      <c r="H1025" s="2" t="s">
        <v>17</v>
      </c>
      <c r="K1025" s="4">
        <v>22764</v>
      </c>
      <c r="M1025" s="2" t="s">
        <v>198</v>
      </c>
      <c r="N1025" s="2" t="s">
        <v>199</v>
      </c>
    </row>
    <row r="1026" spans="1:14">
      <c r="A1026" s="2">
        <v>1025</v>
      </c>
      <c r="B1026" s="3" t="s">
        <v>4103</v>
      </c>
      <c r="C1026" s="2" t="s">
        <v>4104</v>
      </c>
      <c r="D1026" s="2">
        <v>55</v>
      </c>
      <c r="E1026" s="2">
        <v>55</v>
      </c>
      <c r="F1026" s="2" t="s">
        <v>4105</v>
      </c>
      <c r="H1026" s="2" t="s">
        <v>17</v>
      </c>
      <c r="K1026" s="4">
        <v>24463</v>
      </c>
      <c r="M1026" s="2" t="s">
        <v>35</v>
      </c>
      <c r="N1026" s="2" t="s">
        <v>58</v>
      </c>
    </row>
    <row r="1027" spans="1:14">
      <c r="A1027" s="2">
        <v>1026</v>
      </c>
      <c r="B1027" s="3" t="s">
        <v>4106</v>
      </c>
      <c r="C1027" s="2" t="s">
        <v>4107</v>
      </c>
      <c r="D1027" s="2">
        <v>46</v>
      </c>
      <c r="E1027" s="2">
        <v>55</v>
      </c>
      <c r="F1027" s="2" t="s">
        <v>4108</v>
      </c>
      <c r="H1027" s="2" t="s">
        <v>17</v>
      </c>
      <c r="I1027" s="2" t="s">
        <v>4109</v>
      </c>
      <c r="J1027" s="3" t="s">
        <v>4110</v>
      </c>
      <c r="K1027" s="4">
        <v>18476</v>
      </c>
      <c r="M1027" s="2" t="s">
        <v>140</v>
      </c>
      <c r="N1027" s="2" t="s">
        <v>294</v>
      </c>
    </row>
    <row r="1028" spans="1:14">
      <c r="A1028" s="2">
        <v>1027</v>
      </c>
      <c r="B1028" s="3" t="s">
        <v>4111</v>
      </c>
      <c r="C1028" s="2" t="s">
        <v>4112</v>
      </c>
      <c r="D1028" s="2">
        <v>54</v>
      </c>
      <c r="E1028" s="2">
        <v>55</v>
      </c>
      <c r="F1028" s="2" t="s">
        <v>4113</v>
      </c>
      <c r="H1028" s="2" t="s">
        <v>17</v>
      </c>
      <c r="K1028" s="4">
        <v>28527</v>
      </c>
      <c r="M1028" s="2" t="s">
        <v>53</v>
      </c>
      <c r="N1028" s="2" t="s">
        <v>686</v>
      </c>
    </row>
    <row r="1029" spans="1:14">
      <c r="A1029" s="2">
        <v>1028</v>
      </c>
      <c r="B1029" s="3" t="s">
        <v>4114</v>
      </c>
      <c r="C1029" s="2" t="s">
        <v>4115</v>
      </c>
      <c r="D1029" s="2">
        <v>55</v>
      </c>
      <c r="E1029" s="2">
        <v>55</v>
      </c>
      <c r="F1029" s="2" t="s">
        <v>4116</v>
      </c>
      <c r="H1029" s="2" t="s">
        <v>17</v>
      </c>
      <c r="K1029" s="4">
        <v>29435</v>
      </c>
      <c r="M1029" s="2" t="s">
        <v>30</v>
      </c>
      <c r="N1029" s="2" t="s">
        <v>31</v>
      </c>
    </row>
    <row r="1030" spans="1:14">
      <c r="A1030" s="2">
        <v>1029</v>
      </c>
      <c r="B1030" s="3" t="s">
        <v>4117</v>
      </c>
      <c r="C1030" s="2" t="s">
        <v>4118</v>
      </c>
      <c r="D1030" s="2">
        <v>55</v>
      </c>
      <c r="E1030" s="2">
        <v>55</v>
      </c>
      <c r="F1030" s="2" t="s">
        <v>4119</v>
      </c>
      <c r="H1030" s="2" t="s">
        <v>17</v>
      </c>
      <c r="K1030" s="4">
        <v>16730</v>
      </c>
      <c r="M1030" s="2" t="s">
        <v>76</v>
      </c>
      <c r="N1030" s="2" t="s">
        <v>4120</v>
      </c>
    </row>
    <row r="1031" spans="1:14">
      <c r="A1031" s="2">
        <v>1030</v>
      </c>
      <c r="B1031" s="3" t="s">
        <v>4121</v>
      </c>
      <c r="C1031" s="2" t="s">
        <v>4122</v>
      </c>
      <c r="D1031" s="2">
        <v>53</v>
      </c>
      <c r="E1031" s="2">
        <v>55</v>
      </c>
      <c r="F1031" s="2" t="s">
        <v>4123</v>
      </c>
      <c r="H1031" s="2" t="s">
        <v>17</v>
      </c>
      <c r="K1031" s="4">
        <v>25861</v>
      </c>
      <c r="M1031" s="2" t="s">
        <v>170</v>
      </c>
      <c r="N1031" s="2" t="s">
        <v>323</v>
      </c>
    </row>
    <row r="1032" spans="1:14">
      <c r="A1032" s="2">
        <v>1031</v>
      </c>
      <c r="B1032" s="3" t="s">
        <v>4124</v>
      </c>
      <c r="C1032" s="2" t="s">
        <v>4125</v>
      </c>
      <c r="D1032" s="2">
        <v>54</v>
      </c>
      <c r="E1032" s="2">
        <v>55</v>
      </c>
      <c r="F1032" s="2" t="s">
        <v>4126</v>
      </c>
      <c r="H1032" s="2" t="s">
        <v>17</v>
      </c>
      <c r="K1032" s="4">
        <v>30350</v>
      </c>
      <c r="M1032" s="2" t="s">
        <v>53</v>
      </c>
      <c r="N1032" s="2" t="s">
        <v>847</v>
      </c>
    </row>
    <row r="1033" spans="1:14">
      <c r="A1033" s="2">
        <v>1032</v>
      </c>
      <c r="B1033" s="3" t="s">
        <v>4127</v>
      </c>
      <c r="C1033" s="2" t="s">
        <v>4128</v>
      </c>
      <c r="D1033" s="2">
        <v>55</v>
      </c>
      <c r="E1033" s="2">
        <v>55</v>
      </c>
      <c r="F1033" s="2" t="s">
        <v>4129</v>
      </c>
      <c r="H1033" s="2" t="s">
        <v>17</v>
      </c>
      <c r="K1033" s="4">
        <v>24415</v>
      </c>
      <c r="L1033" s="4">
        <v>44274</v>
      </c>
      <c r="M1033" s="2" t="s">
        <v>40</v>
      </c>
      <c r="N1033" s="2" t="s">
        <v>41</v>
      </c>
    </row>
    <row r="1034" spans="1:14">
      <c r="A1034" s="2">
        <v>1033</v>
      </c>
      <c r="B1034" s="3" t="s">
        <v>4130</v>
      </c>
      <c r="C1034" s="2" t="s">
        <v>4131</v>
      </c>
      <c r="D1034" s="2">
        <v>53</v>
      </c>
      <c r="E1034" s="2">
        <v>55</v>
      </c>
      <c r="F1034" s="2" t="s">
        <v>4132</v>
      </c>
      <c r="H1034" s="2" t="s">
        <v>17</v>
      </c>
      <c r="K1034" s="4">
        <v>20552</v>
      </c>
      <c r="M1034" s="2" t="s">
        <v>35</v>
      </c>
      <c r="N1034" s="2" t="s">
        <v>4133</v>
      </c>
    </row>
    <row r="1035" spans="1:14">
      <c r="A1035" s="2">
        <v>1034</v>
      </c>
      <c r="B1035" s="3" t="s">
        <v>4134</v>
      </c>
      <c r="C1035" s="2" t="s">
        <v>4135</v>
      </c>
      <c r="D1035" s="2">
        <v>55</v>
      </c>
      <c r="E1035" s="2">
        <v>55</v>
      </c>
      <c r="F1035" s="2" t="s">
        <v>4136</v>
      </c>
      <c r="H1035" s="2" t="s">
        <v>17</v>
      </c>
      <c r="K1035" s="4">
        <v>22488</v>
      </c>
      <c r="M1035" s="2" t="s">
        <v>47</v>
      </c>
      <c r="N1035" s="2" t="s">
        <v>4137</v>
      </c>
    </row>
    <row r="1036" spans="1:14">
      <c r="A1036" s="2">
        <v>1035</v>
      </c>
      <c r="B1036" s="3" t="s">
        <v>4138</v>
      </c>
      <c r="C1036" s="2" t="s">
        <v>4139</v>
      </c>
      <c r="D1036" s="2">
        <v>50</v>
      </c>
      <c r="E1036" s="2">
        <v>55</v>
      </c>
      <c r="F1036" s="2" t="s">
        <v>4140</v>
      </c>
      <c r="H1036" s="2" t="s">
        <v>17</v>
      </c>
      <c r="K1036" s="4">
        <v>19527</v>
      </c>
      <c r="M1036" s="2" t="s">
        <v>35</v>
      </c>
      <c r="N1036" s="2" t="s">
        <v>4141</v>
      </c>
    </row>
    <row r="1037" spans="1:14">
      <c r="A1037" s="2">
        <v>1036</v>
      </c>
      <c r="B1037" s="3" t="s">
        <v>4142</v>
      </c>
      <c r="C1037" s="2" t="s">
        <v>4143</v>
      </c>
      <c r="D1037" s="2">
        <v>49</v>
      </c>
      <c r="E1037" s="2">
        <v>55</v>
      </c>
      <c r="F1037" s="2" t="s">
        <v>4144</v>
      </c>
      <c r="H1037" s="2" t="s">
        <v>17</v>
      </c>
      <c r="K1037" s="4">
        <v>20169</v>
      </c>
      <c r="M1037" s="2" t="s">
        <v>47</v>
      </c>
      <c r="N1037" s="2" t="s">
        <v>4145</v>
      </c>
    </row>
    <row r="1038" spans="1:14">
      <c r="A1038" s="2">
        <v>1037</v>
      </c>
      <c r="B1038" s="3" t="s">
        <v>4146</v>
      </c>
      <c r="C1038" s="2" t="s">
        <v>4147</v>
      </c>
      <c r="D1038" s="2">
        <v>52</v>
      </c>
      <c r="E1038" s="2">
        <v>55</v>
      </c>
      <c r="F1038" s="2" t="s">
        <v>4148</v>
      </c>
      <c r="H1038" s="2" t="s">
        <v>45</v>
      </c>
      <c r="K1038" s="4">
        <v>18030</v>
      </c>
      <c r="M1038" s="2" t="s">
        <v>24</v>
      </c>
      <c r="N1038" s="2" t="s">
        <v>3163</v>
      </c>
    </row>
    <row r="1039" spans="1:14">
      <c r="A1039" s="2">
        <v>1038</v>
      </c>
      <c r="B1039" s="3" t="s">
        <v>4149</v>
      </c>
      <c r="C1039" s="2" t="s">
        <v>4150</v>
      </c>
      <c r="D1039" s="2">
        <v>45</v>
      </c>
      <c r="E1039" s="2">
        <v>55</v>
      </c>
      <c r="F1039" s="2" t="s">
        <v>4151</v>
      </c>
      <c r="H1039" s="2" t="s">
        <v>17</v>
      </c>
      <c r="K1039" s="4">
        <v>15576</v>
      </c>
      <c r="M1039" s="2" t="s">
        <v>198</v>
      </c>
      <c r="N1039" s="2" t="s">
        <v>4152</v>
      </c>
    </row>
    <row r="1040" spans="1:14">
      <c r="A1040" s="2">
        <v>1039</v>
      </c>
      <c r="B1040" s="3" t="s">
        <v>4153</v>
      </c>
      <c r="C1040" s="2" t="s">
        <v>4154</v>
      </c>
      <c r="D1040" s="2">
        <v>54</v>
      </c>
      <c r="E1040" s="2">
        <v>55</v>
      </c>
      <c r="F1040" s="2" t="s">
        <v>4155</v>
      </c>
      <c r="H1040" s="2" t="s">
        <v>17</v>
      </c>
      <c r="K1040" s="4">
        <v>27098</v>
      </c>
      <c r="M1040" s="2" t="s">
        <v>40</v>
      </c>
      <c r="N1040" s="2" t="s">
        <v>1381</v>
      </c>
    </row>
    <row r="1041" spans="1:14">
      <c r="A1041" s="2">
        <v>1040</v>
      </c>
      <c r="B1041" s="3" t="s">
        <v>4156</v>
      </c>
      <c r="C1041" s="2" t="s">
        <v>4157</v>
      </c>
      <c r="D1041" s="2">
        <v>53</v>
      </c>
      <c r="E1041" s="2">
        <v>55</v>
      </c>
      <c r="F1041" s="2" t="s">
        <v>4158</v>
      </c>
      <c r="H1041" s="2" t="s">
        <v>45</v>
      </c>
      <c r="K1041" s="4">
        <v>17023</v>
      </c>
      <c r="M1041" s="2" t="s">
        <v>76</v>
      </c>
      <c r="N1041" s="2" t="s">
        <v>4159</v>
      </c>
    </row>
    <row r="1042" spans="1:14">
      <c r="A1042" s="2">
        <v>1041</v>
      </c>
      <c r="B1042" s="3" t="s">
        <v>4160</v>
      </c>
      <c r="C1042" s="2" t="s">
        <v>4161</v>
      </c>
      <c r="D1042" s="2">
        <v>54</v>
      </c>
      <c r="E1042" s="2">
        <v>55</v>
      </c>
      <c r="F1042" s="2" t="s">
        <v>4162</v>
      </c>
      <c r="H1042" s="2" t="s">
        <v>17</v>
      </c>
      <c r="K1042" s="4">
        <v>27902</v>
      </c>
      <c r="M1042" s="2" t="s">
        <v>154</v>
      </c>
      <c r="N1042" s="2" t="s">
        <v>208</v>
      </c>
    </row>
    <row r="1043" spans="1:14">
      <c r="A1043" s="2">
        <v>1042</v>
      </c>
      <c r="B1043" s="3" t="s">
        <v>4163</v>
      </c>
      <c r="C1043" s="2" t="s">
        <v>4164</v>
      </c>
      <c r="D1043" s="2">
        <v>44</v>
      </c>
      <c r="E1043" s="2">
        <v>55</v>
      </c>
      <c r="F1043" s="2" t="s">
        <v>4165</v>
      </c>
      <c r="H1043" s="2" t="s">
        <v>17</v>
      </c>
      <c r="K1043" s="4">
        <v>13807</v>
      </c>
      <c r="L1043" s="4">
        <v>42715</v>
      </c>
      <c r="M1043" s="2" t="s">
        <v>185</v>
      </c>
      <c r="N1043" s="2" t="s">
        <v>186</v>
      </c>
    </row>
    <row r="1044" spans="1:14">
      <c r="A1044" s="2">
        <v>1043</v>
      </c>
      <c r="B1044" s="3" t="s">
        <v>4166</v>
      </c>
      <c r="C1044" s="2" t="s">
        <v>4167</v>
      </c>
      <c r="D1044" s="2">
        <v>55</v>
      </c>
      <c r="E1044" s="2">
        <v>55</v>
      </c>
      <c r="F1044" s="2" t="s">
        <v>4168</v>
      </c>
      <c r="H1044" s="2" t="s">
        <v>17</v>
      </c>
      <c r="K1044" s="4">
        <v>29739</v>
      </c>
      <c r="M1044" s="2" t="s">
        <v>66</v>
      </c>
      <c r="N1044" s="2" t="s">
        <v>71</v>
      </c>
    </row>
    <row r="1045" spans="1:14">
      <c r="A1045" s="2">
        <v>1044</v>
      </c>
      <c r="B1045" s="3" t="s">
        <v>4169</v>
      </c>
      <c r="C1045" s="2" t="s">
        <v>4170</v>
      </c>
      <c r="D1045" s="2">
        <v>55</v>
      </c>
      <c r="E1045" s="2">
        <v>55</v>
      </c>
      <c r="F1045" s="2" t="s">
        <v>4171</v>
      </c>
      <c r="H1045" s="2" t="s">
        <v>17</v>
      </c>
      <c r="K1045" s="4">
        <v>29089</v>
      </c>
      <c r="M1045" s="2" t="s">
        <v>198</v>
      </c>
      <c r="N1045" s="2" t="s">
        <v>199</v>
      </c>
    </row>
    <row r="1046" spans="1:14">
      <c r="A1046" s="2">
        <v>1045</v>
      </c>
      <c r="B1046" s="3" t="s">
        <v>4172</v>
      </c>
      <c r="C1046" s="2" t="s">
        <v>4173</v>
      </c>
      <c r="D1046" s="2">
        <v>55</v>
      </c>
      <c r="E1046" s="2">
        <v>55</v>
      </c>
      <c r="F1046" s="2" t="s">
        <v>4174</v>
      </c>
      <c r="H1046" s="2" t="s">
        <v>17</v>
      </c>
      <c r="K1046" s="4">
        <v>21372</v>
      </c>
      <c r="M1046" s="2" t="s">
        <v>91</v>
      </c>
      <c r="N1046" s="2" t="s">
        <v>368</v>
      </c>
    </row>
    <row r="1047" spans="1:14">
      <c r="A1047" s="2">
        <v>1046</v>
      </c>
      <c r="B1047" s="3" t="s">
        <v>4175</v>
      </c>
      <c r="C1047" s="2" t="s">
        <v>4176</v>
      </c>
      <c r="D1047" s="2">
        <v>55</v>
      </c>
      <c r="E1047" s="2">
        <v>55</v>
      </c>
      <c r="F1047" s="2" t="s">
        <v>4177</v>
      </c>
      <c r="H1047" s="2" t="s">
        <v>17</v>
      </c>
      <c r="K1047" s="4">
        <v>26652</v>
      </c>
      <c r="M1047" s="2" t="s">
        <v>423</v>
      </c>
      <c r="N1047" s="2" t="s">
        <v>3005</v>
      </c>
    </row>
    <row r="1048" spans="1:14">
      <c r="A1048" s="2">
        <v>1047</v>
      </c>
      <c r="B1048" s="3" t="s">
        <v>4178</v>
      </c>
      <c r="C1048" s="2" t="s">
        <v>4179</v>
      </c>
      <c r="D1048" s="2">
        <v>55</v>
      </c>
      <c r="E1048" s="2">
        <v>55</v>
      </c>
      <c r="F1048" s="2" t="s">
        <v>4180</v>
      </c>
      <c r="H1048" s="2" t="s">
        <v>17</v>
      </c>
      <c r="K1048" s="4">
        <v>21394</v>
      </c>
      <c r="M1048" s="2" t="s">
        <v>47</v>
      </c>
      <c r="N1048" s="2" t="s">
        <v>691</v>
      </c>
    </row>
    <row r="1049" spans="1:14">
      <c r="A1049" s="2">
        <v>1048</v>
      </c>
      <c r="B1049" s="3" t="s">
        <v>4181</v>
      </c>
      <c r="C1049" s="2" t="s">
        <v>4182</v>
      </c>
      <c r="D1049" s="2">
        <v>54</v>
      </c>
      <c r="E1049" s="2">
        <v>55</v>
      </c>
      <c r="F1049" s="2" t="s">
        <v>4182</v>
      </c>
      <c r="H1049" s="2" t="s">
        <v>17</v>
      </c>
      <c r="I1049" s="3" t="s">
        <v>4183</v>
      </c>
      <c r="K1049" s="4">
        <v>24554</v>
      </c>
      <c r="M1049" s="2" t="s">
        <v>423</v>
      </c>
      <c r="N1049" s="2" t="s">
        <v>464</v>
      </c>
    </row>
    <row r="1050" spans="1:14">
      <c r="A1050" s="2">
        <v>1049</v>
      </c>
      <c r="B1050" s="3" t="s">
        <v>4184</v>
      </c>
      <c r="C1050" s="2" t="s">
        <v>4185</v>
      </c>
      <c r="D1050" s="2">
        <v>55</v>
      </c>
      <c r="E1050" s="2">
        <v>55</v>
      </c>
      <c r="F1050" s="2" t="s">
        <v>4186</v>
      </c>
      <c r="H1050" s="2" t="s">
        <v>17</v>
      </c>
      <c r="K1050" s="4">
        <v>26257</v>
      </c>
      <c r="M1050" s="2" t="s">
        <v>423</v>
      </c>
      <c r="N1050" s="2" t="s">
        <v>4187</v>
      </c>
    </row>
    <row r="1051" spans="1:14">
      <c r="A1051" s="2">
        <v>1050</v>
      </c>
      <c r="B1051" s="3" t="s">
        <v>4188</v>
      </c>
      <c r="C1051" s="2" t="s">
        <v>4189</v>
      </c>
      <c r="D1051" s="2">
        <v>55</v>
      </c>
      <c r="E1051" s="2">
        <v>55</v>
      </c>
      <c r="F1051" s="2" t="s">
        <v>4190</v>
      </c>
      <c r="H1051" s="2" t="s">
        <v>17</v>
      </c>
      <c r="K1051" s="4">
        <v>28398</v>
      </c>
      <c r="M1051" s="2" t="s">
        <v>341</v>
      </c>
      <c r="N1051" s="2" t="s">
        <v>4191</v>
      </c>
    </row>
    <row r="1052" spans="1:14">
      <c r="A1052" s="2">
        <v>1051</v>
      </c>
      <c r="B1052" s="3" t="s">
        <v>4192</v>
      </c>
      <c r="C1052" s="2" t="s">
        <v>4193</v>
      </c>
      <c r="D1052" s="2">
        <v>52</v>
      </c>
      <c r="E1052" s="2">
        <v>55</v>
      </c>
      <c r="F1052" s="2" t="s">
        <v>4194</v>
      </c>
      <c r="H1052" s="2" t="s">
        <v>17</v>
      </c>
      <c r="K1052" s="4">
        <v>20398</v>
      </c>
      <c r="M1052" s="2" t="s">
        <v>66</v>
      </c>
      <c r="N1052" s="2" t="s">
        <v>4195</v>
      </c>
    </row>
    <row r="1053" spans="1:14">
      <c r="A1053" s="2">
        <v>1052</v>
      </c>
      <c r="B1053" s="3" t="s">
        <v>4196</v>
      </c>
      <c r="C1053" s="2" t="s">
        <v>4197</v>
      </c>
      <c r="D1053" s="2">
        <v>54</v>
      </c>
      <c r="E1053" s="2">
        <v>55</v>
      </c>
      <c r="F1053" s="2" t="s">
        <v>4198</v>
      </c>
      <c r="H1053" s="2" t="s">
        <v>17</v>
      </c>
      <c r="K1053" s="4">
        <v>18757</v>
      </c>
      <c r="M1053" s="2" t="s">
        <v>40</v>
      </c>
      <c r="N1053" s="2" t="s">
        <v>41</v>
      </c>
    </row>
    <row r="1054" spans="1:14">
      <c r="A1054" s="2">
        <v>1053</v>
      </c>
      <c r="B1054" s="3" t="s">
        <v>4199</v>
      </c>
      <c r="C1054" s="2" t="s">
        <v>4200</v>
      </c>
      <c r="D1054" s="2">
        <v>49</v>
      </c>
      <c r="E1054" s="2">
        <v>55</v>
      </c>
      <c r="F1054" s="2" t="s">
        <v>4200</v>
      </c>
      <c r="H1054" s="2" t="s">
        <v>17</v>
      </c>
      <c r="K1054" s="4">
        <v>20092</v>
      </c>
      <c r="M1054" s="2" t="s">
        <v>47</v>
      </c>
      <c r="N1054" s="2" t="s">
        <v>110</v>
      </c>
    </row>
    <row r="1055" spans="1:14">
      <c r="A1055" s="2">
        <v>1054</v>
      </c>
      <c r="B1055" s="3" t="s">
        <v>4201</v>
      </c>
      <c r="C1055" s="2" t="s">
        <v>4202</v>
      </c>
      <c r="D1055" s="2">
        <v>54</v>
      </c>
      <c r="E1055" s="2">
        <v>55</v>
      </c>
      <c r="F1055" s="2" t="s">
        <v>4203</v>
      </c>
      <c r="H1055" s="2" t="s">
        <v>17</v>
      </c>
      <c r="K1055" s="4">
        <v>20651</v>
      </c>
      <c r="M1055" s="2" t="s">
        <v>423</v>
      </c>
      <c r="N1055" s="2" t="s">
        <v>4204</v>
      </c>
    </row>
    <row r="1056" spans="1:14">
      <c r="A1056" s="2">
        <v>1055</v>
      </c>
      <c r="B1056" s="3" t="s">
        <v>4205</v>
      </c>
      <c r="C1056" s="2" t="s">
        <v>4206</v>
      </c>
      <c r="D1056" s="2">
        <v>49</v>
      </c>
      <c r="E1056" s="2">
        <v>55</v>
      </c>
      <c r="F1056" s="2" t="s">
        <v>4207</v>
      </c>
      <c r="H1056" s="2" t="s">
        <v>17</v>
      </c>
      <c r="K1056" s="4">
        <v>17510</v>
      </c>
      <c r="M1056" s="2" t="s">
        <v>40</v>
      </c>
      <c r="N1056" s="2" t="s">
        <v>41</v>
      </c>
    </row>
    <row r="1057" spans="1:14">
      <c r="A1057" s="2">
        <v>1056</v>
      </c>
      <c r="B1057" s="3" t="s">
        <v>4208</v>
      </c>
      <c r="C1057" s="2" t="s">
        <v>4209</v>
      </c>
      <c r="D1057" s="2">
        <v>52</v>
      </c>
      <c r="E1057" s="2">
        <v>55</v>
      </c>
      <c r="F1057" s="2" t="s">
        <v>4210</v>
      </c>
      <c r="H1057" s="2" t="s">
        <v>17</v>
      </c>
      <c r="K1057" s="4">
        <v>16427</v>
      </c>
      <c r="M1057" s="2" t="s">
        <v>40</v>
      </c>
      <c r="N1057" s="2" t="s">
        <v>41</v>
      </c>
    </row>
    <row r="1058" spans="1:14">
      <c r="A1058" s="2">
        <v>1057</v>
      </c>
      <c r="B1058" s="3" t="s">
        <v>4211</v>
      </c>
      <c r="C1058" s="2" t="s">
        <v>4212</v>
      </c>
      <c r="D1058" s="2">
        <v>47</v>
      </c>
      <c r="E1058" s="2">
        <v>55</v>
      </c>
      <c r="F1058" s="2" t="s">
        <v>4213</v>
      </c>
      <c r="H1058" s="2" t="s">
        <v>17</v>
      </c>
      <c r="K1058" s="4">
        <v>17180</v>
      </c>
      <c r="M1058" s="2" t="s">
        <v>66</v>
      </c>
      <c r="N1058" s="2" t="s">
        <v>71</v>
      </c>
    </row>
    <row r="1059" spans="1:14">
      <c r="A1059" s="2">
        <v>1058</v>
      </c>
      <c r="B1059" s="3" t="s">
        <v>4214</v>
      </c>
      <c r="C1059" s="2" t="s">
        <v>4215</v>
      </c>
      <c r="D1059" s="2">
        <v>52</v>
      </c>
      <c r="E1059" s="2">
        <v>55</v>
      </c>
      <c r="F1059" s="2" t="s">
        <v>4216</v>
      </c>
      <c r="H1059" s="2" t="s">
        <v>17</v>
      </c>
      <c r="K1059" s="4">
        <v>17806</v>
      </c>
      <c r="L1059" s="4">
        <v>44037</v>
      </c>
      <c r="M1059" s="2" t="s">
        <v>47</v>
      </c>
      <c r="N1059" s="2" t="s">
        <v>3473</v>
      </c>
    </row>
    <row r="1060" spans="1:14">
      <c r="A1060" s="2">
        <v>1059</v>
      </c>
      <c r="B1060" s="3" t="s">
        <v>4217</v>
      </c>
      <c r="C1060" s="2" t="s">
        <v>4218</v>
      </c>
      <c r="D1060" s="2">
        <v>52</v>
      </c>
      <c r="E1060" s="2">
        <v>55</v>
      </c>
      <c r="F1060" s="2" t="s">
        <v>4218</v>
      </c>
      <c r="H1060" s="2" t="s">
        <v>17</v>
      </c>
      <c r="K1060" s="4">
        <v>22757</v>
      </c>
      <c r="M1060" s="2" t="s">
        <v>66</v>
      </c>
      <c r="N1060" s="2" t="s">
        <v>71</v>
      </c>
    </row>
    <row r="1061" spans="1:14">
      <c r="A1061" s="2">
        <v>1060</v>
      </c>
      <c r="B1061" s="3" t="s">
        <v>4219</v>
      </c>
      <c r="C1061" s="2" t="s">
        <v>4220</v>
      </c>
      <c r="D1061" s="2">
        <v>49</v>
      </c>
      <c r="E1061" s="2">
        <v>55</v>
      </c>
      <c r="F1061" s="2" t="s">
        <v>4221</v>
      </c>
      <c r="H1061" s="2" t="s">
        <v>17</v>
      </c>
      <c r="K1061" s="4">
        <v>14323</v>
      </c>
      <c r="M1061" s="2" t="s">
        <v>185</v>
      </c>
      <c r="N1061" s="2" t="s">
        <v>838</v>
      </c>
    </row>
    <row r="1062" spans="1:14">
      <c r="A1062" s="2">
        <v>1061</v>
      </c>
      <c r="B1062" s="3" t="s">
        <v>4222</v>
      </c>
      <c r="C1062" s="2" t="s">
        <v>4223</v>
      </c>
      <c r="D1062" s="2">
        <v>54</v>
      </c>
      <c r="E1062" s="2">
        <v>55</v>
      </c>
      <c r="F1062" s="2" t="s">
        <v>4224</v>
      </c>
      <c r="H1062" s="2" t="s">
        <v>17</v>
      </c>
      <c r="K1062" s="4">
        <v>21043</v>
      </c>
      <c r="M1062" s="2" t="s">
        <v>66</v>
      </c>
      <c r="N1062" s="2" t="s">
        <v>4225</v>
      </c>
    </row>
    <row r="1063" spans="1:14">
      <c r="A1063" s="2">
        <v>1062</v>
      </c>
      <c r="B1063" s="3" t="s">
        <v>4226</v>
      </c>
      <c r="C1063" s="2" t="s">
        <v>4227</v>
      </c>
      <c r="D1063" s="2">
        <v>55</v>
      </c>
      <c r="E1063" s="2">
        <v>55</v>
      </c>
      <c r="F1063" s="2" t="s">
        <v>4228</v>
      </c>
      <c r="H1063" s="2" t="s">
        <v>45</v>
      </c>
      <c r="I1063" s="2" t="s">
        <v>4229</v>
      </c>
      <c r="J1063" s="2" t="s">
        <v>4230</v>
      </c>
      <c r="K1063" s="4">
        <v>22776</v>
      </c>
      <c r="M1063" s="2" t="s">
        <v>122</v>
      </c>
      <c r="N1063" s="2" t="s">
        <v>253</v>
      </c>
    </row>
    <row r="1064" spans="1:14">
      <c r="A1064" s="2">
        <v>1063</v>
      </c>
      <c r="B1064" s="3" t="s">
        <v>4231</v>
      </c>
      <c r="C1064" s="2" t="s">
        <v>4232</v>
      </c>
      <c r="D1064" s="2">
        <v>51</v>
      </c>
      <c r="E1064" s="2">
        <v>55</v>
      </c>
      <c r="F1064" s="2" t="s">
        <v>4232</v>
      </c>
      <c r="H1064" s="2" t="s">
        <v>17</v>
      </c>
      <c r="I1064" s="2" t="s">
        <v>4233</v>
      </c>
      <c r="K1064" s="4">
        <v>16219</v>
      </c>
      <c r="M1064" s="2" t="s">
        <v>47</v>
      </c>
      <c r="N1064" s="2" t="s">
        <v>4234</v>
      </c>
    </row>
    <row r="1065" spans="1:14">
      <c r="A1065" s="2">
        <v>1064</v>
      </c>
      <c r="B1065" s="3" t="s">
        <v>4235</v>
      </c>
      <c r="C1065" s="2" t="s">
        <v>4236</v>
      </c>
      <c r="D1065" s="2">
        <v>50</v>
      </c>
      <c r="E1065" s="2">
        <v>55</v>
      </c>
      <c r="F1065" s="2" t="s">
        <v>4237</v>
      </c>
      <c r="H1065" s="2" t="s">
        <v>17</v>
      </c>
      <c r="K1065" s="4">
        <v>18783</v>
      </c>
      <c r="M1065" s="2" t="s">
        <v>53</v>
      </c>
      <c r="N1065" s="2" t="s">
        <v>4238</v>
      </c>
    </row>
    <row r="1066" spans="1:14">
      <c r="A1066" s="2">
        <v>1065</v>
      </c>
      <c r="B1066" s="3" t="s">
        <v>4239</v>
      </c>
      <c r="C1066" s="2" t="s">
        <v>4240</v>
      </c>
      <c r="D1066" s="2">
        <v>55</v>
      </c>
      <c r="E1066" s="2">
        <v>55</v>
      </c>
      <c r="F1066" s="2" t="s">
        <v>4241</v>
      </c>
      <c r="H1066" s="2" t="s">
        <v>45</v>
      </c>
      <c r="K1066" s="4">
        <v>28940</v>
      </c>
      <c r="M1066" s="2" t="s">
        <v>164</v>
      </c>
      <c r="N1066" s="2" t="s">
        <v>4242</v>
      </c>
    </row>
    <row r="1067" spans="1:14">
      <c r="A1067" s="2">
        <v>1066</v>
      </c>
      <c r="B1067" s="3" t="s">
        <v>4243</v>
      </c>
      <c r="C1067" s="2" t="s">
        <v>4244</v>
      </c>
      <c r="D1067" s="2">
        <v>55</v>
      </c>
      <c r="E1067" s="2">
        <v>55</v>
      </c>
      <c r="F1067" s="2" t="s">
        <v>4245</v>
      </c>
      <c r="H1067" s="2" t="s">
        <v>45</v>
      </c>
      <c r="K1067" s="4">
        <v>22017</v>
      </c>
      <c r="M1067" s="2" t="s">
        <v>53</v>
      </c>
      <c r="N1067" s="2" t="s">
        <v>4246</v>
      </c>
    </row>
    <row r="1068" spans="1:14">
      <c r="A1068" s="2">
        <v>1067</v>
      </c>
      <c r="B1068" s="3" t="s">
        <v>4247</v>
      </c>
      <c r="C1068" s="2" t="s">
        <v>4248</v>
      </c>
      <c r="D1068" s="2">
        <v>53</v>
      </c>
      <c r="E1068" s="2">
        <v>55</v>
      </c>
      <c r="F1068" s="2" t="s">
        <v>4249</v>
      </c>
      <c r="H1068" s="2" t="s">
        <v>17</v>
      </c>
      <c r="K1068" s="4">
        <v>17076</v>
      </c>
      <c r="M1068" s="2" t="s">
        <v>185</v>
      </c>
      <c r="N1068" s="2" t="s">
        <v>838</v>
      </c>
    </row>
    <row r="1069" spans="1:14">
      <c r="A1069" s="2">
        <v>1068</v>
      </c>
      <c r="B1069" s="3" t="s">
        <v>4250</v>
      </c>
      <c r="C1069" s="2" t="s">
        <v>4251</v>
      </c>
      <c r="D1069" s="2">
        <v>55</v>
      </c>
      <c r="E1069" s="2">
        <v>55</v>
      </c>
      <c r="F1069" s="2" t="s">
        <v>4252</v>
      </c>
      <c r="H1069" s="2" t="s">
        <v>17</v>
      </c>
      <c r="K1069" s="4">
        <v>28614</v>
      </c>
      <c r="M1069" s="2" t="s">
        <v>341</v>
      </c>
      <c r="N1069" s="2" t="s">
        <v>342</v>
      </c>
    </row>
    <row r="1070" spans="1:14">
      <c r="A1070" s="2">
        <v>1069</v>
      </c>
      <c r="B1070" s="3" t="s">
        <v>4253</v>
      </c>
      <c r="C1070" s="2" t="s">
        <v>4254</v>
      </c>
      <c r="D1070" s="2">
        <v>55</v>
      </c>
      <c r="E1070" s="2">
        <v>55</v>
      </c>
      <c r="F1070" s="2" t="s">
        <v>4255</v>
      </c>
      <c r="H1070" s="2" t="s">
        <v>17</v>
      </c>
      <c r="K1070" s="4">
        <v>25629</v>
      </c>
      <c r="M1070" s="2" t="s">
        <v>198</v>
      </c>
      <c r="N1070" s="2" t="s">
        <v>3922</v>
      </c>
    </row>
    <row r="1071" spans="1:14">
      <c r="A1071" s="2">
        <v>1070</v>
      </c>
      <c r="B1071" s="3" t="s">
        <v>4256</v>
      </c>
      <c r="C1071" s="2" t="s">
        <v>4257</v>
      </c>
      <c r="D1071" s="2">
        <v>54</v>
      </c>
      <c r="E1071" s="2">
        <v>55</v>
      </c>
      <c r="F1071" s="2" t="s">
        <v>4257</v>
      </c>
      <c r="H1071" s="2" t="s">
        <v>17</v>
      </c>
      <c r="K1071" s="4">
        <v>14960</v>
      </c>
      <c r="M1071" s="2" t="s">
        <v>47</v>
      </c>
      <c r="N1071" s="2" t="s">
        <v>1718</v>
      </c>
    </row>
    <row r="1072" spans="1:14">
      <c r="A1072" s="2">
        <v>1071</v>
      </c>
      <c r="B1072" s="3" t="s">
        <v>4258</v>
      </c>
      <c r="C1072" s="2" t="s">
        <v>4259</v>
      </c>
      <c r="D1072" s="2">
        <v>47</v>
      </c>
      <c r="E1072" s="2">
        <v>55</v>
      </c>
      <c r="F1072" s="2" t="s">
        <v>4260</v>
      </c>
      <c r="H1072" s="2" t="s">
        <v>17</v>
      </c>
      <c r="K1072" s="4">
        <v>20376</v>
      </c>
      <c r="M1072" s="2" t="s">
        <v>40</v>
      </c>
      <c r="N1072" s="2" t="s">
        <v>41</v>
      </c>
    </row>
    <row r="1073" spans="1:14">
      <c r="A1073" s="2">
        <v>1072</v>
      </c>
      <c r="B1073" s="3" t="s">
        <v>4261</v>
      </c>
      <c r="C1073" s="2" t="s">
        <v>4262</v>
      </c>
      <c r="D1073" s="2">
        <v>55</v>
      </c>
      <c r="E1073" s="2">
        <v>55</v>
      </c>
      <c r="F1073" s="2" t="s">
        <v>4263</v>
      </c>
      <c r="H1073" s="2" t="s">
        <v>17</v>
      </c>
      <c r="K1073" s="4">
        <v>30634</v>
      </c>
      <c r="M1073" s="2" t="s">
        <v>198</v>
      </c>
      <c r="N1073" s="2" t="s">
        <v>199</v>
      </c>
    </row>
    <row r="1074" spans="1:14">
      <c r="A1074" s="2">
        <v>1073</v>
      </c>
      <c r="B1074" s="3" t="s">
        <v>4264</v>
      </c>
      <c r="C1074" s="2" t="s">
        <v>4265</v>
      </c>
      <c r="D1074" s="2">
        <v>54</v>
      </c>
      <c r="E1074" s="2">
        <v>55</v>
      </c>
      <c r="F1074" s="2" t="s">
        <v>4266</v>
      </c>
      <c r="H1074" s="2" t="s">
        <v>45</v>
      </c>
      <c r="K1074" s="4">
        <v>20726</v>
      </c>
      <c r="M1074" s="2" t="s">
        <v>47</v>
      </c>
      <c r="N1074" s="2" t="s">
        <v>4267</v>
      </c>
    </row>
    <row r="1075" spans="1:14">
      <c r="A1075" s="2">
        <v>1074</v>
      </c>
      <c r="B1075" s="3" t="s">
        <v>4268</v>
      </c>
      <c r="C1075" s="2" t="s">
        <v>4269</v>
      </c>
      <c r="D1075" s="2">
        <v>55</v>
      </c>
      <c r="E1075" s="2">
        <v>55</v>
      </c>
      <c r="F1075" s="2" t="s">
        <v>4270</v>
      </c>
      <c r="H1075" s="2" t="s">
        <v>17</v>
      </c>
      <c r="K1075" s="4">
        <v>22843</v>
      </c>
      <c r="M1075" s="2" t="s">
        <v>35</v>
      </c>
      <c r="N1075" s="2" t="s">
        <v>1996</v>
      </c>
    </row>
    <row r="1076" spans="1:14">
      <c r="A1076" s="2">
        <v>1075</v>
      </c>
      <c r="B1076" s="3" t="s">
        <v>4271</v>
      </c>
      <c r="C1076" s="2" t="s">
        <v>4272</v>
      </c>
      <c r="D1076" s="2">
        <v>53</v>
      </c>
      <c r="E1076" s="2">
        <v>55</v>
      </c>
      <c r="F1076" s="2" t="s">
        <v>4273</v>
      </c>
      <c r="H1076" s="2" t="s">
        <v>17</v>
      </c>
      <c r="K1076" s="4">
        <v>19896</v>
      </c>
      <c r="M1076" s="2" t="s">
        <v>192</v>
      </c>
      <c r="N1076" s="2" t="s">
        <v>193</v>
      </c>
    </row>
    <row r="1077" spans="1:14">
      <c r="A1077" s="2">
        <v>1076</v>
      </c>
      <c r="B1077" s="3" t="s">
        <v>4274</v>
      </c>
      <c r="C1077" s="2" t="s">
        <v>4275</v>
      </c>
      <c r="D1077" s="2">
        <v>53</v>
      </c>
      <c r="E1077" s="2">
        <v>55</v>
      </c>
      <c r="F1077" s="2" t="s">
        <v>4276</v>
      </c>
      <c r="H1077" s="2" t="s">
        <v>17</v>
      </c>
      <c r="K1077" s="4">
        <v>27485</v>
      </c>
      <c r="M1077" s="2" t="s">
        <v>969</v>
      </c>
      <c r="N1077" s="2" t="s">
        <v>970</v>
      </c>
    </row>
    <row r="1078" spans="1:14">
      <c r="A1078" s="2">
        <v>1077</v>
      </c>
      <c r="B1078" s="3" t="s">
        <v>4277</v>
      </c>
      <c r="C1078" s="2" t="s">
        <v>4278</v>
      </c>
      <c r="D1078" s="2">
        <v>54</v>
      </c>
      <c r="E1078" s="2">
        <v>55</v>
      </c>
      <c r="F1078" s="2" t="s">
        <v>4279</v>
      </c>
      <c r="H1078" s="2" t="s">
        <v>17</v>
      </c>
      <c r="K1078" s="4">
        <v>18231</v>
      </c>
      <c r="M1078" s="2" t="s">
        <v>154</v>
      </c>
      <c r="N1078" s="2" t="s">
        <v>346</v>
      </c>
    </row>
    <row r="1079" spans="1:14">
      <c r="A1079" s="2">
        <v>1078</v>
      </c>
      <c r="B1079" s="3" t="s">
        <v>4280</v>
      </c>
      <c r="C1079" s="2" t="s">
        <v>4281</v>
      </c>
      <c r="D1079" s="2">
        <v>53</v>
      </c>
      <c r="E1079" s="2">
        <v>55</v>
      </c>
      <c r="F1079" s="2" t="s">
        <v>4282</v>
      </c>
      <c r="H1079" s="2" t="s">
        <v>17</v>
      </c>
      <c r="J1079" s="3" t="s">
        <v>4283</v>
      </c>
      <c r="K1079" s="4">
        <v>25494</v>
      </c>
      <c r="M1079" s="2" t="s">
        <v>18</v>
      </c>
      <c r="N1079" s="2" t="s">
        <v>1579</v>
      </c>
    </row>
    <row r="1080" spans="1:14">
      <c r="A1080" s="2">
        <v>1079</v>
      </c>
      <c r="B1080" s="3" t="s">
        <v>4284</v>
      </c>
      <c r="C1080" s="2" t="s">
        <v>4285</v>
      </c>
      <c r="D1080" s="2">
        <v>52</v>
      </c>
      <c r="E1080" s="2">
        <v>55</v>
      </c>
      <c r="F1080" s="2" t="s">
        <v>4286</v>
      </c>
      <c r="H1080" s="2" t="s">
        <v>17</v>
      </c>
      <c r="K1080" s="4">
        <v>20989</v>
      </c>
      <c r="M1080" s="2" t="s">
        <v>47</v>
      </c>
      <c r="N1080" s="2" t="s">
        <v>48</v>
      </c>
    </row>
    <row r="1081" spans="1:14">
      <c r="A1081" s="2">
        <v>1080</v>
      </c>
      <c r="B1081" s="3" t="s">
        <v>4287</v>
      </c>
      <c r="C1081" s="2" t="s">
        <v>4288</v>
      </c>
      <c r="D1081" s="2">
        <v>55</v>
      </c>
      <c r="E1081" s="2">
        <v>55</v>
      </c>
      <c r="F1081" s="2" t="s">
        <v>4289</v>
      </c>
      <c r="H1081" s="2" t="s">
        <v>45</v>
      </c>
      <c r="K1081" s="4">
        <v>25490</v>
      </c>
      <c r="M1081" s="2" t="s">
        <v>185</v>
      </c>
      <c r="N1081" s="2" t="s">
        <v>4290</v>
      </c>
    </row>
    <row r="1082" spans="1:14">
      <c r="A1082" s="2">
        <v>1081</v>
      </c>
      <c r="B1082" s="3" t="s">
        <v>4291</v>
      </c>
      <c r="C1082" s="2" t="s">
        <v>4292</v>
      </c>
      <c r="D1082" s="2">
        <v>54</v>
      </c>
      <c r="E1082" s="2">
        <v>55</v>
      </c>
      <c r="F1082" s="2" t="s">
        <v>4293</v>
      </c>
      <c r="H1082" s="2" t="s">
        <v>45</v>
      </c>
      <c r="K1082" s="4">
        <v>24105</v>
      </c>
      <c r="M1082" s="2" t="s">
        <v>198</v>
      </c>
      <c r="N1082" s="2" t="s">
        <v>199</v>
      </c>
    </row>
    <row r="1083" spans="1:14">
      <c r="A1083" s="2">
        <v>1082</v>
      </c>
      <c r="B1083" s="3" t="s">
        <v>4294</v>
      </c>
      <c r="C1083" s="2" t="s">
        <v>4295</v>
      </c>
      <c r="D1083" s="2">
        <v>53</v>
      </c>
      <c r="E1083" s="2">
        <v>55</v>
      </c>
      <c r="F1083" s="2" t="s">
        <v>4296</v>
      </c>
      <c r="H1083" s="2" t="s">
        <v>17</v>
      </c>
      <c r="K1083" s="4">
        <v>26660</v>
      </c>
      <c r="M1083" s="2" t="s">
        <v>35</v>
      </c>
      <c r="N1083" s="2" t="s">
        <v>2762</v>
      </c>
    </row>
    <row r="1084" spans="1:14">
      <c r="A1084" s="2">
        <v>1083</v>
      </c>
      <c r="B1084" s="3" t="s">
        <v>4297</v>
      </c>
      <c r="C1084" s="2" t="s">
        <v>4298</v>
      </c>
      <c r="D1084" s="2">
        <v>54</v>
      </c>
      <c r="E1084" s="2">
        <v>55</v>
      </c>
      <c r="F1084" s="2" t="s">
        <v>4299</v>
      </c>
      <c r="H1084" s="2" t="s">
        <v>17</v>
      </c>
      <c r="K1084" s="4">
        <v>22969</v>
      </c>
      <c r="M1084" s="2" t="s">
        <v>40</v>
      </c>
      <c r="N1084" s="2" t="s">
        <v>41</v>
      </c>
    </row>
    <row r="1085" spans="1:14">
      <c r="A1085" s="2">
        <v>1084</v>
      </c>
      <c r="B1085" s="3" t="s">
        <v>4300</v>
      </c>
      <c r="C1085" s="2" t="s">
        <v>4301</v>
      </c>
      <c r="D1085" s="2">
        <v>51</v>
      </c>
      <c r="E1085" s="2">
        <v>55</v>
      </c>
      <c r="F1085" s="2" t="s">
        <v>4301</v>
      </c>
      <c r="H1085" s="2" t="s">
        <v>17</v>
      </c>
      <c r="I1085" s="3" t="s">
        <v>4302</v>
      </c>
      <c r="J1085" s="3" t="s">
        <v>4303</v>
      </c>
      <c r="K1085" s="4">
        <v>18520</v>
      </c>
      <c r="M1085" s="2" t="s">
        <v>66</v>
      </c>
      <c r="N1085" s="2" t="s">
        <v>4304</v>
      </c>
    </row>
    <row r="1086" spans="1:14">
      <c r="A1086" s="2">
        <v>1085</v>
      </c>
      <c r="B1086" s="3" t="s">
        <v>4305</v>
      </c>
      <c r="C1086" s="2" t="s">
        <v>4306</v>
      </c>
      <c r="D1086" s="2">
        <v>55</v>
      </c>
      <c r="E1086" s="2">
        <v>55</v>
      </c>
      <c r="F1086" s="2" t="s">
        <v>4306</v>
      </c>
      <c r="H1086" s="2" t="s">
        <v>17</v>
      </c>
      <c r="I1086" s="2" t="s">
        <v>4307</v>
      </c>
      <c r="J1086" s="3" t="s">
        <v>4308</v>
      </c>
      <c r="K1086" s="4">
        <v>18787</v>
      </c>
      <c r="M1086" s="2" t="s">
        <v>170</v>
      </c>
      <c r="N1086" s="2" t="s">
        <v>323</v>
      </c>
    </row>
    <row r="1087" spans="1:14">
      <c r="A1087" s="2">
        <v>1086</v>
      </c>
      <c r="B1087" s="3" t="s">
        <v>4309</v>
      </c>
      <c r="C1087" s="2" t="s">
        <v>4310</v>
      </c>
      <c r="D1087" s="2">
        <v>55</v>
      </c>
      <c r="E1087" s="2">
        <v>55</v>
      </c>
      <c r="F1087" s="2" t="s">
        <v>4311</v>
      </c>
      <c r="H1087" s="2" t="s">
        <v>17</v>
      </c>
      <c r="K1087" s="4">
        <v>22149</v>
      </c>
      <c r="M1087" s="2" t="s">
        <v>198</v>
      </c>
      <c r="N1087" s="2" t="s">
        <v>4312</v>
      </c>
    </row>
    <row r="1088" spans="1:14">
      <c r="A1088" s="2">
        <v>1087</v>
      </c>
      <c r="B1088" s="3" t="s">
        <v>4313</v>
      </c>
      <c r="C1088" s="2" t="s">
        <v>4314</v>
      </c>
      <c r="D1088" s="2">
        <v>51</v>
      </c>
      <c r="E1088" s="2">
        <v>55</v>
      </c>
      <c r="F1088" s="2" t="s">
        <v>4315</v>
      </c>
      <c r="H1088" s="2" t="s">
        <v>17</v>
      </c>
      <c r="K1088" s="4">
        <v>21284</v>
      </c>
      <c r="M1088" s="2" t="s">
        <v>170</v>
      </c>
      <c r="N1088" s="2" t="s">
        <v>1762</v>
      </c>
    </row>
    <row r="1089" spans="1:14">
      <c r="A1089" s="2">
        <v>1088</v>
      </c>
      <c r="B1089" s="3" t="s">
        <v>4316</v>
      </c>
      <c r="C1089" s="2" t="s">
        <v>4317</v>
      </c>
      <c r="D1089" s="2">
        <v>55</v>
      </c>
      <c r="E1089" s="2">
        <v>55</v>
      </c>
      <c r="F1089" s="2" t="s">
        <v>4318</v>
      </c>
      <c r="H1089" s="2" t="s">
        <v>45</v>
      </c>
      <c r="K1089" s="4">
        <v>18849</v>
      </c>
      <c r="M1089" s="2" t="s">
        <v>35</v>
      </c>
      <c r="N1089" s="2" t="s">
        <v>4319</v>
      </c>
    </row>
    <row r="1090" spans="1:14">
      <c r="A1090" s="2">
        <v>1089</v>
      </c>
      <c r="B1090" s="3" t="s">
        <v>4320</v>
      </c>
      <c r="C1090" s="2" t="s">
        <v>4321</v>
      </c>
      <c r="D1090" s="2">
        <v>55</v>
      </c>
      <c r="E1090" s="2">
        <v>55</v>
      </c>
      <c r="F1090" s="2" t="s">
        <v>4322</v>
      </c>
      <c r="H1090" s="2" t="s">
        <v>17</v>
      </c>
      <c r="K1090" s="4">
        <v>22064</v>
      </c>
      <c r="M1090" s="2" t="s">
        <v>85</v>
      </c>
      <c r="N1090" s="2" t="s">
        <v>86</v>
      </c>
    </row>
    <row r="1091" spans="1:14">
      <c r="A1091" s="2">
        <v>1090</v>
      </c>
      <c r="B1091" s="3" t="s">
        <v>4323</v>
      </c>
      <c r="C1091" s="2" t="s">
        <v>4324</v>
      </c>
      <c r="D1091" s="2">
        <v>55</v>
      </c>
      <c r="E1091" s="2">
        <v>55</v>
      </c>
      <c r="F1091" s="2" t="s">
        <v>4325</v>
      </c>
      <c r="H1091" s="2" t="s">
        <v>17</v>
      </c>
      <c r="K1091" s="4">
        <v>22725</v>
      </c>
      <c r="L1091" s="4">
        <v>44273</v>
      </c>
      <c r="M1091" s="2" t="s">
        <v>47</v>
      </c>
      <c r="N1091" s="2" t="s">
        <v>3372</v>
      </c>
    </row>
    <row r="1092" spans="1:14">
      <c r="A1092" s="2">
        <v>1091</v>
      </c>
      <c r="B1092" s="3" t="s">
        <v>4326</v>
      </c>
      <c r="C1092" s="2" t="s">
        <v>4327</v>
      </c>
      <c r="D1092" s="2">
        <v>54</v>
      </c>
      <c r="E1092" s="2">
        <v>55</v>
      </c>
      <c r="F1092" s="2" t="s">
        <v>4328</v>
      </c>
      <c r="H1092" s="2" t="s">
        <v>17</v>
      </c>
      <c r="K1092" s="4">
        <v>23711</v>
      </c>
      <c r="M1092" s="2" t="s">
        <v>341</v>
      </c>
      <c r="N1092" s="2" t="s">
        <v>342</v>
      </c>
    </row>
    <row r="1093" spans="1:14">
      <c r="A1093" s="2">
        <v>1092</v>
      </c>
      <c r="B1093" s="3" t="s">
        <v>4329</v>
      </c>
      <c r="C1093" s="2" t="s">
        <v>4330</v>
      </c>
      <c r="D1093" s="2">
        <v>53</v>
      </c>
      <c r="E1093" s="2">
        <v>55</v>
      </c>
      <c r="F1093" s="2" t="s">
        <v>4331</v>
      </c>
      <c r="H1093" s="2" t="s">
        <v>17</v>
      </c>
      <c r="I1093" s="2" t="s">
        <v>4332</v>
      </c>
      <c r="K1093" s="4">
        <v>23428</v>
      </c>
      <c r="L1093" s="4">
        <v>44985</v>
      </c>
      <c r="M1093" s="2" t="s">
        <v>76</v>
      </c>
      <c r="N1093" s="2" t="s">
        <v>4333</v>
      </c>
    </row>
    <row r="1094" spans="1:14">
      <c r="A1094" s="2">
        <v>1093</v>
      </c>
      <c r="B1094" s="3" t="s">
        <v>4334</v>
      </c>
      <c r="C1094" s="2" t="s">
        <v>4335</v>
      </c>
      <c r="D1094" s="2">
        <v>54</v>
      </c>
      <c r="E1094" s="2">
        <v>55</v>
      </c>
      <c r="F1094" s="2" t="s">
        <v>4336</v>
      </c>
      <c r="H1094" s="2" t="s">
        <v>45</v>
      </c>
      <c r="I1094" s="2" t="s">
        <v>4337</v>
      </c>
      <c r="K1094" s="4">
        <v>24743</v>
      </c>
      <c r="M1094" s="2" t="s">
        <v>47</v>
      </c>
      <c r="N1094" s="2" t="s">
        <v>48</v>
      </c>
    </row>
    <row r="1095" spans="1:14">
      <c r="A1095" s="2">
        <v>1094</v>
      </c>
      <c r="B1095" s="3" t="s">
        <v>4338</v>
      </c>
      <c r="C1095" s="2" t="s">
        <v>4339</v>
      </c>
      <c r="D1095" s="2">
        <v>54</v>
      </c>
      <c r="E1095" s="2">
        <v>55</v>
      </c>
      <c r="F1095" s="2" t="s">
        <v>4340</v>
      </c>
      <c r="H1095" s="2" t="s">
        <v>17</v>
      </c>
      <c r="K1095" s="4">
        <v>26923</v>
      </c>
      <c r="M1095" s="2" t="s">
        <v>47</v>
      </c>
      <c r="N1095" s="2" t="s">
        <v>48</v>
      </c>
    </row>
    <row r="1096" spans="1:14">
      <c r="A1096" s="2">
        <v>1095</v>
      </c>
      <c r="B1096" s="3" t="s">
        <v>4341</v>
      </c>
      <c r="C1096" s="2" t="s">
        <v>4342</v>
      </c>
      <c r="D1096" s="2">
        <v>55</v>
      </c>
      <c r="E1096" s="2">
        <v>55</v>
      </c>
      <c r="F1096" s="2" t="s">
        <v>4343</v>
      </c>
      <c r="H1096" s="2" t="s">
        <v>17</v>
      </c>
      <c r="K1096" s="4">
        <v>26136</v>
      </c>
      <c r="M1096" s="2" t="s">
        <v>154</v>
      </c>
      <c r="N1096" s="2" t="s">
        <v>346</v>
      </c>
    </row>
    <row r="1097" spans="1:14">
      <c r="A1097" s="2">
        <v>1096</v>
      </c>
      <c r="B1097" s="3" t="s">
        <v>4344</v>
      </c>
      <c r="C1097" s="2" t="s">
        <v>4345</v>
      </c>
      <c r="D1097" s="2">
        <v>51</v>
      </c>
      <c r="E1097" s="2">
        <v>55</v>
      </c>
      <c r="F1097" s="2" t="s">
        <v>4346</v>
      </c>
      <c r="H1097" s="2" t="s">
        <v>17</v>
      </c>
      <c r="K1097" s="4">
        <v>18423</v>
      </c>
      <c r="M1097" s="2" t="s">
        <v>140</v>
      </c>
      <c r="N1097" s="2" t="s">
        <v>3243</v>
      </c>
    </row>
    <row r="1098" spans="1:14">
      <c r="A1098" s="2">
        <v>1097</v>
      </c>
      <c r="B1098" s="3" t="s">
        <v>4347</v>
      </c>
      <c r="C1098" s="2" t="s">
        <v>4348</v>
      </c>
      <c r="D1098" s="2">
        <v>55</v>
      </c>
      <c r="E1098" s="2">
        <v>55</v>
      </c>
      <c r="F1098" s="2" t="s">
        <v>4349</v>
      </c>
      <c r="H1098" s="2" t="s">
        <v>17</v>
      </c>
      <c r="K1098" s="4">
        <v>29412</v>
      </c>
      <c r="M1098" s="2" t="s">
        <v>170</v>
      </c>
      <c r="N1098" s="2" t="s">
        <v>323</v>
      </c>
    </row>
    <row r="1099" spans="1:14">
      <c r="A1099" s="2">
        <v>1098</v>
      </c>
      <c r="B1099" s="3" t="s">
        <v>4350</v>
      </c>
      <c r="C1099" s="2" t="s">
        <v>4351</v>
      </c>
      <c r="D1099" s="2">
        <v>54</v>
      </c>
      <c r="E1099" s="2">
        <v>55</v>
      </c>
      <c r="F1099" s="2" t="s">
        <v>4352</v>
      </c>
      <c r="H1099" s="2" t="s">
        <v>17</v>
      </c>
      <c r="I1099" s="2" t="s">
        <v>4353</v>
      </c>
      <c r="K1099" s="4">
        <v>24984</v>
      </c>
      <c r="M1099" s="2" t="s">
        <v>170</v>
      </c>
      <c r="N1099" s="2" t="s">
        <v>4354</v>
      </c>
    </row>
    <row r="1100" spans="1:14">
      <c r="A1100" s="2">
        <v>1099</v>
      </c>
      <c r="B1100" s="3" t="s">
        <v>4355</v>
      </c>
      <c r="C1100" s="2" t="s">
        <v>4356</v>
      </c>
      <c r="D1100" s="2">
        <v>52</v>
      </c>
      <c r="E1100" s="2">
        <v>55</v>
      </c>
      <c r="F1100" s="2" t="s">
        <v>4357</v>
      </c>
      <c r="H1100" s="2" t="s">
        <v>17</v>
      </c>
      <c r="K1100" s="4">
        <v>12779</v>
      </c>
      <c r="M1100" s="2" t="s">
        <v>47</v>
      </c>
      <c r="N1100" s="2" t="s">
        <v>4358</v>
      </c>
    </row>
    <row r="1101" spans="1:14">
      <c r="A1101" s="2">
        <v>1100</v>
      </c>
      <c r="B1101" s="3" t="s">
        <v>4359</v>
      </c>
      <c r="C1101" s="2" t="s">
        <v>4360</v>
      </c>
      <c r="D1101" s="2">
        <v>55</v>
      </c>
      <c r="E1101" s="2">
        <v>55</v>
      </c>
      <c r="F1101" s="2" t="s">
        <v>4361</v>
      </c>
      <c r="H1101" s="2" t="s">
        <v>17</v>
      </c>
      <c r="K1101" s="4">
        <v>20780</v>
      </c>
      <c r="M1101" s="2" t="s">
        <v>170</v>
      </c>
      <c r="N1101" s="2" t="s">
        <v>323</v>
      </c>
    </row>
    <row r="1102" spans="1:14">
      <c r="A1102" s="2">
        <v>1101</v>
      </c>
      <c r="B1102" s="3" t="s">
        <v>4362</v>
      </c>
      <c r="C1102" s="2" t="s">
        <v>4363</v>
      </c>
      <c r="D1102" s="2">
        <v>55</v>
      </c>
      <c r="E1102" s="2">
        <v>55</v>
      </c>
      <c r="F1102" s="2" t="s">
        <v>4364</v>
      </c>
      <c r="H1102" s="2" t="s">
        <v>17</v>
      </c>
      <c r="K1102" s="4">
        <v>33365</v>
      </c>
      <c r="M1102" s="2" t="s">
        <v>170</v>
      </c>
      <c r="N1102" s="2" t="s">
        <v>323</v>
      </c>
    </row>
    <row r="1103" spans="1:14">
      <c r="A1103" s="2">
        <v>1102</v>
      </c>
      <c r="B1103" s="3" t="s">
        <v>4365</v>
      </c>
      <c r="C1103" s="2" t="s">
        <v>4366</v>
      </c>
      <c r="D1103" s="2">
        <v>54</v>
      </c>
      <c r="E1103" s="2">
        <v>55</v>
      </c>
      <c r="F1103" s="2" t="s">
        <v>4367</v>
      </c>
      <c r="H1103" s="2" t="s">
        <v>17</v>
      </c>
      <c r="I1103" s="3" t="s">
        <v>4368</v>
      </c>
      <c r="J1103" s="3" t="s">
        <v>4369</v>
      </c>
      <c r="K1103" s="4">
        <v>21216</v>
      </c>
      <c r="L1103" s="4">
        <v>43751</v>
      </c>
      <c r="M1103" s="2" t="s">
        <v>66</v>
      </c>
      <c r="N1103" s="2" t="s">
        <v>2349</v>
      </c>
    </row>
    <row r="1104" spans="1:14">
      <c r="A1104" s="2">
        <v>1103</v>
      </c>
      <c r="B1104" s="3" t="s">
        <v>4370</v>
      </c>
      <c r="C1104" s="2" t="s">
        <v>4371</v>
      </c>
      <c r="D1104" s="2">
        <v>44</v>
      </c>
      <c r="E1104" s="2">
        <v>55</v>
      </c>
      <c r="F1104" s="2" t="s">
        <v>4372</v>
      </c>
      <c r="H1104" s="2" t="s">
        <v>17</v>
      </c>
      <c r="K1104" s="4">
        <v>15880</v>
      </c>
      <c r="M1104" s="2" t="s">
        <v>76</v>
      </c>
      <c r="N1104" s="2" t="s">
        <v>764</v>
      </c>
    </row>
    <row r="1105" spans="1:14">
      <c r="A1105" s="2">
        <v>1104</v>
      </c>
      <c r="B1105" s="3" t="s">
        <v>4373</v>
      </c>
      <c r="C1105" s="2" t="s">
        <v>4374</v>
      </c>
      <c r="D1105" s="2">
        <v>55</v>
      </c>
      <c r="E1105" s="2">
        <v>55</v>
      </c>
      <c r="F1105" s="2" t="s">
        <v>4375</v>
      </c>
      <c r="H1105" s="2" t="s">
        <v>17</v>
      </c>
      <c r="K1105" s="4">
        <v>25979</v>
      </c>
      <c r="M1105" s="2" t="s">
        <v>53</v>
      </c>
      <c r="N1105" s="2" t="s">
        <v>847</v>
      </c>
    </row>
    <row r="1106" spans="1:14">
      <c r="A1106" s="2">
        <v>1105</v>
      </c>
      <c r="B1106" s="3" t="s">
        <v>4376</v>
      </c>
      <c r="C1106" s="2" t="s">
        <v>4377</v>
      </c>
      <c r="D1106" s="2">
        <v>49</v>
      </c>
      <c r="E1106" s="2">
        <v>55</v>
      </c>
      <c r="F1106" s="2" t="s">
        <v>4378</v>
      </c>
      <c r="H1106" s="2" t="s">
        <v>17</v>
      </c>
      <c r="K1106" s="4">
        <v>16983</v>
      </c>
      <c r="M1106" s="2" t="s">
        <v>40</v>
      </c>
      <c r="N1106" s="2" t="s">
        <v>41</v>
      </c>
    </row>
    <row r="1107" spans="1:14">
      <c r="A1107" s="2">
        <v>1106</v>
      </c>
      <c r="B1107" s="3" t="s">
        <v>4379</v>
      </c>
      <c r="C1107" s="2" t="s">
        <v>4380</v>
      </c>
      <c r="D1107" s="2">
        <v>53</v>
      </c>
      <c r="E1107" s="2">
        <v>55</v>
      </c>
      <c r="F1107" s="2" t="s">
        <v>4381</v>
      </c>
      <c r="H1107" s="2" t="s">
        <v>17</v>
      </c>
      <c r="K1107" s="4">
        <v>18113</v>
      </c>
      <c r="M1107" s="2" t="s">
        <v>35</v>
      </c>
      <c r="N1107" s="2" t="s">
        <v>4382</v>
      </c>
    </row>
    <row r="1108" spans="1:14">
      <c r="A1108" s="2">
        <v>1107</v>
      </c>
      <c r="B1108" s="3" t="s">
        <v>4383</v>
      </c>
      <c r="C1108" s="2" t="s">
        <v>4384</v>
      </c>
      <c r="D1108" s="2">
        <v>55</v>
      </c>
      <c r="E1108" s="2">
        <v>55</v>
      </c>
      <c r="F1108" s="2" t="s">
        <v>4385</v>
      </c>
      <c r="H1108" s="2" t="s">
        <v>17</v>
      </c>
      <c r="K1108" s="4">
        <v>22195</v>
      </c>
      <c r="M1108" s="2" t="s">
        <v>24</v>
      </c>
      <c r="N1108" s="2" t="s">
        <v>25</v>
      </c>
    </row>
    <row r="1109" spans="1:14">
      <c r="A1109" s="2">
        <v>1108</v>
      </c>
      <c r="B1109" s="3" t="s">
        <v>4386</v>
      </c>
      <c r="C1109" s="2" t="s">
        <v>4387</v>
      </c>
      <c r="D1109" s="2">
        <v>54</v>
      </c>
      <c r="E1109" s="2">
        <v>55</v>
      </c>
      <c r="F1109" s="2" t="s">
        <v>4388</v>
      </c>
      <c r="H1109" s="2" t="s">
        <v>17</v>
      </c>
      <c r="I1109" s="3" t="s">
        <v>4389</v>
      </c>
      <c r="K1109" s="4">
        <v>28678</v>
      </c>
      <c r="M1109" s="2" t="s">
        <v>571</v>
      </c>
      <c r="N1109" s="2" t="s">
        <v>1824</v>
      </c>
    </row>
    <row r="1110" spans="1:14">
      <c r="A1110" s="2">
        <v>1109</v>
      </c>
      <c r="B1110" s="3" t="s">
        <v>4390</v>
      </c>
      <c r="C1110" s="2" t="s">
        <v>4391</v>
      </c>
      <c r="D1110" s="2">
        <v>55</v>
      </c>
      <c r="E1110" s="2">
        <v>55</v>
      </c>
      <c r="F1110" s="2" t="s">
        <v>4392</v>
      </c>
      <c r="H1110" s="2" t="s">
        <v>17</v>
      </c>
      <c r="K1110" s="4">
        <v>24542</v>
      </c>
      <c r="M1110" s="2" t="s">
        <v>154</v>
      </c>
      <c r="N1110" s="2" t="s">
        <v>4393</v>
      </c>
    </row>
    <row r="1111" spans="1:14">
      <c r="A1111" s="2">
        <v>1110</v>
      </c>
      <c r="B1111" s="3" t="s">
        <v>4394</v>
      </c>
      <c r="C1111" s="2" t="s">
        <v>4395</v>
      </c>
      <c r="D1111" s="2">
        <v>54</v>
      </c>
      <c r="E1111" s="2">
        <v>55</v>
      </c>
      <c r="F1111" s="2" t="s">
        <v>4396</v>
      </c>
      <c r="H1111" s="2" t="s">
        <v>17</v>
      </c>
      <c r="K1111" s="4">
        <v>22080</v>
      </c>
      <c r="M1111" s="2" t="s">
        <v>35</v>
      </c>
      <c r="N1111" s="2" t="s">
        <v>1462</v>
      </c>
    </row>
    <row r="1112" spans="1:14">
      <c r="A1112" s="2">
        <v>1111</v>
      </c>
      <c r="B1112" s="3" t="s">
        <v>4397</v>
      </c>
      <c r="C1112" s="2" t="s">
        <v>4398</v>
      </c>
      <c r="D1112" s="2">
        <v>50</v>
      </c>
      <c r="E1112" s="2">
        <v>55</v>
      </c>
      <c r="F1112" s="2" t="s">
        <v>4399</v>
      </c>
      <c r="H1112" s="2" t="s">
        <v>17</v>
      </c>
      <c r="K1112" s="4">
        <v>19842</v>
      </c>
      <c r="M1112" s="2" t="s">
        <v>192</v>
      </c>
      <c r="N1112" s="2" t="s">
        <v>4400</v>
      </c>
    </row>
    <row r="1113" spans="1:14">
      <c r="A1113" s="2">
        <v>1112</v>
      </c>
      <c r="B1113" s="3" t="s">
        <v>4401</v>
      </c>
      <c r="C1113" s="2" t="s">
        <v>4402</v>
      </c>
      <c r="D1113" s="2">
        <v>55</v>
      </c>
      <c r="E1113" s="2">
        <v>55</v>
      </c>
      <c r="F1113" s="2" t="s">
        <v>4403</v>
      </c>
      <c r="H1113" s="2" t="s">
        <v>45</v>
      </c>
      <c r="K1113" s="4">
        <v>28944</v>
      </c>
      <c r="M1113" s="2" t="s">
        <v>247</v>
      </c>
      <c r="N1113" s="2" t="s">
        <v>886</v>
      </c>
    </row>
    <row r="1114" spans="1:14">
      <c r="A1114" s="2">
        <v>1113</v>
      </c>
      <c r="B1114" s="3" t="s">
        <v>4404</v>
      </c>
      <c r="C1114" s="2" t="s">
        <v>4405</v>
      </c>
      <c r="D1114" s="2">
        <v>52</v>
      </c>
      <c r="E1114" s="2">
        <v>55</v>
      </c>
      <c r="F1114" s="2" t="s">
        <v>4406</v>
      </c>
      <c r="H1114" s="2" t="s">
        <v>45</v>
      </c>
      <c r="K1114" s="4">
        <v>18064</v>
      </c>
      <c r="M1114" s="2" t="s">
        <v>66</v>
      </c>
      <c r="N1114" s="2" t="s">
        <v>3865</v>
      </c>
    </row>
    <row r="1115" spans="1:14">
      <c r="A1115" s="2">
        <v>1114</v>
      </c>
      <c r="B1115" s="3" t="s">
        <v>4407</v>
      </c>
      <c r="C1115" s="2" t="s">
        <v>4408</v>
      </c>
      <c r="D1115" s="2">
        <v>55</v>
      </c>
      <c r="E1115" s="2">
        <v>55</v>
      </c>
      <c r="F1115" s="2" t="s">
        <v>4409</v>
      </c>
      <c r="H1115" s="2" t="s">
        <v>17</v>
      </c>
      <c r="I1115" s="3" t="s">
        <v>4410</v>
      </c>
      <c r="K1115" s="4">
        <v>24047</v>
      </c>
      <c r="M1115" s="2" t="s">
        <v>198</v>
      </c>
      <c r="N1115" s="2" t="s">
        <v>4411</v>
      </c>
    </row>
    <row r="1116" spans="1:14">
      <c r="A1116" s="2">
        <v>1115</v>
      </c>
      <c r="B1116" s="3" t="s">
        <v>4412</v>
      </c>
      <c r="C1116" s="2" t="s">
        <v>4413</v>
      </c>
      <c r="D1116" s="2">
        <v>50</v>
      </c>
      <c r="E1116" s="2">
        <v>55</v>
      </c>
      <c r="F1116" s="2" t="s">
        <v>4414</v>
      </c>
      <c r="H1116" s="2" t="s">
        <v>45</v>
      </c>
      <c r="K1116" s="4">
        <v>22243</v>
      </c>
      <c r="M1116" s="2" t="s">
        <v>47</v>
      </c>
      <c r="N1116" s="2" t="s">
        <v>4415</v>
      </c>
    </row>
    <row r="1117" spans="1:14">
      <c r="A1117" s="2">
        <v>1116</v>
      </c>
      <c r="B1117" s="3" t="s">
        <v>4416</v>
      </c>
      <c r="C1117" s="2" t="s">
        <v>4417</v>
      </c>
      <c r="D1117" s="2">
        <v>55</v>
      </c>
      <c r="E1117" s="2">
        <v>55</v>
      </c>
      <c r="F1117" s="2" t="s">
        <v>4418</v>
      </c>
      <c r="H1117" s="2" t="s">
        <v>17</v>
      </c>
      <c r="K1117" s="4">
        <v>21608</v>
      </c>
      <c r="M1117" s="2" t="s">
        <v>170</v>
      </c>
      <c r="N1117" s="2" t="s">
        <v>323</v>
      </c>
    </row>
    <row r="1118" spans="1:14">
      <c r="A1118" s="2">
        <v>1117</v>
      </c>
      <c r="B1118" s="3" t="s">
        <v>4419</v>
      </c>
      <c r="C1118" s="2" t="s">
        <v>4420</v>
      </c>
      <c r="D1118" s="2">
        <v>52</v>
      </c>
      <c r="E1118" s="2">
        <v>55</v>
      </c>
      <c r="F1118" s="2" t="s">
        <v>4421</v>
      </c>
      <c r="H1118" s="2" t="s">
        <v>17</v>
      </c>
      <c r="I1118" s="2" t="s">
        <v>4422</v>
      </c>
      <c r="K1118" s="4">
        <v>26020</v>
      </c>
      <c r="M1118" s="2" t="s">
        <v>146</v>
      </c>
      <c r="N1118" s="2" t="s">
        <v>147</v>
      </c>
    </row>
    <row r="1119" spans="1:14">
      <c r="A1119" s="2">
        <v>1118</v>
      </c>
      <c r="B1119" s="3" t="s">
        <v>4423</v>
      </c>
      <c r="C1119" s="2" t="s">
        <v>4424</v>
      </c>
      <c r="D1119" s="2">
        <v>51</v>
      </c>
      <c r="E1119" s="2">
        <v>55</v>
      </c>
      <c r="F1119" s="2" t="s">
        <v>4425</v>
      </c>
      <c r="H1119" s="2" t="s">
        <v>17</v>
      </c>
      <c r="K1119" s="4">
        <v>11038</v>
      </c>
      <c r="M1119" s="2" t="s">
        <v>85</v>
      </c>
      <c r="N1119" s="2" t="s">
        <v>86</v>
      </c>
    </row>
    <row r="1120" spans="1:14">
      <c r="A1120" s="2">
        <v>1119</v>
      </c>
      <c r="B1120" s="3" t="s">
        <v>4426</v>
      </c>
      <c r="C1120" s="2" t="s">
        <v>4427</v>
      </c>
      <c r="D1120" s="2">
        <v>53</v>
      </c>
      <c r="E1120" s="2">
        <v>55</v>
      </c>
      <c r="F1120" s="2" t="s">
        <v>4427</v>
      </c>
      <c r="H1120" s="2" t="s">
        <v>17</v>
      </c>
      <c r="K1120" s="4">
        <v>23384</v>
      </c>
      <c r="M1120" s="2" t="s">
        <v>154</v>
      </c>
      <c r="N1120" s="2" t="s">
        <v>3516</v>
      </c>
    </row>
    <row r="1121" spans="1:14">
      <c r="A1121" s="2">
        <v>1120</v>
      </c>
      <c r="B1121" s="3" t="s">
        <v>4428</v>
      </c>
      <c r="C1121" s="2" t="s">
        <v>4429</v>
      </c>
      <c r="D1121" s="2">
        <v>55</v>
      </c>
      <c r="E1121" s="2">
        <v>55</v>
      </c>
      <c r="F1121" s="2" t="s">
        <v>4429</v>
      </c>
      <c r="H1121" s="2" t="s">
        <v>17</v>
      </c>
      <c r="K1121" s="4">
        <v>21429</v>
      </c>
      <c r="M1121" s="2" t="s">
        <v>47</v>
      </c>
      <c r="N1121" s="2" t="s">
        <v>1723</v>
      </c>
    </row>
    <row r="1122" spans="1:14">
      <c r="A1122" s="2">
        <v>1121</v>
      </c>
      <c r="B1122" s="3" t="s">
        <v>4430</v>
      </c>
      <c r="C1122" s="2" t="s">
        <v>4431</v>
      </c>
      <c r="D1122" s="2">
        <v>54</v>
      </c>
      <c r="E1122" s="2">
        <v>55</v>
      </c>
      <c r="F1122" s="2" t="s">
        <v>4432</v>
      </c>
      <c r="H1122" s="2" t="s">
        <v>17</v>
      </c>
      <c r="I1122" s="2" t="s">
        <v>4433</v>
      </c>
      <c r="K1122" s="4">
        <v>25013</v>
      </c>
      <c r="M1122" s="2" t="s">
        <v>192</v>
      </c>
      <c r="N1122" s="2" t="s">
        <v>3113</v>
      </c>
    </row>
    <row r="1123" spans="1:14">
      <c r="A1123" s="2">
        <v>1122</v>
      </c>
      <c r="B1123" s="3" t="s">
        <v>4434</v>
      </c>
      <c r="C1123" s="2" t="s">
        <v>4435</v>
      </c>
      <c r="D1123" s="2">
        <v>53</v>
      </c>
      <c r="E1123" s="2">
        <v>55</v>
      </c>
      <c r="F1123" s="2" t="s">
        <v>4436</v>
      </c>
      <c r="H1123" s="2" t="s">
        <v>17</v>
      </c>
      <c r="K1123" s="4">
        <v>28652</v>
      </c>
      <c r="M1123" s="2" t="s">
        <v>35</v>
      </c>
      <c r="N1123" s="2" t="s">
        <v>58</v>
      </c>
    </row>
    <row r="1124" spans="1:14">
      <c r="A1124" s="2">
        <v>1123</v>
      </c>
      <c r="B1124" s="3" t="s">
        <v>4437</v>
      </c>
      <c r="C1124" s="2" t="s">
        <v>4438</v>
      </c>
      <c r="D1124" s="2">
        <v>51</v>
      </c>
      <c r="E1124" s="2">
        <v>55</v>
      </c>
      <c r="F1124" s="2" t="s">
        <v>4439</v>
      </c>
      <c r="H1124" s="2" t="s">
        <v>17</v>
      </c>
      <c r="K1124" s="4">
        <v>22443</v>
      </c>
      <c r="M1124" s="2" t="s">
        <v>47</v>
      </c>
      <c r="N1124" s="2" t="s">
        <v>4440</v>
      </c>
    </row>
    <row r="1125" spans="1:14">
      <c r="A1125" s="2">
        <v>1124</v>
      </c>
      <c r="B1125" s="3" t="s">
        <v>4441</v>
      </c>
      <c r="C1125" s="2" t="s">
        <v>4442</v>
      </c>
      <c r="D1125" s="2">
        <v>44</v>
      </c>
      <c r="E1125" s="2">
        <v>55</v>
      </c>
      <c r="F1125" s="2" t="s">
        <v>4442</v>
      </c>
      <c r="H1125" s="2" t="s">
        <v>17</v>
      </c>
      <c r="K1125" s="4">
        <v>16584</v>
      </c>
      <c r="M1125" s="2" t="s">
        <v>170</v>
      </c>
      <c r="N1125" s="2" t="s">
        <v>323</v>
      </c>
    </row>
    <row r="1126" spans="1:14">
      <c r="A1126" s="2">
        <v>1125</v>
      </c>
      <c r="B1126" s="3" t="s">
        <v>4443</v>
      </c>
      <c r="C1126" s="2" t="s">
        <v>4444</v>
      </c>
      <c r="D1126" s="2">
        <v>55</v>
      </c>
      <c r="E1126" s="2">
        <v>55</v>
      </c>
      <c r="F1126" s="2" t="s">
        <v>4445</v>
      </c>
      <c r="H1126" s="2" t="s">
        <v>45</v>
      </c>
      <c r="K1126" s="4">
        <v>21370</v>
      </c>
      <c r="M1126" s="2" t="s">
        <v>40</v>
      </c>
      <c r="N1126" s="2" t="s">
        <v>41</v>
      </c>
    </row>
    <row r="1127" spans="1:14">
      <c r="A1127" s="2">
        <v>1126</v>
      </c>
      <c r="B1127" s="3" t="s">
        <v>4446</v>
      </c>
      <c r="C1127" s="2" t="s">
        <v>4447</v>
      </c>
      <c r="D1127" s="2">
        <v>55</v>
      </c>
      <c r="E1127" s="2">
        <v>55</v>
      </c>
      <c r="F1127" s="2" t="s">
        <v>4448</v>
      </c>
      <c r="H1127" s="2" t="s">
        <v>17</v>
      </c>
      <c r="K1127" s="4">
        <v>23234</v>
      </c>
      <c r="M1127" s="2" t="s">
        <v>247</v>
      </c>
      <c r="N1127" s="2" t="s">
        <v>562</v>
      </c>
    </row>
    <row r="1128" spans="1:14">
      <c r="A1128" s="2">
        <v>1127</v>
      </c>
      <c r="B1128" s="3" t="s">
        <v>4449</v>
      </c>
      <c r="C1128" s="2" t="s">
        <v>4450</v>
      </c>
      <c r="D1128" s="2">
        <v>49</v>
      </c>
      <c r="E1128" s="2">
        <v>55</v>
      </c>
      <c r="F1128" s="2" t="s">
        <v>4451</v>
      </c>
      <c r="H1128" s="2" t="s">
        <v>17</v>
      </c>
      <c r="K1128" s="4">
        <v>20616</v>
      </c>
      <c r="M1128" s="2" t="s">
        <v>66</v>
      </c>
      <c r="N1128" s="2" t="s">
        <v>71</v>
      </c>
    </row>
    <row r="1129" spans="1:14">
      <c r="A1129" s="2">
        <v>1128</v>
      </c>
      <c r="B1129" s="3" t="s">
        <v>4452</v>
      </c>
      <c r="C1129" s="2" t="s">
        <v>4453</v>
      </c>
      <c r="D1129" s="2">
        <v>54</v>
      </c>
      <c r="E1129" s="2">
        <v>55</v>
      </c>
      <c r="F1129" s="2" t="s">
        <v>4454</v>
      </c>
      <c r="H1129" s="2" t="s">
        <v>17</v>
      </c>
      <c r="K1129" s="4">
        <v>26267</v>
      </c>
      <c r="M1129" s="2" t="s">
        <v>66</v>
      </c>
      <c r="N1129" s="2" t="s">
        <v>71</v>
      </c>
    </row>
    <row r="1130" spans="1:14">
      <c r="A1130" s="2">
        <v>1129</v>
      </c>
      <c r="B1130" s="3" t="s">
        <v>4455</v>
      </c>
      <c r="C1130" s="2" t="s">
        <v>4456</v>
      </c>
      <c r="D1130" s="2">
        <v>49</v>
      </c>
      <c r="E1130" s="2">
        <v>55</v>
      </c>
      <c r="F1130" s="2" t="s">
        <v>4456</v>
      </c>
      <c r="H1130" s="2" t="s">
        <v>17</v>
      </c>
      <c r="K1130" s="4">
        <v>15278</v>
      </c>
      <c r="M1130" s="2" t="s">
        <v>47</v>
      </c>
      <c r="N1130" s="2" t="s">
        <v>4457</v>
      </c>
    </row>
    <row r="1131" spans="1:14">
      <c r="A1131" s="2">
        <v>1130</v>
      </c>
      <c r="B1131" s="3" t="s">
        <v>4458</v>
      </c>
      <c r="C1131" s="2" t="s">
        <v>4459</v>
      </c>
      <c r="D1131" s="2">
        <v>50</v>
      </c>
      <c r="E1131" s="2">
        <v>55</v>
      </c>
      <c r="F1131" s="2" t="s">
        <v>4459</v>
      </c>
      <c r="H1131" s="2" t="s">
        <v>17</v>
      </c>
      <c r="K1131" s="4">
        <v>15545</v>
      </c>
      <c r="L1131" s="4">
        <v>44024</v>
      </c>
      <c r="M1131" s="2" t="s">
        <v>423</v>
      </c>
      <c r="N1131" s="2" t="s">
        <v>4460</v>
      </c>
    </row>
    <row r="1132" spans="1:14">
      <c r="A1132" s="2">
        <v>1131</v>
      </c>
      <c r="B1132" s="3" t="s">
        <v>4461</v>
      </c>
      <c r="C1132" s="2" t="s">
        <v>4462</v>
      </c>
      <c r="D1132" s="2">
        <v>55</v>
      </c>
      <c r="E1132" s="2">
        <v>55</v>
      </c>
      <c r="F1132" s="2" t="s">
        <v>4463</v>
      </c>
      <c r="H1132" s="2" t="s">
        <v>17</v>
      </c>
      <c r="K1132" s="4">
        <v>21061</v>
      </c>
      <c r="M1132" s="2" t="s">
        <v>170</v>
      </c>
      <c r="N1132" s="2" t="s">
        <v>385</v>
      </c>
    </row>
    <row r="1133" spans="1:14">
      <c r="A1133" s="2">
        <v>1132</v>
      </c>
      <c r="B1133" s="3" t="s">
        <v>4464</v>
      </c>
      <c r="C1133" s="2" t="s">
        <v>4465</v>
      </c>
      <c r="D1133" s="2">
        <v>54</v>
      </c>
      <c r="E1133" s="2">
        <v>55</v>
      </c>
      <c r="F1133" s="2" t="s">
        <v>4465</v>
      </c>
      <c r="H1133" s="2" t="s">
        <v>17</v>
      </c>
      <c r="K1133" s="4">
        <v>17793</v>
      </c>
      <c r="M1133" s="2" t="s">
        <v>47</v>
      </c>
      <c r="N1133" s="2" t="s">
        <v>4137</v>
      </c>
    </row>
    <row r="1134" spans="1:14">
      <c r="A1134" s="2">
        <v>1133</v>
      </c>
      <c r="B1134" s="3" t="s">
        <v>4466</v>
      </c>
      <c r="C1134" s="2" t="s">
        <v>4467</v>
      </c>
      <c r="D1134" s="2">
        <v>49</v>
      </c>
      <c r="E1134" s="2">
        <v>55</v>
      </c>
      <c r="F1134" s="2" t="s">
        <v>4468</v>
      </c>
      <c r="H1134" s="2" t="s">
        <v>17</v>
      </c>
      <c r="K1134" s="4">
        <v>17390</v>
      </c>
      <c r="M1134" s="2" t="s">
        <v>35</v>
      </c>
      <c r="N1134" s="2" t="s">
        <v>58</v>
      </c>
    </row>
    <row r="1135" spans="1:14">
      <c r="A1135" s="2">
        <v>1134</v>
      </c>
      <c r="B1135" s="3" t="s">
        <v>4469</v>
      </c>
      <c r="C1135" s="2" t="s">
        <v>4470</v>
      </c>
      <c r="D1135" s="2">
        <v>54</v>
      </c>
      <c r="E1135" s="2">
        <v>55</v>
      </c>
      <c r="F1135" s="2" t="s">
        <v>4471</v>
      </c>
      <c r="H1135" s="2" t="s">
        <v>17</v>
      </c>
      <c r="K1135" s="4">
        <v>25259</v>
      </c>
      <c r="M1135" s="2" t="s">
        <v>341</v>
      </c>
      <c r="N1135" s="2" t="s">
        <v>4472</v>
      </c>
    </row>
    <row r="1136" spans="1:14">
      <c r="A1136" s="2">
        <v>1135</v>
      </c>
      <c r="B1136" s="3" t="s">
        <v>4473</v>
      </c>
      <c r="C1136" s="2" t="s">
        <v>4474</v>
      </c>
      <c r="D1136" s="2">
        <v>51</v>
      </c>
      <c r="E1136" s="2">
        <v>55</v>
      </c>
      <c r="F1136" s="2" t="s">
        <v>4475</v>
      </c>
      <c r="H1136" s="2" t="s">
        <v>17</v>
      </c>
      <c r="K1136" s="4">
        <v>21955</v>
      </c>
      <c r="M1136" s="2" t="s">
        <v>35</v>
      </c>
      <c r="N1136" s="2" t="s">
        <v>4476</v>
      </c>
    </row>
    <row r="1137" spans="1:14">
      <c r="A1137" s="2">
        <v>1136</v>
      </c>
      <c r="B1137" s="3" t="s">
        <v>4477</v>
      </c>
      <c r="C1137" s="2" t="s">
        <v>4478</v>
      </c>
      <c r="D1137" s="2">
        <v>49</v>
      </c>
      <c r="E1137" s="2">
        <v>55</v>
      </c>
      <c r="F1137" s="2" t="s">
        <v>4479</v>
      </c>
      <c r="H1137" s="2" t="s">
        <v>17</v>
      </c>
      <c r="I1137" s="2" t="s">
        <v>4480</v>
      </c>
      <c r="J1137" s="3" t="s">
        <v>4481</v>
      </c>
      <c r="K1137" s="4">
        <v>16948</v>
      </c>
      <c r="M1137" s="2" t="s">
        <v>35</v>
      </c>
      <c r="N1137" s="2" t="s">
        <v>2466</v>
      </c>
    </row>
    <row r="1138" spans="1:14">
      <c r="A1138" s="2">
        <v>1137</v>
      </c>
      <c r="B1138" s="3" t="s">
        <v>4482</v>
      </c>
      <c r="C1138" s="2" t="s">
        <v>4483</v>
      </c>
      <c r="D1138" s="2">
        <v>55</v>
      </c>
      <c r="E1138" s="2">
        <v>55</v>
      </c>
      <c r="F1138" s="2" t="s">
        <v>4484</v>
      </c>
      <c r="H1138" s="2" t="s">
        <v>17</v>
      </c>
      <c r="K1138" s="4">
        <v>25282</v>
      </c>
      <c r="M1138" s="2" t="s">
        <v>154</v>
      </c>
      <c r="N1138" s="2" t="s">
        <v>208</v>
      </c>
    </row>
    <row r="1139" spans="1:14">
      <c r="A1139" s="2">
        <v>1138</v>
      </c>
      <c r="B1139" s="3" t="s">
        <v>4485</v>
      </c>
      <c r="C1139" s="2" t="s">
        <v>4486</v>
      </c>
      <c r="D1139" s="2">
        <v>55</v>
      </c>
      <c r="E1139" s="2">
        <v>55</v>
      </c>
      <c r="F1139" s="2" t="s">
        <v>4487</v>
      </c>
      <c r="H1139" s="2" t="s">
        <v>17</v>
      </c>
      <c r="K1139" s="4">
        <v>23366</v>
      </c>
      <c r="M1139" s="2" t="s">
        <v>423</v>
      </c>
      <c r="N1139" s="2" t="s">
        <v>3942</v>
      </c>
    </row>
    <row r="1140" spans="1:14">
      <c r="A1140" s="2">
        <v>1139</v>
      </c>
      <c r="B1140" s="3" t="s">
        <v>4488</v>
      </c>
      <c r="C1140" s="2" t="s">
        <v>4489</v>
      </c>
      <c r="D1140" s="2">
        <v>55</v>
      </c>
      <c r="E1140" s="2">
        <v>55</v>
      </c>
      <c r="F1140" s="2" t="s">
        <v>4490</v>
      </c>
      <c r="H1140" s="2" t="s">
        <v>17</v>
      </c>
      <c r="K1140" s="4">
        <v>24715</v>
      </c>
      <c r="M1140" s="2" t="s">
        <v>85</v>
      </c>
      <c r="N1140" s="2" t="s">
        <v>2563</v>
      </c>
    </row>
    <row r="1141" spans="1:14">
      <c r="A1141" s="2">
        <v>1140</v>
      </c>
      <c r="B1141" s="3" t="s">
        <v>4491</v>
      </c>
      <c r="C1141" s="2" t="s">
        <v>4492</v>
      </c>
      <c r="D1141" s="2">
        <v>50</v>
      </c>
      <c r="E1141" s="2">
        <v>55</v>
      </c>
      <c r="F1141" s="2" t="s">
        <v>4493</v>
      </c>
      <c r="H1141" s="2" t="s">
        <v>17</v>
      </c>
      <c r="K1141" s="4">
        <v>20537</v>
      </c>
      <c r="M1141" s="2" t="s">
        <v>170</v>
      </c>
      <c r="N1141" s="2" t="s">
        <v>4494</v>
      </c>
    </row>
    <row r="1142" spans="1:14">
      <c r="A1142" s="2">
        <v>1141</v>
      </c>
      <c r="B1142" s="3" t="s">
        <v>4495</v>
      </c>
      <c r="C1142" s="2" t="s">
        <v>4496</v>
      </c>
      <c r="D1142" s="2">
        <v>53</v>
      </c>
      <c r="E1142" s="2">
        <v>55</v>
      </c>
      <c r="F1142" s="2" t="s">
        <v>4497</v>
      </c>
      <c r="H1142" s="2" t="s">
        <v>17</v>
      </c>
      <c r="K1142" s="4">
        <v>24876</v>
      </c>
      <c r="M1142" s="2" t="s">
        <v>85</v>
      </c>
      <c r="N1142" s="2" t="s">
        <v>86</v>
      </c>
    </row>
    <row r="1143" spans="1:14">
      <c r="A1143" s="2">
        <v>1142</v>
      </c>
      <c r="B1143" s="3" t="s">
        <v>4498</v>
      </c>
      <c r="C1143" s="2" t="s">
        <v>4499</v>
      </c>
      <c r="D1143" s="2">
        <v>47</v>
      </c>
      <c r="E1143" s="2">
        <v>55</v>
      </c>
      <c r="F1143" s="2" t="s">
        <v>4500</v>
      </c>
      <c r="H1143" s="2" t="s">
        <v>17</v>
      </c>
      <c r="K1143" s="4">
        <v>11569</v>
      </c>
      <c r="M1143" s="2" t="s">
        <v>47</v>
      </c>
      <c r="N1143" s="2" t="s">
        <v>48</v>
      </c>
    </row>
    <row r="1144" spans="1:14">
      <c r="A1144" s="2">
        <v>1143</v>
      </c>
      <c r="B1144" s="3" t="s">
        <v>4501</v>
      </c>
      <c r="C1144" s="2" t="s">
        <v>4502</v>
      </c>
      <c r="D1144" s="2">
        <v>51</v>
      </c>
      <c r="E1144" s="2">
        <v>55</v>
      </c>
      <c r="F1144" s="2" t="s">
        <v>4503</v>
      </c>
      <c r="H1144" s="2" t="s">
        <v>17</v>
      </c>
      <c r="K1144" s="4">
        <v>21425</v>
      </c>
      <c r="M1144" s="2" t="s">
        <v>53</v>
      </c>
      <c r="N1144" s="2" t="s">
        <v>4504</v>
      </c>
    </row>
    <row r="1145" spans="1:14">
      <c r="A1145" s="2">
        <v>1144</v>
      </c>
      <c r="B1145" s="3" t="s">
        <v>4505</v>
      </c>
      <c r="C1145" s="2" t="s">
        <v>4506</v>
      </c>
      <c r="D1145" s="2">
        <v>51</v>
      </c>
      <c r="E1145" s="2">
        <v>55</v>
      </c>
      <c r="F1145" s="2" t="s">
        <v>4507</v>
      </c>
      <c r="H1145" s="2" t="s">
        <v>17</v>
      </c>
      <c r="K1145" s="4">
        <v>17959</v>
      </c>
      <c r="M1145" s="2" t="s">
        <v>185</v>
      </c>
      <c r="N1145" s="2" t="s">
        <v>838</v>
      </c>
    </row>
    <row r="1146" spans="1:14">
      <c r="A1146" s="2">
        <v>1145</v>
      </c>
      <c r="B1146" s="3" t="s">
        <v>4508</v>
      </c>
      <c r="C1146" s="2" t="s">
        <v>4509</v>
      </c>
      <c r="D1146" s="2">
        <v>54</v>
      </c>
      <c r="E1146" s="2">
        <v>55</v>
      </c>
      <c r="F1146" s="2" t="s">
        <v>4510</v>
      </c>
      <c r="H1146" s="2" t="s">
        <v>17</v>
      </c>
      <c r="I1146" s="2" t="s">
        <v>4511</v>
      </c>
      <c r="K1146" s="4">
        <v>16798</v>
      </c>
      <c r="M1146" s="2" t="s">
        <v>336</v>
      </c>
      <c r="N1146" s="2" t="s">
        <v>1883</v>
      </c>
    </row>
    <row r="1147" spans="1:14">
      <c r="A1147" s="2">
        <v>1146</v>
      </c>
      <c r="B1147" s="3" t="s">
        <v>4512</v>
      </c>
      <c r="C1147" s="2" t="s">
        <v>4513</v>
      </c>
      <c r="D1147" s="2">
        <v>53</v>
      </c>
      <c r="E1147" s="2">
        <v>55</v>
      </c>
      <c r="F1147" s="2" t="s">
        <v>4514</v>
      </c>
      <c r="H1147" s="2" t="s">
        <v>17</v>
      </c>
      <c r="K1147" s="4">
        <v>21487</v>
      </c>
      <c r="M1147" s="2" t="s">
        <v>66</v>
      </c>
      <c r="N1147" s="2" t="s">
        <v>4515</v>
      </c>
    </row>
    <row r="1148" spans="1:14">
      <c r="A1148" s="2">
        <v>1147</v>
      </c>
      <c r="B1148" s="3" t="s">
        <v>4516</v>
      </c>
      <c r="C1148" s="2" t="s">
        <v>4517</v>
      </c>
      <c r="D1148" s="2">
        <v>55</v>
      </c>
      <c r="E1148" s="2">
        <v>55</v>
      </c>
      <c r="F1148" s="2" t="s">
        <v>4518</v>
      </c>
      <c r="H1148" s="2" t="s">
        <v>45</v>
      </c>
      <c r="K1148" s="4">
        <v>27527</v>
      </c>
      <c r="M1148" s="2" t="s">
        <v>47</v>
      </c>
      <c r="N1148" s="2" t="s">
        <v>1538</v>
      </c>
    </row>
    <row r="1149" spans="1:14">
      <c r="A1149" s="2">
        <v>1148</v>
      </c>
      <c r="B1149" s="3" t="s">
        <v>4519</v>
      </c>
      <c r="C1149" s="2" t="s">
        <v>4520</v>
      </c>
      <c r="D1149" s="2">
        <v>55</v>
      </c>
      <c r="E1149" s="2">
        <v>55</v>
      </c>
      <c r="F1149" s="2" t="s">
        <v>4521</v>
      </c>
      <c r="H1149" s="2" t="s">
        <v>17</v>
      </c>
      <c r="K1149" s="4">
        <v>19279</v>
      </c>
      <c r="M1149" s="2" t="s">
        <v>85</v>
      </c>
      <c r="N1149" s="2" t="s">
        <v>4522</v>
      </c>
    </row>
    <row r="1150" spans="1:14">
      <c r="A1150" s="2">
        <v>1149</v>
      </c>
      <c r="B1150" s="3" t="s">
        <v>4523</v>
      </c>
      <c r="C1150" s="2" t="s">
        <v>4524</v>
      </c>
      <c r="D1150" s="2">
        <v>54</v>
      </c>
      <c r="E1150" s="2">
        <v>55</v>
      </c>
      <c r="F1150" s="2" t="s">
        <v>4525</v>
      </c>
      <c r="H1150" s="2" t="s">
        <v>17</v>
      </c>
      <c r="K1150" s="4">
        <v>23089</v>
      </c>
      <c r="M1150" s="2" t="s">
        <v>154</v>
      </c>
      <c r="N1150" s="2" t="s">
        <v>4526</v>
      </c>
    </row>
    <row r="1151" spans="1:14">
      <c r="A1151" s="2">
        <v>1150</v>
      </c>
      <c r="B1151" s="3" t="s">
        <v>4527</v>
      </c>
      <c r="C1151" s="2" t="s">
        <v>4528</v>
      </c>
      <c r="D1151" s="2">
        <v>53</v>
      </c>
      <c r="E1151" s="2">
        <v>55</v>
      </c>
      <c r="F1151" s="2" t="s">
        <v>4529</v>
      </c>
      <c r="H1151" s="2" t="s">
        <v>17</v>
      </c>
      <c r="K1151" s="4">
        <v>22401</v>
      </c>
      <c r="M1151" s="2" t="s">
        <v>47</v>
      </c>
      <c r="N1151" s="2" t="s">
        <v>4530</v>
      </c>
    </row>
    <row r="1152" spans="1:14">
      <c r="A1152" s="2">
        <v>1151</v>
      </c>
      <c r="B1152" s="3" t="s">
        <v>4531</v>
      </c>
      <c r="C1152" s="2" t="s">
        <v>4532</v>
      </c>
      <c r="D1152" s="2">
        <v>50</v>
      </c>
      <c r="E1152" s="2">
        <v>55</v>
      </c>
      <c r="F1152" s="2" t="s">
        <v>4532</v>
      </c>
      <c r="H1152" s="2" t="s">
        <v>17</v>
      </c>
      <c r="K1152" s="4">
        <v>18717</v>
      </c>
      <c r="M1152" s="2" t="s">
        <v>85</v>
      </c>
      <c r="N1152" s="2" t="s">
        <v>86</v>
      </c>
    </row>
    <row r="1153" spans="1:14">
      <c r="A1153" s="2">
        <v>1152</v>
      </c>
      <c r="B1153" s="3" t="s">
        <v>4533</v>
      </c>
      <c r="C1153" s="2" t="s">
        <v>4534</v>
      </c>
      <c r="D1153" s="2">
        <v>55</v>
      </c>
      <c r="E1153" s="2">
        <v>55</v>
      </c>
      <c r="F1153" s="2" t="s">
        <v>4535</v>
      </c>
      <c r="H1153" s="2" t="s">
        <v>45</v>
      </c>
      <c r="K1153" s="4">
        <v>23216</v>
      </c>
      <c r="M1153" s="2" t="s">
        <v>35</v>
      </c>
      <c r="N1153" s="2" t="s">
        <v>703</v>
      </c>
    </row>
    <row r="1154" spans="1:14">
      <c r="A1154" s="2">
        <v>1153</v>
      </c>
      <c r="B1154" s="3" t="s">
        <v>4536</v>
      </c>
      <c r="C1154" s="2" t="s">
        <v>4537</v>
      </c>
      <c r="D1154" s="2">
        <v>52</v>
      </c>
      <c r="E1154" s="2">
        <v>55</v>
      </c>
      <c r="F1154" s="2" t="s">
        <v>4538</v>
      </c>
      <c r="H1154" s="2" t="s">
        <v>17</v>
      </c>
      <c r="K1154" s="4">
        <v>19087</v>
      </c>
      <c r="M1154" s="2" t="s">
        <v>198</v>
      </c>
      <c r="N1154" s="2" t="s">
        <v>199</v>
      </c>
    </row>
    <row r="1155" spans="1:14">
      <c r="A1155" s="2">
        <v>1154</v>
      </c>
      <c r="B1155" s="3" t="s">
        <v>4539</v>
      </c>
      <c r="C1155" s="2" t="s">
        <v>4540</v>
      </c>
      <c r="D1155" s="2">
        <v>46</v>
      </c>
      <c r="E1155" s="2">
        <v>55</v>
      </c>
      <c r="F1155" s="2" t="s">
        <v>4540</v>
      </c>
      <c r="H1155" s="2" t="s">
        <v>17</v>
      </c>
      <c r="K1155" s="4">
        <v>14470</v>
      </c>
      <c r="M1155" s="2" t="s">
        <v>423</v>
      </c>
      <c r="N1155" s="2" t="s">
        <v>3088</v>
      </c>
    </row>
    <row r="1156" spans="1:14">
      <c r="A1156" s="2">
        <v>1155</v>
      </c>
      <c r="B1156" s="3" t="s">
        <v>4541</v>
      </c>
      <c r="C1156" s="2" t="s">
        <v>4542</v>
      </c>
      <c r="D1156" s="2">
        <v>55</v>
      </c>
      <c r="E1156" s="2">
        <v>55</v>
      </c>
      <c r="F1156" s="2" t="s">
        <v>4543</v>
      </c>
      <c r="H1156" s="2" t="s">
        <v>17</v>
      </c>
      <c r="K1156" s="4">
        <v>24326</v>
      </c>
      <c r="M1156" s="2" t="s">
        <v>154</v>
      </c>
      <c r="N1156" s="2" t="s">
        <v>4544</v>
      </c>
    </row>
    <row r="1157" spans="1:14">
      <c r="A1157" s="2">
        <v>1156</v>
      </c>
      <c r="B1157" s="3" t="s">
        <v>4545</v>
      </c>
      <c r="C1157" s="2" t="s">
        <v>4546</v>
      </c>
      <c r="D1157" s="2">
        <v>54</v>
      </c>
      <c r="E1157" s="2">
        <v>55</v>
      </c>
      <c r="F1157" s="2" t="s">
        <v>4547</v>
      </c>
      <c r="H1157" s="2" t="s">
        <v>17</v>
      </c>
      <c r="K1157" s="4">
        <v>26004</v>
      </c>
      <c r="M1157" s="2" t="s">
        <v>47</v>
      </c>
      <c r="N1157" s="2" t="s">
        <v>417</v>
      </c>
    </row>
    <row r="1158" spans="1:14">
      <c r="A1158" s="2">
        <v>1157</v>
      </c>
      <c r="B1158" s="3" t="s">
        <v>4548</v>
      </c>
      <c r="C1158" s="2" t="s">
        <v>4549</v>
      </c>
      <c r="D1158" s="2">
        <v>53</v>
      </c>
      <c r="E1158" s="2">
        <v>55</v>
      </c>
      <c r="F1158" s="2" t="s">
        <v>4550</v>
      </c>
      <c r="H1158" s="2" t="s">
        <v>17</v>
      </c>
      <c r="K1158" s="4">
        <v>22190</v>
      </c>
      <c r="M1158" s="2" t="s">
        <v>66</v>
      </c>
      <c r="N1158" s="2" t="s">
        <v>4551</v>
      </c>
    </row>
    <row r="1159" spans="1:14">
      <c r="A1159" s="2">
        <v>1158</v>
      </c>
      <c r="B1159" s="3" t="s">
        <v>4552</v>
      </c>
      <c r="C1159" s="2" t="s">
        <v>4553</v>
      </c>
      <c r="D1159" s="2">
        <v>54</v>
      </c>
      <c r="E1159" s="2">
        <v>55</v>
      </c>
      <c r="F1159" s="2" t="s">
        <v>4554</v>
      </c>
      <c r="H1159" s="2" t="s">
        <v>17</v>
      </c>
      <c r="J1159" s="3" t="s">
        <v>4555</v>
      </c>
      <c r="K1159" s="4">
        <v>29322</v>
      </c>
      <c r="M1159" s="2" t="s">
        <v>35</v>
      </c>
      <c r="N1159" s="2" t="s">
        <v>328</v>
      </c>
    </row>
    <row r="1160" spans="1:14">
      <c r="A1160" s="2">
        <v>1159</v>
      </c>
      <c r="B1160" s="3" t="s">
        <v>4556</v>
      </c>
      <c r="C1160" s="2" t="s">
        <v>4557</v>
      </c>
      <c r="D1160" s="2">
        <v>55</v>
      </c>
      <c r="E1160" s="2">
        <v>55</v>
      </c>
      <c r="F1160" s="2" t="s">
        <v>4558</v>
      </c>
      <c r="H1160" s="2" t="s">
        <v>17</v>
      </c>
      <c r="K1160" s="4">
        <v>26623</v>
      </c>
      <c r="M1160" s="2" t="s">
        <v>47</v>
      </c>
      <c r="N1160" s="2" t="s">
        <v>4559</v>
      </c>
    </row>
    <row r="1161" spans="1:14">
      <c r="A1161" s="2">
        <v>1160</v>
      </c>
      <c r="B1161" s="3" t="s">
        <v>4560</v>
      </c>
      <c r="C1161" s="2" t="s">
        <v>4561</v>
      </c>
      <c r="D1161" s="2">
        <v>53</v>
      </c>
      <c r="E1161" s="2">
        <v>55</v>
      </c>
      <c r="F1161" s="2" t="s">
        <v>4562</v>
      </c>
      <c r="H1161" s="2" t="s">
        <v>17</v>
      </c>
      <c r="I1161" s="2" t="s">
        <v>4563</v>
      </c>
      <c r="J1161" s="3" t="s">
        <v>4564</v>
      </c>
      <c r="K1161" s="4">
        <v>19101</v>
      </c>
      <c r="M1161" s="2" t="s">
        <v>47</v>
      </c>
      <c r="N1161" s="2" t="s">
        <v>48</v>
      </c>
    </row>
    <row r="1162" spans="1:14">
      <c r="A1162" s="2">
        <v>1161</v>
      </c>
      <c r="B1162" s="3" t="s">
        <v>4565</v>
      </c>
      <c r="C1162" s="2" t="s">
        <v>4566</v>
      </c>
      <c r="D1162" s="2">
        <v>48</v>
      </c>
      <c r="E1162" s="2">
        <v>55</v>
      </c>
      <c r="F1162" s="2" t="s">
        <v>4567</v>
      </c>
      <c r="H1162" s="2" t="s">
        <v>17</v>
      </c>
      <c r="K1162" s="4">
        <v>16216</v>
      </c>
      <c r="M1162" s="2" t="s">
        <v>53</v>
      </c>
      <c r="N1162" s="2" t="s">
        <v>4568</v>
      </c>
    </row>
    <row r="1163" spans="1:14">
      <c r="A1163" s="2">
        <v>1162</v>
      </c>
      <c r="B1163" s="3" t="s">
        <v>4569</v>
      </c>
      <c r="C1163" s="2" t="s">
        <v>4570</v>
      </c>
      <c r="D1163" s="2">
        <v>53</v>
      </c>
      <c r="E1163" s="2">
        <v>55</v>
      </c>
      <c r="F1163" s="2" t="s">
        <v>4571</v>
      </c>
      <c r="H1163" s="2" t="s">
        <v>17</v>
      </c>
      <c r="K1163" s="4">
        <v>18721</v>
      </c>
      <c r="M1163" s="2" t="s">
        <v>40</v>
      </c>
      <c r="N1163" s="2" t="s">
        <v>4572</v>
      </c>
    </row>
    <row r="1164" spans="1:14">
      <c r="A1164" s="2">
        <v>1163</v>
      </c>
      <c r="B1164" s="3" t="s">
        <v>4573</v>
      </c>
      <c r="C1164" s="2" t="s">
        <v>4574</v>
      </c>
      <c r="D1164" s="2">
        <v>46</v>
      </c>
      <c r="E1164" s="2">
        <v>55</v>
      </c>
      <c r="F1164" s="2" t="s">
        <v>4575</v>
      </c>
      <c r="H1164" s="2" t="s">
        <v>17</v>
      </c>
      <c r="I1164" s="2" t="s">
        <v>4576</v>
      </c>
      <c r="K1164" s="4">
        <v>15451</v>
      </c>
      <c r="M1164" s="2" t="s">
        <v>198</v>
      </c>
      <c r="N1164" s="2" t="s">
        <v>199</v>
      </c>
    </row>
    <row r="1165" spans="1:14">
      <c r="A1165" s="2">
        <v>1164</v>
      </c>
      <c r="B1165" s="3" t="s">
        <v>4577</v>
      </c>
      <c r="C1165" s="2" t="s">
        <v>4578</v>
      </c>
      <c r="D1165" s="2">
        <v>55</v>
      </c>
      <c r="E1165" s="2">
        <v>55</v>
      </c>
      <c r="F1165" s="2" t="s">
        <v>4579</v>
      </c>
      <c r="H1165" s="2" t="s">
        <v>17</v>
      </c>
      <c r="I1165" s="2" t="s">
        <v>4580</v>
      </c>
      <c r="K1165" s="4">
        <v>24280</v>
      </c>
      <c r="M1165" s="2" t="s">
        <v>24</v>
      </c>
      <c r="N1165" s="2" t="s">
        <v>4581</v>
      </c>
    </row>
    <row r="1166" spans="1:14">
      <c r="A1166" s="2">
        <v>1165</v>
      </c>
      <c r="B1166" s="3" t="s">
        <v>4582</v>
      </c>
      <c r="C1166" s="2" t="s">
        <v>4583</v>
      </c>
      <c r="D1166" s="2">
        <v>55</v>
      </c>
      <c r="E1166" s="2">
        <v>55</v>
      </c>
      <c r="F1166" s="2" t="s">
        <v>4584</v>
      </c>
      <c r="H1166" s="2" t="s">
        <v>17</v>
      </c>
      <c r="K1166" s="4">
        <v>28716</v>
      </c>
      <c r="M1166" s="2" t="s">
        <v>170</v>
      </c>
      <c r="N1166" s="2" t="s">
        <v>323</v>
      </c>
    </row>
    <row r="1167" spans="1:14">
      <c r="A1167" s="2">
        <v>1166</v>
      </c>
      <c r="B1167" s="3" t="s">
        <v>4585</v>
      </c>
      <c r="C1167" s="2" t="s">
        <v>4586</v>
      </c>
      <c r="D1167" s="2">
        <v>54</v>
      </c>
      <c r="E1167" s="2">
        <v>55</v>
      </c>
      <c r="F1167" s="2" t="s">
        <v>4587</v>
      </c>
      <c r="H1167" s="2" t="s">
        <v>17</v>
      </c>
      <c r="K1167" s="4">
        <v>22556</v>
      </c>
      <c r="M1167" s="2" t="s">
        <v>198</v>
      </c>
      <c r="N1167" s="2" t="s">
        <v>199</v>
      </c>
    </row>
    <row r="1168" spans="1:14">
      <c r="A1168" s="2">
        <v>1167</v>
      </c>
      <c r="B1168" s="3" t="s">
        <v>4588</v>
      </c>
      <c r="C1168" s="2" t="s">
        <v>4589</v>
      </c>
      <c r="D1168" s="2">
        <v>55</v>
      </c>
      <c r="E1168" s="2">
        <v>55</v>
      </c>
      <c r="F1168" s="2" t="s">
        <v>4590</v>
      </c>
      <c r="H1168" s="2" t="s">
        <v>17</v>
      </c>
      <c r="K1168" s="4">
        <v>23817</v>
      </c>
      <c r="M1168" s="2" t="s">
        <v>40</v>
      </c>
      <c r="N1168" s="2" t="s">
        <v>4572</v>
      </c>
    </row>
    <row r="1169" spans="1:14">
      <c r="A1169" s="2">
        <v>1168</v>
      </c>
      <c r="B1169" s="3" t="s">
        <v>4591</v>
      </c>
      <c r="C1169" s="2" t="s">
        <v>4592</v>
      </c>
      <c r="D1169" s="2">
        <v>55</v>
      </c>
      <c r="E1169" s="2">
        <v>55</v>
      </c>
      <c r="F1169" s="2" t="s">
        <v>4593</v>
      </c>
      <c r="H1169" s="2" t="s">
        <v>17</v>
      </c>
      <c r="K1169" s="4">
        <v>25134</v>
      </c>
      <c r="M1169" s="2" t="s">
        <v>247</v>
      </c>
      <c r="N1169" s="2" t="s">
        <v>886</v>
      </c>
    </row>
    <row r="1170" spans="1:14">
      <c r="A1170" s="2">
        <v>1169</v>
      </c>
      <c r="B1170" s="3" t="s">
        <v>4594</v>
      </c>
      <c r="C1170" s="2" t="s">
        <v>4595</v>
      </c>
      <c r="D1170" s="2">
        <v>53</v>
      </c>
      <c r="E1170" s="2">
        <v>55</v>
      </c>
      <c r="F1170" s="2" t="s">
        <v>4596</v>
      </c>
      <c r="H1170" s="2" t="s">
        <v>17</v>
      </c>
      <c r="K1170" s="4">
        <v>24424</v>
      </c>
      <c r="M1170" s="2" t="s">
        <v>154</v>
      </c>
      <c r="N1170" s="2" t="s">
        <v>208</v>
      </c>
    </row>
    <row r="1171" spans="1:14">
      <c r="A1171" s="2">
        <v>1170</v>
      </c>
      <c r="B1171" s="3" t="s">
        <v>4597</v>
      </c>
      <c r="C1171" s="2" t="s">
        <v>4598</v>
      </c>
      <c r="D1171" s="2">
        <v>54</v>
      </c>
      <c r="E1171" s="2">
        <v>55</v>
      </c>
      <c r="F1171" s="2" t="s">
        <v>4598</v>
      </c>
      <c r="H1171" s="2" t="s">
        <v>17</v>
      </c>
      <c r="K1171" s="4">
        <v>27159</v>
      </c>
      <c r="M1171" s="2" t="s">
        <v>47</v>
      </c>
      <c r="N1171" s="2" t="s">
        <v>48</v>
      </c>
    </row>
    <row r="1172" spans="1:14">
      <c r="A1172" s="2">
        <v>1171</v>
      </c>
      <c r="B1172" s="3" t="s">
        <v>4599</v>
      </c>
      <c r="C1172" s="2" t="s">
        <v>4600</v>
      </c>
      <c r="D1172" s="2">
        <v>55</v>
      </c>
      <c r="E1172" s="2">
        <v>55</v>
      </c>
      <c r="F1172" s="2" t="s">
        <v>4601</v>
      </c>
      <c r="H1172" s="2" t="s">
        <v>17</v>
      </c>
      <c r="K1172" s="4">
        <v>30165</v>
      </c>
      <c r="M1172" s="2" t="s">
        <v>140</v>
      </c>
      <c r="N1172" s="2" t="s">
        <v>294</v>
      </c>
    </row>
    <row r="1173" spans="1:14">
      <c r="A1173" s="2">
        <v>1172</v>
      </c>
      <c r="B1173" s="3" t="s">
        <v>4602</v>
      </c>
      <c r="C1173" s="2" t="s">
        <v>4603</v>
      </c>
      <c r="D1173" s="2">
        <v>55</v>
      </c>
      <c r="E1173" s="2">
        <v>55</v>
      </c>
      <c r="F1173" s="2" t="s">
        <v>4604</v>
      </c>
      <c r="H1173" s="2" t="s">
        <v>17</v>
      </c>
      <c r="K1173" s="4">
        <v>28067</v>
      </c>
      <c r="M1173" s="2" t="s">
        <v>571</v>
      </c>
      <c r="N1173" s="2" t="s">
        <v>572</v>
      </c>
    </row>
    <row r="1174" spans="1:14">
      <c r="A1174" s="2">
        <v>1173</v>
      </c>
      <c r="B1174" s="3" t="s">
        <v>4605</v>
      </c>
      <c r="C1174" s="2" t="s">
        <v>4606</v>
      </c>
      <c r="D1174" s="2">
        <v>53</v>
      </c>
      <c r="E1174" s="2">
        <v>55</v>
      </c>
      <c r="F1174" s="2" t="s">
        <v>4607</v>
      </c>
      <c r="H1174" s="2" t="s">
        <v>17</v>
      </c>
      <c r="K1174" s="4">
        <v>23341</v>
      </c>
      <c r="M1174" s="2" t="s">
        <v>336</v>
      </c>
      <c r="N1174" s="2" t="s">
        <v>1883</v>
      </c>
    </row>
    <row r="1175" spans="1:14">
      <c r="A1175" s="2">
        <v>1174</v>
      </c>
      <c r="B1175" s="3" t="s">
        <v>4608</v>
      </c>
      <c r="C1175" s="2" t="s">
        <v>4609</v>
      </c>
      <c r="D1175" s="2">
        <v>53</v>
      </c>
      <c r="E1175" s="2">
        <v>55</v>
      </c>
      <c r="F1175" s="2" t="s">
        <v>4610</v>
      </c>
      <c r="H1175" s="2" t="s">
        <v>17</v>
      </c>
      <c r="K1175" s="4">
        <v>25080</v>
      </c>
      <c r="M1175" s="2" t="s">
        <v>170</v>
      </c>
      <c r="N1175" s="2" t="s">
        <v>323</v>
      </c>
    </row>
    <row r="1176" spans="1:14">
      <c r="A1176" s="2">
        <v>1175</v>
      </c>
      <c r="B1176" s="3" t="s">
        <v>4611</v>
      </c>
      <c r="C1176" s="2" t="s">
        <v>4612</v>
      </c>
      <c r="D1176" s="2">
        <v>55</v>
      </c>
      <c r="E1176" s="2">
        <v>55</v>
      </c>
      <c r="F1176" s="2" t="s">
        <v>4613</v>
      </c>
      <c r="H1176" s="2" t="s">
        <v>17</v>
      </c>
      <c r="K1176" s="4">
        <v>28750</v>
      </c>
      <c r="M1176" s="2" t="s">
        <v>18</v>
      </c>
      <c r="N1176" s="2" t="s">
        <v>4614</v>
      </c>
    </row>
    <row r="1177" spans="1:14">
      <c r="A1177" s="2">
        <v>1176</v>
      </c>
      <c r="B1177" s="3" t="s">
        <v>4615</v>
      </c>
      <c r="C1177" s="2" t="s">
        <v>4616</v>
      </c>
      <c r="D1177" s="2">
        <v>53</v>
      </c>
      <c r="E1177" s="2">
        <v>55</v>
      </c>
      <c r="F1177" s="2" t="s">
        <v>4617</v>
      </c>
      <c r="H1177" s="2" t="s">
        <v>17</v>
      </c>
      <c r="K1177" s="4">
        <v>23820</v>
      </c>
      <c r="L1177" s="4">
        <v>43233</v>
      </c>
      <c r="M1177" s="2" t="s">
        <v>76</v>
      </c>
      <c r="N1177" s="2" t="s">
        <v>77</v>
      </c>
    </row>
    <row r="1178" spans="1:14">
      <c r="A1178" s="2">
        <v>1177</v>
      </c>
      <c r="B1178" s="3" t="s">
        <v>4618</v>
      </c>
      <c r="C1178" s="2" t="s">
        <v>4619</v>
      </c>
      <c r="D1178" s="2">
        <v>54</v>
      </c>
      <c r="E1178" s="2">
        <v>55</v>
      </c>
      <c r="F1178" s="2" t="s">
        <v>4620</v>
      </c>
      <c r="H1178" s="2" t="s">
        <v>17</v>
      </c>
      <c r="I1178" s="3" t="s">
        <v>4621</v>
      </c>
      <c r="K1178" s="4">
        <v>20523</v>
      </c>
      <c r="M1178" s="2" t="s">
        <v>423</v>
      </c>
      <c r="N1178" s="2" t="s">
        <v>621</v>
      </c>
    </row>
    <row r="1179" spans="1:14">
      <c r="A1179" s="2">
        <v>1178</v>
      </c>
      <c r="B1179" s="3" t="s">
        <v>4622</v>
      </c>
      <c r="C1179" s="2" t="s">
        <v>4623</v>
      </c>
      <c r="D1179" s="2">
        <v>54</v>
      </c>
      <c r="E1179" s="2">
        <v>55</v>
      </c>
      <c r="F1179" s="2" t="s">
        <v>4624</v>
      </c>
      <c r="H1179" s="2" t="s">
        <v>17</v>
      </c>
      <c r="K1179" s="4">
        <v>21644</v>
      </c>
      <c r="M1179" s="2" t="s">
        <v>170</v>
      </c>
      <c r="N1179" s="2" t="s">
        <v>3958</v>
      </c>
    </row>
    <row r="1180" spans="1:14">
      <c r="A1180" s="2">
        <v>1179</v>
      </c>
      <c r="B1180" s="3" t="s">
        <v>4625</v>
      </c>
      <c r="C1180" s="2" t="s">
        <v>4626</v>
      </c>
      <c r="D1180" s="2">
        <v>55</v>
      </c>
      <c r="E1180" s="2">
        <v>55</v>
      </c>
      <c r="F1180" s="2" t="s">
        <v>4627</v>
      </c>
      <c r="H1180" s="2" t="s">
        <v>17</v>
      </c>
      <c r="K1180" s="4">
        <v>18013</v>
      </c>
      <c r="M1180" s="2" t="s">
        <v>146</v>
      </c>
      <c r="N1180" s="2" t="s">
        <v>147</v>
      </c>
    </row>
    <row r="1181" spans="1:14">
      <c r="A1181" s="2">
        <v>1180</v>
      </c>
      <c r="B1181" s="3" t="s">
        <v>4628</v>
      </c>
      <c r="C1181" s="2" t="s">
        <v>4629</v>
      </c>
      <c r="D1181" s="2">
        <v>55</v>
      </c>
      <c r="E1181" s="2">
        <v>55</v>
      </c>
      <c r="F1181" s="2" t="s">
        <v>4630</v>
      </c>
      <c r="H1181" s="2" t="s">
        <v>17</v>
      </c>
      <c r="K1181" s="4">
        <v>23050</v>
      </c>
      <c r="M1181" s="2" t="s">
        <v>35</v>
      </c>
      <c r="N1181" s="2" t="s">
        <v>2261</v>
      </c>
    </row>
    <row r="1182" spans="1:14">
      <c r="A1182" s="2">
        <v>1181</v>
      </c>
      <c r="B1182" s="3" t="s">
        <v>4631</v>
      </c>
      <c r="C1182" s="2" t="s">
        <v>4632</v>
      </c>
      <c r="D1182" s="2">
        <v>55</v>
      </c>
      <c r="E1182" s="2">
        <v>55</v>
      </c>
      <c r="F1182" s="2" t="s">
        <v>4633</v>
      </c>
      <c r="H1182" s="2" t="s">
        <v>45</v>
      </c>
      <c r="K1182" s="4">
        <v>24452</v>
      </c>
      <c r="M1182" s="2" t="s">
        <v>47</v>
      </c>
      <c r="N1182" s="2" t="s">
        <v>691</v>
      </c>
    </row>
    <row r="1183" spans="1:14">
      <c r="A1183" s="2">
        <v>1182</v>
      </c>
      <c r="B1183" s="3" t="s">
        <v>4634</v>
      </c>
      <c r="C1183" s="2" t="s">
        <v>4635</v>
      </c>
      <c r="D1183" s="2">
        <v>54</v>
      </c>
      <c r="E1183" s="2">
        <v>55</v>
      </c>
      <c r="F1183" s="2" t="s">
        <v>4636</v>
      </c>
      <c r="H1183" s="2" t="s">
        <v>45</v>
      </c>
      <c r="K1183" s="4">
        <v>26776</v>
      </c>
      <c r="M1183" s="2" t="s">
        <v>146</v>
      </c>
      <c r="N1183" s="2" t="s">
        <v>147</v>
      </c>
    </row>
    <row r="1184" spans="1:14">
      <c r="A1184" s="2">
        <v>1183</v>
      </c>
      <c r="B1184" s="3" t="s">
        <v>4637</v>
      </c>
      <c r="C1184" s="2" t="s">
        <v>4638</v>
      </c>
      <c r="D1184" s="2">
        <v>53</v>
      </c>
      <c r="E1184" s="2">
        <v>55</v>
      </c>
      <c r="F1184" s="2" t="s">
        <v>4639</v>
      </c>
      <c r="H1184" s="2" t="s">
        <v>17</v>
      </c>
      <c r="K1184" s="4">
        <v>23620</v>
      </c>
      <c r="M1184" s="2" t="s">
        <v>30</v>
      </c>
      <c r="N1184" s="2" t="s">
        <v>31</v>
      </c>
    </row>
    <row r="1185" spans="1:14">
      <c r="A1185" s="2">
        <v>1184</v>
      </c>
      <c r="B1185" s="3" t="s">
        <v>4640</v>
      </c>
      <c r="C1185" s="2" t="s">
        <v>4641</v>
      </c>
      <c r="D1185" s="2">
        <v>54</v>
      </c>
      <c r="E1185" s="2">
        <v>55</v>
      </c>
      <c r="F1185" s="2" t="s">
        <v>4642</v>
      </c>
      <c r="H1185" s="2" t="s">
        <v>17</v>
      </c>
      <c r="K1185" s="4">
        <v>23112</v>
      </c>
      <c r="M1185" s="2" t="s">
        <v>53</v>
      </c>
      <c r="N1185" s="2" t="s">
        <v>4643</v>
      </c>
    </row>
    <row r="1186" spans="1:14">
      <c r="A1186" s="2">
        <v>1185</v>
      </c>
      <c r="B1186" s="3" t="s">
        <v>4644</v>
      </c>
      <c r="C1186" s="2" t="s">
        <v>4645</v>
      </c>
      <c r="D1186" s="2">
        <v>52</v>
      </c>
      <c r="E1186" s="2">
        <v>55</v>
      </c>
      <c r="F1186" s="2" t="s">
        <v>4646</v>
      </c>
      <c r="H1186" s="2" t="s">
        <v>17</v>
      </c>
      <c r="K1186" s="4">
        <v>21668</v>
      </c>
      <c r="M1186" s="2" t="s">
        <v>122</v>
      </c>
      <c r="N1186" s="2" t="s">
        <v>253</v>
      </c>
    </row>
    <row r="1187" spans="1:14">
      <c r="A1187" s="2">
        <v>1186</v>
      </c>
      <c r="B1187" s="3" t="s">
        <v>4647</v>
      </c>
      <c r="C1187" s="2" t="s">
        <v>4648</v>
      </c>
      <c r="D1187" s="2">
        <v>50</v>
      </c>
      <c r="E1187" s="2">
        <v>55</v>
      </c>
      <c r="F1187" s="2" t="s">
        <v>4649</v>
      </c>
      <c r="H1187" s="2" t="s">
        <v>17</v>
      </c>
      <c r="K1187" s="4">
        <v>19079</v>
      </c>
      <c r="M1187" s="2" t="s">
        <v>35</v>
      </c>
      <c r="N1187" s="2" t="s">
        <v>58</v>
      </c>
    </row>
    <row r="1188" spans="1:14">
      <c r="A1188" s="2">
        <v>1187</v>
      </c>
      <c r="B1188" s="3" t="s">
        <v>4650</v>
      </c>
      <c r="C1188" s="2" t="s">
        <v>4651</v>
      </c>
      <c r="D1188" s="2">
        <v>47</v>
      </c>
      <c r="E1188" s="2">
        <v>55</v>
      </c>
      <c r="F1188" s="2" t="s">
        <v>4652</v>
      </c>
      <c r="H1188" s="2" t="s">
        <v>17</v>
      </c>
      <c r="K1188" s="4">
        <v>20985</v>
      </c>
      <c r="M1188" s="2" t="s">
        <v>185</v>
      </c>
      <c r="N1188" s="2" t="s">
        <v>838</v>
      </c>
    </row>
    <row r="1189" spans="1:14">
      <c r="A1189" s="2">
        <v>1188</v>
      </c>
      <c r="B1189" s="3" t="s">
        <v>4653</v>
      </c>
      <c r="C1189" s="2" t="s">
        <v>4654</v>
      </c>
      <c r="D1189" s="2">
        <v>53</v>
      </c>
      <c r="E1189" s="2">
        <v>55</v>
      </c>
      <c r="F1189" s="2" t="s">
        <v>4655</v>
      </c>
      <c r="H1189" s="2" t="s">
        <v>17</v>
      </c>
      <c r="K1189" s="4">
        <v>21302</v>
      </c>
      <c r="M1189" s="2" t="s">
        <v>66</v>
      </c>
      <c r="N1189" s="2" t="s">
        <v>1201</v>
      </c>
    </row>
    <row r="1190" spans="1:14">
      <c r="A1190" s="2">
        <v>1189</v>
      </c>
      <c r="B1190" s="3" t="s">
        <v>4656</v>
      </c>
      <c r="C1190" s="2" t="s">
        <v>4657</v>
      </c>
      <c r="D1190" s="2">
        <v>55</v>
      </c>
      <c r="E1190" s="2">
        <v>55</v>
      </c>
      <c r="F1190" s="2" t="s">
        <v>4658</v>
      </c>
      <c r="H1190" s="2" t="s">
        <v>17</v>
      </c>
      <c r="K1190" s="4">
        <v>14785</v>
      </c>
      <c r="M1190" s="2" t="s">
        <v>47</v>
      </c>
      <c r="N1190" s="2" t="s">
        <v>48</v>
      </c>
    </row>
    <row r="1191" spans="1:14">
      <c r="A1191" s="2">
        <v>1190</v>
      </c>
      <c r="B1191" s="3" t="s">
        <v>4659</v>
      </c>
      <c r="C1191" s="2" t="s">
        <v>4660</v>
      </c>
      <c r="D1191" s="2">
        <v>54</v>
      </c>
      <c r="E1191" s="2">
        <v>55</v>
      </c>
      <c r="F1191" s="2" t="s">
        <v>4660</v>
      </c>
      <c r="H1191" s="2" t="s">
        <v>17</v>
      </c>
      <c r="I1191" s="2" t="s">
        <v>4661</v>
      </c>
      <c r="K1191" s="4">
        <v>20593</v>
      </c>
      <c r="M1191" s="2" t="s">
        <v>170</v>
      </c>
      <c r="N1191" s="2" t="s">
        <v>171</v>
      </c>
    </row>
    <row r="1192" spans="1:14">
      <c r="A1192" s="2">
        <v>1191</v>
      </c>
      <c r="B1192" s="3" t="s">
        <v>4662</v>
      </c>
      <c r="C1192" s="2" t="s">
        <v>4663</v>
      </c>
      <c r="D1192" s="2">
        <v>54</v>
      </c>
      <c r="E1192" s="2">
        <v>55</v>
      </c>
      <c r="F1192" s="2" t="s">
        <v>4664</v>
      </c>
      <c r="H1192" s="2" t="s">
        <v>17</v>
      </c>
      <c r="K1192" s="4">
        <v>21209</v>
      </c>
      <c r="M1192" s="2" t="s">
        <v>140</v>
      </c>
      <c r="N1192" s="2" t="s">
        <v>4665</v>
      </c>
    </row>
    <row r="1193" spans="1:14">
      <c r="A1193" s="2">
        <v>1192</v>
      </c>
      <c r="B1193" s="3" t="s">
        <v>4666</v>
      </c>
      <c r="C1193" s="2" t="s">
        <v>4667</v>
      </c>
      <c r="D1193" s="2">
        <v>50</v>
      </c>
      <c r="E1193" s="2">
        <v>55</v>
      </c>
      <c r="F1193" s="2" t="s">
        <v>4667</v>
      </c>
      <c r="H1193" s="2" t="s">
        <v>17</v>
      </c>
      <c r="K1193" s="4">
        <v>16001</v>
      </c>
      <c r="M1193" s="2" t="s">
        <v>35</v>
      </c>
      <c r="N1193" s="2" t="s">
        <v>1171</v>
      </c>
    </row>
    <row r="1194" spans="1:14">
      <c r="A1194" s="2">
        <v>1193</v>
      </c>
      <c r="B1194" s="3" t="s">
        <v>4668</v>
      </c>
      <c r="C1194" s="2" t="s">
        <v>4669</v>
      </c>
      <c r="D1194" s="2">
        <v>55</v>
      </c>
      <c r="E1194" s="2">
        <v>55</v>
      </c>
      <c r="F1194" s="2" t="s">
        <v>4670</v>
      </c>
      <c r="H1194" s="2" t="s">
        <v>17</v>
      </c>
      <c r="K1194" s="4">
        <v>25963</v>
      </c>
      <c r="M1194" s="2" t="s">
        <v>140</v>
      </c>
      <c r="N1194" s="2" t="s">
        <v>4671</v>
      </c>
    </row>
    <row r="1195" spans="1:14">
      <c r="A1195" s="2">
        <v>1194</v>
      </c>
      <c r="B1195" s="3" t="s">
        <v>4672</v>
      </c>
      <c r="C1195" s="2" t="s">
        <v>4673</v>
      </c>
      <c r="D1195" s="2">
        <v>53</v>
      </c>
      <c r="E1195" s="2">
        <v>55</v>
      </c>
      <c r="F1195" s="2" t="s">
        <v>4674</v>
      </c>
      <c r="H1195" s="2" t="s">
        <v>17</v>
      </c>
      <c r="K1195" s="4">
        <v>20812</v>
      </c>
      <c r="M1195" s="2" t="s">
        <v>198</v>
      </c>
      <c r="N1195" s="2" t="s">
        <v>4675</v>
      </c>
    </row>
    <row r="1196" spans="1:14">
      <c r="A1196" s="2">
        <v>1195</v>
      </c>
      <c r="B1196" s="3" t="s">
        <v>4676</v>
      </c>
      <c r="C1196" s="2" t="s">
        <v>4677</v>
      </c>
      <c r="D1196" s="2">
        <v>50</v>
      </c>
      <c r="E1196" s="2">
        <v>55</v>
      </c>
      <c r="F1196" s="2" t="s">
        <v>4678</v>
      </c>
      <c r="H1196" s="2" t="s">
        <v>17</v>
      </c>
      <c r="J1196" s="3" t="s">
        <v>4679</v>
      </c>
      <c r="K1196" s="4">
        <v>16954</v>
      </c>
      <c r="M1196" s="2" t="s">
        <v>47</v>
      </c>
      <c r="N1196" s="2" t="s">
        <v>4680</v>
      </c>
    </row>
    <row r="1197" spans="1:14">
      <c r="A1197" s="2">
        <v>1196</v>
      </c>
      <c r="B1197" s="3" t="s">
        <v>4681</v>
      </c>
      <c r="C1197" s="2" t="s">
        <v>4682</v>
      </c>
      <c r="D1197" s="2">
        <v>46</v>
      </c>
      <c r="E1197" s="2">
        <v>55</v>
      </c>
      <c r="F1197" s="2" t="s">
        <v>4682</v>
      </c>
      <c r="H1197" s="2" t="s">
        <v>17</v>
      </c>
      <c r="K1197" s="4">
        <v>13126</v>
      </c>
      <c r="L1197" s="4">
        <v>44424</v>
      </c>
      <c r="M1197" s="2" t="s">
        <v>170</v>
      </c>
      <c r="N1197" s="2" t="s">
        <v>323</v>
      </c>
    </row>
    <row r="1198" spans="1:14">
      <c r="A1198" s="2">
        <v>1197</v>
      </c>
      <c r="B1198" s="3" t="s">
        <v>4683</v>
      </c>
      <c r="C1198" s="2" t="s">
        <v>4684</v>
      </c>
      <c r="D1198" s="2">
        <v>55</v>
      </c>
      <c r="E1198" s="2">
        <v>55</v>
      </c>
      <c r="F1198" s="2" t="s">
        <v>4685</v>
      </c>
      <c r="H1198" s="2" t="s">
        <v>45</v>
      </c>
      <c r="I1198" s="2" t="s">
        <v>4686</v>
      </c>
      <c r="J1198" s="3" t="s">
        <v>4687</v>
      </c>
      <c r="K1198" s="4">
        <v>24568</v>
      </c>
      <c r="M1198" s="2" t="s">
        <v>164</v>
      </c>
      <c r="N1198" s="2" t="s">
        <v>165</v>
      </c>
    </row>
    <row r="1199" spans="1:14">
      <c r="A1199" s="2">
        <v>1198</v>
      </c>
      <c r="B1199" s="3" t="s">
        <v>4688</v>
      </c>
      <c r="C1199" s="2" t="s">
        <v>4689</v>
      </c>
      <c r="D1199" s="2">
        <v>52</v>
      </c>
      <c r="E1199" s="2">
        <v>55</v>
      </c>
      <c r="F1199" s="2" t="s">
        <v>4690</v>
      </c>
      <c r="H1199" s="2" t="s">
        <v>17</v>
      </c>
      <c r="K1199" s="4">
        <v>17643</v>
      </c>
      <c r="M1199" s="2" t="s">
        <v>154</v>
      </c>
      <c r="N1199" s="2" t="s">
        <v>4691</v>
      </c>
    </row>
    <row r="1200" spans="1:14">
      <c r="A1200" s="2">
        <v>1199</v>
      </c>
      <c r="B1200" s="3" t="s">
        <v>4692</v>
      </c>
      <c r="C1200" s="2" t="s">
        <v>4693</v>
      </c>
      <c r="D1200" s="2">
        <v>49</v>
      </c>
      <c r="E1200" s="2">
        <v>55</v>
      </c>
      <c r="F1200" s="2" t="s">
        <v>4694</v>
      </c>
      <c r="H1200" s="2" t="s">
        <v>17</v>
      </c>
      <c r="K1200" s="4">
        <v>18137</v>
      </c>
      <c r="L1200" s="4">
        <v>44581</v>
      </c>
      <c r="M1200" s="2" t="s">
        <v>18</v>
      </c>
      <c r="N1200" s="2" t="s">
        <v>19</v>
      </c>
    </row>
    <row r="1201" spans="1:14">
      <c r="A1201" s="2">
        <v>1200</v>
      </c>
      <c r="B1201" s="3" t="s">
        <v>4695</v>
      </c>
      <c r="C1201" s="2" t="s">
        <v>4696</v>
      </c>
      <c r="D1201" s="2">
        <v>55</v>
      </c>
      <c r="E1201" s="2">
        <v>55</v>
      </c>
      <c r="F1201" s="2" t="s">
        <v>4697</v>
      </c>
      <c r="H1201" s="2" t="s">
        <v>17</v>
      </c>
      <c r="K1201" s="4">
        <v>21996</v>
      </c>
      <c r="M1201" s="2" t="s">
        <v>35</v>
      </c>
      <c r="N1201" s="2" t="s">
        <v>608</v>
      </c>
    </row>
    <row r="1202" spans="1:14">
      <c r="A1202" s="2">
        <v>1201</v>
      </c>
      <c r="B1202" s="3" t="s">
        <v>4698</v>
      </c>
      <c r="C1202" s="2" t="s">
        <v>4699</v>
      </c>
      <c r="D1202" s="2">
        <v>54</v>
      </c>
      <c r="E1202" s="2">
        <v>55</v>
      </c>
      <c r="F1202" s="2" t="s">
        <v>4700</v>
      </c>
      <c r="H1202" s="2" t="s">
        <v>17</v>
      </c>
      <c r="K1202" s="4">
        <v>27232</v>
      </c>
      <c r="M1202" s="2" t="s">
        <v>969</v>
      </c>
      <c r="N1202" s="2" t="s">
        <v>970</v>
      </c>
    </row>
    <row r="1203" spans="1:14">
      <c r="A1203" s="2">
        <v>1202</v>
      </c>
      <c r="B1203" s="3" t="s">
        <v>4701</v>
      </c>
      <c r="C1203" s="2" t="s">
        <v>4702</v>
      </c>
      <c r="D1203" s="2">
        <v>54</v>
      </c>
      <c r="E1203" s="2">
        <v>55</v>
      </c>
      <c r="F1203" s="2" t="s">
        <v>4703</v>
      </c>
      <c r="H1203" s="2" t="s">
        <v>17</v>
      </c>
      <c r="K1203" s="4">
        <v>22029</v>
      </c>
      <c r="M1203" s="2" t="s">
        <v>35</v>
      </c>
      <c r="N1203" s="2" t="s">
        <v>4704</v>
      </c>
    </row>
    <row r="1204" spans="1:14">
      <c r="A1204" s="2">
        <v>1203</v>
      </c>
      <c r="B1204" s="3" t="s">
        <v>4705</v>
      </c>
      <c r="C1204" s="2" t="s">
        <v>4706</v>
      </c>
      <c r="D1204" s="2">
        <v>55</v>
      </c>
      <c r="E1204" s="2">
        <v>55</v>
      </c>
      <c r="F1204" s="2" t="s">
        <v>4707</v>
      </c>
      <c r="H1204" s="2" t="s">
        <v>17</v>
      </c>
      <c r="K1204" s="4">
        <v>34314</v>
      </c>
      <c r="M1204" s="2" t="s">
        <v>146</v>
      </c>
      <c r="N1204" s="2" t="s">
        <v>147</v>
      </c>
    </row>
    <row r="1205" spans="1:14">
      <c r="A1205" s="2">
        <v>1204</v>
      </c>
      <c r="B1205" s="3" t="s">
        <v>4708</v>
      </c>
      <c r="C1205" s="2" t="s">
        <v>4709</v>
      </c>
      <c r="D1205" s="2">
        <v>53</v>
      </c>
      <c r="E1205" s="2">
        <v>55</v>
      </c>
      <c r="F1205" s="2" t="s">
        <v>4710</v>
      </c>
      <c r="H1205" s="2" t="s">
        <v>17</v>
      </c>
      <c r="K1205" s="4">
        <v>29495</v>
      </c>
      <c r="M1205" s="2" t="s">
        <v>91</v>
      </c>
      <c r="N1205" s="2" t="s">
        <v>677</v>
      </c>
    </row>
    <row r="1206" spans="1:14">
      <c r="A1206" s="2">
        <v>1205</v>
      </c>
      <c r="B1206" s="3" t="s">
        <v>4711</v>
      </c>
      <c r="C1206" s="2" t="s">
        <v>4712</v>
      </c>
      <c r="D1206" s="2">
        <v>48</v>
      </c>
      <c r="E1206" s="2">
        <v>55</v>
      </c>
      <c r="F1206" s="2" t="s">
        <v>4712</v>
      </c>
      <c r="H1206" s="2" t="s">
        <v>17</v>
      </c>
      <c r="K1206" s="4">
        <v>18186</v>
      </c>
      <c r="M1206" s="2" t="s">
        <v>66</v>
      </c>
      <c r="N1206" s="2" t="s">
        <v>3534</v>
      </c>
    </row>
    <row r="1207" spans="1:14">
      <c r="A1207" s="2">
        <v>1206</v>
      </c>
      <c r="B1207" s="3" t="s">
        <v>4713</v>
      </c>
      <c r="C1207" s="2" t="s">
        <v>4714</v>
      </c>
      <c r="D1207" s="2">
        <v>55</v>
      </c>
      <c r="E1207" s="2">
        <v>55</v>
      </c>
      <c r="F1207" s="2" t="s">
        <v>4714</v>
      </c>
      <c r="H1207" s="2" t="s">
        <v>17</v>
      </c>
      <c r="K1207" s="4">
        <v>23476</v>
      </c>
      <c r="M1207" s="2" t="s">
        <v>47</v>
      </c>
      <c r="N1207" s="2" t="s">
        <v>2201</v>
      </c>
    </row>
    <row r="1208" spans="1:14">
      <c r="A1208" s="2">
        <v>1207</v>
      </c>
      <c r="B1208" s="3" t="s">
        <v>4715</v>
      </c>
      <c r="C1208" s="2" t="s">
        <v>4716</v>
      </c>
      <c r="D1208" s="2">
        <v>55</v>
      </c>
      <c r="E1208" s="2">
        <v>55</v>
      </c>
      <c r="F1208" s="2" t="s">
        <v>4717</v>
      </c>
      <c r="H1208" s="2" t="s">
        <v>17</v>
      </c>
      <c r="K1208" s="4">
        <v>25766</v>
      </c>
      <c r="M1208" s="2" t="s">
        <v>76</v>
      </c>
      <c r="N1208" s="2" t="s">
        <v>77</v>
      </c>
    </row>
    <row r="1209" spans="1:14">
      <c r="A1209" s="2">
        <v>1208</v>
      </c>
      <c r="B1209" s="3" t="s">
        <v>4718</v>
      </c>
      <c r="C1209" s="2" t="s">
        <v>4719</v>
      </c>
      <c r="D1209" s="2">
        <v>50</v>
      </c>
      <c r="E1209" s="2">
        <v>55</v>
      </c>
      <c r="F1209" s="2" t="s">
        <v>4720</v>
      </c>
      <c r="H1209" s="2" t="s">
        <v>17</v>
      </c>
      <c r="K1209" s="4">
        <v>10730</v>
      </c>
      <c r="L1209" s="4">
        <v>43781</v>
      </c>
      <c r="M1209" s="2" t="s">
        <v>85</v>
      </c>
      <c r="N1209" s="2" t="s">
        <v>4721</v>
      </c>
    </row>
    <row r="1210" spans="1:14">
      <c r="A1210" s="2">
        <v>1209</v>
      </c>
      <c r="B1210" s="3" t="s">
        <v>4722</v>
      </c>
      <c r="C1210" s="2" t="s">
        <v>4723</v>
      </c>
      <c r="D1210" s="2">
        <v>54</v>
      </c>
      <c r="E1210" s="2">
        <v>55</v>
      </c>
      <c r="F1210" s="2" t="s">
        <v>4724</v>
      </c>
      <c r="H1210" s="2" t="s">
        <v>17</v>
      </c>
      <c r="I1210" s="2" t="s">
        <v>4725</v>
      </c>
      <c r="K1210" s="4">
        <v>21871</v>
      </c>
      <c r="M1210" s="2" t="s">
        <v>35</v>
      </c>
      <c r="N1210" s="2" t="s">
        <v>4726</v>
      </c>
    </row>
    <row r="1211" spans="1:14">
      <c r="A1211" s="2">
        <v>1210</v>
      </c>
      <c r="B1211" s="3" t="s">
        <v>4727</v>
      </c>
      <c r="C1211" s="2" t="s">
        <v>4728</v>
      </c>
      <c r="D1211" s="2">
        <v>54</v>
      </c>
      <c r="E1211" s="2">
        <v>55</v>
      </c>
      <c r="F1211" s="2" t="s">
        <v>4729</v>
      </c>
      <c r="H1211" s="2" t="s">
        <v>17</v>
      </c>
      <c r="J1211" s="3" t="s">
        <v>4730</v>
      </c>
      <c r="K1211" s="4">
        <v>23703</v>
      </c>
      <c r="M1211" s="2" t="s">
        <v>170</v>
      </c>
      <c r="N1211" s="2" t="s">
        <v>171</v>
      </c>
    </row>
    <row r="1212" spans="1:14">
      <c r="A1212" s="2">
        <v>1211</v>
      </c>
      <c r="B1212" s="3" t="s">
        <v>4731</v>
      </c>
      <c r="C1212" s="2" t="s">
        <v>4732</v>
      </c>
      <c r="D1212" s="2">
        <v>55</v>
      </c>
      <c r="E1212" s="2">
        <v>55</v>
      </c>
      <c r="F1212" s="2" t="s">
        <v>4733</v>
      </c>
      <c r="H1212" s="2" t="s">
        <v>17</v>
      </c>
      <c r="K1212" s="4">
        <v>28625</v>
      </c>
      <c r="M1212" s="2" t="s">
        <v>85</v>
      </c>
      <c r="N1212" s="2" t="s">
        <v>86</v>
      </c>
    </row>
    <row r="1213" spans="1:14">
      <c r="A1213" s="2">
        <v>1212</v>
      </c>
      <c r="B1213" s="3" t="s">
        <v>4734</v>
      </c>
      <c r="C1213" s="2" t="s">
        <v>4735</v>
      </c>
      <c r="D1213" s="2">
        <v>55</v>
      </c>
      <c r="E1213" s="2">
        <v>55</v>
      </c>
      <c r="F1213" s="2" t="s">
        <v>4736</v>
      </c>
      <c r="H1213" s="2" t="s">
        <v>17</v>
      </c>
      <c r="K1213" s="4">
        <v>20556</v>
      </c>
      <c r="M1213" s="2" t="s">
        <v>170</v>
      </c>
      <c r="N1213" s="2" t="s">
        <v>323</v>
      </c>
    </row>
    <row r="1214" spans="1:14">
      <c r="A1214" s="2">
        <v>1213</v>
      </c>
      <c r="B1214" s="3" t="s">
        <v>4737</v>
      </c>
      <c r="C1214" s="2" t="s">
        <v>4738</v>
      </c>
      <c r="D1214" s="2">
        <v>54</v>
      </c>
      <c r="E1214" s="2">
        <v>55</v>
      </c>
      <c r="F1214" s="2" t="s">
        <v>4739</v>
      </c>
      <c r="H1214" s="2" t="s">
        <v>17</v>
      </c>
      <c r="K1214" s="4">
        <v>27998</v>
      </c>
      <c r="M1214" s="2" t="s">
        <v>35</v>
      </c>
      <c r="N1214" s="2" t="s">
        <v>1462</v>
      </c>
    </row>
    <row r="1215" spans="1:14">
      <c r="A1215" s="2">
        <v>1214</v>
      </c>
      <c r="B1215" s="3" t="s">
        <v>4740</v>
      </c>
      <c r="C1215" s="2" t="s">
        <v>4741</v>
      </c>
      <c r="D1215" s="2">
        <v>53</v>
      </c>
      <c r="E1215" s="2">
        <v>55</v>
      </c>
      <c r="F1215" s="2" t="s">
        <v>4742</v>
      </c>
      <c r="H1215" s="2" t="s">
        <v>17</v>
      </c>
      <c r="K1215" s="4">
        <v>20305</v>
      </c>
      <c r="M1215" s="2" t="s">
        <v>185</v>
      </c>
      <c r="N1215" s="2" t="s">
        <v>838</v>
      </c>
    </row>
    <row r="1216" spans="1:14">
      <c r="A1216" s="2">
        <v>1215</v>
      </c>
      <c r="B1216" s="3" t="s">
        <v>4743</v>
      </c>
      <c r="C1216" s="2" t="s">
        <v>4744</v>
      </c>
      <c r="D1216" s="2">
        <v>54</v>
      </c>
      <c r="E1216" s="2">
        <v>55</v>
      </c>
      <c r="F1216" s="2" t="s">
        <v>4745</v>
      </c>
      <c r="H1216" s="2" t="s">
        <v>17</v>
      </c>
      <c r="K1216" s="4">
        <v>21659</v>
      </c>
      <c r="M1216" s="2" t="s">
        <v>170</v>
      </c>
      <c r="N1216" s="2" t="s">
        <v>784</v>
      </c>
    </row>
    <row r="1217" spans="1:14">
      <c r="A1217" s="2">
        <v>1216</v>
      </c>
      <c r="B1217" s="3" t="s">
        <v>4746</v>
      </c>
      <c r="C1217" s="2" t="s">
        <v>4747</v>
      </c>
      <c r="D1217" s="2">
        <v>53</v>
      </c>
      <c r="E1217" s="2">
        <v>55</v>
      </c>
      <c r="F1217" s="2" t="s">
        <v>4748</v>
      </c>
      <c r="H1217" s="2" t="s">
        <v>17</v>
      </c>
      <c r="K1217" s="4">
        <v>22479</v>
      </c>
      <c r="M1217" s="2" t="s">
        <v>47</v>
      </c>
      <c r="N1217" s="2" t="s">
        <v>48</v>
      </c>
    </row>
    <row r="1218" spans="1:14">
      <c r="A1218" s="2">
        <v>1217</v>
      </c>
      <c r="B1218" s="3" t="s">
        <v>4749</v>
      </c>
      <c r="C1218" s="2" t="s">
        <v>4750</v>
      </c>
      <c r="D1218" s="2">
        <v>55</v>
      </c>
      <c r="E1218" s="2">
        <v>55</v>
      </c>
      <c r="F1218" s="2" t="s">
        <v>4751</v>
      </c>
      <c r="H1218" s="2" t="s">
        <v>17</v>
      </c>
      <c r="K1218" s="4">
        <v>27485</v>
      </c>
      <c r="M1218" s="2" t="s">
        <v>969</v>
      </c>
      <c r="N1218" s="2" t="s">
        <v>970</v>
      </c>
    </row>
    <row r="1219" spans="1:14">
      <c r="A1219" s="2">
        <v>1218</v>
      </c>
      <c r="B1219" s="3" t="s">
        <v>4752</v>
      </c>
      <c r="C1219" s="2" t="s">
        <v>4753</v>
      </c>
      <c r="D1219" s="2">
        <v>54</v>
      </c>
      <c r="E1219" s="2">
        <v>55</v>
      </c>
      <c r="F1219" s="2" t="s">
        <v>4754</v>
      </c>
      <c r="H1219" s="2" t="s">
        <v>17</v>
      </c>
      <c r="K1219" s="4">
        <v>24567</v>
      </c>
      <c r="M1219" s="2" t="s">
        <v>170</v>
      </c>
      <c r="N1219" s="2" t="s">
        <v>309</v>
      </c>
    </row>
    <row r="1220" spans="1:14">
      <c r="A1220" s="2">
        <v>1219</v>
      </c>
      <c r="B1220" s="3" t="s">
        <v>4755</v>
      </c>
      <c r="C1220" s="2" t="s">
        <v>4756</v>
      </c>
      <c r="D1220" s="2">
        <v>54</v>
      </c>
      <c r="E1220" s="2">
        <v>55</v>
      </c>
      <c r="F1220" s="2" t="s">
        <v>4757</v>
      </c>
      <c r="H1220" s="2" t="s">
        <v>17</v>
      </c>
      <c r="K1220" s="4">
        <v>29136</v>
      </c>
      <c r="M1220" s="2" t="s">
        <v>185</v>
      </c>
      <c r="N1220" s="2" t="s">
        <v>1571</v>
      </c>
    </row>
    <row r="1221" spans="1:14">
      <c r="A1221" s="2">
        <v>1220</v>
      </c>
      <c r="B1221" s="3" t="s">
        <v>4758</v>
      </c>
      <c r="C1221" s="2" t="s">
        <v>4759</v>
      </c>
      <c r="D1221" s="2">
        <v>53</v>
      </c>
      <c r="E1221" s="2">
        <v>55</v>
      </c>
      <c r="F1221" s="2" t="s">
        <v>4760</v>
      </c>
      <c r="H1221" s="2" t="s">
        <v>17</v>
      </c>
      <c r="J1221" s="3" t="s">
        <v>4761</v>
      </c>
      <c r="K1221" s="4">
        <v>25169</v>
      </c>
      <c r="M1221" s="2" t="s">
        <v>47</v>
      </c>
      <c r="N1221" s="2" t="s">
        <v>48</v>
      </c>
    </row>
    <row r="1222" spans="1:14">
      <c r="A1222" s="2">
        <v>1221</v>
      </c>
      <c r="B1222" s="3" t="s">
        <v>4762</v>
      </c>
      <c r="C1222" s="2" t="s">
        <v>4763</v>
      </c>
      <c r="D1222" s="2">
        <v>55</v>
      </c>
      <c r="E1222" s="2">
        <v>55</v>
      </c>
      <c r="F1222" s="2" t="s">
        <v>4764</v>
      </c>
      <c r="H1222" s="2" t="s">
        <v>17</v>
      </c>
      <c r="K1222" s="4">
        <v>25584</v>
      </c>
      <c r="M1222" s="2" t="s">
        <v>170</v>
      </c>
      <c r="N1222" s="2" t="s">
        <v>323</v>
      </c>
    </row>
    <row r="1223" spans="1:14">
      <c r="A1223" s="2">
        <v>1222</v>
      </c>
      <c r="B1223" s="3" t="s">
        <v>4765</v>
      </c>
      <c r="C1223" s="2" t="s">
        <v>4766</v>
      </c>
      <c r="D1223" s="2">
        <v>54</v>
      </c>
      <c r="E1223" s="2">
        <v>55</v>
      </c>
      <c r="F1223" s="2" t="s">
        <v>4767</v>
      </c>
      <c r="H1223" s="2" t="s">
        <v>17</v>
      </c>
      <c r="K1223" s="4">
        <v>32730</v>
      </c>
      <c r="M1223" s="2" t="s">
        <v>76</v>
      </c>
      <c r="N1223" s="2" t="s">
        <v>906</v>
      </c>
    </row>
    <row r="1224" spans="1:14">
      <c r="A1224" s="2">
        <v>1223</v>
      </c>
      <c r="B1224" s="3" t="s">
        <v>4768</v>
      </c>
      <c r="C1224" s="2" t="s">
        <v>4769</v>
      </c>
      <c r="D1224" s="2">
        <v>52</v>
      </c>
      <c r="E1224" s="2">
        <v>55</v>
      </c>
      <c r="F1224" s="2" t="s">
        <v>4770</v>
      </c>
      <c r="H1224" s="2" t="s">
        <v>17</v>
      </c>
      <c r="K1224" s="4">
        <v>23392</v>
      </c>
      <c r="M1224" s="2" t="s">
        <v>164</v>
      </c>
      <c r="N1224" s="2" t="s">
        <v>165</v>
      </c>
    </row>
    <row r="1225" spans="1:14">
      <c r="A1225" s="2">
        <v>1224</v>
      </c>
      <c r="B1225" s="3" t="s">
        <v>4771</v>
      </c>
      <c r="C1225" s="2" t="s">
        <v>4772</v>
      </c>
      <c r="D1225" s="2">
        <v>55</v>
      </c>
      <c r="E1225" s="2">
        <v>55</v>
      </c>
      <c r="F1225" s="2" t="s">
        <v>4773</v>
      </c>
      <c r="H1225" s="2" t="s">
        <v>17</v>
      </c>
      <c r="K1225" s="4">
        <v>27744</v>
      </c>
      <c r="M1225" s="2" t="s">
        <v>154</v>
      </c>
      <c r="N1225" s="2" t="s">
        <v>4774</v>
      </c>
    </row>
    <row r="1226" spans="1:14">
      <c r="A1226" s="2">
        <v>1225</v>
      </c>
      <c r="B1226" s="3" t="s">
        <v>4775</v>
      </c>
      <c r="C1226" s="2" t="s">
        <v>4776</v>
      </c>
      <c r="D1226" s="2">
        <v>50</v>
      </c>
      <c r="E1226" s="2">
        <v>55</v>
      </c>
      <c r="F1226" s="2" t="s">
        <v>4777</v>
      </c>
      <c r="H1226" s="2" t="s">
        <v>45</v>
      </c>
      <c r="K1226" s="4">
        <v>16279</v>
      </c>
      <c r="M1226" s="2" t="s">
        <v>47</v>
      </c>
      <c r="N1226" s="2" t="s">
        <v>48</v>
      </c>
    </row>
    <row r="1227" spans="1:14">
      <c r="A1227" s="2">
        <v>1226</v>
      </c>
      <c r="B1227" s="3" t="s">
        <v>4778</v>
      </c>
      <c r="C1227" s="2" t="s">
        <v>4779</v>
      </c>
      <c r="D1227" s="2">
        <v>52</v>
      </c>
      <c r="E1227" s="2">
        <v>55</v>
      </c>
      <c r="F1227" s="2" t="s">
        <v>4780</v>
      </c>
      <c r="H1227" s="2" t="s">
        <v>17</v>
      </c>
      <c r="K1227" s="4">
        <v>22636</v>
      </c>
      <c r="M1227" s="2" t="s">
        <v>192</v>
      </c>
      <c r="N1227" s="2" t="s">
        <v>4781</v>
      </c>
    </row>
    <row r="1228" spans="1:14">
      <c r="A1228" s="2">
        <v>1227</v>
      </c>
      <c r="B1228" s="3" t="s">
        <v>4782</v>
      </c>
      <c r="C1228" s="2" t="s">
        <v>4783</v>
      </c>
      <c r="D1228" s="2">
        <v>55</v>
      </c>
      <c r="E1228" s="2">
        <v>55</v>
      </c>
      <c r="F1228" s="2" t="s">
        <v>4784</v>
      </c>
      <c r="H1228" s="2" t="s">
        <v>17</v>
      </c>
      <c r="K1228" s="4">
        <v>18318</v>
      </c>
      <c r="M1228" s="2" t="s">
        <v>341</v>
      </c>
      <c r="N1228" s="2" t="s">
        <v>2495</v>
      </c>
    </row>
    <row r="1229" spans="1:14">
      <c r="A1229" s="2">
        <v>1228</v>
      </c>
      <c r="B1229" s="3" t="s">
        <v>4785</v>
      </c>
      <c r="C1229" s="2" t="s">
        <v>4786</v>
      </c>
      <c r="D1229" s="2">
        <v>55</v>
      </c>
      <c r="E1229" s="2">
        <v>55</v>
      </c>
      <c r="F1229" s="2" t="s">
        <v>4787</v>
      </c>
      <c r="H1229" s="2" t="s">
        <v>45</v>
      </c>
      <c r="K1229" s="4">
        <v>20055</v>
      </c>
      <c r="M1229" s="2" t="s">
        <v>76</v>
      </c>
      <c r="N1229" s="2" t="s">
        <v>1326</v>
      </c>
    </row>
    <row r="1230" spans="1:14">
      <c r="A1230" s="2">
        <v>1229</v>
      </c>
      <c r="B1230" s="3" t="s">
        <v>4788</v>
      </c>
      <c r="C1230" s="2" t="s">
        <v>4789</v>
      </c>
      <c r="D1230" s="2">
        <v>53</v>
      </c>
      <c r="E1230" s="2">
        <v>54</v>
      </c>
      <c r="F1230" s="2" t="s">
        <v>4790</v>
      </c>
      <c r="H1230" s="2" t="s">
        <v>17</v>
      </c>
      <c r="K1230" s="4">
        <v>19075</v>
      </c>
      <c r="M1230" s="2" t="s">
        <v>47</v>
      </c>
      <c r="N1230" s="2" t="s">
        <v>4680</v>
      </c>
    </row>
    <row r="1231" spans="1:14">
      <c r="A1231" s="2">
        <v>1230</v>
      </c>
      <c r="B1231" s="3" t="s">
        <v>4791</v>
      </c>
      <c r="C1231" s="2" t="s">
        <v>4792</v>
      </c>
      <c r="D1231" s="2">
        <v>49</v>
      </c>
      <c r="E1231" s="2">
        <v>54</v>
      </c>
      <c r="F1231" s="2" t="s">
        <v>4793</v>
      </c>
      <c r="H1231" s="2" t="s">
        <v>17</v>
      </c>
      <c r="K1231" s="4">
        <v>19231</v>
      </c>
      <c r="M1231" s="2" t="s">
        <v>154</v>
      </c>
      <c r="N1231" s="2" t="s">
        <v>208</v>
      </c>
    </row>
    <row r="1232" spans="1:14">
      <c r="A1232" s="2">
        <v>1231</v>
      </c>
      <c r="B1232" s="3" t="s">
        <v>4794</v>
      </c>
      <c r="C1232" s="2" t="s">
        <v>4795</v>
      </c>
      <c r="D1232" s="2">
        <v>54</v>
      </c>
      <c r="E1232" s="2">
        <v>54</v>
      </c>
      <c r="F1232" s="2" t="s">
        <v>4796</v>
      </c>
      <c r="H1232" s="2" t="s">
        <v>17</v>
      </c>
      <c r="I1232" s="2" t="s">
        <v>4797</v>
      </c>
      <c r="J1232" s="3" t="s">
        <v>4798</v>
      </c>
      <c r="K1232" s="4">
        <v>27658</v>
      </c>
      <c r="M1232" s="2" t="s">
        <v>40</v>
      </c>
      <c r="N1232" s="2" t="s">
        <v>41</v>
      </c>
    </row>
    <row r="1233" spans="1:14">
      <c r="A1233" s="2">
        <v>1232</v>
      </c>
      <c r="B1233" s="3" t="s">
        <v>4799</v>
      </c>
      <c r="C1233" s="2" t="s">
        <v>4800</v>
      </c>
      <c r="D1233" s="2">
        <v>54</v>
      </c>
      <c r="E1233" s="2">
        <v>54</v>
      </c>
      <c r="F1233" s="2" t="s">
        <v>4801</v>
      </c>
      <c r="H1233" s="2" t="s">
        <v>17</v>
      </c>
      <c r="K1233" s="4">
        <v>24542</v>
      </c>
      <c r="M1233" s="2" t="s">
        <v>170</v>
      </c>
      <c r="N1233" s="2" t="s">
        <v>759</v>
      </c>
    </row>
    <row r="1234" spans="1:14">
      <c r="A1234" s="2">
        <v>1233</v>
      </c>
      <c r="B1234" s="3" t="s">
        <v>4802</v>
      </c>
      <c r="C1234" s="2" t="s">
        <v>4803</v>
      </c>
      <c r="D1234" s="2">
        <v>54</v>
      </c>
      <c r="E1234" s="2">
        <v>54</v>
      </c>
      <c r="F1234" s="2" t="s">
        <v>4803</v>
      </c>
      <c r="H1234" s="2" t="s">
        <v>17</v>
      </c>
      <c r="K1234" s="4">
        <v>13895</v>
      </c>
      <c r="M1234" s="2" t="s">
        <v>47</v>
      </c>
      <c r="N1234" s="2" t="s">
        <v>4804</v>
      </c>
    </row>
    <row r="1235" spans="1:14">
      <c r="A1235" s="2">
        <v>1234</v>
      </c>
      <c r="B1235" s="3" t="s">
        <v>4805</v>
      </c>
      <c r="C1235" s="2" t="s">
        <v>4806</v>
      </c>
      <c r="D1235" s="2">
        <v>49</v>
      </c>
      <c r="E1235" s="2">
        <v>54</v>
      </c>
      <c r="F1235" s="2" t="s">
        <v>4807</v>
      </c>
      <c r="H1235" s="2" t="s">
        <v>17</v>
      </c>
      <c r="K1235" s="4">
        <v>20508</v>
      </c>
      <c r="M1235" s="2" t="s">
        <v>146</v>
      </c>
      <c r="N1235" s="2" t="s">
        <v>2261</v>
      </c>
    </row>
    <row r="1236" spans="1:14">
      <c r="A1236" s="2">
        <v>1235</v>
      </c>
      <c r="B1236" s="3" t="s">
        <v>4808</v>
      </c>
      <c r="C1236" s="2" t="s">
        <v>4809</v>
      </c>
      <c r="D1236" s="2">
        <v>50</v>
      </c>
      <c r="E1236" s="2">
        <v>54</v>
      </c>
      <c r="F1236" s="2" t="s">
        <v>4810</v>
      </c>
      <c r="H1236" s="2" t="s">
        <v>17</v>
      </c>
      <c r="K1236" s="4">
        <v>19117</v>
      </c>
      <c r="M1236" s="2" t="s">
        <v>170</v>
      </c>
      <c r="N1236" s="2" t="s">
        <v>309</v>
      </c>
    </row>
    <row r="1237" spans="1:14">
      <c r="A1237" s="2">
        <v>1236</v>
      </c>
      <c r="B1237" s="3" t="s">
        <v>4811</v>
      </c>
      <c r="C1237" s="2" t="s">
        <v>4812</v>
      </c>
      <c r="D1237" s="2">
        <v>54</v>
      </c>
      <c r="E1237" s="2">
        <v>54</v>
      </c>
      <c r="F1237" s="2" t="s">
        <v>4813</v>
      </c>
      <c r="H1237" s="2" t="s">
        <v>17</v>
      </c>
      <c r="K1237" s="4">
        <v>23693</v>
      </c>
      <c r="M1237" s="2" t="s">
        <v>66</v>
      </c>
      <c r="N1237" s="2" t="s">
        <v>1665</v>
      </c>
    </row>
    <row r="1238" spans="1:14">
      <c r="A1238" s="2">
        <v>1237</v>
      </c>
      <c r="B1238" s="3" t="s">
        <v>4814</v>
      </c>
      <c r="C1238" s="2" t="s">
        <v>4815</v>
      </c>
      <c r="D1238" s="2">
        <v>50</v>
      </c>
      <c r="E1238" s="2">
        <v>54</v>
      </c>
      <c r="F1238" s="2" t="s">
        <v>4816</v>
      </c>
      <c r="H1238" s="2" t="s">
        <v>17</v>
      </c>
      <c r="K1238" s="4">
        <v>19971</v>
      </c>
      <c r="M1238" s="2" t="s">
        <v>170</v>
      </c>
      <c r="N1238" s="2" t="s">
        <v>2533</v>
      </c>
    </row>
    <row r="1239" spans="1:14">
      <c r="A1239" s="2">
        <v>1238</v>
      </c>
      <c r="B1239" s="3" t="s">
        <v>4817</v>
      </c>
      <c r="C1239" s="2" t="s">
        <v>4818</v>
      </c>
      <c r="D1239" s="2">
        <v>53</v>
      </c>
      <c r="E1239" s="2">
        <v>54</v>
      </c>
      <c r="F1239" s="2" t="s">
        <v>4819</v>
      </c>
      <c r="H1239" s="2" t="s">
        <v>17</v>
      </c>
      <c r="K1239" s="4">
        <v>25764</v>
      </c>
      <c r="M1239" s="2" t="s">
        <v>35</v>
      </c>
      <c r="N1239" s="2" t="s">
        <v>58</v>
      </c>
    </row>
    <row r="1240" spans="1:14">
      <c r="A1240" s="2">
        <v>1239</v>
      </c>
      <c r="B1240" s="3" t="s">
        <v>4820</v>
      </c>
      <c r="C1240" s="2" t="s">
        <v>4821</v>
      </c>
      <c r="D1240" s="2">
        <v>54</v>
      </c>
      <c r="E1240" s="2">
        <v>54</v>
      </c>
      <c r="F1240" s="2" t="s">
        <v>4822</v>
      </c>
      <c r="H1240" s="2" t="s">
        <v>17</v>
      </c>
      <c r="K1240" s="4">
        <v>20542</v>
      </c>
      <c r="L1240" s="4">
        <v>44285</v>
      </c>
      <c r="M1240" s="2" t="s">
        <v>146</v>
      </c>
      <c r="N1240" s="2" t="s">
        <v>147</v>
      </c>
    </row>
    <row r="1241" spans="1:14">
      <c r="A1241" s="2">
        <v>1240</v>
      </c>
      <c r="B1241" s="3" t="s">
        <v>4823</v>
      </c>
      <c r="C1241" s="2" t="s">
        <v>4824</v>
      </c>
      <c r="D1241" s="2">
        <v>54</v>
      </c>
      <c r="E1241" s="2">
        <v>54</v>
      </c>
      <c r="F1241" s="2" t="s">
        <v>4825</v>
      </c>
      <c r="H1241" s="2" t="s">
        <v>17</v>
      </c>
      <c r="K1241" s="4">
        <v>18605</v>
      </c>
      <c r="L1241" s="4">
        <v>44022</v>
      </c>
      <c r="M1241" s="2" t="s">
        <v>170</v>
      </c>
      <c r="N1241" s="2" t="s">
        <v>323</v>
      </c>
    </row>
    <row r="1242" spans="1:14">
      <c r="A1242" s="2">
        <v>1241</v>
      </c>
      <c r="B1242" s="3" t="s">
        <v>4826</v>
      </c>
      <c r="C1242" s="2" t="s">
        <v>4827</v>
      </c>
      <c r="D1242" s="2">
        <v>53</v>
      </c>
      <c r="E1242" s="2">
        <v>54</v>
      </c>
      <c r="F1242" s="2" t="s">
        <v>4828</v>
      </c>
      <c r="H1242" s="2" t="s">
        <v>45</v>
      </c>
      <c r="I1242" s="3" t="s">
        <v>4829</v>
      </c>
      <c r="K1242" s="4">
        <v>26748</v>
      </c>
      <c r="M1242" s="2" t="s">
        <v>198</v>
      </c>
      <c r="N1242" s="2" t="s">
        <v>199</v>
      </c>
    </row>
    <row r="1243" spans="1:14">
      <c r="A1243" s="2">
        <v>1242</v>
      </c>
      <c r="B1243" s="3" t="s">
        <v>4830</v>
      </c>
      <c r="C1243" s="2" t="s">
        <v>4831</v>
      </c>
      <c r="D1243" s="2">
        <v>54</v>
      </c>
      <c r="E1243" s="2">
        <v>54</v>
      </c>
      <c r="F1243" s="2" t="s">
        <v>4832</v>
      </c>
      <c r="H1243" s="2" t="s">
        <v>17</v>
      </c>
      <c r="K1243" s="4">
        <v>19630</v>
      </c>
      <c r="M1243" s="2" t="s">
        <v>91</v>
      </c>
      <c r="N1243" s="2" t="s">
        <v>4833</v>
      </c>
    </row>
    <row r="1244" spans="1:14">
      <c r="A1244" s="2">
        <v>1243</v>
      </c>
      <c r="B1244" s="3" t="s">
        <v>4834</v>
      </c>
      <c r="C1244" s="2" t="s">
        <v>4835</v>
      </c>
      <c r="D1244" s="2">
        <v>54</v>
      </c>
      <c r="E1244" s="2">
        <v>54</v>
      </c>
      <c r="F1244" s="2" t="s">
        <v>4836</v>
      </c>
      <c r="H1244" s="2" t="s">
        <v>17</v>
      </c>
      <c r="K1244" s="4">
        <v>21155</v>
      </c>
      <c r="M1244" s="2" t="s">
        <v>40</v>
      </c>
      <c r="N1244" s="2" t="s">
        <v>4837</v>
      </c>
    </row>
    <row r="1245" spans="1:14">
      <c r="A1245" s="2">
        <v>1244</v>
      </c>
      <c r="B1245" s="3" t="s">
        <v>4838</v>
      </c>
      <c r="C1245" s="2" t="s">
        <v>4839</v>
      </c>
      <c r="D1245" s="2">
        <v>54</v>
      </c>
      <c r="E1245" s="2">
        <v>54</v>
      </c>
      <c r="F1245" s="2" t="s">
        <v>4840</v>
      </c>
      <c r="H1245" s="2" t="s">
        <v>17</v>
      </c>
      <c r="I1245" s="3" t="s">
        <v>4841</v>
      </c>
      <c r="K1245" s="4">
        <v>16187</v>
      </c>
      <c r="M1245" s="2" t="s">
        <v>423</v>
      </c>
      <c r="N1245" s="2" t="s">
        <v>4842</v>
      </c>
    </row>
    <row r="1246" spans="1:14">
      <c r="A1246" s="2">
        <v>1245</v>
      </c>
      <c r="B1246" s="3" t="s">
        <v>4843</v>
      </c>
      <c r="C1246" s="2" t="s">
        <v>4844</v>
      </c>
      <c r="D1246" s="2">
        <v>53</v>
      </c>
      <c r="E1246" s="2">
        <v>54</v>
      </c>
      <c r="F1246" s="2" t="s">
        <v>4845</v>
      </c>
      <c r="H1246" s="2" t="s">
        <v>45</v>
      </c>
      <c r="K1246" s="4">
        <v>17376</v>
      </c>
      <c r="M1246" s="2" t="s">
        <v>198</v>
      </c>
      <c r="N1246" s="2" t="s">
        <v>199</v>
      </c>
    </row>
    <row r="1247" spans="1:14">
      <c r="A1247" s="2">
        <v>1246</v>
      </c>
      <c r="B1247" s="3" t="s">
        <v>4846</v>
      </c>
      <c r="C1247" s="2" t="s">
        <v>4847</v>
      </c>
      <c r="D1247" s="2">
        <v>54</v>
      </c>
      <c r="E1247" s="2">
        <v>54</v>
      </c>
      <c r="F1247" s="2" t="s">
        <v>4848</v>
      </c>
      <c r="H1247" s="2" t="s">
        <v>17</v>
      </c>
      <c r="K1247" s="4">
        <v>22262</v>
      </c>
      <c r="M1247" s="2" t="s">
        <v>164</v>
      </c>
      <c r="N1247" s="2" t="s">
        <v>165</v>
      </c>
    </row>
    <row r="1248" spans="1:14">
      <c r="A1248" s="2">
        <v>1247</v>
      </c>
      <c r="B1248" s="3" t="s">
        <v>4849</v>
      </c>
      <c r="C1248" s="2" t="s">
        <v>4850</v>
      </c>
      <c r="D1248" s="2">
        <v>53</v>
      </c>
      <c r="E1248" s="2">
        <v>54</v>
      </c>
      <c r="F1248" s="2" t="s">
        <v>4851</v>
      </c>
      <c r="H1248" s="2" t="s">
        <v>17</v>
      </c>
      <c r="K1248" s="4">
        <v>23438</v>
      </c>
      <c r="M1248" s="2" t="s">
        <v>154</v>
      </c>
      <c r="N1248" s="2" t="s">
        <v>4852</v>
      </c>
    </row>
    <row r="1249" spans="1:14">
      <c r="A1249" s="2">
        <v>1248</v>
      </c>
      <c r="B1249" s="3" t="s">
        <v>4853</v>
      </c>
      <c r="C1249" s="2" t="s">
        <v>4854</v>
      </c>
      <c r="D1249" s="2">
        <v>52</v>
      </c>
      <c r="E1249" s="2">
        <v>54</v>
      </c>
      <c r="F1249" s="2" t="s">
        <v>4854</v>
      </c>
      <c r="H1249" s="2" t="s">
        <v>17</v>
      </c>
      <c r="K1249" s="4">
        <v>14433</v>
      </c>
      <c r="L1249" s="4">
        <v>44449</v>
      </c>
      <c r="M1249" s="2" t="s">
        <v>154</v>
      </c>
      <c r="N1249" s="2" t="s">
        <v>4855</v>
      </c>
    </row>
    <row r="1250" spans="1:14">
      <c r="A1250" s="2">
        <v>1249</v>
      </c>
      <c r="B1250" s="3" t="s">
        <v>4856</v>
      </c>
      <c r="C1250" s="2" t="s">
        <v>4857</v>
      </c>
      <c r="D1250" s="2">
        <v>54</v>
      </c>
      <c r="E1250" s="2">
        <v>54</v>
      </c>
      <c r="F1250" s="2" t="s">
        <v>4858</v>
      </c>
      <c r="H1250" s="2" t="s">
        <v>17</v>
      </c>
      <c r="K1250" s="4">
        <v>19985</v>
      </c>
      <c r="M1250" s="2" t="s">
        <v>66</v>
      </c>
      <c r="N1250" s="2" t="s">
        <v>3043</v>
      </c>
    </row>
    <row r="1251" spans="1:14">
      <c r="A1251" s="2">
        <v>1250</v>
      </c>
      <c r="B1251" s="3" t="s">
        <v>4859</v>
      </c>
      <c r="C1251" s="2" t="s">
        <v>4860</v>
      </c>
      <c r="D1251" s="2">
        <v>53</v>
      </c>
      <c r="E1251" s="2">
        <v>54</v>
      </c>
      <c r="F1251" s="2" t="s">
        <v>4861</v>
      </c>
      <c r="H1251" s="2" t="s">
        <v>17</v>
      </c>
      <c r="K1251" s="4">
        <v>20259</v>
      </c>
      <c r="M1251" s="2" t="s">
        <v>154</v>
      </c>
      <c r="N1251" s="2" t="s">
        <v>4862</v>
      </c>
    </row>
    <row r="1252" spans="1:14">
      <c r="A1252" s="2">
        <v>1251</v>
      </c>
      <c r="B1252" s="3" t="s">
        <v>4863</v>
      </c>
      <c r="C1252" s="2" t="s">
        <v>4864</v>
      </c>
      <c r="D1252" s="2">
        <v>52</v>
      </c>
      <c r="E1252" s="2">
        <v>54</v>
      </c>
      <c r="F1252" s="2" t="s">
        <v>4865</v>
      </c>
      <c r="H1252" s="2" t="s">
        <v>17</v>
      </c>
      <c r="K1252" s="4">
        <v>19353</v>
      </c>
      <c r="M1252" s="2" t="s">
        <v>154</v>
      </c>
      <c r="N1252" s="2" t="s">
        <v>4866</v>
      </c>
    </row>
    <row r="1253" spans="1:14">
      <c r="A1253" s="2">
        <v>1252</v>
      </c>
      <c r="B1253" s="3" t="s">
        <v>4867</v>
      </c>
      <c r="C1253" s="2" t="s">
        <v>4868</v>
      </c>
      <c r="D1253" s="2">
        <v>54</v>
      </c>
      <c r="E1253" s="2">
        <v>54</v>
      </c>
      <c r="F1253" s="2" t="s">
        <v>4869</v>
      </c>
      <c r="H1253" s="2" t="s">
        <v>17</v>
      </c>
      <c r="J1253" s="3" t="s">
        <v>4870</v>
      </c>
      <c r="K1253" s="4">
        <v>22024</v>
      </c>
      <c r="M1253" s="2" t="s">
        <v>170</v>
      </c>
      <c r="N1253" s="2" t="s">
        <v>385</v>
      </c>
    </row>
    <row r="1254" spans="1:14">
      <c r="A1254" s="2">
        <v>1253</v>
      </c>
      <c r="B1254" s="3" t="s">
        <v>4871</v>
      </c>
      <c r="C1254" s="2" t="s">
        <v>4872</v>
      </c>
      <c r="D1254" s="2">
        <v>53</v>
      </c>
      <c r="E1254" s="2">
        <v>54</v>
      </c>
      <c r="F1254" s="2" t="s">
        <v>4873</v>
      </c>
      <c r="H1254" s="2" t="s">
        <v>17</v>
      </c>
      <c r="K1254" s="4">
        <v>19528</v>
      </c>
      <c r="L1254" s="4">
        <v>45721</v>
      </c>
      <c r="M1254" s="2" t="s">
        <v>35</v>
      </c>
      <c r="N1254" s="2" t="s">
        <v>3806</v>
      </c>
    </row>
    <row r="1255" spans="1:14">
      <c r="A1255" s="2">
        <v>1254</v>
      </c>
      <c r="B1255" s="3" t="s">
        <v>4874</v>
      </c>
      <c r="C1255" s="2" t="s">
        <v>4875</v>
      </c>
      <c r="D1255" s="2">
        <v>52</v>
      </c>
      <c r="E1255" s="2">
        <v>54</v>
      </c>
      <c r="F1255" s="2" t="s">
        <v>4876</v>
      </c>
      <c r="H1255" s="2" t="s">
        <v>17</v>
      </c>
      <c r="K1255" s="4">
        <v>28881</v>
      </c>
      <c r="M1255" s="2" t="s">
        <v>40</v>
      </c>
      <c r="N1255" s="2" t="s">
        <v>41</v>
      </c>
    </row>
    <row r="1256" spans="1:14">
      <c r="A1256" s="2">
        <v>1255</v>
      </c>
      <c r="B1256" s="3" t="s">
        <v>4877</v>
      </c>
      <c r="C1256" s="2" t="s">
        <v>4878</v>
      </c>
      <c r="D1256" s="2">
        <v>53</v>
      </c>
      <c r="E1256" s="2">
        <v>54</v>
      </c>
      <c r="F1256" s="2" t="s">
        <v>4879</v>
      </c>
      <c r="H1256" s="2" t="s">
        <v>17</v>
      </c>
      <c r="K1256" s="4">
        <v>15512</v>
      </c>
      <c r="L1256" s="4">
        <v>44644</v>
      </c>
      <c r="M1256" s="2" t="s">
        <v>35</v>
      </c>
      <c r="N1256" s="2" t="s">
        <v>703</v>
      </c>
    </row>
    <row r="1257" spans="1:14">
      <c r="A1257" s="2">
        <v>1256</v>
      </c>
      <c r="B1257" s="3" t="s">
        <v>4880</v>
      </c>
      <c r="C1257" s="2" t="s">
        <v>4881</v>
      </c>
      <c r="D1257" s="2">
        <v>49</v>
      </c>
      <c r="E1257" s="2">
        <v>54</v>
      </c>
      <c r="F1257" s="2" t="s">
        <v>4881</v>
      </c>
      <c r="H1257" s="2" t="s">
        <v>17</v>
      </c>
      <c r="K1257" s="4">
        <v>15099</v>
      </c>
      <c r="L1257" s="4">
        <v>45033</v>
      </c>
      <c r="M1257" s="2" t="s">
        <v>35</v>
      </c>
      <c r="N1257" s="2" t="s">
        <v>4882</v>
      </c>
    </row>
    <row r="1258" spans="1:14">
      <c r="A1258" s="2">
        <v>1257</v>
      </c>
      <c r="B1258" s="3" t="s">
        <v>4883</v>
      </c>
      <c r="C1258" s="2" t="s">
        <v>4884</v>
      </c>
      <c r="D1258" s="2">
        <v>50</v>
      </c>
      <c r="E1258" s="2">
        <v>54</v>
      </c>
      <c r="F1258" s="2" t="s">
        <v>4885</v>
      </c>
      <c r="H1258" s="2" t="s">
        <v>17</v>
      </c>
      <c r="K1258" s="4">
        <v>16435</v>
      </c>
      <c r="L1258" s="4">
        <v>44116</v>
      </c>
      <c r="M1258" s="2" t="s">
        <v>76</v>
      </c>
      <c r="N1258" s="2" t="s">
        <v>4886</v>
      </c>
    </row>
    <row r="1259" spans="1:14">
      <c r="A1259" s="2">
        <v>1258</v>
      </c>
      <c r="B1259" s="3" t="s">
        <v>4887</v>
      </c>
      <c r="C1259" s="2" t="s">
        <v>4888</v>
      </c>
      <c r="D1259" s="2">
        <v>54</v>
      </c>
      <c r="E1259" s="2">
        <v>54</v>
      </c>
      <c r="F1259" s="2" t="s">
        <v>4889</v>
      </c>
      <c r="H1259" s="2" t="s">
        <v>17</v>
      </c>
      <c r="K1259" s="4">
        <v>23957</v>
      </c>
      <c r="M1259" s="2" t="s">
        <v>35</v>
      </c>
      <c r="N1259" s="2" t="s">
        <v>608</v>
      </c>
    </row>
    <row r="1260" spans="1:14">
      <c r="A1260" s="2">
        <v>1259</v>
      </c>
      <c r="B1260" s="3" t="s">
        <v>4890</v>
      </c>
      <c r="C1260" s="2" t="s">
        <v>4891</v>
      </c>
      <c r="D1260" s="2">
        <v>54</v>
      </c>
      <c r="E1260" s="2">
        <v>54</v>
      </c>
      <c r="F1260" s="2" t="s">
        <v>4892</v>
      </c>
      <c r="H1260" s="2" t="s">
        <v>17</v>
      </c>
      <c r="K1260" s="4">
        <v>21766</v>
      </c>
      <c r="M1260" s="2" t="s">
        <v>85</v>
      </c>
      <c r="N1260" s="2" t="s">
        <v>86</v>
      </c>
    </row>
    <row r="1261" spans="1:14">
      <c r="A1261" s="2">
        <v>1260</v>
      </c>
      <c r="B1261" s="3" t="s">
        <v>4893</v>
      </c>
      <c r="C1261" s="2" t="s">
        <v>4894</v>
      </c>
      <c r="D1261" s="2">
        <v>48</v>
      </c>
      <c r="E1261" s="2">
        <v>54</v>
      </c>
      <c r="F1261" s="2" t="s">
        <v>4895</v>
      </c>
      <c r="H1261" s="2" t="s">
        <v>17</v>
      </c>
      <c r="K1261" s="4">
        <v>14453</v>
      </c>
      <c r="L1261" s="4">
        <v>43948</v>
      </c>
      <c r="M1261" s="2" t="s">
        <v>30</v>
      </c>
      <c r="N1261" s="2" t="s">
        <v>4896</v>
      </c>
    </row>
    <row r="1262" spans="1:14">
      <c r="A1262" s="2">
        <v>1261</v>
      </c>
      <c r="B1262" s="3" t="s">
        <v>4897</v>
      </c>
      <c r="C1262" s="2" t="s">
        <v>4898</v>
      </c>
      <c r="D1262" s="2">
        <v>54</v>
      </c>
      <c r="E1262" s="2">
        <v>54</v>
      </c>
      <c r="F1262" s="2" t="s">
        <v>4899</v>
      </c>
      <c r="H1262" s="2" t="s">
        <v>17</v>
      </c>
      <c r="K1262" s="4">
        <v>23506</v>
      </c>
      <c r="M1262" s="2" t="s">
        <v>192</v>
      </c>
      <c r="N1262" s="2" t="s">
        <v>193</v>
      </c>
    </row>
    <row r="1263" spans="1:14">
      <c r="A1263" s="2">
        <v>1262</v>
      </c>
      <c r="B1263" s="3" t="s">
        <v>4900</v>
      </c>
      <c r="C1263" s="2" t="s">
        <v>4901</v>
      </c>
      <c r="D1263" s="2">
        <v>54</v>
      </c>
      <c r="E1263" s="2">
        <v>54</v>
      </c>
      <c r="F1263" s="2" t="s">
        <v>4902</v>
      </c>
      <c r="H1263" s="2" t="s">
        <v>17</v>
      </c>
      <c r="K1263" s="4">
        <v>21509</v>
      </c>
      <c r="M1263" s="2" t="s">
        <v>662</v>
      </c>
      <c r="N1263" s="2" t="s">
        <v>663</v>
      </c>
    </row>
    <row r="1264" spans="1:14">
      <c r="A1264" s="2">
        <v>1263</v>
      </c>
      <c r="B1264" s="3" t="s">
        <v>4903</v>
      </c>
      <c r="C1264" s="2" t="s">
        <v>4904</v>
      </c>
      <c r="D1264" s="2">
        <v>54</v>
      </c>
      <c r="E1264" s="2">
        <v>54</v>
      </c>
      <c r="F1264" s="2" t="s">
        <v>4905</v>
      </c>
      <c r="H1264" s="2" t="s">
        <v>17</v>
      </c>
      <c r="I1264" s="2" t="s">
        <v>4906</v>
      </c>
      <c r="K1264" s="4">
        <v>27736</v>
      </c>
      <c r="M1264" s="2" t="s">
        <v>35</v>
      </c>
      <c r="N1264" s="2" t="s">
        <v>58</v>
      </c>
    </row>
    <row r="1265" spans="1:14">
      <c r="A1265" s="2">
        <v>1264</v>
      </c>
      <c r="B1265" s="3" t="s">
        <v>4907</v>
      </c>
      <c r="C1265" s="2" t="s">
        <v>4908</v>
      </c>
      <c r="D1265" s="2">
        <v>50</v>
      </c>
      <c r="E1265" s="2">
        <v>54</v>
      </c>
      <c r="F1265" s="2" t="s">
        <v>4909</v>
      </c>
      <c r="H1265" s="2" t="s">
        <v>17</v>
      </c>
      <c r="K1265" s="4">
        <v>17890</v>
      </c>
      <c r="L1265" s="4">
        <v>45394</v>
      </c>
      <c r="M1265" s="2" t="s">
        <v>336</v>
      </c>
      <c r="N1265" s="2" t="s">
        <v>2681</v>
      </c>
    </row>
    <row r="1266" spans="1:14">
      <c r="A1266" s="2">
        <v>1265</v>
      </c>
      <c r="B1266" s="3" t="s">
        <v>4910</v>
      </c>
      <c r="C1266" s="2" t="s">
        <v>4911</v>
      </c>
      <c r="D1266" s="2">
        <v>51</v>
      </c>
      <c r="E1266" s="2">
        <v>54</v>
      </c>
      <c r="F1266" s="2" t="s">
        <v>4912</v>
      </c>
      <c r="H1266" s="2" t="s">
        <v>17</v>
      </c>
      <c r="K1266" s="4">
        <v>23017</v>
      </c>
      <c r="M1266" s="2" t="s">
        <v>66</v>
      </c>
      <c r="N1266" s="2" t="s">
        <v>1561</v>
      </c>
    </row>
    <row r="1267" spans="1:14">
      <c r="A1267" s="2">
        <v>1266</v>
      </c>
      <c r="B1267" s="3" t="s">
        <v>4913</v>
      </c>
      <c r="C1267" s="2" t="s">
        <v>4914</v>
      </c>
      <c r="D1267" s="2">
        <v>52</v>
      </c>
      <c r="E1267" s="2">
        <v>54</v>
      </c>
      <c r="F1267" s="2" t="s">
        <v>4915</v>
      </c>
      <c r="H1267" s="2" t="s">
        <v>17</v>
      </c>
      <c r="K1267" s="4">
        <v>19062</v>
      </c>
      <c r="M1267" s="2" t="s">
        <v>47</v>
      </c>
      <c r="N1267" s="2" t="s">
        <v>4916</v>
      </c>
    </row>
    <row r="1268" spans="1:14">
      <c r="A1268" s="2">
        <v>1267</v>
      </c>
      <c r="B1268" s="3" t="s">
        <v>4917</v>
      </c>
      <c r="C1268" s="2" t="s">
        <v>4918</v>
      </c>
      <c r="D1268" s="2">
        <v>53</v>
      </c>
      <c r="E1268" s="2">
        <v>54</v>
      </c>
      <c r="F1268" s="2" t="s">
        <v>4919</v>
      </c>
      <c r="H1268" s="2" t="s">
        <v>17</v>
      </c>
      <c r="K1268" s="4">
        <v>28774</v>
      </c>
    </row>
    <row r="1269" spans="1:14">
      <c r="A1269" s="2">
        <v>1268</v>
      </c>
      <c r="B1269" s="3" t="s">
        <v>4920</v>
      </c>
      <c r="C1269" s="2" t="s">
        <v>4921</v>
      </c>
      <c r="D1269" s="2">
        <v>53</v>
      </c>
      <c r="E1269" s="2">
        <v>54</v>
      </c>
      <c r="F1269" s="2" t="s">
        <v>4922</v>
      </c>
      <c r="H1269" s="2" t="s">
        <v>17</v>
      </c>
      <c r="K1269" s="4">
        <v>25785</v>
      </c>
      <c r="M1269" s="2" t="s">
        <v>198</v>
      </c>
      <c r="N1269" s="2" t="s">
        <v>199</v>
      </c>
    </row>
    <row r="1270" spans="1:14">
      <c r="A1270" s="2">
        <v>1269</v>
      </c>
      <c r="B1270" s="3" t="s">
        <v>4923</v>
      </c>
      <c r="C1270" s="2" t="s">
        <v>4924</v>
      </c>
      <c r="D1270" s="2">
        <v>54</v>
      </c>
      <c r="E1270" s="2">
        <v>54</v>
      </c>
      <c r="F1270" s="2" t="s">
        <v>4925</v>
      </c>
      <c r="H1270" s="2" t="s">
        <v>17</v>
      </c>
      <c r="K1270" s="4">
        <v>25946</v>
      </c>
      <c r="M1270" s="2" t="s">
        <v>53</v>
      </c>
      <c r="N1270" s="2" t="s">
        <v>4926</v>
      </c>
    </row>
    <row r="1271" spans="1:14">
      <c r="A1271" s="2">
        <v>1270</v>
      </c>
      <c r="B1271" s="3" t="s">
        <v>4927</v>
      </c>
      <c r="C1271" s="2" t="s">
        <v>4928</v>
      </c>
      <c r="D1271" s="2">
        <v>53</v>
      </c>
      <c r="E1271" s="2">
        <v>54</v>
      </c>
      <c r="F1271" s="2" t="s">
        <v>4928</v>
      </c>
      <c r="H1271" s="2" t="s">
        <v>17</v>
      </c>
      <c r="K1271" s="4">
        <v>8608</v>
      </c>
      <c r="L1271" s="4">
        <v>44345</v>
      </c>
      <c r="M1271" s="2" t="s">
        <v>192</v>
      </c>
      <c r="N1271" s="2" t="s">
        <v>965</v>
      </c>
    </row>
    <row r="1272" spans="1:14">
      <c r="A1272" s="2">
        <v>1271</v>
      </c>
      <c r="B1272" s="3" t="s">
        <v>4929</v>
      </c>
      <c r="C1272" s="2" t="s">
        <v>4930</v>
      </c>
      <c r="D1272" s="2">
        <v>53</v>
      </c>
      <c r="E1272" s="2">
        <v>54</v>
      </c>
      <c r="F1272" s="2" t="s">
        <v>4931</v>
      </c>
      <c r="H1272" s="2" t="s">
        <v>17</v>
      </c>
      <c r="I1272" s="3" t="s">
        <v>4932</v>
      </c>
      <c r="K1272" s="4">
        <v>20358</v>
      </c>
      <c r="M1272" s="2" t="s">
        <v>40</v>
      </c>
    </row>
    <row r="1273" spans="1:14">
      <c r="A1273" s="2">
        <v>1272</v>
      </c>
      <c r="B1273" s="3" t="s">
        <v>4933</v>
      </c>
      <c r="C1273" s="2" t="s">
        <v>4934</v>
      </c>
      <c r="D1273" s="2">
        <v>54</v>
      </c>
      <c r="E1273" s="2">
        <v>54</v>
      </c>
      <c r="F1273" s="2" t="s">
        <v>4935</v>
      </c>
      <c r="H1273" s="2" t="s">
        <v>17</v>
      </c>
      <c r="K1273" s="4">
        <v>18539</v>
      </c>
      <c r="M1273" s="2" t="s">
        <v>35</v>
      </c>
      <c r="N1273" s="2" t="s">
        <v>4936</v>
      </c>
    </row>
    <row r="1274" spans="1:14">
      <c r="A1274" s="2">
        <v>1273</v>
      </c>
      <c r="B1274" s="3" t="s">
        <v>4937</v>
      </c>
      <c r="C1274" s="2" t="s">
        <v>4938</v>
      </c>
      <c r="D1274" s="2">
        <v>54</v>
      </c>
      <c r="E1274" s="2">
        <v>54</v>
      </c>
      <c r="F1274" s="2" t="s">
        <v>4939</v>
      </c>
      <c r="H1274" s="2" t="s">
        <v>17</v>
      </c>
      <c r="K1274" s="4">
        <v>23187</v>
      </c>
      <c r="M1274" s="2" t="s">
        <v>35</v>
      </c>
      <c r="N1274" s="2" t="s">
        <v>4940</v>
      </c>
    </row>
    <row r="1275" spans="1:14">
      <c r="A1275" s="2">
        <v>1274</v>
      </c>
      <c r="B1275" s="3" t="s">
        <v>4941</v>
      </c>
      <c r="C1275" s="2" t="s">
        <v>4942</v>
      </c>
      <c r="D1275" s="2">
        <v>52</v>
      </c>
      <c r="E1275" s="2">
        <v>54</v>
      </c>
      <c r="F1275" s="2" t="s">
        <v>4943</v>
      </c>
      <c r="H1275" s="2" t="s">
        <v>17</v>
      </c>
      <c r="K1275" s="4">
        <v>22451</v>
      </c>
      <c r="M1275" s="2" t="s">
        <v>35</v>
      </c>
      <c r="N1275" s="2" t="s">
        <v>4944</v>
      </c>
    </row>
    <row r="1276" spans="1:14">
      <c r="A1276" s="2">
        <v>1275</v>
      </c>
      <c r="B1276" s="3" t="s">
        <v>4945</v>
      </c>
      <c r="C1276" s="2" t="s">
        <v>4946</v>
      </c>
      <c r="D1276" s="2">
        <v>53</v>
      </c>
      <c r="E1276" s="2">
        <v>54</v>
      </c>
      <c r="F1276" s="2" t="s">
        <v>4947</v>
      </c>
      <c r="H1276" s="2" t="s">
        <v>17</v>
      </c>
      <c r="K1276" s="4">
        <v>21338</v>
      </c>
      <c r="M1276" s="2" t="s">
        <v>185</v>
      </c>
      <c r="N1276" s="2" t="s">
        <v>1706</v>
      </c>
    </row>
    <row r="1277" spans="1:14">
      <c r="A1277" s="2">
        <v>1276</v>
      </c>
      <c r="B1277" s="3" t="s">
        <v>4948</v>
      </c>
      <c r="C1277" s="2" t="s">
        <v>4949</v>
      </c>
      <c r="D1277" s="2">
        <v>54</v>
      </c>
      <c r="E1277" s="2">
        <v>54</v>
      </c>
      <c r="F1277" s="2" t="s">
        <v>4950</v>
      </c>
      <c r="H1277" s="2" t="s">
        <v>17</v>
      </c>
      <c r="K1277" s="4">
        <v>21352</v>
      </c>
      <c r="M1277" s="2" t="s">
        <v>35</v>
      </c>
      <c r="N1277" s="2" t="s">
        <v>4951</v>
      </c>
    </row>
    <row r="1278" spans="1:14">
      <c r="A1278" s="2">
        <v>1277</v>
      </c>
      <c r="B1278" s="3" t="s">
        <v>4952</v>
      </c>
      <c r="C1278" s="2" t="s">
        <v>4953</v>
      </c>
      <c r="D1278" s="2">
        <v>54</v>
      </c>
      <c r="E1278" s="2">
        <v>54</v>
      </c>
      <c r="F1278" s="2" t="s">
        <v>4954</v>
      </c>
      <c r="H1278" s="2" t="s">
        <v>17</v>
      </c>
      <c r="K1278" s="4">
        <v>23362</v>
      </c>
      <c r="M1278" s="2" t="s">
        <v>164</v>
      </c>
      <c r="N1278" s="2" t="s">
        <v>1223</v>
      </c>
    </row>
    <row r="1279" spans="1:14">
      <c r="A1279" s="2">
        <v>1278</v>
      </c>
      <c r="B1279" s="3" t="s">
        <v>4955</v>
      </c>
      <c r="C1279" s="2" t="s">
        <v>4956</v>
      </c>
      <c r="D1279" s="2">
        <v>54</v>
      </c>
      <c r="E1279" s="2">
        <v>54</v>
      </c>
      <c r="F1279" s="2" t="s">
        <v>4957</v>
      </c>
      <c r="H1279" s="2" t="s">
        <v>17</v>
      </c>
      <c r="K1279" s="4">
        <v>20448</v>
      </c>
      <c r="M1279" s="2" t="s">
        <v>47</v>
      </c>
      <c r="N1279" s="2" t="s">
        <v>110</v>
      </c>
    </row>
    <row r="1280" spans="1:14">
      <c r="A1280" s="2">
        <v>1279</v>
      </c>
      <c r="B1280" s="3" t="s">
        <v>4958</v>
      </c>
      <c r="C1280" s="2" t="s">
        <v>4959</v>
      </c>
      <c r="D1280" s="2">
        <v>54</v>
      </c>
      <c r="E1280" s="2">
        <v>54</v>
      </c>
      <c r="F1280" s="2" t="s">
        <v>4960</v>
      </c>
      <c r="H1280" s="2" t="s">
        <v>45</v>
      </c>
      <c r="K1280" s="4">
        <v>19296</v>
      </c>
      <c r="M1280" s="2" t="s">
        <v>146</v>
      </c>
      <c r="N1280" s="2" t="s">
        <v>3561</v>
      </c>
    </row>
    <row r="1281" spans="1:14">
      <c r="A1281" s="2">
        <v>1280</v>
      </c>
      <c r="B1281" s="3" t="s">
        <v>4961</v>
      </c>
      <c r="C1281" s="2" t="s">
        <v>4962</v>
      </c>
      <c r="D1281" s="2">
        <v>54</v>
      </c>
      <c r="E1281" s="2">
        <v>54</v>
      </c>
      <c r="F1281" s="2" t="s">
        <v>4963</v>
      </c>
      <c r="H1281" s="2" t="s">
        <v>17</v>
      </c>
      <c r="K1281" s="4">
        <v>21388</v>
      </c>
      <c r="M1281" s="2" t="s">
        <v>192</v>
      </c>
      <c r="N1281" s="2" t="s">
        <v>4964</v>
      </c>
    </row>
    <row r="1282" spans="1:14">
      <c r="A1282" s="2">
        <v>1281</v>
      </c>
      <c r="B1282" s="3" t="s">
        <v>4965</v>
      </c>
      <c r="C1282" s="2" t="s">
        <v>4966</v>
      </c>
      <c r="D1282" s="2">
        <v>52</v>
      </c>
      <c r="E1282" s="2">
        <v>54</v>
      </c>
      <c r="F1282" s="2" t="s">
        <v>4967</v>
      </c>
      <c r="H1282" s="2" t="s">
        <v>17</v>
      </c>
      <c r="K1282" s="4">
        <v>19937</v>
      </c>
      <c r="M1282" s="2" t="s">
        <v>154</v>
      </c>
      <c r="N1282" s="2" t="s">
        <v>2265</v>
      </c>
    </row>
    <row r="1283" spans="1:14">
      <c r="A1283" s="2">
        <v>1282</v>
      </c>
      <c r="B1283" s="3" t="s">
        <v>4968</v>
      </c>
      <c r="C1283" s="2" t="s">
        <v>4969</v>
      </c>
      <c r="D1283" s="2">
        <v>54</v>
      </c>
      <c r="E1283" s="2">
        <v>54</v>
      </c>
      <c r="F1283" s="2" t="s">
        <v>4970</v>
      </c>
      <c r="H1283" s="2" t="s">
        <v>17</v>
      </c>
      <c r="K1283" s="4">
        <v>18401</v>
      </c>
      <c r="M1283" s="2" t="s">
        <v>185</v>
      </c>
      <c r="N1283" s="2" t="s">
        <v>4971</v>
      </c>
    </row>
    <row r="1284" spans="1:14">
      <c r="A1284" s="2">
        <v>1283</v>
      </c>
      <c r="B1284" s="3" t="s">
        <v>4972</v>
      </c>
      <c r="C1284" s="2" t="s">
        <v>4973</v>
      </c>
      <c r="D1284" s="2">
        <v>54</v>
      </c>
      <c r="E1284" s="2">
        <v>54</v>
      </c>
      <c r="F1284" s="2" t="s">
        <v>4974</v>
      </c>
      <c r="H1284" s="2" t="s">
        <v>45</v>
      </c>
      <c r="I1284" s="3" t="s">
        <v>4975</v>
      </c>
      <c r="K1284" s="4">
        <v>23791</v>
      </c>
      <c r="M1284" s="2" t="s">
        <v>423</v>
      </c>
      <c r="N1284" s="2" t="s">
        <v>1600</v>
      </c>
    </row>
    <row r="1285" spans="1:14">
      <c r="A1285" s="2">
        <v>1284</v>
      </c>
      <c r="B1285" s="3" t="s">
        <v>4976</v>
      </c>
      <c r="C1285" s="2" t="s">
        <v>4977</v>
      </c>
      <c r="D1285" s="2">
        <v>54</v>
      </c>
      <c r="E1285" s="2">
        <v>54</v>
      </c>
      <c r="F1285" s="2" t="s">
        <v>4978</v>
      </c>
      <c r="H1285" s="2" t="s">
        <v>17</v>
      </c>
      <c r="K1285" s="4">
        <v>25782</v>
      </c>
      <c r="M1285" s="2" t="s">
        <v>164</v>
      </c>
      <c r="N1285" s="2" t="s">
        <v>165</v>
      </c>
    </row>
    <row r="1286" spans="1:14">
      <c r="A1286" s="2">
        <v>1285</v>
      </c>
      <c r="B1286" s="3" t="s">
        <v>4979</v>
      </c>
      <c r="C1286" s="2" t="s">
        <v>4980</v>
      </c>
      <c r="D1286" s="2">
        <v>50</v>
      </c>
      <c r="E1286" s="2">
        <v>54</v>
      </c>
      <c r="F1286" s="2" t="s">
        <v>4981</v>
      </c>
      <c r="H1286" s="2" t="s">
        <v>17</v>
      </c>
      <c r="K1286" s="4">
        <v>19269</v>
      </c>
      <c r="M1286" s="2" t="s">
        <v>40</v>
      </c>
      <c r="N1286" s="2" t="s">
        <v>2573</v>
      </c>
    </row>
    <row r="1287" spans="1:14">
      <c r="A1287" s="2">
        <v>1286</v>
      </c>
      <c r="B1287" s="3" t="s">
        <v>4982</v>
      </c>
      <c r="C1287" s="2" t="s">
        <v>4983</v>
      </c>
      <c r="D1287" s="2">
        <v>48</v>
      </c>
      <c r="E1287" s="2">
        <v>54</v>
      </c>
      <c r="F1287" s="2" t="s">
        <v>4984</v>
      </c>
      <c r="H1287" s="2" t="s">
        <v>17</v>
      </c>
      <c r="K1287" s="4">
        <v>14454</v>
      </c>
      <c r="M1287" s="2" t="s">
        <v>185</v>
      </c>
      <c r="N1287" s="2" t="s">
        <v>4985</v>
      </c>
    </row>
    <row r="1288" spans="1:14">
      <c r="A1288" s="2">
        <v>1287</v>
      </c>
      <c r="B1288" s="3" t="s">
        <v>4986</v>
      </c>
      <c r="C1288" s="2" t="s">
        <v>4987</v>
      </c>
      <c r="D1288" s="2">
        <v>54</v>
      </c>
      <c r="E1288" s="2">
        <v>54</v>
      </c>
      <c r="F1288" s="2" t="s">
        <v>4988</v>
      </c>
      <c r="H1288" s="2" t="s">
        <v>17</v>
      </c>
      <c r="K1288" s="4">
        <v>28572</v>
      </c>
      <c r="M1288" s="2" t="s">
        <v>170</v>
      </c>
      <c r="N1288" s="2" t="s">
        <v>1624</v>
      </c>
    </row>
    <row r="1289" spans="1:14">
      <c r="A1289" s="2">
        <v>1288</v>
      </c>
      <c r="B1289" s="3" t="s">
        <v>4989</v>
      </c>
      <c r="C1289" s="2" t="s">
        <v>4990</v>
      </c>
      <c r="D1289" s="2">
        <v>53</v>
      </c>
      <c r="E1289" s="2">
        <v>54</v>
      </c>
      <c r="F1289" s="2" t="s">
        <v>4991</v>
      </c>
      <c r="H1289" s="2" t="s">
        <v>45</v>
      </c>
      <c r="K1289" s="4">
        <v>22396</v>
      </c>
      <c r="M1289" s="2" t="s">
        <v>24</v>
      </c>
      <c r="N1289" s="2" t="s">
        <v>4992</v>
      </c>
    </row>
    <row r="1290" spans="1:14">
      <c r="A1290" s="2">
        <v>1289</v>
      </c>
      <c r="B1290" s="3" t="s">
        <v>4993</v>
      </c>
      <c r="C1290" s="2" t="s">
        <v>4994</v>
      </c>
      <c r="D1290" s="2">
        <v>52</v>
      </c>
      <c r="E1290" s="2">
        <v>54</v>
      </c>
      <c r="F1290" s="2" t="s">
        <v>4995</v>
      </c>
      <c r="H1290" s="2" t="s">
        <v>17</v>
      </c>
      <c r="K1290" s="4">
        <v>28295</v>
      </c>
      <c r="M1290" s="2" t="s">
        <v>24</v>
      </c>
      <c r="N1290" s="2" t="s">
        <v>25</v>
      </c>
    </row>
    <row r="1291" spans="1:14">
      <c r="A1291" s="2">
        <v>1290</v>
      </c>
      <c r="B1291" s="3" t="s">
        <v>4996</v>
      </c>
      <c r="C1291" s="2" t="s">
        <v>4997</v>
      </c>
      <c r="D1291" s="2">
        <v>54</v>
      </c>
      <c r="E1291" s="2">
        <v>54</v>
      </c>
      <c r="F1291" s="2" t="s">
        <v>4998</v>
      </c>
      <c r="H1291" s="2" t="s">
        <v>17</v>
      </c>
      <c r="I1291" s="2" t="s">
        <v>4999</v>
      </c>
      <c r="J1291" s="3" t="s">
        <v>5000</v>
      </c>
      <c r="K1291" s="4">
        <v>21690</v>
      </c>
      <c r="M1291" s="2" t="s">
        <v>40</v>
      </c>
      <c r="N1291" s="2" t="s">
        <v>41</v>
      </c>
    </row>
    <row r="1292" spans="1:14">
      <c r="A1292" s="2">
        <v>1291</v>
      </c>
      <c r="B1292" s="3" t="s">
        <v>5001</v>
      </c>
      <c r="C1292" s="2" t="s">
        <v>5002</v>
      </c>
      <c r="D1292" s="2">
        <v>54</v>
      </c>
      <c r="E1292" s="2">
        <v>54</v>
      </c>
      <c r="F1292" s="2" t="s">
        <v>5003</v>
      </c>
      <c r="H1292" s="2" t="s">
        <v>17</v>
      </c>
      <c r="K1292" s="4">
        <v>26100</v>
      </c>
      <c r="M1292" s="2" t="s">
        <v>35</v>
      </c>
      <c r="N1292" s="2" t="s">
        <v>5004</v>
      </c>
    </row>
    <row r="1293" spans="1:14">
      <c r="A1293" s="2">
        <v>1292</v>
      </c>
      <c r="B1293" s="3" t="s">
        <v>5005</v>
      </c>
      <c r="C1293" s="2" t="s">
        <v>5006</v>
      </c>
      <c r="D1293" s="2">
        <v>52</v>
      </c>
      <c r="E1293" s="2">
        <v>54</v>
      </c>
      <c r="F1293" s="2" t="s">
        <v>5006</v>
      </c>
      <c r="H1293" s="2" t="s">
        <v>17</v>
      </c>
      <c r="K1293" s="4">
        <v>16104</v>
      </c>
      <c r="M1293" s="2" t="s">
        <v>47</v>
      </c>
      <c r="N1293" s="2" t="s">
        <v>4234</v>
      </c>
    </row>
    <row r="1294" spans="1:14">
      <c r="A1294" s="2">
        <v>1293</v>
      </c>
      <c r="B1294" s="3" t="s">
        <v>5007</v>
      </c>
      <c r="C1294" s="2" t="s">
        <v>5008</v>
      </c>
      <c r="D1294" s="2">
        <v>52</v>
      </c>
      <c r="E1294" s="2">
        <v>54</v>
      </c>
      <c r="F1294" s="2" t="s">
        <v>5009</v>
      </c>
      <c r="H1294" s="2" t="s">
        <v>17</v>
      </c>
      <c r="K1294" s="4">
        <v>19949</v>
      </c>
      <c r="M1294" s="2" t="s">
        <v>47</v>
      </c>
      <c r="N1294" s="2" t="s">
        <v>5010</v>
      </c>
    </row>
    <row r="1295" spans="1:14">
      <c r="A1295" s="2">
        <v>1294</v>
      </c>
      <c r="B1295" s="3" t="s">
        <v>5011</v>
      </c>
      <c r="C1295" s="2" t="s">
        <v>5012</v>
      </c>
      <c r="D1295" s="2">
        <v>50</v>
      </c>
      <c r="E1295" s="2">
        <v>54</v>
      </c>
      <c r="F1295" s="2" t="s">
        <v>5013</v>
      </c>
      <c r="H1295" s="2" t="s">
        <v>17</v>
      </c>
      <c r="K1295" s="4">
        <v>20534</v>
      </c>
      <c r="M1295" s="2" t="s">
        <v>185</v>
      </c>
      <c r="N1295" s="2" t="s">
        <v>5014</v>
      </c>
    </row>
    <row r="1296" spans="1:14">
      <c r="A1296" s="2">
        <v>1295</v>
      </c>
      <c r="B1296" s="3" t="s">
        <v>5015</v>
      </c>
      <c r="C1296" s="2" t="s">
        <v>5016</v>
      </c>
      <c r="D1296" s="2">
        <v>53</v>
      </c>
      <c r="E1296" s="2">
        <v>54</v>
      </c>
      <c r="F1296" s="2" t="s">
        <v>5017</v>
      </c>
      <c r="H1296" s="2" t="s">
        <v>17</v>
      </c>
      <c r="K1296" s="4">
        <v>14865</v>
      </c>
      <c r="M1296" s="2" t="s">
        <v>192</v>
      </c>
      <c r="N1296" s="2" t="s">
        <v>5018</v>
      </c>
    </row>
    <row r="1297" spans="1:14">
      <c r="A1297" s="2">
        <v>1296</v>
      </c>
      <c r="B1297" s="3" t="s">
        <v>5019</v>
      </c>
      <c r="C1297" s="2" t="s">
        <v>5020</v>
      </c>
      <c r="D1297" s="2">
        <v>54</v>
      </c>
      <c r="E1297" s="2">
        <v>54</v>
      </c>
      <c r="F1297" s="2" t="s">
        <v>5021</v>
      </c>
      <c r="H1297" s="2" t="s">
        <v>17</v>
      </c>
      <c r="K1297" s="4">
        <v>25032</v>
      </c>
      <c r="M1297" s="2" t="s">
        <v>170</v>
      </c>
      <c r="N1297" s="2" t="s">
        <v>759</v>
      </c>
    </row>
    <row r="1298" spans="1:14">
      <c r="A1298" s="2">
        <v>1297</v>
      </c>
      <c r="B1298" s="3" t="s">
        <v>5022</v>
      </c>
      <c r="C1298" s="2" t="s">
        <v>5023</v>
      </c>
      <c r="D1298" s="2">
        <v>54</v>
      </c>
      <c r="E1298" s="2">
        <v>54</v>
      </c>
      <c r="F1298" s="2" t="s">
        <v>5024</v>
      </c>
      <c r="H1298" s="2" t="s">
        <v>17</v>
      </c>
      <c r="K1298" s="4">
        <v>16709</v>
      </c>
      <c r="M1298" s="2" t="s">
        <v>170</v>
      </c>
      <c r="N1298" s="2" t="s">
        <v>323</v>
      </c>
    </row>
    <row r="1299" spans="1:14">
      <c r="A1299" s="2">
        <v>1298</v>
      </c>
      <c r="B1299" s="3" t="s">
        <v>5025</v>
      </c>
      <c r="C1299" s="2" t="s">
        <v>5026</v>
      </c>
      <c r="D1299" s="2">
        <v>54</v>
      </c>
      <c r="E1299" s="2">
        <v>54</v>
      </c>
      <c r="F1299" s="2" t="s">
        <v>5027</v>
      </c>
      <c r="H1299" s="2" t="s">
        <v>17</v>
      </c>
      <c r="K1299" s="4">
        <v>17232</v>
      </c>
    </row>
    <row r="1300" spans="1:14">
      <c r="A1300" s="2">
        <v>1299</v>
      </c>
      <c r="B1300" s="3" t="s">
        <v>5028</v>
      </c>
      <c r="C1300" s="2" t="s">
        <v>5029</v>
      </c>
      <c r="D1300" s="2">
        <v>54</v>
      </c>
      <c r="E1300" s="2">
        <v>54</v>
      </c>
      <c r="F1300" s="2" t="s">
        <v>5030</v>
      </c>
      <c r="H1300" s="2" t="s">
        <v>17</v>
      </c>
      <c r="K1300" s="4">
        <v>26506</v>
      </c>
      <c r="M1300" s="2" t="s">
        <v>35</v>
      </c>
      <c r="N1300" s="2" t="s">
        <v>58</v>
      </c>
    </row>
    <row r="1301" spans="1:14">
      <c r="A1301" s="2">
        <v>1300</v>
      </c>
      <c r="B1301" s="3" t="s">
        <v>5031</v>
      </c>
      <c r="C1301" s="2" t="s">
        <v>5032</v>
      </c>
      <c r="D1301" s="2">
        <v>50</v>
      </c>
      <c r="E1301" s="2">
        <v>54</v>
      </c>
      <c r="F1301" s="2" t="s">
        <v>5033</v>
      </c>
      <c r="H1301" s="2" t="s">
        <v>17</v>
      </c>
      <c r="K1301" s="4">
        <v>17075</v>
      </c>
      <c r="M1301" s="2" t="s">
        <v>170</v>
      </c>
      <c r="N1301" s="2" t="s">
        <v>5034</v>
      </c>
    </row>
    <row r="1302" spans="1:14">
      <c r="A1302" s="2">
        <v>1301</v>
      </c>
      <c r="B1302" s="3" t="s">
        <v>5035</v>
      </c>
      <c r="C1302" s="2" t="s">
        <v>5036</v>
      </c>
      <c r="D1302" s="2">
        <v>53</v>
      </c>
      <c r="E1302" s="2">
        <v>54</v>
      </c>
      <c r="F1302" s="2" t="s">
        <v>5037</v>
      </c>
      <c r="H1302" s="2" t="s">
        <v>17</v>
      </c>
      <c r="K1302" s="4">
        <v>22085</v>
      </c>
      <c r="M1302" s="2" t="s">
        <v>170</v>
      </c>
      <c r="N1302" s="2" t="s">
        <v>1712</v>
      </c>
    </row>
    <row r="1303" spans="1:14">
      <c r="A1303" s="2">
        <v>1302</v>
      </c>
      <c r="B1303" s="3" t="s">
        <v>5038</v>
      </c>
      <c r="C1303" s="2" t="s">
        <v>5039</v>
      </c>
      <c r="D1303" s="2">
        <v>51</v>
      </c>
      <c r="E1303" s="2">
        <v>54</v>
      </c>
      <c r="F1303" s="2" t="s">
        <v>5040</v>
      </c>
      <c r="H1303" s="2" t="s">
        <v>17</v>
      </c>
      <c r="K1303" s="4">
        <v>18579</v>
      </c>
      <c r="M1303" s="2" t="s">
        <v>154</v>
      </c>
      <c r="N1303" s="2" t="s">
        <v>4691</v>
      </c>
    </row>
    <row r="1304" spans="1:14">
      <c r="A1304" s="2">
        <v>1303</v>
      </c>
      <c r="B1304" s="3" t="s">
        <v>5041</v>
      </c>
      <c r="C1304" s="2" t="s">
        <v>5042</v>
      </c>
      <c r="D1304" s="2">
        <v>53</v>
      </c>
      <c r="E1304" s="2">
        <v>54</v>
      </c>
      <c r="F1304" s="2" t="s">
        <v>5043</v>
      </c>
      <c r="H1304" s="2" t="s">
        <v>17</v>
      </c>
      <c r="K1304" s="4">
        <v>18178</v>
      </c>
      <c r="M1304" s="2" t="s">
        <v>47</v>
      </c>
      <c r="N1304" s="2" t="s">
        <v>3707</v>
      </c>
    </row>
    <row r="1305" spans="1:14">
      <c r="A1305" s="2">
        <v>1304</v>
      </c>
      <c r="B1305" s="3" t="s">
        <v>5044</v>
      </c>
      <c r="C1305" s="2" t="s">
        <v>5045</v>
      </c>
      <c r="D1305" s="2">
        <v>54</v>
      </c>
      <c r="E1305" s="2">
        <v>54</v>
      </c>
      <c r="F1305" s="2" t="s">
        <v>5046</v>
      </c>
      <c r="H1305" s="2" t="s">
        <v>45</v>
      </c>
      <c r="K1305" s="4">
        <v>20462</v>
      </c>
      <c r="M1305" s="2" t="s">
        <v>47</v>
      </c>
      <c r="N1305" s="2" t="s">
        <v>1811</v>
      </c>
    </row>
    <row r="1306" spans="1:14">
      <c r="A1306" s="2">
        <v>1305</v>
      </c>
      <c r="B1306" s="3" t="s">
        <v>5047</v>
      </c>
      <c r="C1306" s="2" t="s">
        <v>5048</v>
      </c>
      <c r="D1306" s="2">
        <v>54</v>
      </c>
      <c r="E1306" s="2">
        <v>54</v>
      </c>
      <c r="F1306" s="2" t="s">
        <v>5049</v>
      </c>
      <c r="H1306" s="2" t="s">
        <v>17</v>
      </c>
      <c r="K1306" s="4">
        <v>20521</v>
      </c>
      <c r="M1306" s="2" t="s">
        <v>164</v>
      </c>
      <c r="N1306" s="2" t="s">
        <v>4242</v>
      </c>
    </row>
    <row r="1307" spans="1:14">
      <c r="A1307" s="2">
        <v>1306</v>
      </c>
      <c r="B1307" s="3" t="s">
        <v>5050</v>
      </c>
      <c r="C1307" s="2" t="s">
        <v>5051</v>
      </c>
      <c r="D1307" s="2">
        <v>54</v>
      </c>
      <c r="E1307" s="2">
        <v>54</v>
      </c>
      <c r="F1307" s="2" t="s">
        <v>5052</v>
      </c>
      <c r="H1307" s="2" t="s">
        <v>17</v>
      </c>
      <c r="K1307" s="4">
        <v>29296</v>
      </c>
      <c r="M1307" s="2" t="s">
        <v>170</v>
      </c>
      <c r="N1307" s="2" t="s">
        <v>1624</v>
      </c>
    </row>
    <row r="1308" spans="1:14">
      <c r="A1308" s="2">
        <v>1307</v>
      </c>
      <c r="B1308" s="3" t="s">
        <v>5053</v>
      </c>
      <c r="C1308" s="2" t="s">
        <v>5054</v>
      </c>
      <c r="D1308" s="2">
        <v>54</v>
      </c>
      <c r="E1308" s="2">
        <v>54</v>
      </c>
      <c r="F1308" s="2" t="s">
        <v>5055</v>
      </c>
      <c r="H1308" s="2" t="s">
        <v>17</v>
      </c>
      <c r="K1308" s="4">
        <v>28672</v>
      </c>
      <c r="M1308" s="2" t="s">
        <v>185</v>
      </c>
      <c r="N1308" s="2" t="s">
        <v>838</v>
      </c>
    </row>
    <row r="1309" spans="1:14">
      <c r="A1309" s="2">
        <v>1308</v>
      </c>
      <c r="B1309" s="3" t="s">
        <v>5056</v>
      </c>
      <c r="C1309" s="2" t="s">
        <v>5057</v>
      </c>
      <c r="D1309" s="2">
        <v>49</v>
      </c>
      <c r="E1309" s="2">
        <v>54</v>
      </c>
      <c r="F1309" s="2" t="s">
        <v>5058</v>
      </c>
      <c r="H1309" s="2" t="s">
        <v>17</v>
      </c>
      <c r="K1309" s="4">
        <v>14513</v>
      </c>
      <c r="L1309" s="4">
        <v>45002</v>
      </c>
      <c r="M1309" s="2" t="s">
        <v>35</v>
      </c>
      <c r="N1309" s="2" t="s">
        <v>5059</v>
      </c>
    </row>
    <row r="1310" spans="1:14">
      <c r="A1310" s="2">
        <v>1309</v>
      </c>
      <c r="B1310" s="3" t="s">
        <v>5060</v>
      </c>
      <c r="C1310" s="2" t="s">
        <v>5061</v>
      </c>
      <c r="D1310" s="2">
        <v>53</v>
      </c>
      <c r="E1310" s="2">
        <v>54</v>
      </c>
      <c r="F1310" s="2" t="s">
        <v>5062</v>
      </c>
      <c r="H1310" s="2" t="s">
        <v>17</v>
      </c>
      <c r="K1310" s="4">
        <v>21078</v>
      </c>
      <c r="M1310" s="2" t="s">
        <v>47</v>
      </c>
      <c r="N1310" s="2" t="s">
        <v>48</v>
      </c>
    </row>
    <row r="1311" spans="1:14">
      <c r="A1311" s="2">
        <v>1310</v>
      </c>
      <c r="B1311" s="3" t="s">
        <v>5063</v>
      </c>
      <c r="C1311" s="2" t="s">
        <v>5064</v>
      </c>
      <c r="D1311" s="2">
        <v>50</v>
      </c>
      <c r="E1311" s="2">
        <v>54</v>
      </c>
      <c r="F1311" s="2" t="s">
        <v>5065</v>
      </c>
      <c r="H1311" s="2" t="s">
        <v>17</v>
      </c>
      <c r="K1311" s="4">
        <v>16631</v>
      </c>
      <c r="M1311" s="2" t="s">
        <v>198</v>
      </c>
      <c r="N1311" s="2" t="s">
        <v>199</v>
      </c>
    </row>
    <row r="1312" spans="1:14">
      <c r="A1312" s="2">
        <v>1311</v>
      </c>
      <c r="B1312" s="3" t="s">
        <v>5066</v>
      </c>
      <c r="C1312" s="2" t="s">
        <v>5067</v>
      </c>
      <c r="D1312" s="2">
        <v>54</v>
      </c>
      <c r="E1312" s="2">
        <v>54</v>
      </c>
      <c r="F1312" s="2" t="s">
        <v>5068</v>
      </c>
      <c r="H1312" s="2" t="s">
        <v>17</v>
      </c>
      <c r="K1312" s="4">
        <v>23356</v>
      </c>
      <c r="M1312" s="2" t="s">
        <v>40</v>
      </c>
      <c r="N1312" s="2" t="s">
        <v>314</v>
      </c>
    </row>
    <row r="1313" spans="1:14">
      <c r="A1313" s="2">
        <v>1312</v>
      </c>
      <c r="B1313" s="3" t="s">
        <v>5069</v>
      </c>
      <c r="C1313" s="2" t="s">
        <v>5070</v>
      </c>
      <c r="D1313" s="2">
        <v>53</v>
      </c>
      <c r="E1313" s="2">
        <v>54</v>
      </c>
      <c r="F1313" s="2" t="s">
        <v>5071</v>
      </c>
      <c r="H1313" s="2" t="s">
        <v>17</v>
      </c>
      <c r="K1313" s="4">
        <v>19926</v>
      </c>
      <c r="M1313" s="2" t="s">
        <v>170</v>
      </c>
      <c r="N1313" s="2" t="s">
        <v>323</v>
      </c>
    </row>
    <row r="1314" spans="1:14">
      <c r="A1314" s="2">
        <v>1313</v>
      </c>
      <c r="B1314" s="3" t="s">
        <v>5072</v>
      </c>
      <c r="C1314" s="2" t="s">
        <v>5073</v>
      </c>
      <c r="D1314" s="2">
        <v>49</v>
      </c>
      <c r="E1314" s="2">
        <v>54</v>
      </c>
      <c r="F1314" s="2" t="s">
        <v>5073</v>
      </c>
      <c r="H1314" s="2" t="s">
        <v>17</v>
      </c>
      <c r="K1314" s="4">
        <v>18027</v>
      </c>
      <c r="M1314" s="2" t="s">
        <v>85</v>
      </c>
      <c r="N1314" s="2" t="s">
        <v>86</v>
      </c>
    </row>
    <row r="1315" spans="1:14">
      <c r="A1315" s="2">
        <v>1314</v>
      </c>
      <c r="B1315" s="3" t="s">
        <v>5074</v>
      </c>
      <c r="C1315" s="2" t="s">
        <v>5075</v>
      </c>
      <c r="D1315" s="2">
        <v>54</v>
      </c>
      <c r="E1315" s="2">
        <v>54</v>
      </c>
      <c r="F1315" s="2" t="s">
        <v>5076</v>
      </c>
      <c r="H1315" s="2" t="s">
        <v>17</v>
      </c>
      <c r="K1315" s="4">
        <v>17785</v>
      </c>
      <c r="M1315" s="2" t="s">
        <v>35</v>
      </c>
      <c r="N1315" s="2" t="s">
        <v>58</v>
      </c>
    </row>
    <row r="1316" spans="1:14">
      <c r="A1316" s="2">
        <v>1315</v>
      </c>
      <c r="B1316" s="3" t="s">
        <v>5077</v>
      </c>
      <c r="C1316" s="2" t="s">
        <v>5078</v>
      </c>
      <c r="D1316" s="2">
        <v>52</v>
      </c>
      <c r="E1316" s="2">
        <v>54</v>
      </c>
      <c r="F1316" s="2" t="s">
        <v>5079</v>
      </c>
      <c r="H1316" s="2" t="s">
        <v>17</v>
      </c>
      <c r="K1316" s="4">
        <v>24225</v>
      </c>
      <c r="M1316" s="2" t="s">
        <v>91</v>
      </c>
      <c r="N1316" s="2" t="s">
        <v>92</v>
      </c>
    </row>
    <row r="1317" spans="1:14">
      <c r="A1317" s="2">
        <v>1316</v>
      </c>
      <c r="B1317" s="3" t="s">
        <v>5080</v>
      </c>
      <c r="C1317" s="2" t="s">
        <v>5081</v>
      </c>
      <c r="D1317" s="2">
        <v>52</v>
      </c>
      <c r="E1317" s="2">
        <v>54</v>
      </c>
      <c r="F1317" s="2" t="s">
        <v>5082</v>
      </c>
      <c r="H1317" s="2" t="s">
        <v>17</v>
      </c>
      <c r="K1317" s="4">
        <v>19272</v>
      </c>
      <c r="M1317" s="2" t="s">
        <v>154</v>
      </c>
      <c r="N1317" s="2" t="s">
        <v>346</v>
      </c>
    </row>
    <row r="1318" spans="1:14">
      <c r="A1318" s="2">
        <v>1317</v>
      </c>
      <c r="B1318" s="3" t="s">
        <v>5083</v>
      </c>
      <c r="C1318" s="2" t="s">
        <v>5084</v>
      </c>
      <c r="D1318" s="2">
        <v>54</v>
      </c>
      <c r="E1318" s="2">
        <v>54</v>
      </c>
      <c r="F1318" s="2" t="s">
        <v>5085</v>
      </c>
      <c r="H1318" s="2" t="s">
        <v>45</v>
      </c>
      <c r="K1318" s="4">
        <v>23417</v>
      </c>
      <c r="M1318" s="2" t="s">
        <v>170</v>
      </c>
      <c r="N1318" s="2" t="s">
        <v>323</v>
      </c>
    </row>
    <row r="1319" spans="1:14">
      <c r="A1319" s="2">
        <v>1318</v>
      </c>
      <c r="B1319" s="3" t="s">
        <v>5086</v>
      </c>
      <c r="C1319" s="2" t="s">
        <v>5087</v>
      </c>
      <c r="D1319" s="2">
        <v>53</v>
      </c>
      <c r="E1319" s="2">
        <v>54</v>
      </c>
      <c r="F1319" s="2" t="s">
        <v>5088</v>
      </c>
      <c r="H1319" s="2" t="s">
        <v>17</v>
      </c>
      <c r="K1319" s="4">
        <v>20341</v>
      </c>
      <c r="M1319" s="2" t="s">
        <v>35</v>
      </c>
      <c r="N1319" s="2" t="s">
        <v>1369</v>
      </c>
    </row>
    <row r="1320" spans="1:14">
      <c r="A1320" s="2">
        <v>1319</v>
      </c>
      <c r="B1320" s="3" t="s">
        <v>5089</v>
      </c>
      <c r="C1320" s="2" t="s">
        <v>5090</v>
      </c>
      <c r="D1320" s="2">
        <v>50</v>
      </c>
      <c r="E1320" s="2">
        <v>54</v>
      </c>
      <c r="F1320" s="2" t="s">
        <v>5091</v>
      </c>
      <c r="H1320" s="2" t="s">
        <v>17</v>
      </c>
      <c r="K1320" s="4">
        <v>16794</v>
      </c>
      <c r="L1320" s="4">
        <v>44998</v>
      </c>
      <c r="M1320" s="2" t="s">
        <v>66</v>
      </c>
      <c r="N1320" s="2" t="s">
        <v>5092</v>
      </c>
    </row>
    <row r="1321" spans="1:14">
      <c r="A1321" s="2">
        <v>1320</v>
      </c>
      <c r="B1321" s="3" t="s">
        <v>5093</v>
      </c>
      <c r="C1321" s="2" t="s">
        <v>5094</v>
      </c>
      <c r="D1321" s="2">
        <v>50</v>
      </c>
      <c r="E1321" s="2">
        <v>54</v>
      </c>
      <c r="F1321" s="2" t="s">
        <v>5094</v>
      </c>
      <c r="H1321" s="2" t="s">
        <v>17</v>
      </c>
      <c r="K1321" s="4">
        <v>20520</v>
      </c>
      <c r="M1321" s="2" t="s">
        <v>47</v>
      </c>
      <c r="N1321" s="2" t="s">
        <v>5095</v>
      </c>
    </row>
    <row r="1322" spans="1:14">
      <c r="A1322" s="2">
        <v>1321</v>
      </c>
      <c r="B1322" s="3" t="s">
        <v>5096</v>
      </c>
      <c r="C1322" s="2" t="s">
        <v>5097</v>
      </c>
      <c r="D1322" s="2">
        <v>53</v>
      </c>
      <c r="E1322" s="2">
        <v>54</v>
      </c>
      <c r="F1322" s="2" t="s">
        <v>5098</v>
      </c>
      <c r="H1322" s="2" t="s">
        <v>17</v>
      </c>
      <c r="K1322" s="4">
        <v>16838</v>
      </c>
      <c r="M1322" s="2" t="s">
        <v>47</v>
      </c>
      <c r="N1322" s="2" t="s">
        <v>5099</v>
      </c>
    </row>
    <row r="1323" spans="1:14">
      <c r="A1323" s="2">
        <v>1322</v>
      </c>
      <c r="B1323" s="3" t="s">
        <v>5100</v>
      </c>
      <c r="C1323" s="2" t="s">
        <v>5101</v>
      </c>
      <c r="D1323" s="2">
        <v>50</v>
      </c>
      <c r="E1323" s="2">
        <v>54</v>
      </c>
      <c r="F1323" s="2" t="s">
        <v>5102</v>
      </c>
      <c r="H1323" s="2" t="s">
        <v>17</v>
      </c>
      <c r="K1323" s="4">
        <v>21447</v>
      </c>
      <c r="M1323" s="2" t="s">
        <v>66</v>
      </c>
      <c r="N1323" s="2" t="s">
        <v>5103</v>
      </c>
    </row>
    <row r="1324" spans="1:14">
      <c r="A1324" s="2">
        <v>1323</v>
      </c>
      <c r="B1324" s="3" t="s">
        <v>5104</v>
      </c>
      <c r="C1324" s="2" t="s">
        <v>5105</v>
      </c>
      <c r="D1324" s="2">
        <v>53</v>
      </c>
      <c r="E1324" s="2">
        <v>54</v>
      </c>
      <c r="F1324" s="2" t="s">
        <v>5106</v>
      </c>
      <c r="H1324" s="2" t="s">
        <v>17</v>
      </c>
      <c r="K1324" s="4">
        <v>23631</v>
      </c>
      <c r="M1324" s="2" t="s">
        <v>85</v>
      </c>
      <c r="N1324" s="2" t="s">
        <v>86</v>
      </c>
    </row>
    <row r="1325" spans="1:14">
      <c r="A1325" s="2">
        <v>1324</v>
      </c>
      <c r="B1325" s="3" t="s">
        <v>5107</v>
      </c>
      <c r="C1325" s="2" t="s">
        <v>5108</v>
      </c>
      <c r="D1325" s="2">
        <v>54</v>
      </c>
      <c r="E1325" s="2">
        <v>54</v>
      </c>
      <c r="F1325" s="2" t="s">
        <v>5109</v>
      </c>
      <c r="H1325" s="2" t="s">
        <v>17</v>
      </c>
      <c r="K1325" s="4">
        <v>21568</v>
      </c>
      <c r="M1325" s="2" t="s">
        <v>170</v>
      </c>
      <c r="N1325" s="2" t="s">
        <v>802</v>
      </c>
    </row>
    <row r="1326" spans="1:14">
      <c r="A1326" s="2">
        <v>1325</v>
      </c>
      <c r="B1326" s="3" t="s">
        <v>5110</v>
      </c>
      <c r="C1326" s="2" t="s">
        <v>5111</v>
      </c>
      <c r="D1326" s="2">
        <v>51</v>
      </c>
      <c r="E1326" s="2">
        <v>54</v>
      </c>
      <c r="F1326" s="2" t="s">
        <v>5112</v>
      </c>
      <c r="H1326" s="2" t="s">
        <v>17</v>
      </c>
      <c r="K1326" s="4">
        <v>22757</v>
      </c>
      <c r="M1326" s="2" t="s">
        <v>24</v>
      </c>
      <c r="N1326" s="2" t="s">
        <v>25</v>
      </c>
    </row>
    <row r="1327" spans="1:14">
      <c r="A1327" s="2">
        <v>1326</v>
      </c>
      <c r="B1327" s="3" t="s">
        <v>5113</v>
      </c>
      <c r="C1327" s="2" t="s">
        <v>5114</v>
      </c>
      <c r="D1327" s="2">
        <v>52</v>
      </c>
      <c r="E1327" s="2">
        <v>54</v>
      </c>
      <c r="F1327" s="2" t="s">
        <v>5115</v>
      </c>
      <c r="H1327" s="2" t="s">
        <v>17</v>
      </c>
      <c r="K1327" s="4">
        <v>26682</v>
      </c>
      <c r="M1327" s="2" t="s">
        <v>40</v>
      </c>
      <c r="N1327" s="2" t="s">
        <v>41</v>
      </c>
    </row>
    <row r="1328" spans="1:14">
      <c r="A1328" s="2">
        <v>1327</v>
      </c>
      <c r="B1328" s="3" t="s">
        <v>5116</v>
      </c>
      <c r="C1328" s="2" t="s">
        <v>5117</v>
      </c>
      <c r="D1328" s="2">
        <v>52</v>
      </c>
      <c r="E1328" s="2">
        <v>54</v>
      </c>
      <c r="F1328" s="2" t="s">
        <v>5118</v>
      </c>
      <c r="H1328" s="2" t="s">
        <v>45</v>
      </c>
      <c r="K1328" s="4">
        <v>20228</v>
      </c>
      <c r="M1328" s="2" t="s">
        <v>76</v>
      </c>
      <c r="N1328" s="2" t="s">
        <v>5119</v>
      </c>
    </row>
    <row r="1329" spans="1:14">
      <c r="A1329" s="2">
        <v>1328</v>
      </c>
      <c r="B1329" s="3" t="s">
        <v>5120</v>
      </c>
      <c r="C1329" s="2" t="s">
        <v>5121</v>
      </c>
      <c r="D1329" s="2">
        <v>49</v>
      </c>
      <c r="E1329" s="2">
        <v>54</v>
      </c>
      <c r="F1329" s="2" t="s">
        <v>5122</v>
      </c>
      <c r="H1329" s="2" t="s">
        <v>45</v>
      </c>
      <c r="K1329" s="4">
        <v>21594</v>
      </c>
      <c r="M1329" s="2" t="s">
        <v>24</v>
      </c>
      <c r="N1329" s="2" t="s">
        <v>25</v>
      </c>
    </row>
    <row r="1330" spans="1:14">
      <c r="A1330" s="2">
        <v>1329</v>
      </c>
      <c r="B1330" s="3" t="s">
        <v>5123</v>
      </c>
      <c r="C1330" s="2" t="s">
        <v>5124</v>
      </c>
      <c r="D1330" s="2">
        <v>50</v>
      </c>
      <c r="E1330" s="2">
        <v>54</v>
      </c>
      <c r="F1330" s="2" t="s">
        <v>5125</v>
      </c>
      <c r="H1330" s="2" t="s">
        <v>17</v>
      </c>
      <c r="K1330" s="4">
        <v>18876</v>
      </c>
      <c r="M1330" s="2" t="s">
        <v>198</v>
      </c>
      <c r="N1330" s="2" t="s">
        <v>4312</v>
      </c>
    </row>
    <row r="1331" spans="1:14">
      <c r="A1331" s="2">
        <v>1330</v>
      </c>
      <c r="B1331" s="3" t="s">
        <v>5126</v>
      </c>
      <c r="C1331" s="2" t="s">
        <v>5127</v>
      </c>
      <c r="D1331" s="2">
        <v>49</v>
      </c>
      <c r="E1331" s="2">
        <v>54</v>
      </c>
      <c r="F1331" s="2" t="s">
        <v>5128</v>
      </c>
      <c r="H1331" s="2" t="s">
        <v>17</v>
      </c>
      <c r="K1331" s="4">
        <v>17139</v>
      </c>
      <c r="M1331" s="2" t="s">
        <v>170</v>
      </c>
      <c r="N1331" s="2" t="s">
        <v>323</v>
      </c>
    </row>
    <row r="1332" spans="1:14">
      <c r="A1332" s="2">
        <v>1331</v>
      </c>
      <c r="B1332" s="3" t="s">
        <v>5129</v>
      </c>
      <c r="C1332" s="2" t="s">
        <v>5130</v>
      </c>
      <c r="D1332" s="2">
        <v>54</v>
      </c>
      <c r="E1332" s="2">
        <v>54</v>
      </c>
      <c r="F1332" s="2" t="s">
        <v>5131</v>
      </c>
      <c r="H1332" s="2" t="s">
        <v>17</v>
      </c>
      <c r="K1332" s="4">
        <v>20414</v>
      </c>
      <c r="M1332" s="2" t="s">
        <v>66</v>
      </c>
      <c r="N1332" s="2" t="s">
        <v>71</v>
      </c>
    </row>
    <row r="1333" spans="1:14">
      <c r="A1333" s="2">
        <v>1332</v>
      </c>
      <c r="B1333" s="3" t="s">
        <v>5132</v>
      </c>
      <c r="C1333" s="2" t="s">
        <v>5133</v>
      </c>
      <c r="D1333" s="2">
        <v>53</v>
      </c>
      <c r="E1333" s="2">
        <v>54</v>
      </c>
      <c r="F1333" s="2" t="s">
        <v>5134</v>
      </c>
      <c r="H1333" s="2" t="s">
        <v>17</v>
      </c>
      <c r="K1333" s="4">
        <v>30636</v>
      </c>
      <c r="M1333" s="2" t="s">
        <v>170</v>
      </c>
      <c r="N1333" s="2" t="s">
        <v>323</v>
      </c>
    </row>
    <row r="1334" spans="1:14">
      <c r="A1334" s="2">
        <v>1333</v>
      </c>
      <c r="B1334" s="3" t="s">
        <v>5135</v>
      </c>
      <c r="C1334" s="2" t="s">
        <v>5136</v>
      </c>
      <c r="D1334" s="2">
        <v>54</v>
      </c>
      <c r="E1334" s="2">
        <v>54</v>
      </c>
      <c r="F1334" s="2" t="s">
        <v>5137</v>
      </c>
      <c r="H1334" s="2" t="s">
        <v>17</v>
      </c>
      <c r="K1334" s="4">
        <v>24931</v>
      </c>
      <c r="M1334" s="2" t="s">
        <v>185</v>
      </c>
      <c r="N1334" s="2" t="s">
        <v>979</v>
      </c>
    </row>
    <row r="1335" spans="1:14">
      <c r="A1335" s="2">
        <v>1334</v>
      </c>
      <c r="B1335" s="3" t="s">
        <v>5138</v>
      </c>
      <c r="C1335" s="2" t="s">
        <v>5139</v>
      </c>
      <c r="D1335" s="2">
        <v>54</v>
      </c>
      <c r="E1335" s="2">
        <v>54</v>
      </c>
      <c r="F1335" s="2" t="s">
        <v>5140</v>
      </c>
      <c r="H1335" s="2" t="s">
        <v>17</v>
      </c>
      <c r="K1335" s="4">
        <v>20566</v>
      </c>
      <c r="M1335" s="2" t="s">
        <v>91</v>
      </c>
      <c r="N1335" s="2" t="s">
        <v>5141</v>
      </c>
    </row>
    <row r="1336" spans="1:14">
      <c r="A1336" s="2">
        <v>1335</v>
      </c>
      <c r="B1336" s="3" t="s">
        <v>5142</v>
      </c>
      <c r="C1336" s="2" t="s">
        <v>5143</v>
      </c>
      <c r="D1336" s="2">
        <v>54</v>
      </c>
      <c r="E1336" s="2">
        <v>54</v>
      </c>
      <c r="F1336" s="2" t="s">
        <v>5144</v>
      </c>
      <c r="H1336" s="2" t="s">
        <v>17</v>
      </c>
      <c r="K1336" s="4">
        <v>22897</v>
      </c>
      <c r="M1336" s="2" t="s">
        <v>423</v>
      </c>
      <c r="N1336" s="2" t="s">
        <v>5145</v>
      </c>
    </row>
    <row r="1337" spans="1:14">
      <c r="A1337" s="2">
        <v>1336</v>
      </c>
      <c r="B1337" s="3" t="s">
        <v>5146</v>
      </c>
      <c r="C1337" s="2" t="s">
        <v>5147</v>
      </c>
      <c r="D1337" s="2">
        <v>52</v>
      </c>
      <c r="E1337" s="2">
        <v>54</v>
      </c>
      <c r="F1337" s="2" t="s">
        <v>5148</v>
      </c>
      <c r="H1337" s="2" t="s">
        <v>17</v>
      </c>
      <c r="K1337" s="4">
        <v>18097</v>
      </c>
      <c r="M1337" s="2" t="s">
        <v>185</v>
      </c>
      <c r="N1337" s="2" t="s">
        <v>838</v>
      </c>
    </row>
    <row r="1338" spans="1:14">
      <c r="A1338" s="2">
        <v>1337</v>
      </c>
      <c r="B1338" s="3" t="s">
        <v>5149</v>
      </c>
      <c r="C1338" s="2" t="s">
        <v>5150</v>
      </c>
      <c r="D1338" s="2">
        <v>53</v>
      </c>
      <c r="E1338" s="2">
        <v>54</v>
      </c>
      <c r="F1338" s="2" t="s">
        <v>5151</v>
      </c>
      <c r="H1338" s="2" t="s">
        <v>17</v>
      </c>
      <c r="K1338" s="4">
        <v>19042</v>
      </c>
      <c r="M1338" s="2" t="s">
        <v>85</v>
      </c>
      <c r="N1338" s="2" t="s">
        <v>2474</v>
      </c>
    </row>
    <row r="1339" spans="1:14">
      <c r="A1339" s="2">
        <v>1338</v>
      </c>
      <c r="B1339" s="3" t="s">
        <v>5152</v>
      </c>
      <c r="C1339" s="2" t="s">
        <v>5153</v>
      </c>
      <c r="D1339" s="2">
        <v>53</v>
      </c>
      <c r="E1339" s="2">
        <v>54</v>
      </c>
      <c r="F1339" s="2" t="s">
        <v>5154</v>
      </c>
      <c r="H1339" s="2" t="s">
        <v>17</v>
      </c>
      <c r="K1339" s="4">
        <v>23059</v>
      </c>
      <c r="M1339" s="2" t="s">
        <v>146</v>
      </c>
      <c r="N1339" s="2" t="s">
        <v>5155</v>
      </c>
    </row>
    <row r="1340" spans="1:14">
      <c r="A1340" s="2">
        <v>1339</v>
      </c>
      <c r="B1340" s="3" t="s">
        <v>5156</v>
      </c>
      <c r="C1340" s="2" t="s">
        <v>5157</v>
      </c>
      <c r="D1340" s="2">
        <v>54</v>
      </c>
      <c r="E1340" s="2">
        <v>54</v>
      </c>
      <c r="F1340" s="2" t="s">
        <v>5158</v>
      </c>
      <c r="H1340" s="2" t="s">
        <v>17</v>
      </c>
      <c r="K1340" s="4">
        <v>25323</v>
      </c>
      <c r="M1340" s="2" t="s">
        <v>47</v>
      </c>
      <c r="N1340" s="2" t="s">
        <v>5159</v>
      </c>
    </row>
    <row r="1341" spans="1:14">
      <c r="A1341" s="2">
        <v>1340</v>
      </c>
      <c r="B1341" s="3" t="s">
        <v>5160</v>
      </c>
      <c r="C1341" s="2" t="s">
        <v>5161</v>
      </c>
      <c r="D1341" s="2">
        <v>54</v>
      </c>
      <c r="E1341" s="2">
        <v>54</v>
      </c>
      <c r="F1341" s="2" t="s">
        <v>5162</v>
      </c>
      <c r="H1341" s="2" t="s">
        <v>17</v>
      </c>
      <c r="K1341" s="4">
        <v>26581</v>
      </c>
      <c r="M1341" s="2" t="s">
        <v>423</v>
      </c>
      <c r="N1341" s="2" t="s">
        <v>3005</v>
      </c>
    </row>
    <row r="1342" spans="1:14">
      <c r="A1342" s="2">
        <v>1341</v>
      </c>
      <c r="B1342" s="3" t="s">
        <v>5163</v>
      </c>
      <c r="C1342" s="2" t="s">
        <v>5164</v>
      </c>
      <c r="D1342" s="2">
        <v>54</v>
      </c>
      <c r="E1342" s="2">
        <v>54</v>
      </c>
      <c r="F1342" s="2" t="s">
        <v>5165</v>
      </c>
      <c r="H1342" s="2" t="s">
        <v>17</v>
      </c>
      <c r="K1342" s="4">
        <v>32577</v>
      </c>
      <c r="M1342" s="2" t="s">
        <v>85</v>
      </c>
      <c r="N1342" s="2" t="s">
        <v>86</v>
      </c>
    </row>
    <row r="1343" spans="1:14">
      <c r="A1343" s="2">
        <v>1342</v>
      </c>
      <c r="B1343" s="3" t="s">
        <v>5166</v>
      </c>
      <c r="C1343" s="2" t="s">
        <v>5167</v>
      </c>
      <c r="D1343" s="2">
        <v>51</v>
      </c>
      <c r="E1343" s="2">
        <v>54</v>
      </c>
      <c r="F1343" s="2" t="s">
        <v>5168</v>
      </c>
      <c r="H1343" s="2" t="s">
        <v>17</v>
      </c>
      <c r="K1343" s="4">
        <v>19676</v>
      </c>
      <c r="M1343" s="2" t="s">
        <v>40</v>
      </c>
      <c r="N1343" s="2" t="s">
        <v>1017</v>
      </c>
    </row>
    <row r="1344" spans="1:14">
      <c r="A1344" s="2">
        <v>1343</v>
      </c>
      <c r="B1344" s="3" t="s">
        <v>5169</v>
      </c>
      <c r="C1344" s="2" t="s">
        <v>5170</v>
      </c>
      <c r="D1344" s="2">
        <v>52</v>
      </c>
      <c r="E1344" s="2">
        <v>54</v>
      </c>
      <c r="F1344" s="2" t="s">
        <v>5171</v>
      </c>
      <c r="H1344" s="2" t="s">
        <v>17</v>
      </c>
      <c r="K1344" s="4">
        <v>16736</v>
      </c>
      <c r="M1344" s="2" t="s">
        <v>35</v>
      </c>
      <c r="N1344" s="2" t="s">
        <v>5172</v>
      </c>
    </row>
    <row r="1345" spans="1:14">
      <c r="A1345" s="2">
        <v>1344</v>
      </c>
      <c r="B1345" s="3" t="s">
        <v>5173</v>
      </c>
      <c r="C1345" s="2" t="s">
        <v>5174</v>
      </c>
      <c r="D1345" s="2">
        <v>54</v>
      </c>
      <c r="E1345" s="2">
        <v>54</v>
      </c>
      <c r="F1345" s="2" t="s">
        <v>5175</v>
      </c>
      <c r="H1345" s="2" t="s">
        <v>17</v>
      </c>
      <c r="K1345" s="4">
        <v>25217</v>
      </c>
      <c r="M1345" s="2" t="s">
        <v>47</v>
      </c>
      <c r="N1345" s="2" t="s">
        <v>48</v>
      </c>
    </row>
    <row r="1346" spans="1:14">
      <c r="A1346" s="2">
        <v>1345</v>
      </c>
      <c r="B1346" s="3" t="s">
        <v>5176</v>
      </c>
      <c r="C1346" s="2" t="s">
        <v>5177</v>
      </c>
      <c r="D1346" s="2">
        <v>51</v>
      </c>
      <c r="E1346" s="2">
        <v>54</v>
      </c>
      <c r="F1346" s="2" t="s">
        <v>5178</v>
      </c>
      <c r="H1346" s="2" t="s">
        <v>17</v>
      </c>
      <c r="K1346" s="4">
        <v>22591</v>
      </c>
      <c r="M1346" s="2" t="s">
        <v>35</v>
      </c>
      <c r="N1346" s="2" t="s">
        <v>5179</v>
      </c>
    </row>
    <row r="1347" spans="1:14">
      <c r="A1347" s="2">
        <v>1346</v>
      </c>
      <c r="B1347" s="3" t="s">
        <v>5180</v>
      </c>
      <c r="C1347" s="2" t="s">
        <v>5181</v>
      </c>
      <c r="D1347" s="2">
        <v>54</v>
      </c>
      <c r="E1347" s="2">
        <v>54</v>
      </c>
      <c r="F1347" s="2" t="s">
        <v>5182</v>
      </c>
      <c r="H1347" s="2" t="s">
        <v>17</v>
      </c>
      <c r="K1347" s="4">
        <v>21816</v>
      </c>
      <c r="M1347" s="2" t="s">
        <v>47</v>
      </c>
      <c r="N1347" s="2" t="s">
        <v>5183</v>
      </c>
    </row>
    <row r="1348" spans="1:14">
      <c r="A1348" s="2">
        <v>1347</v>
      </c>
      <c r="B1348" s="3" t="s">
        <v>5184</v>
      </c>
      <c r="C1348" s="2" t="s">
        <v>5185</v>
      </c>
      <c r="D1348" s="2">
        <v>53</v>
      </c>
      <c r="E1348" s="2">
        <v>54</v>
      </c>
      <c r="F1348" s="2" t="s">
        <v>5186</v>
      </c>
      <c r="H1348" s="2" t="s">
        <v>17</v>
      </c>
      <c r="K1348" s="4">
        <v>28575</v>
      </c>
      <c r="M1348" s="2" t="s">
        <v>247</v>
      </c>
      <c r="N1348" s="2" t="s">
        <v>562</v>
      </c>
    </row>
    <row r="1349" spans="1:14">
      <c r="A1349" s="2">
        <v>1348</v>
      </c>
      <c r="B1349" s="3" t="s">
        <v>5187</v>
      </c>
      <c r="C1349" s="2" t="s">
        <v>5188</v>
      </c>
      <c r="D1349" s="2">
        <v>54</v>
      </c>
      <c r="E1349" s="2">
        <v>54</v>
      </c>
      <c r="F1349" s="2" t="s">
        <v>5189</v>
      </c>
      <c r="H1349" s="2" t="s">
        <v>45</v>
      </c>
      <c r="K1349" s="4">
        <v>20004</v>
      </c>
      <c r="M1349" s="2" t="s">
        <v>122</v>
      </c>
      <c r="N1349" s="2" t="s">
        <v>5190</v>
      </c>
    </row>
    <row r="1350" spans="1:14">
      <c r="A1350" s="2">
        <v>1349</v>
      </c>
      <c r="B1350" s="3" t="s">
        <v>5191</v>
      </c>
      <c r="C1350" s="2" t="s">
        <v>5192</v>
      </c>
      <c r="D1350" s="2">
        <v>53</v>
      </c>
      <c r="E1350" s="2">
        <v>54</v>
      </c>
      <c r="F1350" s="2" t="s">
        <v>5193</v>
      </c>
      <c r="H1350" s="2" t="s">
        <v>17</v>
      </c>
      <c r="I1350" s="2" t="s">
        <v>5194</v>
      </c>
      <c r="K1350" s="4">
        <v>22970</v>
      </c>
      <c r="M1350" s="2" t="s">
        <v>47</v>
      </c>
      <c r="N1350" s="2" t="s">
        <v>442</v>
      </c>
    </row>
    <row r="1351" spans="1:14">
      <c r="A1351" s="2">
        <v>1350</v>
      </c>
      <c r="B1351" s="3" t="s">
        <v>5195</v>
      </c>
      <c r="C1351" s="2" t="s">
        <v>5196</v>
      </c>
      <c r="D1351" s="2">
        <v>54</v>
      </c>
      <c r="E1351" s="2">
        <v>54</v>
      </c>
      <c r="F1351" s="2" t="s">
        <v>5197</v>
      </c>
      <c r="H1351" s="2" t="s">
        <v>17</v>
      </c>
      <c r="K1351" s="4">
        <v>29581</v>
      </c>
      <c r="M1351" s="2" t="s">
        <v>47</v>
      </c>
      <c r="N1351" s="2" t="s">
        <v>442</v>
      </c>
    </row>
    <row r="1352" spans="1:14">
      <c r="A1352" s="2">
        <v>1351</v>
      </c>
      <c r="B1352" s="3" t="s">
        <v>5198</v>
      </c>
      <c r="C1352" s="2" t="s">
        <v>5199</v>
      </c>
      <c r="D1352" s="2">
        <v>54</v>
      </c>
      <c r="E1352" s="2">
        <v>54</v>
      </c>
      <c r="F1352" s="2" t="s">
        <v>5200</v>
      </c>
      <c r="H1352" s="2" t="s">
        <v>17</v>
      </c>
      <c r="K1352" s="4">
        <v>23064</v>
      </c>
      <c r="M1352" s="2" t="s">
        <v>35</v>
      </c>
      <c r="N1352" s="2" t="s">
        <v>5201</v>
      </c>
    </row>
    <row r="1353" spans="1:14">
      <c r="A1353" s="2">
        <v>1352</v>
      </c>
      <c r="B1353" s="3" t="s">
        <v>5202</v>
      </c>
      <c r="C1353" s="2" t="s">
        <v>5203</v>
      </c>
      <c r="D1353" s="2">
        <v>52</v>
      </c>
      <c r="E1353" s="2">
        <v>54</v>
      </c>
      <c r="F1353" s="2" t="s">
        <v>5204</v>
      </c>
      <c r="H1353" s="2" t="s">
        <v>17</v>
      </c>
      <c r="K1353" s="4">
        <v>24675</v>
      </c>
      <c r="M1353" s="2" t="s">
        <v>91</v>
      </c>
      <c r="N1353" s="2" t="s">
        <v>5205</v>
      </c>
    </row>
    <row r="1354" spans="1:14">
      <c r="A1354" s="2">
        <v>1353</v>
      </c>
      <c r="B1354" s="3" t="s">
        <v>5206</v>
      </c>
      <c r="C1354" s="2" t="s">
        <v>5207</v>
      </c>
      <c r="D1354" s="2">
        <v>54</v>
      </c>
      <c r="E1354" s="2">
        <v>54</v>
      </c>
      <c r="F1354" s="2" t="s">
        <v>5208</v>
      </c>
      <c r="H1354" s="2" t="s">
        <v>17</v>
      </c>
      <c r="K1354" s="4">
        <v>23346</v>
      </c>
      <c r="M1354" s="2" t="s">
        <v>35</v>
      </c>
      <c r="N1354" s="2" t="s">
        <v>5209</v>
      </c>
    </row>
    <row r="1355" spans="1:14">
      <c r="A1355" s="2">
        <v>1354</v>
      </c>
      <c r="B1355" s="3" t="s">
        <v>5210</v>
      </c>
      <c r="C1355" s="2" t="s">
        <v>5211</v>
      </c>
      <c r="D1355" s="2">
        <v>52</v>
      </c>
      <c r="E1355" s="2">
        <v>54</v>
      </c>
      <c r="F1355" s="2" t="s">
        <v>5212</v>
      </c>
      <c r="H1355" s="2" t="s">
        <v>17</v>
      </c>
      <c r="K1355" s="4">
        <v>23714</v>
      </c>
      <c r="M1355" s="2" t="s">
        <v>247</v>
      </c>
      <c r="N1355" s="2" t="s">
        <v>562</v>
      </c>
    </row>
    <row r="1356" spans="1:14">
      <c r="A1356" s="2">
        <v>1355</v>
      </c>
      <c r="B1356" s="3" t="s">
        <v>5213</v>
      </c>
      <c r="C1356" s="2" t="s">
        <v>5214</v>
      </c>
      <c r="D1356" s="2">
        <v>44</v>
      </c>
      <c r="E1356" s="2">
        <v>54</v>
      </c>
      <c r="F1356" s="2" t="s">
        <v>5215</v>
      </c>
      <c r="H1356" s="2" t="s">
        <v>17</v>
      </c>
      <c r="K1356" s="4">
        <v>17876</v>
      </c>
      <c r="M1356" s="2" t="s">
        <v>170</v>
      </c>
      <c r="N1356" s="2" t="s">
        <v>323</v>
      </c>
    </row>
    <row r="1357" spans="1:14">
      <c r="A1357" s="2">
        <v>1356</v>
      </c>
      <c r="B1357" s="3" t="s">
        <v>5216</v>
      </c>
      <c r="C1357" s="2" t="s">
        <v>5217</v>
      </c>
      <c r="D1357" s="2">
        <v>54</v>
      </c>
      <c r="E1357" s="2">
        <v>54</v>
      </c>
      <c r="F1357" s="2" t="s">
        <v>5218</v>
      </c>
      <c r="H1357" s="2" t="s">
        <v>17</v>
      </c>
      <c r="K1357" s="4">
        <v>22205</v>
      </c>
      <c r="M1357" s="2" t="s">
        <v>423</v>
      </c>
      <c r="N1357" s="2" t="s">
        <v>3005</v>
      </c>
    </row>
    <row r="1358" spans="1:14">
      <c r="A1358" s="2">
        <v>1357</v>
      </c>
      <c r="B1358" s="3" t="s">
        <v>5219</v>
      </c>
      <c r="C1358" s="2" t="s">
        <v>5220</v>
      </c>
      <c r="D1358" s="2">
        <v>53</v>
      </c>
      <c r="E1358" s="2">
        <v>54</v>
      </c>
      <c r="F1358" s="2" t="s">
        <v>5221</v>
      </c>
      <c r="H1358" s="2" t="s">
        <v>17</v>
      </c>
      <c r="K1358" s="4">
        <v>20234</v>
      </c>
      <c r="L1358" s="4">
        <v>41567</v>
      </c>
      <c r="M1358" s="2" t="s">
        <v>47</v>
      </c>
      <c r="N1358" s="2" t="s">
        <v>4559</v>
      </c>
    </row>
    <row r="1359" spans="1:14">
      <c r="A1359" s="2">
        <v>1358</v>
      </c>
      <c r="B1359" s="3" t="s">
        <v>5222</v>
      </c>
      <c r="C1359" s="2" t="s">
        <v>5223</v>
      </c>
      <c r="D1359" s="2">
        <v>45</v>
      </c>
      <c r="E1359" s="2">
        <v>54</v>
      </c>
      <c r="F1359" s="2" t="s">
        <v>5224</v>
      </c>
      <c r="H1359" s="2" t="s">
        <v>17</v>
      </c>
      <c r="K1359" s="4">
        <v>16010</v>
      </c>
      <c r="N1359" s="2" t="s">
        <v>5225</v>
      </c>
    </row>
    <row r="1360" spans="1:14">
      <c r="A1360" s="2">
        <v>1359</v>
      </c>
      <c r="B1360" s="3" t="s">
        <v>5226</v>
      </c>
      <c r="C1360" s="2" t="s">
        <v>5227</v>
      </c>
      <c r="D1360" s="2">
        <v>52</v>
      </c>
      <c r="E1360" s="2">
        <v>54</v>
      </c>
      <c r="F1360" s="2" t="s">
        <v>5228</v>
      </c>
      <c r="H1360" s="2" t="s">
        <v>17</v>
      </c>
      <c r="K1360" s="4">
        <v>19342</v>
      </c>
      <c r="M1360" s="2" t="s">
        <v>47</v>
      </c>
      <c r="N1360" s="2" t="s">
        <v>48</v>
      </c>
    </row>
    <row r="1361" spans="1:14">
      <c r="A1361" s="2">
        <v>1360</v>
      </c>
      <c r="B1361" s="3" t="s">
        <v>5229</v>
      </c>
      <c r="C1361" s="2" t="s">
        <v>5230</v>
      </c>
      <c r="D1361" s="2">
        <v>45</v>
      </c>
      <c r="E1361" s="2">
        <v>54</v>
      </c>
      <c r="F1361" s="2" t="s">
        <v>5231</v>
      </c>
      <c r="H1361" s="2" t="s">
        <v>17</v>
      </c>
      <c r="K1361" s="4">
        <v>12573</v>
      </c>
      <c r="L1361" s="4">
        <v>45692</v>
      </c>
      <c r="M1361" s="2" t="s">
        <v>35</v>
      </c>
      <c r="N1361" s="2" t="s">
        <v>703</v>
      </c>
    </row>
    <row r="1362" spans="1:14">
      <c r="A1362" s="2">
        <v>1361</v>
      </c>
      <c r="B1362" s="3" t="s">
        <v>5232</v>
      </c>
      <c r="C1362" s="2" t="s">
        <v>5233</v>
      </c>
      <c r="D1362" s="2">
        <v>51</v>
      </c>
      <c r="E1362" s="2">
        <v>54</v>
      </c>
      <c r="F1362" s="2" t="s">
        <v>5233</v>
      </c>
      <c r="H1362" s="2" t="s">
        <v>45</v>
      </c>
      <c r="K1362" s="4">
        <v>19147</v>
      </c>
      <c r="M1362" s="2" t="s">
        <v>47</v>
      </c>
      <c r="N1362" s="2" t="s">
        <v>1181</v>
      </c>
    </row>
    <row r="1363" spans="1:14">
      <c r="A1363" s="2">
        <v>1362</v>
      </c>
      <c r="B1363" s="3" t="s">
        <v>5234</v>
      </c>
      <c r="C1363" s="2" t="s">
        <v>5235</v>
      </c>
      <c r="D1363" s="2">
        <v>54</v>
      </c>
      <c r="E1363" s="2">
        <v>54</v>
      </c>
      <c r="F1363" s="2" t="s">
        <v>5236</v>
      </c>
      <c r="H1363" s="2" t="s">
        <v>17</v>
      </c>
      <c r="K1363" s="4">
        <v>22294</v>
      </c>
      <c r="M1363" s="2" t="s">
        <v>85</v>
      </c>
      <c r="N1363" s="2" t="s">
        <v>3850</v>
      </c>
    </row>
    <row r="1364" spans="1:14">
      <c r="A1364" s="2">
        <v>1363</v>
      </c>
      <c r="B1364" s="3" t="s">
        <v>5237</v>
      </c>
      <c r="C1364" s="2" t="s">
        <v>5238</v>
      </c>
      <c r="D1364" s="2">
        <v>45</v>
      </c>
      <c r="E1364" s="2">
        <v>54</v>
      </c>
      <c r="F1364" s="2" t="s">
        <v>5239</v>
      </c>
      <c r="H1364" s="2" t="s">
        <v>17</v>
      </c>
      <c r="K1364" s="4">
        <v>14174</v>
      </c>
      <c r="M1364" s="2" t="s">
        <v>198</v>
      </c>
      <c r="N1364" s="2" t="s">
        <v>5240</v>
      </c>
    </row>
    <row r="1365" spans="1:14">
      <c r="A1365" s="2">
        <v>1364</v>
      </c>
      <c r="B1365" s="3" t="s">
        <v>5241</v>
      </c>
      <c r="C1365" s="2" t="s">
        <v>5242</v>
      </c>
      <c r="D1365" s="2">
        <v>52</v>
      </c>
      <c r="E1365" s="2">
        <v>54</v>
      </c>
      <c r="F1365" s="2" t="s">
        <v>5243</v>
      </c>
      <c r="H1365" s="2" t="s">
        <v>45</v>
      </c>
      <c r="K1365" s="4">
        <v>20497</v>
      </c>
      <c r="M1365" s="2" t="s">
        <v>35</v>
      </c>
      <c r="N1365" s="2" t="s">
        <v>3929</v>
      </c>
    </row>
    <row r="1366" spans="1:14">
      <c r="A1366" s="2">
        <v>1365</v>
      </c>
      <c r="B1366" s="3" t="s">
        <v>5244</v>
      </c>
      <c r="C1366" s="2" t="s">
        <v>5245</v>
      </c>
      <c r="D1366" s="2">
        <v>53</v>
      </c>
      <c r="E1366" s="2">
        <v>54</v>
      </c>
      <c r="F1366" s="2" t="s">
        <v>5246</v>
      </c>
      <c r="H1366" s="2" t="s">
        <v>45</v>
      </c>
      <c r="K1366" s="4">
        <v>15833</v>
      </c>
      <c r="L1366" s="4">
        <v>44978</v>
      </c>
      <c r="M1366" s="2" t="s">
        <v>341</v>
      </c>
      <c r="N1366" s="2" t="s">
        <v>5247</v>
      </c>
    </row>
    <row r="1367" spans="1:14">
      <c r="A1367" s="2">
        <v>1366</v>
      </c>
      <c r="B1367" s="3" t="s">
        <v>5248</v>
      </c>
      <c r="C1367" s="2" t="s">
        <v>5249</v>
      </c>
      <c r="D1367" s="2">
        <v>52</v>
      </c>
      <c r="E1367" s="2">
        <v>54</v>
      </c>
      <c r="F1367" s="2" t="s">
        <v>5249</v>
      </c>
      <c r="H1367" s="2" t="s">
        <v>17</v>
      </c>
      <c r="K1367" s="4">
        <v>17610</v>
      </c>
      <c r="M1367" s="2" t="s">
        <v>35</v>
      </c>
      <c r="N1367" s="2" t="s">
        <v>58</v>
      </c>
    </row>
    <row r="1368" spans="1:14">
      <c r="A1368" s="2">
        <v>1367</v>
      </c>
      <c r="B1368" s="3" t="s">
        <v>5250</v>
      </c>
      <c r="C1368" s="2" t="s">
        <v>5251</v>
      </c>
      <c r="D1368" s="2">
        <v>53</v>
      </c>
      <c r="E1368" s="2">
        <v>54</v>
      </c>
      <c r="F1368" s="2" t="s">
        <v>5252</v>
      </c>
      <c r="H1368" s="2" t="s">
        <v>17</v>
      </c>
      <c r="K1368" s="4">
        <v>16333</v>
      </c>
      <c r="M1368" s="2" t="s">
        <v>35</v>
      </c>
      <c r="N1368" s="2" t="s">
        <v>703</v>
      </c>
    </row>
    <row r="1369" spans="1:14">
      <c r="A1369" s="2">
        <v>1368</v>
      </c>
      <c r="B1369" s="3" t="s">
        <v>5253</v>
      </c>
      <c r="C1369" s="2" t="s">
        <v>5254</v>
      </c>
      <c r="D1369" s="2">
        <v>53</v>
      </c>
      <c r="E1369" s="2">
        <v>54</v>
      </c>
      <c r="F1369" s="2" t="s">
        <v>5254</v>
      </c>
      <c r="H1369" s="2" t="s">
        <v>45</v>
      </c>
      <c r="K1369" s="4">
        <v>17109</v>
      </c>
      <c r="M1369" s="2" t="s">
        <v>170</v>
      </c>
      <c r="N1369" s="2" t="s">
        <v>323</v>
      </c>
    </row>
    <row r="1370" spans="1:14">
      <c r="A1370" s="2">
        <v>1369</v>
      </c>
      <c r="B1370" s="3" t="s">
        <v>5255</v>
      </c>
      <c r="C1370" s="2" t="s">
        <v>5256</v>
      </c>
      <c r="D1370" s="2">
        <v>54</v>
      </c>
      <c r="E1370" s="2">
        <v>54</v>
      </c>
      <c r="F1370" s="2" t="s">
        <v>5257</v>
      </c>
      <c r="H1370" s="2" t="s">
        <v>17</v>
      </c>
      <c r="K1370" s="4">
        <v>19718</v>
      </c>
      <c r="M1370" s="2" t="s">
        <v>40</v>
      </c>
      <c r="N1370" s="2" t="s">
        <v>41</v>
      </c>
    </row>
    <row r="1371" spans="1:14">
      <c r="A1371" s="2">
        <v>1370</v>
      </c>
      <c r="B1371" s="3" t="s">
        <v>5258</v>
      </c>
      <c r="C1371" s="2" t="s">
        <v>5259</v>
      </c>
      <c r="D1371" s="2">
        <v>54</v>
      </c>
      <c r="E1371" s="2">
        <v>54</v>
      </c>
      <c r="F1371" s="2" t="s">
        <v>5260</v>
      </c>
      <c r="H1371" s="2" t="s">
        <v>45</v>
      </c>
      <c r="K1371" s="4">
        <v>22876</v>
      </c>
      <c r="M1371" s="2" t="s">
        <v>53</v>
      </c>
      <c r="N1371" s="2" t="s">
        <v>475</v>
      </c>
    </row>
    <row r="1372" spans="1:14">
      <c r="A1372" s="2">
        <v>1371</v>
      </c>
      <c r="B1372" s="3" t="s">
        <v>5261</v>
      </c>
      <c r="C1372" s="2" t="s">
        <v>5262</v>
      </c>
      <c r="D1372" s="2">
        <v>54</v>
      </c>
      <c r="E1372" s="2">
        <v>54</v>
      </c>
      <c r="F1372" s="2" t="s">
        <v>5263</v>
      </c>
      <c r="H1372" s="2" t="s">
        <v>17</v>
      </c>
      <c r="K1372" s="4">
        <v>21649</v>
      </c>
      <c r="M1372" s="2" t="s">
        <v>170</v>
      </c>
      <c r="N1372" s="2" t="s">
        <v>323</v>
      </c>
    </row>
    <row r="1373" spans="1:14">
      <c r="A1373" s="2">
        <v>1372</v>
      </c>
      <c r="B1373" s="3" t="s">
        <v>5264</v>
      </c>
      <c r="C1373" s="2" t="s">
        <v>5265</v>
      </c>
      <c r="D1373" s="2">
        <v>54</v>
      </c>
      <c r="E1373" s="2">
        <v>54</v>
      </c>
      <c r="F1373" s="2" t="s">
        <v>5266</v>
      </c>
      <c r="H1373" s="2" t="s">
        <v>17</v>
      </c>
      <c r="K1373" s="4">
        <v>19837</v>
      </c>
      <c r="M1373" s="2" t="s">
        <v>85</v>
      </c>
      <c r="N1373" s="2" t="s">
        <v>5267</v>
      </c>
    </row>
    <row r="1374" spans="1:14">
      <c r="A1374" s="2">
        <v>1373</v>
      </c>
      <c r="B1374" s="3" t="s">
        <v>5268</v>
      </c>
      <c r="C1374" s="2" t="s">
        <v>5269</v>
      </c>
      <c r="D1374" s="2">
        <v>53</v>
      </c>
      <c r="E1374" s="2">
        <v>54</v>
      </c>
      <c r="F1374" s="2" t="s">
        <v>5270</v>
      </c>
      <c r="H1374" s="2" t="s">
        <v>17</v>
      </c>
      <c r="K1374" s="4">
        <v>23118</v>
      </c>
      <c r="L1374" s="4">
        <v>42968</v>
      </c>
      <c r="M1374" s="2" t="s">
        <v>35</v>
      </c>
      <c r="N1374" s="2" t="s">
        <v>238</v>
      </c>
    </row>
    <row r="1375" spans="1:14">
      <c r="A1375" s="2">
        <v>1374</v>
      </c>
      <c r="B1375" s="3" t="s">
        <v>5271</v>
      </c>
      <c r="C1375" s="2" t="s">
        <v>5272</v>
      </c>
      <c r="D1375" s="2">
        <v>51</v>
      </c>
      <c r="E1375" s="2">
        <v>54</v>
      </c>
      <c r="F1375" s="2" t="s">
        <v>5273</v>
      </c>
      <c r="H1375" s="2" t="s">
        <v>17</v>
      </c>
      <c r="K1375" s="4">
        <v>22091</v>
      </c>
      <c r="M1375" s="2" t="s">
        <v>146</v>
      </c>
      <c r="N1375" s="2" t="s">
        <v>5274</v>
      </c>
    </row>
    <row r="1376" spans="1:14">
      <c r="A1376" s="2">
        <v>1375</v>
      </c>
      <c r="B1376" s="3" t="s">
        <v>5275</v>
      </c>
      <c r="C1376" s="2" t="s">
        <v>5276</v>
      </c>
      <c r="D1376" s="2">
        <v>51</v>
      </c>
      <c r="E1376" s="2">
        <v>54</v>
      </c>
      <c r="F1376" s="2" t="s">
        <v>5277</v>
      </c>
      <c r="H1376" s="2" t="s">
        <v>17</v>
      </c>
      <c r="K1376" s="4">
        <v>20074</v>
      </c>
      <c r="M1376" s="2" t="s">
        <v>47</v>
      </c>
      <c r="N1376" s="2" t="s">
        <v>582</v>
      </c>
    </row>
    <row r="1377" spans="1:14">
      <c r="A1377" s="2">
        <v>1376</v>
      </c>
      <c r="B1377" s="3" t="s">
        <v>5278</v>
      </c>
      <c r="C1377" s="2" t="s">
        <v>5279</v>
      </c>
      <c r="D1377" s="2">
        <v>52</v>
      </c>
      <c r="E1377" s="2">
        <v>54</v>
      </c>
      <c r="F1377" s="2" t="s">
        <v>5280</v>
      </c>
      <c r="H1377" s="2" t="s">
        <v>17</v>
      </c>
      <c r="K1377" s="4">
        <v>11491</v>
      </c>
      <c r="L1377" s="4">
        <v>44420</v>
      </c>
      <c r="M1377" s="2" t="s">
        <v>198</v>
      </c>
      <c r="N1377" s="2" t="s">
        <v>199</v>
      </c>
    </row>
    <row r="1378" spans="1:14">
      <c r="A1378" s="2">
        <v>1377</v>
      </c>
      <c r="B1378" s="3" t="s">
        <v>5281</v>
      </c>
      <c r="C1378" s="2" t="s">
        <v>5282</v>
      </c>
      <c r="D1378" s="2">
        <v>50</v>
      </c>
      <c r="E1378" s="2">
        <v>54</v>
      </c>
      <c r="F1378" s="2" t="s">
        <v>5283</v>
      </c>
      <c r="H1378" s="2" t="s">
        <v>17</v>
      </c>
      <c r="K1378" s="4">
        <v>21952</v>
      </c>
      <c r="M1378" s="2" t="s">
        <v>35</v>
      </c>
      <c r="N1378" s="2" t="s">
        <v>5284</v>
      </c>
    </row>
    <row r="1379" spans="1:14">
      <c r="A1379" s="2">
        <v>1378</v>
      </c>
      <c r="B1379" s="3" t="s">
        <v>5285</v>
      </c>
      <c r="C1379" s="2" t="s">
        <v>5286</v>
      </c>
      <c r="D1379" s="2">
        <v>50</v>
      </c>
      <c r="E1379" s="2">
        <v>54</v>
      </c>
      <c r="F1379" s="2" t="s">
        <v>5286</v>
      </c>
      <c r="H1379" s="2" t="s">
        <v>17</v>
      </c>
      <c r="K1379" s="4">
        <v>21342</v>
      </c>
      <c r="M1379" s="2" t="s">
        <v>47</v>
      </c>
      <c r="N1379" s="2" t="s">
        <v>5287</v>
      </c>
    </row>
    <row r="1380" spans="1:14">
      <c r="A1380" s="2">
        <v>1379</v>
      </c>
      <c r="B1380" s="3" t="s">
        <v>5288</v>
      </c>
      <c r="C1380" s="2" t="s">
        <v>5289</v>
      </c>
      <c r="D1380" s="2">
        <v>54</v>
      </c>
      <c r="E1380" s="2">
        <v>54</v>
      </c>
      <c r="F1380" s="2" t="s">
        <v>5290</v>
      </c>
      <c r="H1380" s="2" t="s">
        <v>17</v>
      </c>
      <c r="K1380" s="4">
        <v>19359</v>
      </c>
      <c r="M1380" s="2" t="s">
        <v>198</v>
      </c>
      <c r="N1380" s="2" t="s">
        <v>5291</v>
      </c>
    </row>
    <row r="1381" spans="1:14">
      <c r="A1381" s="2">
        <v>1380</v>
      </c>
      <c r="B1381" s="3" t="s">
        <v>5292</v>
      </c>
      <c r="C1381" s="2" t="s">
        <v>5293</v>
      </c>
      <c r="D1381" s="2">
        <v>50</v>
      </c>
      <c r="E1381" s="2">
        <v>54</v>
      </c>
      <c r="F1381" s="2" t="s">
        <v>5294</v>
      </c>
      <c r="H1381" s="2" t="s">
        <v>17</v>
      </c>
      <c r="K1381" s="4">
        <v>22585</v>
      </c>
      <c r="M1381" s="2" t="s">
        <v>423</v>
      </c>
      <c r="N1381" s="2" t="s">
        <v>1264</v>
      </c>
    </row>
    <row r="1382" spans="1:14">
      <c r="A1382" s="2">
        <v>1381</v>
      </c>
      <c r="B1382" s="3" t="s">
        <v>5295</v>
      </c>
      <c r="C1382" s="2" t="s">
        <v>5296</v>
      </c>
      <c r="D1382" s="2">
        <v>53</v>
      </c>
      <c r="E1382" s="2">
        <v>54</v>
      </c>
      <c r="F1382" s="2" t="s">
        <v>5297</v>
      </c>
      <c r="H1382" s="2" t="s">
        <v>17</v>
      </c>
      <c r="K1382" s="4">
        <v>21118</v>
      </c>
      <c r="M1382" s="2" t="s">
        <v>146</v>
      </c>
      <c r="N1382" s="2" t="s">
        <v>147</v>
      </c>
    </row>
    <row r="1383" spans="1:14">
      <c r="A1383" s="2">
        <v>1382</v>
      </c>
      <c r="B1383" s="3" t="s">
        <v>5298</v>
      </c>
      <c r="C1383" s="2" t="s">
        <v>5299</v>
      </c>
      <c r="D1383" s="2">
        <v>51</v>
      </c>
      <c r="E1383" s="2">
        <v>54</v>
      </c>
      <c r="F1383" s="2" t="s">
        <v>5300</v>
      </c>
      <c r="H1383" s="2" t="s">
        <v>17</v>
      </c>
      <c r="K1383" s="4">
        <v>17831</v>
      </c>
      <c r="M1383" s="2" t="s">
        <v>47</v>
      </c>
      <c r="N1383" s="2" t="s">
        <v>691</v>
      </c>
    </row>
    <row r="1384" spans="1:14">
      <c r="A1384" s="2">
        <v>1383</v>
      </c>
      <c r="B1384" s="3" t="s">
        <v>5301</v>
      </c>
      <c r="C1384" s="2" t="s">
        <v>5302</v>
      </c>
      <c r="D1384" s="2">
        <v>51</v>
      </c>
      <c r="E1384" s="2">
        <v>54</v>
      </c>
      <c r="F1384" s="2" t="s">
        <v>5303</v>
      </c>
      <c r="H1384" s="2" t="s">
        <v>17</v>
      </c>
      <c r="K1384" s="4">
        <v>24392</v>
      </c>
      <c r="M1384" s="2" t="s">
        <v>35</v>
      </c>
      <c r="N1384" s="2" t="s">
        <v>1462</v>
      </c>
    </row>
    <row r="1385" spans="1:14">
      <c r="A1385" s="2">
        <v>1384</v>
      </c>
      <c r="B1385" s="3" t="s">
        <v>5304</v>
      </c>
      <c r="C1385" s="2" t="s">
        <v>5305</v>
      </c>
      <c r="D1385" s="2">
        <v>49</v>
      </c>
      <c r="E1385" s="2">
        <v>54</v>
      </c>
      <c r="F1385" s="2" t="s">
        <v>5306</v>
      </c>
      <c r="H1385" s="2" t="s">
        <v>17</v>
      </c>
      <c r="K1385" s="4">
        <v>17388</v>
      </c>
      <c r="M1385" s="2" t="s">
        <v>571</v>
      </c>
      <c r="N1385" s="2" t="s">
        <v>5307</v>
      </c>
    </row>
    <row r="1386" spans="1:14">
      <c r="A1386" s="2">
        <v>1385</v>
      </c>
      <c r="B1386" s="3" t="s">
        <v>5308</v>
      </c>
      <c r="C1386" s="2" t="s">
        <v>5309</v>
      </c>
      <c r="D1386" s="2">
        <v>54</v>
      </c>
      <c r="E1386" s="2">
        <v>54</v>
      </c>
      <c r="F1386" s="2" t="s">
        <v>5309</v>
      </c>
      <c r="H1386" s="2" t="s">
        <v>17</v>
      </c>
      <c r="K1386" s="4">
        <v>20474</v>
      </c>
      <c r="M1386" s="2" t="s">
        <v>198</v>
      </c>
      <c r="N1386" s="2" t="s">
        <v>5310</v>
      </c>
    </row>
    <row r="1387" spans="1:14">
      <c r="A1387" s="2">
        <v>1386</v>
      </c>
      <c r="B1387" s="3" t="s">
        <v>5311</v>
      </c>
      <c r="C1387" s="2" t="s">
        <v>5312</v>
      </c>
      <c r="D1387" s="2">
        <v>50</v>
      </c>
      <c r="E1387" s="2">
        <v>54</v>
      </c>
      <c r="F1387" s="2" t="s">
        <v>5312</v>
      </c>
      <c r="H1387" s="2" t="s">
        <v>17</v>
      </c>
      <c r="K1387" s="4">
        <v>19506</v>
      </c>
      <c r="M1387" s="2" t="s">
        <v>423</v>
      </c>
      <c r="N1387" s="2" t="s">
        <v>3488</v>
      </c>
    </row>
    <row r="1388" spans="1:14">
      <c r="A1388" s="2">
        <v>1387</v>
      </c>
      <c r="B1388" s="3" t="s">
        <v>5313</v>
      </c>
      <c r="C1388" s="2" t="s">
        <v>5314</v>
      </c>
      <c r="D1388" s="2">
        <v>50</v>
      </c>
      <c r="E1388" s="2">
        <v>54</v>
      </c>
      <c r="F1388" s="2" t="s">
        <v>5315</v>
      </c>
      <c r="H1388" s="2" t="s">
        <v>17</v>
      </c>
      <c r="K1388" s="4">
        <v>15500</v>
      </c>
      <c r="M1388" s="2" t="s">
        <v>198</v>
      </c>
      <c r="N1388" s="2" t="s">
        <v>199</v>
      </c>
    </row>
    <row r="1389" spans="1:14">
      <c r="A1389" s="2">
        <v>1388</v>
      </c>
      <c r="B1389" s="3" t="s">
        <v>5316</v>
      </c>
      <c r="C1389" s="2" t="s">
        <v>5317</v>
      </c>
      <c r="D1389" s="2">
        <v>54</v>
      </c>
      <c r="E1389" s="2">
        <v>54</v>
      </c>
      <c r="F1389" s="2" t="s">
        <v>5318</v>
      </c>
      <c r="H1389" s="2" t="s">
        <v>17</v>
      </c>
      <c r="K1389" s="4">
        <v>20973</v>
      </c>
      <c r="M1389" s="2" t="s">
        <v>47</v>
      </c>
      <c r="N1389" s="2" t="s">
        <v>5319</v>
      </c>
    </row>
    <row r="1390" spans="1:14">
      <c r="A1390" s="2">
        <v>1389</v>
      </c>
      <c r="B1390" s="3" t="s">
        <v>5320</v>
      </c>
      <c r="C1390" s="2" t="s">
        <v>5321</v>
      </c>
      <c r="D1390" s="2">
        <v>47</v>
      </c>
      <c r="E1390" s="2">
        <v>54</v>
      </c>
      <c r="F1390" s="2" t="s">
        <v>5322</v>
      </c>
      <c r="H1390" s="2" t="s">
        <v>17</v>
      </c>
      <c r="K1390" s="4">
        <v>16925</v>
      </c>
      <c r="M1390" s="2" t="s">
        <v>85</v>
      </c>
      <c r="N1390" s="2" t="s">
        <v>1360</v>
      </c>
    </row>
    <row r="1391" spans="1:14">
      <c r="A1391" s="2">
        <v>1390</v>
      </c>
      <c r="B1391" s="3" t="s">
        <v>5323</v>
      </c>
      <c r="C1391" s="2" t="s">
        <v>5324</v>
      </c>
      <c r="D1391" s="2">
        <v>53</v>
      </c>
      <c r="E1391" s="2">
        <v>54</v>
      </c>
      <c r="F1391" s="2" t="s">
        <v>5325</v>
      </c>
      <c r="H1391" s="2" t="s">
        <v>17</v>
      </c>
      <c r="I1391" s="3" t="s">
        <v>5326</v>
      </c>
      <c r="K1391" s="4">
        <v>22218</v>
      </c>
      <c r="M1391" s="2" t="s">
        <v>35</v>
      </c>
      <c r="N1391" s="2" t="s">
        <v>3806</v>
      </c>
    </row>
    <row r="1392" spans="1:14">
      <c r="A1392" s="2">
        <v>1391</v>
      </c>
      <c r="B1392" s="3" t="s">
        <v>5327</v>
      </c>
      <c r="C1392" s="2" t="s">
        <v>5328</v>
      </c>
      <c r="D1392" s="2">
        <v>49</v>
      </c>
      <c r="E1392" s="2">
        <v>54</v>
      </c>
      <c r="F1392" s="2" t="s">
        <v>5329</v>
      </c>
      <c r="H1392" s="2" t="s">
        <v>17</v>
      </c>
      <c r="K1392" s="4">
        <v>11252</v>
      </c>
      <c r="L1392" s="4">
        <v>45665</v>
      </c>
      <c r="M1392" s="2" t="s">
        <v>85</v>
      </c>
      <c r="N1392" s="2" t="s">
        <v>1868</v>
      </c>
    </row>
    <row r="1393" spans="1:14">
      <c r="A1393" s="2">
        <v>1392</v>
      </c>
      <c r="B1393" s="3" t="s">
        <v>5330</v>
      </c>
      <c r="C1393" s="2" t="s">
        <v>5331</v>
      </c>
      <c r="D1393" s="2">
        <v>53</v>
      </c>
      <c r="E1393" s="2">
        <v>54</v>
      </c>
      <c r="F1393" s="2" t="s">
        <v>5332</v>
      </c>
      <c r="H1393" s="2" t="s">
        <v>17</v>
      </c>
      <c r="K1393" s="4">
        <v>18208</v>
      </c>
      <c r="M1393" s="2" t="s">
        <v>40</v>
      </c>
      <c r="N1393" s="2" t="s">
        <v>3693</v>
      </c>
    </row>
    <row r="1394" spans="1:14">
      <c r="A1394" s="2">
        <v>1393</v>
      </c>
      <c r="B1394" s="3" t="s">
        <v>5333</v>
      </c>
      <c r="C1394" s="2" t="s">
        <v>5334</v>
      </c>
      <c r="D1394" s="2">
        <v>46</v>
      </c>
      <c r="E1394" s="2">
        <v>54</v>
      </c>
      <c r="F1394" s="2" t="s">
        <v>5335</v>
      </c>
      <c r="H1394" s="2" t="s">
        <v>17</v>
      </c>
      <c r="K1394" s="4">
        <v>17147</v>
      </c>
      <c r="M1394" s="2" t="s">
        <v>18</v>
      </c>
      <c r="N1394" s="2" t="s">
        <v>5336</v>
      </c>
    </row>
    <row r="1395" spans="1:14">
      <c r="A1395" s="2">
        <v>1394</v>
      </c>
      <c r="B1395" s="3" t="s">
        <v>5337</v>
      </c>
      <c r="C1395" s="2" t="s">
        <v>5338</v>
      </c>
      <c r="D1395" s="2">
        <v>51</v>
      </c>
      <c r="E1395" s="2">
        <v>54</v>
      </c>
      <c r="F1395" s="2" t="s">
        <v>5339</v>
      </c>
      <c r="H1395" s="2" t="s">
        <v>17</v>
      </c>
      <c r="K1395" s="4">
        <v>20661</v>
      </c>
      <c r="M1395" s="2" t="s">
        <v>47</v>
      </c>
      <c r="N1395" s="2" t="s">
        <v>996</v>
      </c>
    </row>
    <row r="1396" spans="1:14">
      <c r="A1396" s="2">
        <v>1395</v>
      </c>
      <c r="B1396" s="3" t="s">
        <v>5340</v>
      </c>
      <c r="C1396" s="2" t="s">
        <v>5341</v>
      </c>
      <c r="D1396" s="2">
        <v>54</v>
      </c>
      <c r="E1396" s="2">
        <v>54</v>
      </c>
      <c r="F1396" s="2" t="s">
        <v>5342</v>
      </c>
      <c r="H1396" s="2" t="s">
        <v>17</v>
      </c>
      <c r="K1396" s="4">
        <v>23829</v>
      </c>
      <c r="L1396" s="4">
        <v>43216</v>
      </c>
      <c r="M1396" s="2" t="s">
        <v>122</v>
      </c>
      <c r="N1396" s="2" t="s">
        <v>5343</v>
      </c>
    </row>
    <row r="1397" spans="1:14">
      <c r="A1397" s="2">
        <v>1396</v>
      </c>
      <c r="B1397" s="3" t="s">
        <v>5344</v>
      </c>
      <c r="C1397" s="2" t="s">
        <v>5345</v>
      </c>
      <c r="D1397" s="2">
        <v>48</v>
      </c>
      <c r="E1397" s="2">
        <v>54</v>
      </c>
      <c r="F1397" s="2" t="s">
        <v>5346</v>
      </c>
      <c r="H1397" s="2" t="s">
        <v>17</v>
      </c>
      <c r="K1397" s="4">
        <v>14295</v>
      </c>
      <c r="M1397" s="2" t="s">
        <v>35</v>
      </c>
      <c r="N1397" s="2" t="s">
        <v>328</v>
      </c>
    </row>
    <row r="1398" spans="1:14">
      <c r="A1398" s="2">
        <v>1397</v>
      </c>
      <c r="B1398" s="3" t="s">
        <v>5347</v>
      </c>
      <c r="C1398" s="2" t="s">
        <v>5348</v>
      </c>
      <c r="D1398" s="2">
        <v>53</v>
      </c>
      <c r="E1398" s="2">
        <v>54</v>
      </c>
      <c r="F1398" s="2" t="s">
        <v>5349</v>
      </c>
      <c r="H1398" s="2" t="s">
        <v>17</v>
      </c>
      <c r="I1398" s="3" t="s">
        <v>5350</v>
      </c>
      <c r="K1398" s="4">
        <v>21004</v>
      </c>
      <c r="M1398" s="2" t="s">
        <v>122</v>
      </c>
      <c r="N1398" s="2" t="s">
        <v>5351</v>
      </c>
    </row>
    <row r="1399" spans="1:14">
      <c r="A1399" s="2">
        <v>1398</v>
      </c>
      <c r="B1399" s="3" t="s">
        <v>5352</v>
      </c>
      <c r="C1399" s="2" t="s">
        <v>5353</v>
      </c>
      <c r="D1399" s="2">
        <v>52</v>
      </c>
      <c r="E1399" s="2">
        <v>54</v>
      </c>
      <c r="F1399" s="2" t="s">
        <v>5354</v>
      </c>
      <c r="H1399" s="2" t="s">
        <v>17</v>
      </c>
      <c r="K1399" s="4">
        <v>27705</v>
      </c>
      <c r="M1399" s="2" t="s">
        <v>53</v>
      </c>
      <c r="N1399" s="2" t="s">
        <v>3933</v>
      </c>
    </row>
    <row r="1400" spans="1:14">
      <c r="A1400" s="2">
        <v>1399</v>
      </c>
      <c r="B1400" s="3" t="s">
        <v>5355</v>
      </c>
      <c r="C1400" s="2" t="s">
        <v>5356</v>
      </c>
      <c r="D1400" s="2">
        <v>54</v>
      </c>
      <c r="E1400" s="2">
        <v>54</v>
      </c>
      <c r="F1400" s="2" t="s">
        <v>5357</v>
      </c>
      <c r="H1400" s="2" t="s">
        <v>17</v>
      </c>
      <c r="K1400" s="4">
        <v>23740</v>
      </c>
      <c r="M1400" s="2" t="s">
        <v>47</v>
      </c>
      <c r="N1400" s="2" t="s">
        <v>5358</v>
      </c>
    </row>
    <row r="1401" spans="1:14">
      <c r="A1401" s="2">
        <v>1400</v>
      </c>
      <c r="B1401" s="3" t="s">
        <v>5359</v>
      </c>
      <c r="C1401" s="2" t="s">
        <v>5360</v>
      </c>
      <c r="D1401" s="2">
        <v>48</v>
      </c>
      <c r="E1401" s="2">
        <v>54</v>
      </c>
      <c r="F1401" s="2" t="s">
        <v>5361</v>
      </c>
      <c r="H1401" s="2" t="s">
        <v>17</v>
      </c>
      <c r="K1401" s="4">
        <v>16733</v>
      </c>
      <c r="M1401" s="2" t="s">
        <v>53</v>
      </c>
      <c r="N1401" s="2" t="s">
        <v>847</v>
      </c>
    </row>
    <row r="1402" spans="1:14">
      <c r="A1402" s="2">
        <v>1401</v>
      </c>
      <c r="B1402" s="3" t="s">
        <v>5362</v>
      </c>
      <c r="C1402" s="2" t="s">
        <v>5363</v>
      </c>
      <c r="D1402" s="2">
        <v>52</v>
      </c>
      <c r="E1402" s="2">
        <v>54</v>
      </c>
      <c r="F1402" s="2" t="s">
        <v>5364</v>
      </c>
      <c r="H1402" s="2" t="s">
        <v>17</v>
      </c>
      <c r="K1402" s="4">
        <v>23367</v>
      </c>
      <c r="M1402" s="2" t="s">
        <v>35</v>
      </c>
      <c r="N1402" s="2" t="s">
        <v>58</v>
      </c>
    </row>
    <row r="1403" spans="1:14">
      <c r="A1403" s="2">
        <v>1402</v>
      </c>
      <c r="B1403" s="3" t="s">
        <v>5365</v>
      </c>
      <c r="C1403" s="2" t="s">
        <v>5366</v>
      </c>
      <c r="D1403" s="2">
        <v>54</v>
      </c>
      <c r="E1403" s="2">
        <v>54</v>
      </c>
      <c r="F1403" s="2" t="s">
        <v>5367</v>
      </c>
      <c r="H1403" s="2" t="s">
        <v>45</v>
      </c>
      <c r="K1403" s="4">
        <v>22028</v>
      </c>
      <c r="M1403" s="2" t="s">
        <v>170</v>
      </c>
      <c r="N1403" s="2" t="s">
        <v>323</v>
      </c>
    </row>
    <row r="1404" spans="1:14">
      <c r="A1404" s="2">
        <v>1403</v>
      </c>
      <c r="B1404" s="3" t="s">
        <v>5368</v>
      </c>
      <c r="C1404" s="2" t="s">
        <v>5369</v>
      </c>
      <c r="D1404" s="2">
        <v>53</v>
      </c>
      <c r="E1404" s="2">
        <v>54</v>
      </c>
      <c r="F1404" s="2" t="s">
        <v>5370</v>
      </c>
      <c r="H1404" s="2" t="s">
        <v>17</v>
      </c>
      <c r="K1404" s="4">
        <v>19238</v>
      </c>
      <c r="M1404" s="2" t="s">
        <v>164</v>
      </c>
      <c r="N1404" s="2" t="s">
        <v>1223</v>
      </c>
    </row>
    <row r="1405" spans="1:14">
      <c r="A1405" s="2">
        <v>1404</v>
      </c>
      <c r="B1405" s="3" t="s">
        <v>5371</v>
      </c>
      <c r="C1405" s="2" t="s">
        <v>5372</v>
      </c>
      <c r="D1405" s="2">
        <v>54</v>
      </c>
      <c r="E1405" s="2">
        <v>54</v>
      </c>
      <c r="F1405" s="2" t="s">
        <v>5373</v>
      </c>
      <c r="H1405" s="2" t="s">
        <v>17</v>
      </c>
      <c r="K1405" s="4">
        <v>20175</v>
      </c>
      <c r="M1405" s="2" t="s">
        <v>185</v>
      </c>
      <c r="N1405" s="2" t="s">
        <v>838</v>
      </c>
    </row>
    <row r="1406" spans="1:14">
      <c r="A1406" s="2">
        <v>1405</v>
      </c>
      <c r="B1406" s="3" t="s">
        <v>5374</v>
      </c>
      <c r="C1406" s="2" t="s">
        <v>5375</v>
      </c>
      <c r="D1406" s="2">
        <v>49</v>
      </c>
      <c r="E1406" s="2">
        <v>54</v>
      </c>
      <c r="F1406" s="2" t="s">
        <v>5376</v>
      </c>
      <c r="H1406" s="2" t="s">
        <v>45</v>
      </c>
      <c r="K1406" s="4">
        <v>19800</v>
      </c>
      <c r="M1406" s="2" t="s">
        <v>423</v>
      </c>
      <c r="N1406" s="2" t="s">
        <v>2086</v>
      </c>
    </row>
    <row r="1407" spans="1:14">
      <c r="A1407" s="2">
        <v>1406</v>
      </c>
      <c r="B1407" s="3" t="s">
        <v>5377</v>
      </c>
      <c r="C1407" s="2" t="s">
        <v>5378</v>
      </c>
      <c r="D1407" s="2">
        <v>49</v>
      </c>
      <c r="E1407" s="2">
        <v>54</v>
      </c>
      <c r="F1407" s="2" t="s">
        <v>5379</v>
      </c>
      <c r="H1407" s="2" t="s">
        <v>17</v>
      </c>
      <c r="K1407" s="4">
        <v>18132</v>
      </c>
      <c r="M1407" s="2" t="s">
        <v>85</v>
      </c>
      <c r="N1407" s="2" t="s">
        <v>86</v>
      </c>
    </row>
    <row r="1408" spans="1:14">
      <c r="A1408" s="2">
        <v>1407</v>
      </c>
      <c r="B1408" s="3" t="s">
        <v>5380</v>
      </c>
      <c r="C1408" s="2" t="s">
        <v>5381</v>
      </c>
      <c r="D1408" s="2">
        <v>54</v>
      </c>
      <c r="E1408" s="2">
        <v>54</v>
      </c>
      <c r="F1408" s="2" t="s">
        <v>5382</v>
      </c>
      <c r="H1408" s="2" t="s">
        <v>17</v>
      </c>
      <c r="K1408" s="4">
        <v>19204</v>
      </c>
      <c r="L1408" s="4">
        <v>40710</v>
      </c>
      <c r="M1408" s="2" t="s">
        <v>85</v>
      </c>
      <c r="N1408" s="2" t="s">
        <v>5383</v>
      </c>
    </row>
    <row r="1409" spans="1:14">
      <c r="A1409" s="2">
        <v>1408</v>
      </c>
      <c r="B1409" s="3" t="s">
        <v>5384</v>
      </c>
      <c r="C1409" s="2" t="s">
        <v>5385</v>
      </c>
      <c r="D1409" s="2">
        <v>49</v>
      </c>
      <c r="E1409" s="2">
        <v>54</v>
      </c>
      <c r="F1409" s="2" t="s">
        <v>5385</v>
      </c>
      <c r="H1409" s="2" t="s">
        <v>17</v>
      </c>
      <c r="K1409" s="4">
        <v>20902</v>
      </c>
      <c r="L1409" s="4">
        <v>43180</v>
      </c>
      <c r="M1409" s="2" t="s">
        <v>154</v>
      </c>
      <c r="N1409" s="2" t="s">
        <v>208</v>
      </c>
    </row>
    <row r="1410" spans="1:14">
      <c r="A1410" s="2">
        <v>1409</v>
      </c>
      <c r="B1410" s="3" t="s">
        <v>5386</v>
      </c>
      <c r="C1410" s="2" t="s">
        <v>5387</v>
      </c>
      <c r="D1410" s="2">
        <v>50</v>
      </c>
      <c r="E1410" s="2">
        <v>54</v>
      </c>
      <c r="F1410" s="2" t="s">
        <v>5388</v>
      </c>
      <c r="H1410" s="2" t="s">
        <v>17</v>
      </c>
      <c r="K1410" s="4">
        <v>19362</v>
      </c>
      <c r="L1410" s="4">
        <v>45273</v>
      </c>
      <c r="M1410" s="2" t="s">
        <v>40</v>
      </c>
      <c r="N1410" s="2" t="s">
        <v>5389</v>
      </c>
    </row>
    <row r="1411" spans="1:14">
      <c r="A1411" s="2">
        <v>1410</v>
      </c>
      <c r="B1411" s="3" t="s">
        <v>5390</v>
      </c>
      <c r="C1411" s="2" t="s">
        <v>5391</v>
      </c>
      <c r="D1411" s="2">
        <v>54</v>
      </c>
      <c r="E1411" s="2">
        <v>54</v>
      </c>
      <c r="F1411" s="2" t="s">
        <v>5392</v>
      </c>
      <c r="H1411" s="2" t="s">
        <v>17</v>
      </c>
      <c r="I1411" s="3" t="s">
        <v>5393</v>
      </c>
      <c r="K1411" s="4">
        <v>29395</v>
      </c>
      <c r="M1411" s="2" t="s">
        <v>40</v>
      </c>
      <c r="N1411" s="2" t="s">
        <v>5394</v>
      </c>
    </row>
    <row r="1412" spans="1:14">
      <c r="A1412" s="2">
        <v>1411</v>
      </c>
      <c r="B1412" s="3" t="s">
        <v>5395</v>
      </c>
      <c r="C1412" s="2" t="s">
        <v>5396</v>
      </c>
      <c r="D1412" s="2">
        <v>53</v>
      </c>
      <c r="E1412" s="2">
        <v>54</v>
      </c>
      <c r="F1412" s="2" t="s">
        <v>5396</v>
      </c>
      <c r="H1412" s="2" t="s">
        <v>17</v>
      </c>
      <c r="K1412" s="4">
        <v>16194</v>
      </c>
      <c r="M1412" s="2" t="s">
        <v>154</v>
      </c>
      <c r="N1412" s="2" t="s">
        <v>5397</v>
      </c>
    </row>
    <row r="1413" spans="1:14">
      <c r="A1413" s="2">
        <v>1412</v>
      </c>
      <c r="B1413" s="3" t="s">
        <v>5398</v>
      </c>
      <c r="C1413" s="2" t="s">
        <v>5399</v>
      </c>
      <c r="D1413" s="2">
        <v>54</v>
      </c>
      <c r="E1413" s="2">
        <v>54</v>
      </c>
      <c r="F1413" s="2" t="s">
        <v>5400</v>
      </c>
      <c r="H1413" s="2" t="s">
        <v>17</v>
      </c>
      <c r="K1413" s="4">
        <v>14036</v>
      </c>
      <c r="L1413" s="4">
        <v>45800</v>
      </c>
      <c r="M1413" s="2" t="s">
        <v>91</v>
      </c>
      <c r="N1413" s="2" t="s">
        <v>5401</v>
      </c>
    </row>
    <row r="1414" spans="1:14">
      <c r="A1414" s="2">
        <v>1413</v>
      </c>
      <c r="B1414" s="3" t="s">
        <v>5402</v>
      </c>
      <c r="C1414" s="2" t="s">
        <v>5403</v>
      </c>
      <c r="D1414" s="2">
        <v>54</v>
      </c>
      <c r="E1414" s="2">
        <v>54</v>
      </c>
      <c r="F1414" s="2" t="s">
        <v>5404</v>
      </c>
      <c r="H1414" s="2" t="s">
        <v>17</v>
      </c>
      <c r="K1414" s="4">
        <v>28406</v>
      </c>
      <c r="M1414" s="2" t="s">
        <v>35</v>
      </c>
      <c r="N1414" s="2" t="s">
        <v>3806</v>
      </c>
    </row>
    <row r="1415" spans="1:14">
      <c r="A1415" s="2">
        <v>1414</v>
      </c>
      <c r="B1415" s="3" t="s">
        <v>5405</v>
      </c>
      <c r="C1415" s="2" t="s">
        <v>5406</v>
      </c>
      <c r="D1415" s="2">
        <v>54</v>
      </c>
      <c r="E1415" s="2">
        <v>54</v>
      </c>
      <c r="F1415" s="2" t="s">
        <v>5407</v>
      </c>
      <c r="H1415" s="2" t="s">
        <v>17</v>
      </c>
      <c r="K1415" s="4">
        <v>27651</v>
      </c>
      <c r="M1415" s="2" t="s">
        <v>66</v>
      </c>
      <c r="N1415" s="2" t="s">
        <v>359</v>
      </c>
    </row>
    <row r="1416" spans="1:14">
      <c r="A1416" s="2">
        <v>1415</v>
      </c>
      <c r="B1416" s="3" t="s">
        <v>5408</v>
      </c>
      <c r="C1416" s="2" t="s">
        <v>5409</v>
      </c>
      <c r="D1416" s="2">
        <v>54</v>
      </c>
      <c r="E1416" s="2">
        <v>54</v>
      </c>
      <c r="F1416" s="2" t="s">
        <v>5410</v>
      </c>
      <c r="H1416" s="2" t="s">
        <v>17</v>
      </c>
      <c r="K1416" s="4">
        <v>19871</v>
      </c>
      <c r="M1416" s="2" t="s">
        <v>164</v>
      </c>
      <c r="N1416" s="2" t="s">
        <v>165</v>
      </c>
    </row>
    <row r="1417" spans="1:14">
      <c r="A1417" s="2">
        <v>1416</v>
      </c>
      <c r="B1417" s="3" t="s">
        <v>5411</v>
      </c>
      <c r="C1417" s="2" t="s">
        <v>5412</v>
      </c>
      <c r="D1417" s="2">
        <v>54</v>
      </c>
      <c r="E1417" s="2">
        <v>54</v>
      </c>
      <c r="F1417" s="2" t="s">
        <v>5413</v>
      </c>
      <c r="H1417" s="2" t="s">
        <v>17</v>
      </c>
      <c r="K1417" s="4">
        <v>22735</v>
      </c>
      <c r="M1417" s="2" t="s">
        <v>154</v>
      </c>
      <c r="N1417" s="2" t="s">
        <v>2547</v>
      </c>
    </row>
    <row r="1418" spans="1:14">
      <c r="A1418" s="2">
        <v>1417</v>
      </c>
      <c r="B1418" s="3" t="s">
        <v>5414</v>
      </c>
      <c r="C1418" s="2" t="s">
        <v>5415</v>
      </c>
      <c r="D1418" s="2">
        <v>51</v>
      </c>
      <c r="E1418" s="2">
        <v>54</v>
      </c>
      <c r="F1418" s="2" t="s">
        <v>5416</v>
      </c>
      <c r="H1418" s="2" t="s">
        <v>17</v>
      </c>
      <c r="K1418" s="4">
        <v>20815</v>
      </c>
      <c r="M1418" s="2" t="s">
        <v>35</v>
      </c>
      <c r="N1418" s="2" t="s">
        <v>3806</v>
      </c>
    </row>
    <row r="1419" spans="1:14">
      <c r="A1419" s="2">
        <v>1418</v>
      </c>
      <c r="B1419" s="3" t="s">
        <v>5417</v>
      </c>
      <c r="C1419" s="2" t="s">
        <v>5418</v>
      </c>
      <c r="D1419" s="2">
        <v>53</v>
      </c>
      <c r="E1419" s="2">
        <v>54</v>
      </c>
      <c r="F1419" s="2" t="s">
        <v>5419</v>
      </c>
      <c r="H1419" s="2" t="s">
        <v>17</v>
      </c>
      <c r="K1419" s="4">
        <v>25511</v>
      </c>
      <c r="M1419" s="2" t="s">
        <v>198</v>
      </c>
      <c r="N1419" s="2" t="s">
        <v>199</v>
      </c>
    </row>
    <row r="1420" spans="1:14">
      <c r="A1420" s="2">
        <v>1419</v>
      </c>
      <c r="B1420" s="3" t="s">
        <v>5420</v>
      </c>
      <c r="C1420" s="2" t="s">
        <v>5421</v>
      </c>
      <c r="D1420" s="2">
        <v>54</v>
      </c>
      <c r="E1420" s="2">
        <v>54</v>
      </c>
      <c r="F1420" s="2" t="s">
        <v>5421</v>
      </c>
      <c r="H1420" s="2" t="s">
        <v>17</v>
      </c>
      <c r="K1420" s="4">
        <v>12479</v>
      </c>
      <c r="L1420" s="4">
        <v>42798</v>
      </c>
      <c r="M1420" s="2" t="s">
        <v>47</v>
      </c>
      <c r="N1420" s="2" t="s">
        <v>582</v>
      </c>
    </row>
    <row r="1421" spans="1:14">
      <c r="A1421" s="2">
        <v>1420</v>
      </c>
      <c r="B1421" s="3" t="s">
        <v>5422</v>
      </c>
      <c r="C1421" s="2" t="s">
        <v>5423</v>
      </c>
      <c r="D1421" s="2">
        <v>51</v>
      </c>
      <c r="E1421" s="2">
        <v>54</v>
      </c>
      <c r="F1421" s="2" t="s">
        <v>5424</v>
      </c>
      <c r="H1421" s="2" t="s">
        <v>17</v>
      </c>
      <c r="K1421" s="4">
        <v>14512</v>
      </c>
      <c r="M1421" s="2" t="s">
        <v>85</v>
      </c>
      <c r="N1421" s="2" t="s">
        <v>1392</v>
      </c>
    </row>
    <row r="1422" spans="1:14">
      <c r="A1422" s="2">
        <v>1421</v>
      </c>
      <c r="B1422" s="3" t="s">
        <v>5425</v>
      </c>
      <c r="C1422" s="2" t="s">
        <v>5426</v>
      </c>
      <c r="D1422" s="2">
        <v>54</v>
      </c>
      <c r="E1422" s="2">
        <v>54</v>
      </c>
      <c r="F1422" s="2" t="s">
        <v>5427</v>
      </c>
      <c r="H1422" s="2" t="s">
        <v>17</v>
      </c>
      <c r="K1422" s="4">
        <v>16865</v>
      </c>
    </row>
    <row r="1423" spans="1:14">
      <c r="A1423" s="2">
        <v>1422</v>
      </c>
      <c r="B1423" s="3" t="s">
        <v>5428</v>
      </c>
      <c r="C1423" s="2" t="s">
        <v>5429</v>
      </c>
      <c r="D1423" s="2">
        <v>53</v>
      </c>
      <c r="E1423" s="2">
        <v>54</v>
      </c>
      <c r="F1423" s="2" t="s">
        <v>5430</v>
      </c>
      <c r="H1423" s="2" t="s">
        <v>45</v>
      </c>
      <c r="K1423" s="4">
        <v>29816</v>
      </c>
      <c r="M1423" s="2" t="s">
        <v>66</v>
      </c>
      <c r="N1423" s="2" t="s">
        <v>71</v>
      </c>
    </row>
    <row r="1424" spans="1:14">
      <c r="A1424" s="2">
        <v>1423</v>
      </c>
      <c r="B1424" s="3" t="s">
        <v>5431</v>
      </c>
      <c r="C1424" s="2" t="s">
        <v>5432</v>
      </c>
      <c r="D1424" s="2">
        <v>50</v>
      </c>
      <c r="E1424" s="2">
        <v>54</v>
      </c>
      <c r="F1424" s="2" t="s">
        <v>5433</v>
      </c>
      <c r="H1424" s="2" t="s">
        <v>17</v>
      </c>
      <c r="K1424" s="4">
        <v>23664</v>
      </c>
      <c r="M1424" s="2" t="s">
        <v>341</v>
      </c>
      <c r="N1424" s="2" t="s">
        <v>2252</v>
      </c>
    </row>
    <row r="1425" spans="1:14">
      <c r="A1425" s="2">
        <v>1424</v>
      </c>
      <c r="B1425" s="3" t="s">
        <v>5434</v>
      </c>
      <c r="C1425" s="2" t="s">
        <v>5435</v>
      </c>
      <c r="D1425" s="2">
        <v>54</v>
      </c>
      <c r="E1425" s="2">
        <v>54</v>
      </c>
      <c r="F1425" s="2" t="s">
        <v>5436</v>
      </c>
      <c r="H1425" s="2" t="s">
        <v>17</v>
      </c>
      <c r="K1425" s="4">
        <v>25965</v>
      </c>
      <c r="M1425" s="2" t="s">
        <v>170</v>
      </c>
      <c r="N1425" s="2" t="s">
        <v>323</v>
      </c>
    </row>
    <row r="1426" spans="1:14">
      <c r="A1426" s="2">
        <v>1425</v>
      </c>
      <c r="B1426" s="3" t="s">
        <v>5437</v>
      </c>
      <c r="C1426" s="2" t="s">
        <v>5438</v>
      </c>
      <c r="D1426" s="2">
        <v>53</v>
      </c>
      <c r="E1426" s="2">
        <v>54</v>
      </c>
      <c r="F1426" s="2" t="s">
        <v>5439</v>
      </c>
      <c r="H1426" s="2" t="s">
        <v>17</v>
      </c>
      <c r="K1426" s="4">
        <v>24386</v>
      </c>
      <c r="M1426" s="2" t="s">
        <v>154</v>
      </c>
      <c r="N1426" s="2" t="s">
        <v>208</v>
      </c>
    </row>
    <row r="1427" spans="1:14">
      <c r="A1427" s="2">
        <v>1426</v>
      </c>
      <c r="B1427" s="3" t="s">
        <v>5440</v>
      </c>
      <c r="C1427" s="2" t="s">
        <v>5441</v>
      </c>
      <c r="D1427" s="2">
        <v>52</v>
      </c>
      <c r="E1427" s="2">
        <v>54</v>
      </c>
      <c r="F1427" s="2" t="s">
        <v>5442</v>
      </c>
      <c r="H1427" s="2" t="s">
        <v>17</v>
      </c>
      <c r="I1427" s="3" t="s">
        <v>5443</v>
      </c>
      <c r="K1427" s="4">
        <v>27820</v>
      </c>
      <c r="M1427" s="2" t="s">
        <v>40</v>
      </c>
      <c r="N1427" s="2" t="s">
        <v>41</v>
      </c>
    </row>
    <row r="1428" spans="1:14">
      <c r="A1428" s="2">
        <v>1427</v>
      </c>
      <c r="B1428" s="3" t="s">
        <v>5444</v>
      </c>
      <c r="C1428" s="2" t="s">
        <v>5445</v>
      </c>
      <c r="D1428" s="2">
        <v>51</v>
      </c>
      <c r="E1428" s="2">
        <v>54</v>
      </c>
      <c r="F1428" s="2" t="s">
        <v>5446</v>
      </c>
      <c r="H1428" s="2" t="s">
        <v>17</v>
      </c>
      <c r="K1428" s="4">
        <v>23190</v>
      </c>
      <c r="M1428" s="2" t="s">
        <v>47</v>
      </c>
      <c r="N1428" s="2" t="s">
        <v>3707</v>
      </c>
    </row>
    <row r="1429" spans="1:14">
      <c r="A1429" s="2">
        <v>1428</v>
      </c>
      <c r="B1429" s="3" t="s">
        <v>5447</v>
      </c>
      <c r="C1429" s="2" t="s">
        <v>5448</v>
      </c>
      <c r="D1429" s="2">
        <v>53</v>
      </c>
      <c r="E1429" s="2">
        <v>54</v>
      </c>
      <c r="F1429" s="2" t="s">
        <v>5449</v>
      </c>
      <c r="H1429" s="2" t="s">
        <v>17</v>
      </c>
      <c r="K1429" s="4">
        <v>23185</v>
      </c>
      <c r="M1429" s="2" t="s">
        <v>47</v>
      </c>
      <c r="N1429" s="2" t="s">
        <v>691</v>
      </c>
    </row>
    <row r="1430" spans="1:14">
      <c r="A1430" s="2">
        <v>1429</v>
      </c>
      <c r="B1430" s="3" t="s">
        <v>5450</v>
      </c>
      <c r="C1430" s="2" t="s">
        <v>5451</v>
      </c>
      <c r="D1430" s="2">
        <v>53</v>
      </c>
      <c r="E1430" s="2">
        <v>54</v>
      </c>
      <c r="F1430" s="2" t="s">
        <v>5452</v>
      </c>
      <c r="H1430" s="2" t="s">
        <v>17</v>
      </c>
      <c r="K1430" s="4">
        <v>24864</v>
      </c>
      <c r="M1430" s="2" t="s">
        <v>969</v>
      </c>
      <c r="N1430" s="2" t="s">
        <v>970</v>
      </c>
    </row>
    <row r="1431" spans="1:14">
      <c r="A1431" s="2">
        <v>1430</v>
      </c>
      <c r="B1431" s="3" t="s">
        <v>5453</v>
      </c>
      <c r="C1431" s="2" t="s">
        <v>5454</v>
      </c>
      <c r="D1431" s="2">
        <v>50</v>
      </c>
      <c r="E1431" s="2">
        <v>54</v>
      </c>
      <c r="F1431" s="2" t="s">
        <v>5455</v>
      </c>
      <c r="H1431" s="2" t="s">
        <v>17</v>
      </c>
      <c r="K1431" s="4">
        <v>15648</v>
      </c>
      <c r="M1431" s="2" t="s">
        <v>35</v>
      </c>
      <c r="N1431" s="2" t="s">
        <v>5456</v>
      </c>
    </row>
    <row r="1432" spans="1:14">
      <c r="A1432" s="2">
        <v>1431</v>
      </c>
      <c r="B1432" s="3" t="s">
        <v>5457</v>
      </c>
      <c r="C1432" s="2" t="s">
        <v>5458</v>
      </c>
      <c r="D1432" s="2">
        <v>47</v>
      </c>
      <c r="E1432" s="2">
        <v>54</v>
      </c>
      <c r="F1432" s="2" t="s">
        <v>5459</v>
      </c>
      <c r="H1432" s="2" t="s">
        <v>17</v>
      </c>
      <c r="K1432" s="4">
        <v>16978</v>
      </c>
      <c r="L1432" s="4">
        <v>44240</v>
      </c>
      <c r="M1432" s="2" t="s">
        <v>35</v>
      </c>
      <c r="N1432" s="2" t="s">
        <v>1158</v>
      </c>
    </row>
    <row r="1433" spans="1:14">
      <c r="A1433" s="2">
        <v>1432</v>
      </c>
      <c r="B1433" s="3" t="s">
        <v>5460</v>
      </c>
      <c r="C1433" s="2" t="s">
        <v>5461</v>
      </c>
      <c r="D1433" s="2">
        <v>54</v>
      </c>
      <c r="E1433" s="2">
        <v>54</v>
      </c>
      <c r="F1433" s="2" t="s">
        <v>5462</v>
      </c>
      <c r="H1433" s="2" t="s">
        <v>45</v>
      </c>
      <c r="K1433" s="4">
        <v>16405</v>
      </c>
      <c r="L1433" s="4">
        <v>42284</v>
      </c>
      <c r="M1433" s="2" t="s">
        <v>47</v>
      </c>
      <c r="N1433" s="2" t="s">
        <v>5463</v>
      </c>
    </row>
    <row r="1434" spans="1:14">
      <c r="A1434" s="2">
        <v>1433</v>
      </c>
      <c r="B1434" s="3" t="s">
        <v>5464</v>
      </c>
      <c r="C1434" s="2" t="s">
        <v>5465</v>
      </c>
      <c r="D1434" s="2">
        <v>54</v>
      </c>
      <c r="E1434" s="2">
        <v>54</v>
      </c>
      <c r="F1434" s="2" t="s">
        <v>5466</v>
      </c>
      <c r="H1434" s="2" t="s">
        <v>45</v>
      </c>
      <c r="K1434" s="4">
        <v>21472</v>
      </c>
      <c r="M1434" s="2" t="s">
        <v>47</v>
      </c>
      <c r="N1434" s="2" t="s">
        <v>48</v>
      </c>
    </row>
    <row r="1435" spans="1:14">
      <c r="A1435" s="2">
        <v>1434</v>
      </c>
      <c r="B1435" s="3" t="s">
        <v>5467</v>
      </c>
      <c r="C1435" s="2" t="s">
        <v>5468</v>
      </c>
      <c r="D1435" s="2">
        <v>47</v>
      </c>
      <c r="E1435" s="2">
        <v>54</v>
      </c>
      <c r="F1435" s="2" t="s">
        <v>5468</v>
      </c>
      <c r="H1435" s="2" t="s">
        <v>17</v>
      </c>
      <c r="K1435" s="4">
        <v>16744</v>
      </c>
      <c r="M1435" s="2" t="s">
        <v>47</v>
      </c>
      <c r="N1435" s="2" t="s">
        <v>5469</v>
      </c>
    </row>
    <row r="1436" spans="1:14">
      <c r="A1436" s="2">
        <v>1435</v>
      </c>
      <c r="B1436" s="3" t="s">
        <v>5470</v>
      </c>
      <c r="C1436" s="2" t="s">
        <v>5471</v>
      </c>
      <c r="D1436" s="2">
        <v>54</v>
      </c>
      <c r="E1436" s="2">
        <v>54</v>
      </c>
      <c r="F1436" s="2" t="s">
        <v>5472</v>
      </c>
      <c r="H1436" s="2" t="s">
        <v>17</v>
      </c>
      <c r="K1436" s="4">
        <v>19604</v>
      </c>
      <c r="M1436" s="2" t="s">
        <v>85</v>
      </c>
      <c r="N1436" s="2" t="s">
        <v>1887</v>
      </c>
    </row>
    <row r="1437" spans="1:14">
      <c r="A1437" s="2">
        <v>1436</v>
      </c>
      <c r="B1437" s="3" t="s">
        <v>5473</v>
      </c>
      <c r="C1437" s="2" t="s">
        <v>5474</v>
      </c>
      <c r="D1437" s="2">
        <v>50</v>
      </c>
      <c r="E1437" s="2">
        <v>54</v>
      </c>
      <c r="F1437" s="2" t="s">
        <v>5475</v>
      </c>
      <c r="H1437" s="2" t="s">
        <v>17</v>
      </c>
      <c r="K1437" s="4">
        <v>18450</v>
      </c>
      <c r="M1437" s="2" t="s">
        <v>198</v>
      </c>
      <c r="N1437" s="2" t="s">
        <v>199</v>
      </c>
    </row>
    <row r="1438" spans="1:14">
      <c r="A1438" s="2">
        <v>1437</v>
      </c>
      <c r="B1438" s="3" t="s">
        <v>5476</v>
      </c>
      <c r="C1438" s="2" t="s">
        <v>5477</v>
      </c>
      <c r="D1438" s="2">
        <v>54</v>
      </c>
      <c r="E1438" s="2">
        <v>54</v>
      </c>
      <c r="F1438" s="2" t="s">
        <v>5478</v>
      </c>
      <c r="H1438" s="2" t="s">
        <v>17</v>
      </c>
      <c r="K1438" s="4">
        <v>27391</v>
      </c>
      <c r="M1438" s="2" t="s">
        <v>140</v>
      </c>
      <c r="N1438" s="2" t="s">
        <v>294</v>
      </c>
    </row>
    <row r="1439" spans="1:14">
      <c r="A1439" s="2">
        <v>1438</v>
      </c>
      <c r="B1439" s="3" t="s">
        <v>5479</v>
      </c>
      <c r="C1439" s="2" t="s">
        <v>5480</v>
      </c>
      <c r="D1439" s="2">
        <v>54</v>
      </c>
      <c r="E1439" s="2">
        <v>54</v>
      </c>
      <c r="F1439" s="2" t="s">
        <v>5480</v>
      </c>
      <c r="H1439" s="2" t="s">
        <v>17</v>
      </c>
      <c r="K1439" s="4">
        <v>22785</v>
      </c>
      <c r="M1439" s="2" t="s">
        <v>662</v>
      </c>
      <c r="N1439" s="2" t="s">
        <v>663</v>
      </c>
    </row>
    <row r="1440" spans="1:14">
      <c r="A1440" s="2">
        <v>1439</v>
      </c>
      <c r="B1440" s="3" t="s">
        <v>5481</v>
      </c>
      <c r="C1440" s="2" t="s">
        <v>5482</v>
      </c>
      <c r="D1440" s="2">
        <v>54</v>
      </c>
      <c r="E1440" s="2">
        <v>54</v>
      </c>
      <c r="F1440" s="2" t="s">
        <v>5483</v>
      </c>
      <c r="H1440" s="2" t="s">
        <v>17</v>
      </c>
      <c r="K1440" s="4">
        <v>28761</v>
      </c>
      <c r="M1440" s="2" t="s">
        <v>185</v>
      </c>
      <c r="N1440" s="2" t="s">
        <v>838</v>
      </c>
    </row>
    <row r="1441" spans="1:14">
      <c r="A1441" s="2">
        <v>1440</v>
      </c>
      <c r="B1441" s="3" t="s">
        <v>5484</v>
      </c>
      <c r="C1441" s="2" t="s">
        <v>5485</v>
      </c>
      <c r="D1441" s="2">
        <v>52</v>
      </c>
      <c r="E1441" s="2">
        <v>54</v>
      </c>
      <c r="F1441" s="2" t="s">
        <v>5486</v>
      </c>
      <c r="H1441" s="2" t="s">
        <v>17</v>
      </c>
      <c r="K1441" s="4">
        <v>22541</v>
      </c>
      <c r="M1441" s="2" t="s">
        <v>198</v>
      </c>
      <c r="N1441" s="2" t="s">
        <v>199</v>
      </c>
    </row>
    <row r="1442" spans="1:14">
      <c r="A1442" s="2">
        <v>1441</v>
      </c>
      <c r="B1442" s="3" t="s">
        <v>5487</v>
      </c>
      <c r="C1442" s="2" t="s">
        <v>5488</v>
      </c>
      <c r="D1442" s="2">
        <v>53</v>
      </c>
      <c r="E1442" s="2">
        <v>54</v>
      </c>
      <c r="F1442" s="2" t="s">
        <v>5489</v>
      </c>
      <c r="H1442" s="2" t="s">
        <v>17</v>
      </c>
      <c r="K1442" s="4">
        <v>22899</v>
      </c>
      <c r="M1442" s="2" t="s">
        <v>40</v>
      </c>
      <c r="N1442" s="2" t="s">
        <v>41</v>
      </c>
    </row>
    <row r="1443" spans="1:14">
      <c r="A1443" s="2">
        <v>1442</v>
      </c>
      <c r="B1443" s="3" t="s">
        <v>5490</v>
      </c>
      <c r="C1443" s="2" t="s">
        <v>5491</v>
      </c>
      <c r="D1443" s="2">
        <v>50</v>
      </c>
      <c r="E1443" s="2">
        <v>54</v>
      </c>
      <c r="F1443" s="2" t="s">
        <v>5492</v>
      </c>
      <c r="H1443" s="2" t="s">
        <v>17</v>
      </c>
      <c r="K1443" s="4">
        <v>20085</v>
      </c>
      <c r="L1443" s="4">
        <v>42134</v>
      </c>
      <c r="M1443" s="2" t="s">
        <v>66</v>
      </c>
      <c r="N1443" s="2" t="s">
        <v>71</v>
      </c>
    </row>
    <row r="1444" spans="1:14">
      <c r="A1444" s="2">
        <v>1443</v>
      </c>
      <c r="B1444" s="3" t="s">
        <v>5493</v>
      </c>
      <c r="C1444" s="2" t="s">
        <v>5494</v>
      </c>
      <c r="D1444" s="2">
        <v>52</v>
      </c>
      <c r="E1444" s="2">
        <v>54</v>
      </c>
      <c r="F1444" s="2" t="s">
        <v>5495</v>
      </c>
      <c r="H1444" s="2" t="s">
        <v>17</v>
      </c>
      <c r="K1444" s="4">
        <v>24394</v>
      </c>
      <c r="M1444" s="2" t="s">
        <v>91</v>
      </c>
      <c r="N1444" s="2" t="s">
        <v>677</v>
      </c>
    </row>
    <row r="1445" spans="1:14">
      <c r="A1445" s="2">
        <v>1444</v>
      </c>
      <c r="B1445" s="3" t="s">
        <v>5496</v>
      </c>
      <c r="C1445" s="2" t="s">
        <v>5497</v>
      </c>
      <c r="D1445" s="2">
        <v>54</v>
      </c>
      <c r="E1445" s="2">
        <v>54</v>
      </c>
      <c r="F1445" s="2" t="s">
        <v>5498</v>
      </c>
      <c r="H1445" s="2" t="s">
        <v>17</v>
      </c>
      <c r="J1445" s="3" t="s">
        <v>5499</v>
      </c>
      <c r="K1445" s="4">
        <v>19186</v>
      </c>
      <c r="M1445" s="2" t="s">
        <v>164</v>
      </c>
      <c r="N1445" s="2" t="s">
        <v>1467</v>
      </c>
    </row>
    <row r="1446" spans="1:14">
      <c r="A1446" s="2">
        <v>1445</v>
      </c>
      <c r="B1446" s="3" t="s">
        <v>5500</v>
      </c>
      <c r="C1446" s="2" t="s">
        <v>5501</v>
      </c>
      <c r="D1446" s="2">
        <v>49</v>
      </c>
      <c r="E1446" s="2">
        <v>54</v>
      </c>
      <c r="F1446" s="2" t="s">
        <v>5501</v>
      </c>
      <c r="H1446" s="2" t="s">
        <v>17</v>
      </c>
      <c r="K1446" s="4">
        <v>15670</v>
      </c>
      <c r="L1446" s="4">
        <v>40938</v>
      </c>
      <c r="M1446" s="2" t="s">
        <v>423</v>
      </c>
      <c r="N1446" s="2" t="s">
        <v>5502</v>
      </c>
    </row>
    <row r="1447" spans="1:14">
      <c r="A1447" s="2">
        <v>1446</v>
      </c>
      <c r="B1447" s="3" t="s">
        <v>5503</v>
      </c>
      <c r="C1447" s="2" t="s">
        <v>5504</v>
      </c>
      <c r="D1447" s="2">
        <v>53</v>
      </c>
      <c r="E1447" s="2">
        <v>54</v>
      </c>
      <c r="F1447" s="2" t="s">
        <v>5505</v>
      </c>
      <c r="H1447" s="2" t="s">
        <v>17</v>
      </c>
      <c r="I1447" s="2" t="s">
        <v>5506</v>
      </c>
      <c r="J1447" s="3" t="s">
        <v>5507</v>
      </c>
      <c r="K1447" s="4">
        <v>17002</v>
      </c>
      <c r="L1447" s="4">
        <v>43292</v>
      </c>
      <c r="M1447" s="2" t="s">
        <v>47</v>
      </c>
      <c r="N1447" s="2" t="s">
        <v>48</v>
      </c>
    </row>
    <row r="1448" spans="1:14">
      <c r="A1448" s="2">
        <v>1447</v>
      </c>
      <c r="B1448" s="3" t="s">
        <v>5508</v>
      </c>
      <c r="C1448" s="2" t="s">
        <v>5509</v>
      </c>
      <c r="D1448" s="2">
        <v>50</v>
      </c>
      <c r="E1448" s="2">
        <v>54</v>
      </c>
      <c r="F1448" s="2" t="s">
        <v>5510</v>
      </c>
      <c r="H1448" s="2" t="s">
        <v>17</v>
      </c>
      <c r="K1448" s="4">
        <v>21663</v>
      </c>
      <c r="M1448" s="2" t="s">
        <v>35</v>
      </c>
      <c r="N1448" s="2" t="s">
        <v>5511</v>
      </c>
    </row>
    <row r="1449" spans="1:14">
      <c r="A1449" s="2">
        <v>1448</v>
      </c>
      <c r="B1449" s="3" t="s">
        <v>5512</v>
      </c>
      <c r="C1449" s="2" t="s">
        <v>5513</v>
      </c>
      <c r="D1449" s="2">
        <v>52</v>
      </c>
      <c r="E1449" s="2">
        <v>54</v>
      </c>
      <c r="F1449" s="2" t="s">
        <v>5513</v>
      </c>
      <c r="H1449" s="2" t="s">
        <v>17</v>
      </c>
      <c r="K1449" s="4">
        <v>24680</v>
      </c>
      <c r="M1449" s="2" t="s">
        <v>154</v>
      </c>
      <c r="N1449" s="2" t="s">
        <v>2008</v>
      </c>
    </row>
    <row r="1450" spans="1:14">
      <c r="A1450" s="2">
        <v>1449</v>
      </c>
      <c r="B1450" s="3" t="s">
        <v>5514</v>
      </c>
      <c r="C1450" s="2" t="s">
        <v>5515</v>
      </c>
      <c r="D1450" s="2">
        <v>52</v>
      </c>
      <c r="E1450" s="2">
        <v>54</v>
      </c>
      <c r="F1450" s="2" t="s">
        <v>5516</v>
      </c>
      <c r="H1450" s="2" t="s">
        <v>17</v>
      </c>
      <c r="K1450" s="4">
        <v>19848</v>
      </c>
      <c r="M1450" s="2" t="s">
        <v>140</v>
      </c>
      <c r="N1450" s="2" t="s">
        <v>3624</v>
      </c>
    </row>
    <row r="1451" spans="1:14">
      <c r="A1451" s="2">
        <v>1450</v>
      </c>
      <c r="B1451" s="3" t="s">
        <v>5517</v>
      </c>
      <c r="C1451" s="2" t="s">
        <v>5518</v>
      </c>
      <c r="D1451" s="2">
        <v>53</v>
      </c>
      <c r="E1451" s="2">
        <v>54</v>
      </c>
      <c r="F1451" s="2" t="s">
        <v>5519</v>
      </c>
      <c r="H1451" s="2" t="s">
        <v>17</v>
      </c>
      <c r="K1451" s="4">
        <v>22849</v>
      </c>
      <c r="L1451" s="4">
        <v>45680</v>
      </c>
      <c r="M1451" s="2" t="s">
        <v>170</v>
      </c>
      <c r="N1451" s="2" t="s">
        <v>323</v>
      </c>
    </row>
    <row r="1452" spans="1:14">
      <c r="A1452" s="2">
        <v>1451</v>
      </c>
      <c r="B1452" s="3" t="s">
        <v>5520</v>
      </c>
      <c r="C1452" s="2" t="s">
        <v>5521</v>
      </c>
      <c r="D1452" s="2">
        <v>49</v>
      </c>
      <c r="E1452" s="2">
        <v>54</v>
      </c>
      <c r="F1452" s="2" t="s">
        <v>5522</v>
      </c>
      <c r="H1452" s="2" t="s">
        <v>17</v>
      </c>
      <c r="K1452" s="4">
        <v>18277</v>
      </c>
      <c r="L1452" s="4">
        <v>44297</v>
      </c>
      <c r="M1452" s="2" t="s">
        <v>170</v>
      </c>
      <c r="N1452" s="2" t="s">
        <v>323</v>
      </c>
    </row>
    <row r="1453" spans="1:14">
      <c r="A1453" s="2">
        <v>1452</v>
      </c>
      <c r="B1453" s="3" t="s">
        <v>5523</v>
      </c>
      <c r="C1453" s="2" t="s">
        <v>5524</v>
      </c>
      <c r="D1453" s="2">
        <v>46</v>
      </c>
      <c r="E1453" s="2">
        <v>54</v>
      </c>
      <c r="F1453" s="2" t="s">
        <v>5524</v>
      </c>
      <c r="H1453" s="2" t="s">
        <v>17</v>
      </c>
      <c r="K1453" s="4">
        <v>14022</v>
      </c>
      <c r="L1453" s="4">
        <v>45690</v>
      </c>
      <c r="M1453" s="2" t="s">
        <v>40</v>
      </c>
      <c r="N1453" s="2" t="s">
        <v>5525</v>
      </c>
    </row>
    <row r="1454" spans="1:14">
      <c r="A1454" s="2">
        <v>1453</v>
      </c>
      <c r="B1454" s="3" t="s">
        <v>5526</v>
      </c>
      <c r="C1454" s="2" t="s">
        <v>5527</v>
      </c>
      <c r="D1454" s="2">
        <v>54</v>
      </c>
      <c r="E1454" s="2">
        <v>54</v>
      </c>
      <c r="F1454" s="2" t="s">
        <v>5528</v>
      </c>
      <c r="H1454" s="2" t="s">
        <v>17</v>
      </c>
      <c r="I1454" s="2" t="s">
        <v>5529</v>
      </c>
      <c r="K1454" s="4">
        <v>19418</v>
      </c>
      <c r="M1454" s="2" t="s">
        <v>47</v>
      </c>
      <c r="N1454" s="2" t="s">
        <v>48</v>
      </c>
    </row>
    <row r="1455" spans="1:14">
      <c r="A1455" s="2">
        <v>1454</v>
      </c>
      <c r="B1455" s="3" t="s">
        <v>5530</v>
      </c>
      <c r="C1455" s="2" t="s">
        <v>5531</v>
      </c>
      <c r="D1455" s="2">
        <v>51</v>
      </c>
      <c r="E1455" s="2">
        <v>54</v>
      </c>
      <c r="F1455" s="2" t="s">
        <v>5531</v>
      </c>
      <c r="H1455" s="2" t="s">
        <v>45</v>
      </c>
      <c r="K1455" s="4">
        <v>13452</v>
      </c>
      <c r="M1455" s="2" t="s">
        <v>198</v>
      </c>
      <c r="N1455" s="2" t="s">
        <v>199</v>
      </c>
    </row>
    <row r="1456" spans="1:14">
      <c r="A1456" s="2">
        <v>1455</v>
      </c>
      <c r="B1456" s="3" t="s">
        <v>5532</v>
      </c>
      <c r="C1456" s="2" t="s">
        <v>5533</v>
      </c>
      <c r="D1456" s="2">
        <v>54</v>
      </c>
      <c r="E1456" s="2">
        <v>54</v>
      </c>
      <c r="F1456" s="2" t="s">
        <v>5534</v>
      </c>
      <c r="H1456" s="2" t="s">
        <v>45</v>
      </c>
      <c r="K1456" s="4">
        <v>16891</v>
      </c>
      <c r="M1456" s="2" t="s">
        <v>76</v>
      </c>
      <c r="N1456" s="2" t="s">
        <v>906</v>
      </c>
    </row>
    <row r="1457" spans="1:14">
      <c r="A1457" s="2">
        <v>1456</v>
      </c>
      <c r="B1457" s="3" t="s">
        <v>5535</v>
      </c>
      <c r="C1457" s="2" t="s">
        <v>5536</v>
      </c>
      <c r="D1457" s="2">
        <v>51</v>
      </c>
      <c r="E1457" s="2">
        <v>54</v>
      </c>
      <c r="F1457" s="2" t="s">
        <v>5537</v>
      </c>
      <c r="H1457" s="2" t="s">
        <v>45</v>
      </c>
      <c r="K1457" s="4">
        <v>20490</v>
      </c>
      <c r="M1457" s="2" t="s">
        <v>170</v>
      </c>
      <c r="N1457" s="2" t="s">
        <v>323</v>
      </c>
    </row>
    <row r="1458" spans="1:14">
      <c r="A1458" s="2">
        <v>1457</v>
      </c>
      <c r="B1458" s="3" t="s">
        <v>5538</v>
      </c>
      <c r="C1458" s="2" t="s">
        <v>5539</v>
      </c>
      <c r="D1458" s="2">
        <v>50</v>
      </c>
      <c r="E1458" s="2">
        <v>54</v>
      </c>
      <c r="F1458" s="2" t="s">
        <v>5540</v>
      </c>
      <c r="H1458" s="2" t="s">
        <v>17</v>
      </c>
      <c r="K1458" s="4">
        <v>15135</v>
      </c>
      <c r="M1458" s="2" t="s">
        <v>66</v>
      </c>
      <c r="N1458" s="2" t="s">
        <v>2881</v>
      </c>
    </row>
    <row r="1459" spans="1:14">
      <c r="A1459" s="2">
        <v>1458</v>
      </c>
      <c r="B1459" s="3" t="s">
        <v>5541</v>
      </c>
      <c r="C1459" s="2" t="s">
        <v>5542</v>
      </c>
      <c r="D1459" s="2">
        <v>51</v>
      </c>
      <c r="E1459" s="2">
        <v>54</v>
      </c>
      <c r="F1459" s="2" t="s">
        <v>5543</v>
      </c>
      <c r="H1459" s="2" t="s">
        <v>17</v>
      </c>
      <c r="K1459" s="4">
        <v>20925</v>
      </c>
      <c r="M1459" s="2" t="s">
        <v>170</v>
      </c>
      <c r="N1459" s="2" t="s">
        <v>323</v>
      </c>
    </row>
    <row r="1460" spans="1:14">
      <c r="A1460" s="2">
        <v>1459</v>
      </c>
      <c r="B1460" s="3" t="s">
        <v>5544</v>
      </c>
      <c r="C1460" s="2" t="s">
        <v>5545</v>
      </c>
      <c r="D1460" s="2">
        <v>54</v>
      </c>
      <c r="E1460" s="2">
        <v>54</v>
      </c>
      <c r="F1460" s="2" t="s">
        <v>5546</v>
      </c>
      <c r="H1460" s="2" t="s">
        <v>17</v>
      </c>
      <c r="I1460" s="3" t="s">
        <v>5547</v>
      </c>
      <c r="K1460" s="4">
        <v>14692</v>
      </c>
      <c r="M1460" s="2" t="s">
        <v>66</v>
      </c>
      <c r="N1460" s="2" t="s">
        <v>4195</v>
      </c>
    </row>
    <row r="1461" spans="1:14">
      <c r="A1461" s="2">
        <v>1460</v>
      </c>
      <c r="B1461" s="3" t="s">
        <v>5548</v>
      </c>
      <c r="C1461" s="2" t="s">
        <v>5549</v>
      </c>
      <c r="D1461" s="2">
        <v>53</v>
      </c>
      <c r="E1461" s="2">
        <v>54</v>
      </c>
      <c r="F1461" s="2" t="s">
        <v>5550</v>
      </c>
      <c r="H1461" s="2" t="s">
        <v>17</v>
      </c>
      <c r="K1461" s="4">
        <v>21831</v>
      </c>
      <c r="M1461" s="2" t="s">
        <v>47</v>
      </c>
      <c r="N1461" s="2" t="s">
        <v>48</v>
      </c>
    </row>
    <row r="1462" spans="1:14">
      <c r="A1462" s="2">
        <v>1461</v>
      </c>
      <c r="B1462" s="3" t="s">
        <v>5551</v>
      </c>
      <c r="C1462" s="2" t="s">
        <v>5552</v>
      </c>
      <c r="D1462" s="2">
        <v>43</v>
      </c>
      <c r="E1462" s="2">
        <v>54</v>
      </c>
      <c r="F1462" s="2" t="s">
        <v>5553</v>
      </c>
      <c r="H1462" s="2" t="s">
        <v>17</v>
      </c>
      <c r="K1462" s="4">
        <v>11559</v>
      </c>
      <c r="L1462" s="4">
        <v>42309</v>
      </c>
      <c r="M1462" s="2" t="s">
        <v>40</v>
      </c>
      <c r="N1462" s="2" t="s">
        <v>3693</v>
      </c>
    </row>
    <row r="1463" spans="1:14">
      <c r="A1463" s="2">
        <v>1462</v>
      </c>
      <c r="B1463" s="3" t="s">
        <v>5554</v>
      </c>
      <c r="C1463" s="2" t="s">
        <v>5555</v>
      </c>
      <c r="D1463" s="2">
        <v>49</v>
      </c>
      <c r="E1463" s="2">
        <v>54</v>
      </c>
      <c r="F1463" s="2" t="s">
        <v>5556</v>
      </c>
      <c r="H1463" s="2" t="s">
        <v>17</v>
      </c>
      <c r="K1463" s="4">
        <v>13514</v>
      </c>
      <c r="M1463" s="2" t="s">
        <v>140</v>
      </c>
      <c r="N1463" s="2" t="s">
        <v>5557</v>
      </c>
    </row>
    <row r="1464" spans="1:14">
      <c r="A1464" s="2">
        <v>1463</v>
      </c>
      <c r="B1464" s="3" t="s">
        <v>5558</v>
      </c>
      <c r="C1464" s="2" t="s">
        <v>5559</v>
      </c>
      <c r="D1464" s="2">
        <v>54</v>
      </c>
      <c r="E1464" s="2">
        <v>54</v>
      </c>
      <c r="F1464" s="2" t="s">
        <v>5560</v>
      </c>
      <c r="H1464" s="2" t="s">
        <v>17</v>
      </c>
      <c r="K1464" s="4">
        <v>25373</v>
      </c>
      <c r="M1464" s="2" t="s">
        <v>47</v>
      </c>
      <c r="N1464" s="2" t="s">
        <v>48</v>
      </c>
    </row>
    <row r="1465" spans="1:14">
      <c r="A1465" s="2">
        <v>1464</v>
      </c>
      <c r="B1465" s="3" t="s">
        <v>5561</v>
      </c>
      <c r="C1465" s="2" t="s">
        <v>5562</v>
      </c>
      <c r="D1465" s="2">
        <v>54</v>
      </c>
      <c r="E1465" s="2">
        <v>54</v>
      </c>
      <c r="F1465" s="2" t="s">
        <v>5563</v>
      </c>
      <c r="H1465" s="2" t="s">
        <v>17</v>
      </c>
      <c r="K1465" s="4">
        <v>23824</v>
      </c>
      <c r="M1465" s="2" t="s">
        <v>154</v>
      </c>
    </row>
    <row r="1466" spans="1:14">
      <c r="A1466" s="2">
        <v>1465</v>
      </c>
      <c r="B1466" s="3" t="s">
        <v>5564</v>
      </c>
      <c r="C1466" s="2" t="s">
        <v>5565</v>
      </c>
      <c r="D1466" s="2">
        <v>54</v>
      </c>
      <c r="E1466" s="2">
        <v>54</v>
      </c>
      <c r="F1466" s="2" t="s">
        <v>5566</v>
      </c>
      <c r="H1466" s="2" t="s">
        <v>17</v>
      </c>
      <c r="K1466" s="4">
        <v>25146</v>
      </c>
      <c r="M1466" s="2" t="s">
        <v>140</v>
      </c>
      <c r="N1466" s="2" t="s">
        <v>141</v>
      </c>
    </row>
    <row r="1467" spans="1:14">
      <c r="A1467" s="2">
        <v>1466</v>
      </c>
      <c r="B1467" s="3" t="s">
        <v>5567</v>
      </c>
      <c r="C1467" s="2" t="s">
        <v>5568</v>
      </c>
      <c r="D1467" s="2">
        <v>50</v>
      </c>
      <c r="E1467" s="2">
        <v>54</v>
      </c>
      <c r="F1467" s="2" t="s">
        <v>5569</v>
      </c>
      <c r="H1467" s="2" t="s">
        <v>17</v>
      </c>
      <c r="K1467" s="4">
        <v>23273</v>
      </c>
      <c r="M1467" s="2" t="s">
        <v>423</v>
      </c>
      <c r="N1467" s="2" t="s">
        <v>1264</v>
      </c>
    </row>
    <row r="1468" spans="1:14">
      <c r="A1468" s="2">
        <v>1467</v>
      </c>
      <c r="B1468" s="3" t="s">
        <v>5570</v>
      </c>
      <c r="C1468" s="2" t="s">
        <v>5571</v>
      </c>
      <c r="D1468" s="2">
        <v>54</v>
      </c>
      <c r="E1468" s="2">
        <v>54</v>
      </c>
      <c r="F1468" s="2" t="s">
        <v>5572</v>
      </c>
      <c r="H1468" s="2" t="s">
        <v>17</v>
      </c>
      <c r="K1468" s="4">
        <v>19191</v>
      </c>
      <c r="M1468" s="2" t="s">
        <v>66</v>
      </c>
      <c r="N1468" s="2" t="s">
        <v>5573</v>
      </c>
    </row>
    <row r="1469" spans="1:14">
      <c r="A1469" s="2">
        <v>1468</v>
      </c>
      <c r="B1469" s="3" t="s">
        <v>5574</v>
      </c>
      <c r="C1469" s="2" t="s">
        <v>5575</v>
      </c>
      <c r="D1469" s="2">
        <v>54</v>
      </c>
      <c r="E1469" s="2">
        <v>54</v>
      </c>
      <c r="F1469" s="2" t="s">
        <v>5576</v>
      </c>
      <c r="H1469" s="2" t="s">
        <v>17</v>
      </c>
      <c r="K1469" s="4">
        <v>21585</v>
      </c>
      <c r="M1469" s="2" t="s">
        <v>66</v>
      </c>
      <c r="N1469" s="2" t="s">
        <v>2712</v>
      </c>
    </row>
    <row r="1470" spans="1:14">
      <c r="A1470" s="2">
        <v>1469</v>
      </c>
      <c r="B1470" s="3" t="s">
        <v>5577</v>
      </c>
      <c r="C1470" s="2" t="s">
        <v>5578</v>
      </c>
      <c r="D1470" s="2">
        <v>53</v>
      </c>
      <c r="E1470" s="2">
        <v>54</v>
      </c>
      <c r="F1470" s="2" t="s">
        <v>5579</v>
      </c>
      <c r="H1470" s="2" t="s">
        <v>17</v>
      </c>
      <c r="K1470" s="4">
        <v>19594</v>
      </c>
      <c r="M1470" s="2" t="s">
        <v>35</v>
      </c>
      <c r="N1470" s="2" t="s">
        <v>3806</v>
      </c>
    </row>
    <row r="1471" spans="1:14">
      <c r="A1471" s="2">
        <v>1470</v>
      </c>
      <c r="B1471" s="3" t="s">
        <v>5580</v>
      </c>
      <c r="C1471" s="2" t="s">
        <v>5581</v>
      </c>
      <c r="D1471" s="2">
        <v>52</v>
      </c>
      <c r="E1471" s="2">
        <v>54</v>
      </c>
      <c r="F1471" s="2" t="s">
        <v>5582</v>
      </c>
      <c r="H1471" s="2" t="s">
        <v>17</v>
      </c>
      <c r="K1471" s="4">
        <v>20287</v>
      </c>
      <c r="M1471" s="2" t="s">
        <v>170</v>
      </c>
      <c r="N1471" s="2" t="s">
        <v>323</v>
      </c>
    </row>
    <row r="1472" spans="1:14">
      <c r="A1472" s="2">
        <v>1471</v>
      </c>
      <c r="B1472" s="3" t="s">
        <v>5583</v>
      </c>
      <c r="C1472" s="2" t="s">
        <v>5584</v>
      </c>
      <c r="D1472" s="2">
        <v>54</v>
      </c>
      <c r="E1472" s="2">
        <v>54</v>
      </c>
      <c r="F1472" s="2" t="s">
        <v>5585</v>
      </c>
      <c r="H1472" s="2" t="s">
        <v>17</v>
      </c>
      <c r="K1472" s="4">
        <v>24830</v>
      </c>
      <c r="M1472" s="2" t="s">
        <v>969</v>
      </c>
      <c r="N1472" s="2" t="s">
        <v>970</v>
      </c>
    </row>
    <row r="1473" spans="1:14">
      <c r="A1473" s="2">
        <v>1472</v>
      </c>
      <c r="B1473" s="3" t="s">
        <v>5586</v>
      </c>
      <c r="C1473" s="2" t="s">
        <v>5587</v>
      </c>
      <c r="D1473" s="2">
        <v>54</v>
      </c>
      <c r="E1473" s="2">
        <v>54</v>
      </c>
      <c r="F1473" s="2" t="s">
        <v>5588</v>
      </c>
      <c r="H1473" s="2" t="s">
        <v>17</v>
      </c>
      <c r="K1473" s="4">
        <v>22846</v>
      </c>
      <c r="L1473" s="4">
        <v>43828</v>
      </c>
      <c r="M1473" s="2" t="s">
        <v>336</v>
      </c>
      <c r="N1473" s="2" t="s">
        <v>1883</v>
      </c>
    </row>
    <row r="1474" spans="1:14">
      <c r="A1474" s="2">
        <v>1473</v>
      </c>
      <c r="B1474" s="3" t="s">
        <v>5589</v>
      </c>
      <c r="C1474" s="2" t="s">
        <v>5590</v>
      </c>
      <c r="D1474" s="2">
        <v>51</v>
      </c>
      <c r="E1474" s="2">
        <v>54</v>
      </c>
      <c r="F1474" s="2" t="s">
        <v>5591</v>
      </c>
      <c r="H1474" s="2" t="s">
        <v>17</v>
      </c>
      <c r="K1474" s="4">
        <v>17986</v>
      </c>
      <c r="L1474" s="4">
        <v>42114</v>
      </c>
      <c r="M1474" s="2" t="s">
        <v>198</v>
      </c>
      <c r="N1474" s="2" t="s">
        <v>199</v>
      </c>
    </row>
    <row r="1475" spans="1:14">
      <c r="A1475" s="2">
        <v>1474</v>
      </c>
      <c r="B1475" s="3" t="s">
        <v>5592</v>
      </c>
      <c r="C1475" s="2" t="s">
        <v>5593</v>
      </c>
      <c r="D1475" s="2">
        <v>54</v>
      </c>
      <c r="E1475" s="2">
        <v>54</v>
      </c>
      <c r="F1475" s="2" t="s">
        <v>5594</v>
      </c>
      <c r="H1475" s="2" t="s">
        <v>17</v>
      </c>
      <c r="K1475" s="4">
        <v>29843</v>
      </c>
      <c r="M1475" s="2" t="s">
        <v>154</v>
      </c>
    </row>
    <row r="1476" spans="1:14">
      <c r="A1476" s="2">
        <v>1475</v>
      </c>
      <c r="B1476" s="3" t="s">
        <v>5595</v>
      </c>
      <c r="C1476" s="2" t="s">
        <v>5596</v>
      </c>
      <c r="D1476" s="2">
        <v>50</v>
      </c>
      <c r="E1476" s="2">
        <v>54</v>
      </c>
      <c r="F1476" s="2" t="s">
        <v>5597</v>
      </c>
      <c r="H1476" s="2" t="s">
        <v>17</v>
      </c>
      <c r="K1476" s="4">
        <v>20929</v>
      </c>
      <c r="M1476" s="2" t="s">
        <v>47</v>
      </c>
      <c r="N1476" s="2" t="s">
        <v>5598</v>
      </c>
    </row>
    <row r="1477" spans="1:14">
      <c r="A1477" s="2">
        <v>1476</v>
      </c>
      <c r="B1477" s="3" t="s">
        <v>5599</v>
      </c>
      <c r="C1477" s="2" t="s">
        <v>5600</v>
      </c>
      <c r="D1477" s="2">
        <v>47</v>
      </c>
      <c r="E1477" s="2">
        <v>54</v>
      </c>
      <c r="F1477" s="2" t="s">
        <v>5601</v>
      </c>
      <c r="H1477" s="2" t="s">
        <v>17</v>
      </c>
      <c r="K1477" s="4">
        <v>11146</v>
      </c>
      <c r="M1477" s="2" t="s">
        <v>185</v>
      </c>
      <c r="N1477" s="2" t="s">
        <v>5602</v>
      </c>
    </row>
    <row r="1478" spans="1:14">
      <c r="A1478" s="2">
        <v>1477</v>
      </c>
      <c r="B1478" s="3" t="s">
        <v>5603</v>
      </c>
      <c r="C1478" s="2" t="s">
        <v>5604</v>
      </c>
      <c r="D1478" s="2">
        <v>54</v>
      </c>
      <c r="E1478" s="2">
        <v>54</v>
      </c>
      <c r="F1478" s="2" t="s">
        <v>5605</v>
      </c>
      <c r="H1478" s="2" t="s">
        <v>17</v>
      </c>
      <c r="K1478" s="4">
        <v>23806</v>
      </c>
      <c r="M1478" s="2" t="s">
        <v>85</v>
      </c>
      <c r="N1478" s="2" t="s">
        <v>5606</v>
      </c>
    </row>
    <row r="1479" spans="1:14">
      <c r="A1479" s="2">
        <v>1478</v>
      </c>
      <c r="B1479" s="3" t="s">
        <v>5607</v>
      </c>
      <c r="C1479" s="2" t="s">
        <v>5608</v>
      </c>
      <c r="D1479" s="2">
        <v>53</v>
      </c>
      <c r="E1479" s="2">
        <v>54</v>
      </c>
      <c r="F1479" s="2" t="s">
        <v>5609</v>
      </c>
      <c r="H1479" s="2" t="s">
        <v>17</v>
      </c>
      <c r="K1479" s="4">
        <v>22046</v>
      </c>
      <c r="M1479" s="2" t="s">
        <v>185</v>
      </c>
      <c r="N1479" s="2" t="s">
        <v>838</v>
      </c>
    </row>
    <row r="1480" spans="1:14">
      <c r="A1480" s="2">
        <v>1479</v>
      </c>
      <c r="B1480" s="3" t="s">
        <v>5610</v>
      </c>
      <c r="C1480" s="2" t="s">
        <v>5611</v>
      </c>
      <c r="D1480" s="2">
        <v>54</v>
      </c>
      <c r="E1480" s="2">
        <v>54</v>
      </c>
      <c r="F1480" s="2" t="s">
        <v>5612</v>
      </c>
      <c r="H1480" s="2" t="s">
        <v>17</v>
      </c>
      <c r="K1480" s="4">
        <v>20120</v>
      </c>
      <c r="M1480" s="2" t="s">
        <v>30</v>
      </c>
      <c r="N1480" s="2" t="s">
        <v>2001</v>
      </c>
    </row>
    <row r="1481" spans="1:14">
      <c r="A1481" s="2">
        <v>1480</v>
      </c>
      <c r="B1481" s="3" t="s">
        <v>5613</v>
      </c>
      <c r="C1481" s="2" t="s">
        <v>5614</v>
      </c>
      <c r="D1481" s="2">
        <v>54</v>
      </c>
      <c r="E1481" s="2">
        <v>54</v>
      </c>
      <c r="F1481" s="2" t="s">
        <v>5615</v>
      </c>
      <c r="H1481" s="2" t="s">
        <v>17</v>
      </c>
      <c r="I1481" s="2" t="s">
        <v>5616</v>
      </c>
      <c r="J1481" s="3" t="s">
        <v>5617</v>
      </c>
      <c r="K1481" s="4">
        <v>24525</v>
      </c>
      <c r="M1481" s="2" t="s">
        <v>76</v>
      </c>
      <c r="N1481" s="2" t="s">
        <v>5618</v>
      </c>
    </row>
    <row r="1482" spans="1:14">
      <c r="A1482" s="2">
        <v>1481</v>
      </c>
      <c r="B1482" s="3" t="s">
        <v>5619</v>
      </c>
      <c r="C1482" s="2" t="s">
        <v>5620</v>
      </c>
      <c r="D1482" s="2">
        <v>53</v>
      </c>
      <c r="E1482" s="2">
        <v>54</v>
      </c>
      <c r="F1482" s="2" t="s">
        <v>5621</v>
      </c>
      <c r="H1482" s="2" t="s">
        <v>17</v>
      </c>
      <c r="K1482" s="4">
        <v>18229</v>
      </c>
      <c r="M1482" s="2" t="s">
        <v>185</v>
      </c>
      <c r="N1482" s="2" t="s">
        <v>5622</v>
      </c>
    </row>
    <row r="1483" spans="1:14">
      <c r="A1483" s="2">
        <v>1482</v>
      </c>
      <c r="B1483" s="3" t="s">
        <v>5623</v>
      </c>
      <c r="C1483" s="2" t="s">
        <v>5624</v>
      </c>
      <c r="D1483" s="2">
        <v>54</v>
      </c>
      <c r="E1483" s="2">
        <v>54</v>
      </c>
      <c r="F1483" s="2" t="s">
        <v>5625</v>
      </c>
      <c r="H1483" s="2" t="s">
        <v>17</v>
      </c>
      <c r="K1483" s="4">
        <v>15675</v>
      </c>
      <c r="M1483" s="2" t="s">
        <v>85</v>
      </c>
      <c r="N1483" s="2" t="s">
        <v>5606</v>
      </c>
    </row>
    <row r="1484" spans="1:14">
      <c r="A1484" s="2">
        <v>1483</v>
      </c>
      <c r="B1484" s="3" t="s">
        <v>5626</v>
      </c>
      <c r="C1484" s="2" t="s">
        <v>5627</v>
      </c>
      <c r="D1484" s="2">
        <v>53</v>
      </c>
      <c r="E1484" s="2">
        <v>54</v>
      </c>
      <c r="F1484" s="2" t="s">
        <v>5628</v>
      </c>
      <c r="H1484" s="2" t="s">
        <v>17</v>
      </c>
      <c r="K1484" s="4">
        <v>29695</v>
      </c>
      <c r="M1484" s="2" t="s">
        <v>154</v>
      </c>
      <c r="N1484" s="2" t="s">
        <v>3175</v>
      </c>
    </row>
    <row r="1485" spans="1:14">
      <c r="A1485" s="2">
        <v>1484</v>
      </c>
      <c r="B1485" s="3" t="s">
        <v>5629</v>
      </c>
      <c r="C1485" s="2" t="s">
        <v>5630</v>
      </c>
      <c r="D1485" s="2">
        <v>54</v>
      </c>
      <c r="E1485" s="2">
        <v>54</v>
      </c>
      <c r="F1485" s="2" t="s">
        <v>5631</v>
      </c>
      <c r="H1485" s="2" t="s">
        <v>17</v>
      </c>
      <c r="K1485" s="4">
        <v>24443</v>
      </c>
      <c r="M1485" s="2" t="s">
        <v>662</v>
      </c>
      <c r="N1485" s="2" t="s">
        <v>663</v>
      </c>
    </row>
    <row r="1486" spans="1:14">
      <c r="A1486" s="2">
        <v>1485</v>
      </c>
      <c r="B1486" s="3" t="s">
        <v>5632</v>
      </c>
      <c r="C1486" s="2" t="s">
        <v>5633</v>
      </c>
      <c r="D1486" s="2">
        <v>53</v>
      </c>
      <c r="E1486" s="2">
        <v>54</v>
      </c>
      <c r="F1486" s="2" t="s">
        <v>5634</v>
      </c>
      <c r="H1486" s="2" t="s">
        <v>45</v>
      </c>
      <c r="K1486" s="4">
        <v>26782</v>
      </c>
      <c r="M1486" s="2" t="s">
        <v>30</v>
      </c>
      <c r="N1486" s="2" t="s">
        <v>31</v>
      </c>
    </row>
    <row r="1487" spans="1:14">
      <c r="A1487" s="2">
        <v>1486</v>
      </c>
      <c r="B1487" s="3" t="s">
        <v>5635</v>
      </c>
      <c r="C1487" s="2" t="s">
        <v>5636</v>
      </c>
      <c r="D1487" s="2">
        <v>54</v>
      </c>
      <c r="E1487" s="2">
        <v>54</v>
      </c>
      <c r="F1487" s="2" t="s">
        <v>5637</v>
      </c>
      <c r="H1487" s="2" t="s">
        <v>17</v>
      </c>
      <c r="K1487" s="4">
        <v>26547</v>
      </c>
      <c r="M1487" s="2" t="s">
        <v>170</v>
      </c>
      <c r="N1487" s="2" t="s">
        <v>323</v>
      </c>
    </row>
    <row r="1488" spans="1:14">
      <c r="A1488" s="2">
        <v>1487</v>
      </c>
      <c r="B1488" s="3" t="s">
        <v>5638</v>
      </c>
      <c r="C1488" s="2" t="s">
        <v>5639</v>
      </c>
      <c r="D1488" s="2">
        <v>54</v>
      </c>
      <c r="E1488" s="2">
        <v>54</v>
      </c>
      <c r="F1488" s="2" t="s">
        <v>5640</v>
      </c>
      <c r="H1488" s="2" t="s">
        <v>17</v>
      </c>
      <c r="K1488" s="4">
        <v>23144</v>
      </c>
      <c r="M1488" s="2" t="s">
        <v>341</v>
      </c>
      <c r="N1488" s="2" t="s">
        <v>342</v>
      </c>
    </row>
    <row r="1489" spans="1:14">
      <c r="A1489" s="2">
        <v>1488</v>
      </c>
      <c r="B1489" s="3" t="s">
        <v>5641</v>
      </c>
      <c r="C1489" s="2" t="s">
        <v>5642</v>
      </c>
      <c r="D1489" s="2">
        <v>54</v>
      </c>
      <c r="E1489" s="2">
        <v>54</v>
      </c>
      <c r="F1489" s="2" t="s">
        <v>5643</v>
      </c>
      <c r="H1489" s="2" t="s">
        <v>17</v>
      </c>
      <c r="K1489" s="4">
        <v>29136</v>
      </c>
      <c r="M1489" s="2" t="s">
        <v>146</v>
      </c>
      <c r="N1489" s="2" t="s">
        <v>2196</v>
      </c>
    </row>
    <row r="1490" spans="1:14">
      <c r="A1490" s="2">
        <v>1489</v>
      </c>
      <c r="B1490" s="3" t="s">
        <v>5644</v>
      </c>
      <c r="C1490" s="2" t="s">
        <v>5645</v>
      </c>
      <c r="D1490" s="2">
        <v>54</v>
      </c>
      <c r="E1490" s="2">
        <v>54</v>
      </c>
      <c r="F1490" s="2" t="s">
        <v>5645</v>
      </c>
      <c r="H1490" s="2" t="s">
        <v>17</v>
      </c>
      <c r="K1490" s="4">
        <v>22680</v>
      </c>
      <c r="M1490" s="2" t="s">
        <v>47</v>
      </c>
      <c r="N1490" s="2" t="s">
        <v>442</v>
      </c>
    </row>
    <row r="1491" spans="1:14">
      <c r="A1491" s="2">
        <v>1490</v>
      </c>
      <c r="B1491" s="3" t="s">
        <v>5646</v>
      </c>
      <c r="C1491" s="2" t="s">
        <v>5647</v>
      </c>
      <c r="D1491" s="2">
        <v>52</v>
      </c>
      <c r="E1491" s="2">
        <v>54</v>
      </c>
      <c r="F1491" s="2" t="s">
        <v>5648</v>
      </c>
      <c r="H1491" s="2" t="s">
        <v>17</v>
      </c>
      <c r="K1491" s="4">
        <v>19890</v>
      </c>
      <c r="M1491" s="2" t="s">
        <v>185</v>
      </c>
      <c r="N1491" s="2" t="s">
        <v>233</v>
      </c>
    </row>
    <row r="1492" spans="1:14">
      <c r="A1492" s="2">
        <v>1491</v>
      </c>
      <c r="B1492" s="3" t="s">
        <v>5649</v>
      </c>
      <c r="C1492" s="2" t="s">
        <v>5650</v>
      </c>
      <c r="D1492" s="2">
        <v>54</v>
      </c>
      <c r="E1492" s="2">
        <v>54</v>
      </c>
      <c r="F1492" s="2" t="s">
        <v>5651</v>
      </c>
      <c r="H1492" s="2" t="s">
        <v>17</v>
      </c>
      <c r="K1492" s="4">
        <v>29698</v>
      </c>
      <c r="M1492" s="2" t="s">
        <v>170</v>
      </c>
      <c r="N1492" s="2" t="s">
        <v>323</v>
      </c>
    </row>
    <row r="1493" spans="1:14">
      <c r="A1493" s="2">
        <v>1492</v>
      </c>
      <c r="B1493" s="3" t="s">
        <v>5652</v>
      </c>
      <c r="C1493" s="2" t="s">
        <v>5653</v>
      </c>
      <c r="D1493" s="2">
        <v>54</v>
      </c>
      <c r="E1493" s="2">
        <v>54</v>
      </c>
      <c r="F1493" s="2" t="s">
        <v>5654</v>
      </c>
      <c r="H1493" s="2" t="s">
        <v>17</v>
      </c>
      <c r="K1493" s="4">
        <v>22760</v>
      </c>
      <c r="M1493" s="2" t="s">
        <v>47</v>
      </c>
      <c r="N1493" s="2" t="s">
        <v>48</v>
      </c>
    </row>
    <row r="1494" spans="1:14">
      <c r="A1494" s="2">
        <v>1493</v>
      </c>
      <c r="B1494" s="3" t="s">
        <v>5655</v>
      </c>
      <c r="C1494" s="2" t="s">
        <v>5656</v>
      </c>
      <c r="D1494" s="2">
        <v>51</v>
      </c>
      <c r="E1494" s="2">
        <v>54</v>
      </c>
      <c r="F1494" s="2" t="s">
        <v>5657</v>
      </c>
      <c r="H1494" s="2" t="s">
        <v>17</v>
      </c>
      <c r="K1494" s="4">
        <v>21956</v>
      </c>
      <c r="M1494" s="2" t="s">
        <v>35</v>
      </c>
      <c r="N1494" s="2" t="s">
        <v>1462</v>
      </c>
    </row>
    <row r="1495" spans="1:14">
      <c r="A1495" s="2">
        <v>1494</v>
      </c>
      <c r="B1495" s="3" t="s">
        <v>5658</v>
      </c>
      <c r="C1495" s="2" t="s">
        <v>5659</v>
      </c>
      <c r="D1495" s="2">
        <v>53</v>
      </c>
      <c r="E1495" s="2">
        <v>54</v>
      </c>
      <c r="F1495" s="2" t="s">
        <v>5660</v>
      </c>
      <c r="H1495" s="2" t="s">
        <v>17</v>
      </c>
      <c r="K1495" s="4">
        <v>23642</v>
      </c>
      <c r="M1495" s="2" t="s">
        <v>170</v>
      </c>
      <c r="N1495" s="2" t="s">
        <v>323</v>
      </c>
    </row>
    <row r="1496" spans="1:14">
      <c r="A1496" s="2">
        <v>1495</v>
      </c>
      <c r="B1496" s="3" t="s">
        <v>5661</v>
      </c>
      <c r="C1496" s="2" t="s">
        <v>5662</v>
      </c>
      <c r="D1496" s="2">
        <v>54</v>
      </c>
      <c r="E1496" s="2">
        <v>54</v>
      </c>
      <c r="F1496" s="2" t="s">
        <v>5662</v>
      </c>
      <c r="H1496" s="2" t="s">
        <v>17</v>
      </c>
      <c r="K1496" s="4">
        <v>17629</v>
      </c>
      <c r="M1496" s="2" t="s">
        <v>423</v>
      </c>
      <c r="N1496" s="2" t="s">
        <v>4460</v>
      </c>
    </row>
    <row r="1497" spans="1:14">
      <c r="A1497" s="2">
        <v>1496</v>
      </c>
      <c r="B1497" s="3" t="s">
        <v>5663</v>
      </c>
      <c r="C1497" s="2" t="s">
        <v>5664</v>
      </c>
      <c r="D1497" s="2">
        <v>53</v>
      </c>
      <c r="E1497" s="2">
        <v>54</v>
      </c>
      <c r="F1497" s="2" t="s">
        <v>5665</v>
      </c>
      <c r="H1497" s="2" t="s">
        <v>17</v>
      </c>
      <c r="K1497" s="4">
        <v>21367</v>
      </c>
      <c r="M1497" s="2" t="s">
        <v>47</v>
      </c>
      <c r="N1497" s="2" t="s">
        <v>48</v>
      </c>
    </row>
    <row r="1498" spans="1:14">
      <c r="A1498" s="2">
        <v>1497</v>
      </c>
      <c r="B1498" s="3" t="s">
        <v>5666</v>
      </c>
      <c r="C1498" s="2" t="s">
        <v>5667</v>
      </c>
      <c r="D1498" s="2">
        <v>53</v>
      </c>
      <c r="E1498" s="2">
        <v>54</v>
      </c>
      <c r="F1498" s="2" t="s">
        <v>5668</v>
      </c>
      <c r="H1498" s="2" t="s">
        <v>17</v>
      </c>
      <c r="K1498" s="4">
        <v>25979</v>
      </c>
      <c r="M1498" s="2" t="s">
        <v>170</v>
      </c>
      <c r="N1498" s="2" t="s">
        <v>323</v>
      </c>
    </row>
    <row r="1499" spans="1:14">
      <c r="A1499" s="2">
        <v>1498</v>
      </c>
      <c r="B1499" s="3" t="s">
        <v>5669</v>
      </c>
      <c r="C1499" s="2" t="s">
        <v>5670</v>
      </c>
      <c r="D1499" s="2">
        <v>54</v>
      </c>
      <c r="E1499" s="2">
        <v>54</v>
      </c>
      <c r="F1499" s="2" t="s">
        <v>5671</v>
      </c>
      <c r="H1499" s="2" t="s">
        <v>17</v>
      </c>
      <c r="K1499" s="4">
        <v>25052</v>
      </c>
      <c r="M1499" s="2" t="s">
        <v>91</v>
      </c>
      <c r="N1499" s="2" t="s">
        <v>677</v>
      </c>
    </row>
    <row r="1500" spans="1:14">
      <c r="A1500" s="2">
        <v>1499</v>
      </c>
      <c r="B1500" s="3" t="s">
        <v>5672</v>
      </c>
      <c r="C1500" s="2" t="s">
        <v>5673</v>
      </c>
      <c r="D1500" s="2">
        <v>54</v>
      </c>
      <c r="E1500" s="2">
        <v>54</v>
      </c>
      <c r="F1500" s="2" t="s">
        <v>5674</v>
      </c>
      <c r="H1500" s="2" t="s">
        <v>45</v>
      </c>
      <c r="K1500" s="4">
        <v>27443</v>
      </c>
      <c r="M1500" s="2" t="s">
        <v>423</v>
      </c>
      <c r="N1500" s="2" t="s">
        <v>621</v>
      </c>
    </row>
    <row r="1501" spans="1:14">
      <c r="A1501" s="2">
        <v>1500</v>
      </c>
      <c r="B1501" s="3" t="s">
        <v>5675</v>
      </c>
      <c r="C1501" s="2" t="s">
        <v>5676</v>
      </c>
      <c r="D1501" s="2">
        <v>54</v>
      </c>
      <c r="E1501" s="2">
        <v>54</v>
      </c>
      <c r="F1501" s="2" t="s">
        <v>5677</v>
      </c>
      <c r="H1501" s="2" t="s">
        <v>17</v>
      </c>
      <c r="I1501" s="2" t="s">
        <v>5678</v>
      </c>
      <c r="K1501" s="4">
        <v>24136</v>
      </c>
      <c r="M1501" s="2" t="s">
        <v>170</v>
      </c>
      <c r="N1501" s="2" t="s">
        <v>323</v>
      </c>
    </row>
    <row r="1502" spans="1:14">
      <c r="A1502" s="2">
        <v>1501</v>
      </c>
      <c r="B1502" s="3" t="s">
        <v>5679</v>
      </c>
      <c r="C1502" s="2" t="s">
        <v>5680</v>
      </c>
      <c r="D1502" s="2">
        <v>49</v>
      </c>
      <c r="E1502" s="2">
        <v>54</v>
      </c>
      <c r="F1502" s="2" t="s">
        <v>5681</v>
      </c>
      <c r="H1502" s="2" t="s">
        <v>17</v>
      </c>
      <c r="K1502" s="4">
        <v>18166</v>
      </c>
      <c r="M1502" s="2" t="s">
        <v>53</v>
      </c>
      <c r="N1502" s="2" t="s">
        <v>1697</v>
      </c>
    </row>
    <row r="1503" spans="1:14">
      <c r="A1503" s="2">
        <v>1502</v>
      </c>
      <c r="B1503" s="3" t="s">
        <v>5682</v>
      </c>
      <c r="C1503" s="2" t="s">
        <v>5683</v>
      </c>
      <c r="D1503" s="2">
        <v>54</v>
      </c>
      <c r="E1503" s="2">
        <v>54</v>
      </c>
      <c r="F1503" s="2" t="s">
        <v>5684</v>
      </c>
      <c r="H1503" s="2" t="s">
        <v>17</v>
      </c>
      <c r="K1503" s="4">
        <v>20013</v>
      </c>
      <c r="M1503" s="2" t="s">
        <v>66</v>
      </c>
      <c r="N1503" s="2" t="s">
        <v>1665</v>
      </c>
    </row>
    <row r="1504" spans="1:14">
      <c r="A1504" s="2">
        <v>1503</v>
      </c>
      <c r="B1504" s="3" t="s">
        <v>5685</v>
      </c>
      <c r="C1504" s="2" t="s">
        <v>5686</v>
      </c>
      <c r="D1504" s="2">
        <v>54</v>
      </c>
      <c r="E1504" s="2">
        <v>54</v>
      </c>
      <c r="F1504" s="2" t="s">
        <v>5687</v>
      </c>
      <c r="H1504" s="2" t="s">
        <v>45</v>
      </c>
      <c r="I1504" s="2" t="s">
        <v>5688</v>
      </c>
      <c r="K1504" s="4">
        <v>23223</v>
      </c>
      <c r="M1504" s="2" t="s">
        <v>154</v>
      </c>
      <c r="N1504" s="2" t="s">
        <v>5689</v>
      </c>
    </row>
    <row r="1505" spans="1:14">
      <c r="A1505" s="2">
        <v>1504</v>
      </c>
      <c r="B1505" s="3" t="s">
        <v>5690</v>
      </c>
      <c r="C1505" s="2" t="s">
        <v>5691</v>
      </c>
      <c r="D1505" s="2">
        <v>48</v>
      </c>
      <c r="E1505" s="2">
        <v>54</v>
      </c>
      <c r="F1505" s="2" t="s">
        <v>5692</v>
      </c>
      <c r="H1505" s="2" t="s">
        <v>45</v>
      </c>
      <c r="K1505" s="4">
        <v>17921</v>
      </c>
      <c r="M1505" s="2" t="s">
        <v>35</v>
      </c>
      <c r="N1505" s="2" t="s">
        <v>5693</v>
      </c>
    </row>
    <row r="1506" spans="1:14">
      <c r="A1506" s="2">
        <v>1505</v>
      </c>
      <c r="B1506" s="3" t="s">
        <v>5694</v>
      </c>
      <c r="C1506" s="2" t="s">
        <v>5695</v>
      </c>
      <c r="D1506" s="2">
        <v>54</v>
      </c>
      <c r="E1506" s="2">
        <v>54</v>
      </c>
      <c r="F1506" s="2" t="s">
        <v>5696</v>
      </c>
      <c r="H1506" s="2" t="s">
        <v>45</v>
      </c>
      <c r="K1506" s="4">
        <v>26679</v>
      </c>
      <c r="M1506" s="2" t="s">
        <v>336</v>
      </c>
      <c r="N1506" s="2" t="s">
        <v>1883</v>
      </c>
    </row>
    <row r="1507" spans="1:14">
      <c r="A1507" s="2">
        <v>1506</v>
      </c>
      <c r="B1507" s="3" t="s">
        <v>5697</v>
      </c>
      <c r="C1507" s="2" t="s">
        <v>5698</v>
      </c>
      <c r="D1507" s="2">
        <v>54</v>
      </c>
      <c r="E1507" s="2">
        <v>54</v>
      </c>
      <c r="F1507" s="2" t="s">
        <v>5699</v>
      </c>
      <c r="H1507" s="2" t="s">
        <v>17</v>
      </c>
      <c r="K1507" s="4">
        <v>23029</v>
      </c>
      <c r="M1507" s="2" t="s">
        <v>40</v>
      </c>
      <c r="N1507" s="2" t="s">
        <v>41</v>
      </c>
    </row>
    <row r="1508" spans="1:14">
      <c r="A1508" s="2">
        <v>1507</v>
      </c>
      <c r="B1508" s="3" t="s">
        <v>5700</v>
      </c>
      <c r="C1508" s="2" t="s">
        <v>5701</v>
      </c>
      <c r="D1508" s="2">
        <v>54</v>
      </c>
      <c r="E1508" s="2">
        <v>54</v>
      </c>
      <c r="F1508" s="2" t="s">
        <v>5702</v>
      </c>
      <c r="H1508" s="2" t="s">
        <v>17</v>
      </c>
      <c r="K1508" s="4">
        <v>28016</v>
      </c>
      <c r="M1508" s="2" t="s">
        <v>146</v>
      </c>
      <c r="N1508" s="2" t="s">
        <v>147</v>
      </c>
    </row>
    <row r="1509" spans="1:14">
      <c r="A1509" s="2">
        <v>1508</v>
      </c>
      <c r="B1509" s="3" t="s">
        <v>5703</v>
      </c>
      <c r="C1509" s="2" t="s">
        <v>5704</v>
      </c>
      <c r="D1509" s="2">
        <v>50</v>
      </c>
      <c r="E1509" s="2">
        <v>54</v>
      </c>
      <c r="F1509" s="2" t="s">
        <v>5705</v>
      </c>
      <c r="H1509" s="2" t="s">
        <v>17</v>
      </c>
      <c r="K1509" s="4">
        <v>20245</v>
      </c>
      <c r="M1509" s="2" t="s">
        <v>47</v>
      </c>
      <c r="N1509" s="2" t="s">
        <v>442</v>
      </c>
    </row>
    <row r="1510" spans="1:14">
      <c r="A1510" s="2">
        <v>1509</v>
      </c>
      <c r="B1510" s="3" t="s">
        <v>5706</v>
      </c>
      <c r="C1510" s="2" t="s">
        <v>5707</v>
      </c>
      <c r="D1510" s="2">
        <v>52</v>
      </c>
      <c r="E1510" s="2">
        <v>54</v>
      </c>
      <c r="F1510" s="2" t="s">
        <v>5708</v>
      </c>
      <c r="H1510" s="2" t="s">
        <v>45</v>
      </c>
      <c r="K1510" s="4">
        <v>18771</v>
      </c>
      <c r="M1510" s="2" t="s">
        <v>336</v>
      </c>
      <c r="N1510" s="2" t="s">
        <v>2681</v>
      </c>
    </row>
    <row r="1511" spans="1:14">
      <c r="A1511" s="2">
        <v>1510</v>
      </c>
      <c r="B1511" s="3" t="s">
        <v>5709</v>
      </c>
      <c r="C1511" s="2" t="s">
        <v>5710</v>
      </c>
      <c r="D1511" s="2">
        <v>50</v>
      </c>
      <c r="E1511" s="2">
        <v>54</v>
      </c>
      <c r="F1511" s="2" t="s">
        <v>5711</v>
      </c>
      <c r="H1511" s="2" t="s">
        <v>17</v>
      </c>
      <c r="K1511" s="4">
        <v>21550</v>
      </c>
      <c r="M1511" s="2" t="s">
        <v>47</v>
      </c>
      <c r="N1511" s="2" t="s">
        <v>417</v>
      </c>
    </row>
    <row r="1512" spans="1:14">
      <c r="A1512" s="2">
        <v>1511</v>
      </c>
      <c r="B1512" s="3" t="s">
        <v>5712</v>
      </c>
      <c r="C1512" s="2" t="s">
        <v>5713</v>
      </c>
      <c r="D1512" s="2">
        <v>53</v>
      </c>
      <c r="E1512" s="2">
        <v>54</v>
      </c>
      <c r="F1512" s="2" t="s">
        <v>5714</v>
      </c>
      <c r="H1512" s="2" t="s">
        <v>17</v>
      </c>
      <c r="K1512" s="4">
        <v>21206</v>
      </c>
      <c r="M1512" s="2" t="s">
        <v>164</v>
      </c>
      <c r="N1512" s="2" t="s">
        <v>5715</v>
      </c>
    </row>
    <row r="1513" spans="1:14">
      <c r="A1513" s="2">
        <v>1512</v>
      </c>
      <c r="B1513" s="3" t="s">
        <v>5716</v>
      </c>
      <c r="C1513" s="2" t="s">
        <v>5717</v>
      </c>
      <c r="D1513" s="2">
        <v>50</v>
      </c>
      <c r="E1513" s="2">
        <v>54</v>
      </c>
      <c r="F1513" s="2" t="s">
        <v>5717</v>
      </c>
      <c r="H1513" s="2" t="s">
        <v>17</v>
      </c>
      <c r="K1513" s="4">
        <v>22203</v>
      </c>
      <c r="M1513" s="2" t="s">
        <v>40</v>
      </c>
      <c r="N1513" s="2" t="s">
        <v>2573</v>
      </c>
    </row>
    <row r="1514" spans="1:14">
      <c r="A1514" s="2">
        <v>1513</v>
      </c>
      <c r="B1514" s="3" t="s">
        <v>5718</v>
      </c>
      <c r="C1514" s="2" t="s">
        <v>5719</v>
      </c>
      <c r="D1514" s="2">
        <v>49</v>
      </c>
      <c r="E1514" s="2">
        <v>54</v>
      </c>
      <c r="F1514" s="2" t="s">
        <v>5720</v>
      </c>
      <c r="H1514" s="2" t="s">
        <v>17</v>
      </c>
      <c r="K1514" s="4">
        <v>17480</v>
      </c>
      <c r="L1514" s="4">
        <v>41704</v>
      </c>
      <c r="M1514" s="2" t="s">
        <v>198</v>
      </c>
      <c r="N1514" s="2" t="s">
        <v>199</v>
      </c>
    </row>
    <row r="1515" spans="1:14">
      <c r="A1515" s="2">
        <v>1514</v>
      </c>
      <c r="B1515" s="3" t="s">
        <v>5721</v>
      </c>
      <c r="C1515" s="2" t="s">
        <v>5722</v>
      </c>
      <c r="D1515" s="2">
        <v>53</v>
      </c>
      <c r="E1515" s="2">
        <v>54</v>
      </c>
      <c r="F1515" s="2" t="s">
        <v>5723</v>
      </c>
      <c r="H1515" s="2" t="s">
        <v>45</v>
      </c>
      <c r="K1515" s="4">
        <v>22338</v>
      </c>
      <c r="M1515" s="2" t="s">
        <v>66</v>
      </c>
      <c r="N1515" s="2" t="s">
        <v>71</v>
      </c>
    </row>
    <row r="1516" spans="1:14">
      <c r="A1516" s="2">
        <v>1515</v>
      </c>
      <c r="B1516" s="3" t="s">
        <v>5724</v>
      </c>
      <c r="C1516" s="2" t="s">
        <v>5725</v>
      </c>
      <c r="D1516" s="2">
        <v>54</v>
      </c>
      <c r="E1516" s="2">
        <v>54</v>
      </c>
      <c r="F1516" s="2" t="s">
        <v>5725</v>
      </c>
      <c r="H1516" s="2" t="s">
        <v>17</v>
      </c>
      <c r="K1516" s="4">
        <v>19695</v>
      </c>
      <c r="M1516" s="2" t="s">
        <v>53</v>
      </c>
      <c r="N1516" s="2" t="s">
        <v>5726</v>
      </c>
    </row>
    <row r="1517" spans="1:14">
      <c r="A1517" s="2">
        <v>1516</v>
      </c>
      <c r="B1517" s="3" t="s">
        <v>5727</v>
      </c>
      <c r="C1517" s="2" t="s">
        <v>5728</v>
      </c>
      <c r="D1517" s="2">
        <v>53</v>
      </c>
      <c r="E1517" s="2">
        <v>54</v>
      </c>
      <c r="F1517" s="2" t="s">
        <v>5729</v>
      </c>
      <c r="H1517" s="2" t="s">
        <v>45</v>
      </c>
      <c r="K1517" s="4">
        <v>20259</v>
      </c>
      <c r="M1517" s="2" t="s">
        <v>192</v>
      </c>
      <c r="N1517" s="2" t="s">
        <v>3675</v>
      </c>
    </row>
    <row r="1518" spans="1:14">
      <c r="A1518" s="2">
        <v>1517</v>
      </c>
      <c r="B1518" s="3" t="s">
        <v>5730</v>
      </c>
      <c r="C1518" s="2" t="s">
        <v>5731</v>
      </c>
      <c r="D1518" s="2">
        <v>54</v>
      </c>
      <c r="E1518" s="2">
        <v>54</v>
      </c>
      <c r="F1518" s="2" t="s">
        <v>5732</v>
      </c>
      <c r="H1518" s="2" t="s">
        <v>17</v>
      </c>
      <c r="K1518" s="4">
        <v>21012</v>
      </c>
      <c r="M1518" s="2" t="s">
        <v>247</v>
      </c>
      <c r="N1518" s="2" t="s">
        <v>562</v>
      </c>
    </row>
    <row r="1519" spans="1:14">
      <c r="A1519" s="2">
        <v>1518</v>
      </c>
      <c r="B1519" s="3" t="s">
        <v>5733</v>
      </c>
      <c r="C1519" s="2" t="s">
        <v>5734</v>
      </c>
      <c r="D1519" s="2">
        <v>54</v>
      </c>
      <c r="E1519" s="2">
        <v>54</v>
      </c>
      <c r="F1519" s="2" t="s">
        <v>5735</v>
      </c>
      <c r="H1519" s="2" t="s">
        <v>45</v>
      </c>
      <c r="K1519" s="4">
        <v>19065</v>
      </c>
      <c r="M1519" s="2" t="s">
        <v>185</v>
      </c>
      <c r="N1519" s="2" t="s">
        <v>838</v>
      </c>
    </row>
    <row r="1520" spans="1:14">
      <c r="A1520" s="2">
        <v>1519</v>
      </c>
      <c r="B1520" s="3" t="s">
        <v>5736</v>
      </c>
      <c r="C1520" s="2" t="s">
        <v>5737</v>
      </c>
      <c r="D1520" s="2">
        <v>49</v>
      </c>
      <c r="E1520" s="2">
        <v>54</v>
      </c>
      <c r="F1520" s="2" t="s">
        <v>5738</v>
      </c>
      <c r="H1520" s="2" t="s">
        <v>45</v>
      </c>
      <c r="I1520" s="3" t="s">
        <v>5739</v>
      </c>
      <c r="K1520" s="4">
        <v>20681</v>
      </c>
      <c r="M1520" s="2" t="s">
        <v>47</v>
      </c>
      <c r="N1520" s="2" t="s">
        <v>4440</v>
      </c>
    </row>
    <row r="1521" spans="1:14">
      <c r="A1521" s="2">
        <v>1520</v>
      </c>
      <c r="B1521" s="3" t="s">
        <v>5740</v>
      </c>
      <c r="C1521" s="2" t="s">
        <v>5741</v>
      </c>
      <c r="D1521" s="2">
        <v>53</v>
      </c>
      <c r="E1521" s="2">
        <v>54</v>
      </c>
      <c r="F1521" s="2" t="s">
        <v>5742</v>
      </c>
      <c r="H1521" s="2" t="s">
        <v>17</v>
      </c>
      <c r="K1521" s="4">
        <v>21333</v>
      </c>
      <c r="M1521" s="2" t="s">
        <v>53</v>
      </c>
      <c r="N1521" s="2" t="s">
        <v>668</v>
      </c>
    </row>
    <row r="1522" spans="1:14">
      <c r="A1522" s="2">
        <v>1521</v>
      </c>
      <c r="B1522" s="3" t="s">
        <v>5743</v>
      </c>
      <c r="C1522" s="2" t="s">
        <v>5744</v>
      </c>
      <c r="D1522" s="2">
        <v>49</v>
      </c>
      <c r="E1522" s="2">
        <v>54</v>
      </c>
      <c r="F1522" s="2" t="s">
        <v>5744</v>
      </c>
      <c r="H1522" s="2" t="s">
        <v>17</v>
      </c>
      <c r="K1522" s="4">
        <v>18121</v>
      </c>
      <c r="M1522" s="2" t="s">
        <v>47</v>
      </c>
      <c r="N1522" s="2" t="s">
        <v>48</v>
      </c>
    </row>
    <row r="1523" spans="1:14">
      <c r="A1523" s="2">
        <v>1522</v>
      </c>
      <c r="B1523" s="3" t="s">
        <v>5745</v>
      </c>
      <c r="C1523" s="2" t="s">
        <v>5746</v>
      </c>
      <c r="D1523" s="2">
        <v>54</v>
      </c>
      <c r="E1523" s="2">
        <v>54</v>
      </c>
      <c r="F1523" s="2" t="s">
        <v>5747</v>
      </c>
      <c r="H1523" s="2" t="s">
        <v>17</v>
      </c>
      <c r="K1523" s="4">
        <v>19004</v>
      </c>
      <c r="M1523" s="2" t="s">
        <v>53</v>
      </c>
      <c r="N1523" s="2" t="s">
        <v>894</v>
      </c>
    </row>
    <row r="1524" spans="1:14">
      <c r="A1524" s="2">
        <v>1523</v>
      </c>
      <c r="B1524" s="3" t="s">
        <v>5748</v>
      </c>
      <c r="C1524" s="2" t="s">
        <v>5749</v>
      </c>
      <c r="D1524" s="2">
        <v>54</v>
      </c>
      <c r="E1524" s="2">
        <v>54</v>
      </c>
      <c r="F1524" s="2" t="s">
        <v>5750</v>
      </c>
      <c r="H1524" s="2" t="s">
        <v>17</v>
      </c>
      <c r="K1524" s="4">
        <v>22508</v>
      </c>
      <c r="M1524" s="2" t="s">
        <v>164</v>
      </c>
      <c r="N1524" s="2" t="s">
        <v>5751</v>
      </c>
    </row>
    <row r="1525" spans="1:14">
      <c r="A1525" s="2">
        <v>1524</v>
      </c>
      <c r="B1525" s="3" t="s">
        <v>5752</v>
      </c>
      <c r="C1525" s="2" t="s">
        <v>5753</v>
      </c>
      <c r="D1525" s="2">
        <v>54</v>
      </c>
      <c r="E1525" s="2">
        <v>54</v>
      </c>
      <c r="F1525" s="2" t="s">
        <v>5753</v>
      </c>
      <c r="H1525" s="2" t="s">
        <v>17</v>
      </c>
      <c r="K1525" s="4">
        <v>21961</v>
      </c>
      <c r="M1525" s="2" t="s">
        <v>47</v>
      </c>
      <c r="N1525" s="2" t="s">
        <v>5754</v>
      </c>
    </row>
    <row r="1526" spans="1:14">
      <c r="A1526" s="2">
        <v>1525</v>
      </c>
      <c r="B1526" s="3" t="s">
        <v>5755</v>
      </c>
      <c r="C1526" s="2" t="s">
        <v>5756</v>
      </c>
      <c r="D1526" s="2">
        <v>54</v>
      </c>
      <c r="E1526" s="2">
        <v>54</v>
      </c>
      <c r="F1526" s="2" t="s">
        <v>5757</v>
      </c>
      <c r="H1526" s="2" t="s">
        <v>17</v>
      </c>
      <c r="K1526" s="4">
        <v>19327</v>
      </c>
      <c r="M1526" s="2" t="s">
        <v>47</v>
      </c>
      <c r="N1526" s="2" t="s">
        <v>996</v>
      </c>
    </row>
    <row r="1527" spans="1:14">
      <c r="A1527" s="2">
        <v>1526</v>
      </c>
      <c r="B1527" s="3" t="s">
        <v>5758</v>
      </c>
      <c r="C1527" s="2" t="s">
        <v>5759</v>
      </c>
      <c r="D1527" s="2">
        <v>53</v>
      </c>
      <c r="E1527" s="2">
        <v>54</v>
      </c>
      <c r="F1527" s="2" t="s">
        <v>5760</v>
      </c>
      <c r="H1527" s="2" t="s">
        <v>17</v>
      </c>
      <c r="K1527" s="4">
        <v>23484</v>
      </c>
      <c r="M1527" s="2" t="s">
        <v>66</v>
      </c>
      <c r="N1527" s="2" t="s">
        <v>105</v>
      </c>
    </row>
    <row r="1528" spans="1:14">
      <c r="A1528" s="2">
        <v>1527</v>
      </c>
      <c r="B1528" s="3" t="s">
        <v>5761</v>
      </c>
      <c r="C1528" s="2" t="s">
        <v>5762</v>
      </c>
      <c r="D1528" s="2">
        <v>53</v>
      </c>
      <c r="E1528" s="2">
        <v>54</v>
      </c>
      <c r="F1528" s="2" t="s">
        <v>5763</v>
      </c>
      <c r="H1528" s="2" t="s">
        <v>17</v>
      </c>
      <c r="K1528" s="4">
        <v>22006</v>
      </c>
      <c r="M1528" s="2" t="s">
        <v>66</v>
      </c>
      <c r="N1528" s="2" t="s">
        <v>3262</v>
      </c>
    </row>
    <row r="1529" spans="1:14">
      <c r="A1529" s="2">
        <v>1528</v>
      </c>
      <c r="B1529" s="3" t="s">
        <v>5764</v>
      </c>
      <c r="C1529" s="2" t="s">
        <v>5765</v>
      </c>
      <c r="D1529" s="2">
        <v>54</v>
      </c>
      <c r="E1529" s="2">
        <v>54</v>
      </c>
      <c r="F1529" s="2" t="s">
        <v>5766</v>
      </c>
      <c r="H1529" s="2" t="s">
        <v>17</v>
      </c>
      <c r="K1529" s="4">
        <v>22631</v>
      </c>
      <c r="M1529" s="2" t="s">
        <v>53</v>
      </c>
      <c r="N1529" s="2" t="s">
        <v>3473</v>
      </c>
    </row>
    <row r="1530" spans="1:14">
      <c r="A1530" s="2">
        <v>1529</v>
      </c>
      <c r="B1530" s="3" t="s">
        <v>5767</v>
      </c>
      <c r="C1530" s="2" t="s">
        <v>5768</v>
      </c>
      <c r="D1530" s="2">
        <v>49</v>
      </c>
      <c r="E1530" s="2">
        <v>54</v>
      </c>
      <c r="F1530" s="2" t="s">
        <v>5769</v>
      </c>
      <c r="H1530" s="2" t="s">
        <v>17</v>
      </c>
      <c r="K1530" s="4">
        <v>18673</v>
      </c>
      <c r="M1530" s="2" t="s">
        <v>53</v>
      </c>
      <c r="N1530" s="2" t="s">
        <v>5770</v>
      </c>
    </row>
    <row r="1531" spans="1:14">
      <c r="A1531" s="2">
        <v>1530</v>
      </c>
      <c r="B1531" s="3" t="s">
        <v>5771</v>
      </c>
      <c r="C1531" s="2" t="s">
        <v>5772</v>
      </c>
      <c r="D1531" s="2">
        <v>53</v>
      </c>
      <c r="E1531" s="2">
        <v>54</v>
      </c>
      <c r="F1531" s="2" t="s">
        <v>5773</v>
      </c>
      <c r="H1531" s="2" t="s">
        <v>17</v>
      </c>
      <c r="K1531" s="4">
        <v>20846</v>
      </c>
      <c r="M1531" s="2" t="s">
        <v>66</v>
      </c>
      <c r="N1531" s="2" t="s">
        <v>5774</v>
      </c>
    </row>
    <row r="1532" spans="1:14">
      <c r="A1532" s="2">
        <v>1531</v>
      </c>
      <c r="B1532" s="3" t="s">
        <v>5775</v>
      </c>
      <c r="C1532" s="2" t="s">
        <v>5776</v>
      </c>
      <c r="D1532" s="2">
        <v>53</v>
      </c>
      <c r="E1532" s="2">
        <v>54</v>
      </c>
      <c r="F1532" s="2" t="s">
        <v>5777</v>
      </c>
      <c r="H1532" s="2" t="s">
        <v>17</v>
      </c>
      <c r="K1532" s="4">
        <v>15518</v>
      </c>
      <c r="M1532" s="2" t="s">
        <v>35</v>
      </c>
      <c r="N1532" s="2" t="s">
        <v>5778</v>
      </c>
    </row>
    <row r="1533" spans="1:14">
      <c r="A1533" s="2">
        <v>1532</v>
      </c>
      <c r="B1533" s="3" t="s">
        <v>5779</v>
      </c>
      <c r="C1533" s="2" t="s">
        <v>5780</v>
      </c>
      <c r="D1533" s="2">
        <v>52</v>
      </c>
      <c r="E1533" s="2">
        <v>54</v>
      </c>
      <c r="F1533" s="2" t="s">
        <v>5781</v>
      </c>
      <c r="H1533" s="2" t="s">
        <v>17</v>
      </c>
      <c r="K1533" s="4">
        <v>19753</v>
      </c>
      <c r="M1533" s="2" t="s">
        <v>47</v>
      </c>
      <c r="N1533" s="2" t="s">
        <v>48</v>
      </c>
    </row>
    <row r="1534" spans="1:14">
      <c r="A1534" s="2">
        <v>1533</v>
      </c>
      <c r="B1534" s="3" t="s">
        <v>5782</v>
      </c>
      <c r="C1534" s="2" t="s">
        <v>5783</v>
      </c>
      <c r="D1534" s="2">
        <v>54</v>
      </c>
      <c r="E1534" s="2">
        <v>54</v>
      </c>
      <c r="F1534" s="2" t="s">
        <v>5784</v>
      </c>
      <c r="H1534" s="2" t="s">
        <v>17</v>
      </c>
      <c r="I1534" s="3" t="s">
        <v>5785</v>
      </c>
      <c r="K1534" s="4">
        <v>21478</v>
      </c>
      <c r="L1534" s="4">
        <v>44934</v>
      </c>
      <c r="M1534" s="2" t="s">
        <v>170</v>
      </c>
      <c r="N1534" s="2" t="s">
        <v>323</v>
      </c>
    </row>
    <row r="1535" spans="1:14">
      <c r="A1535" s="2">
        <v>1534</v>
      </c>
      <c r="B1535" s="3" t="s">
        <v>5786</v>
      </c>
      <c r="C1535" s="2" t="s">
        <v>5787</v>
      </c>
      <c r="D1535" s="2">
        <v>53</v>
      </c>
      <c r="E1535" s="2">
        <v>54</v>
      </c>
      <c r="F1535" s="2" t="s">
        <v>5788</v>
      </c>
      <c r="H1535" s="2" t="s">
        <v>17</v>
      </c>
      <c r="K1535" s="4">
        <v>18735</v>
      </c>
      <c r="M1535" s="2" t="s">
        <v>164</v>
      </c>
      <c r="N1535" s="2" t="s">
        <v>5789</v>
      </c>
    </row>
    <row r="1536" spans="1:14">
      <c r="A1536" s="2">
        <v>1535</v>
      </c>
      <c r="B1536" s="3" t="s">
        <v>5790</v>
      </c>
      <c r="C1536" s="2" t="s">
        <v>5791</v>
      </c>
      <c r="D1536" s="2">
        <v>49</v>
      </c>
      <c r="E1536" s="2">
        <v>54</v>
      </c>
      <c r="F1536" s="2" t="s">
        <v>5792</v>
      </c>
      <c r="H1536" s="2" t="s">
        <v>17</v>
      </c>
      <c r="K1536" s="4">
        <v>20972</v>
      </c>
      <c r="M1536" s="2" t="s">
        <v>18</v>
      </c>
      <c r="N1536" s="2" t="s">
        <v>1579</v>
      </c>
    </row>
    <row r="1537" spans="1:14">
      <c r="A1537" s="2">
        <v>1536</v>
      </c>
      <c r="B1537" s="3" t="s">
        <v>5793</v>
      </c>
      <c r="C1537" s="2" t="s">
        <v>5794</v>
      </c>
      <c r="D1537" s="2">
        <v>54</v>
      </c>
      <c r="E1537" s="2">
        <v>54</v>
      </c>
      <c r="F1537" s="2" t="s">
        <v>5795</v>
      </c>
      <c r="H1537" s="2" t="s">
        <v>17</v>
      </c>
      <c r="K1537" s="4">
        <v>21240</v>
      </c>
      <c r="M1537" s="2" t="s">
        <v>170</v>
      </c>
      <c r="N1537" s="2" t="s">
        <v>171</v>
      </c>
    </row>
    <row r="1538" spans="1:14">
      <c r="A1538" s="2">
        <v>1537</v>
      </c>
      <c r="B1538" s="3" t="s">
        <v>5796</v>
      </c>
      <c r="C1538" s="2" t="s">
        <v>5797</v>
      </c>
      <c r="D1538" s="2">
        <v>54</v>
      </c>
      <c r="E1538" s="2">
        <v>54</v>
      </c>
      <c r="F1538" s="2" t="s">
        <v>5797</v>
      </c>
      <c r="H1538" s="2" t="s">
        <v>17</v>
      </c>
      <c r="K1538" s="4">
        <v>17131</v>
      </c>
      <c r="M1538" s="2" t="s">
        <v>47</v>
      </c>
      <c r="N1538" s="2" t="s">
        <v>5798</v>
      </c>
    </row>
    <row r="1539" spans="1:14">
      <c r="A1539" s="2">
        <v>1538</v>
      </c>
      <c r="B1539" s="3" t="s">
        <v>5799</v>
      </c>
      <c r="C1539" s="2" t="s">
        <v>5800</v>
      </c>
      <c r="D1539" s="2">
        <v>54</v>
      </c>
      <c r="E1539" s="2">
        <v>54</v>
      </c>
      <c r="F1539" s="2" t="s">
        <v>5801</v>
      </c>
      <c r="H1539" s="2" t="s">
        <v>17</v>
      </c>
      <c r="K1539" s="4">
        <v>18302</v>
      </c>
      <c r="M1539" s="2" t="s">
        <v>40</v>
      </c>
      <c r="N1539" s="2" t="s">
        <v>5802</v>
      </c>
    </row>
    <row r="1540" spans="1:14">
      <c r="A1540" s="2">
        <v>1539</v>
      </c>
      <c r="B1540" s="3" t="s">
        <v>5803</v>
      </c>
      <c r="C1540" s="2" t="s">
        <v>5804</v>
      </c>
      <c r="D1540" s="2">
        <v>53</v>
      </c>
      <c r="E1540" s="2">
        <v>54</v>
      </c>
      <c r="F1540" s="2" t="s">
        <v>5805</v>
      </c>
      <c r="H1540" s="2" t="s">
        <v>17</v>
      </c>
      <c r="K1540" s="4">
        <v>12630</v>
      </c>
      <c r="L1540" s="4">
        <v>43543</v>
      </c>
      <c r="M1540" s="2" t="s">
        <v>76</v>
      </c>
      <c r="N1540" s="2" t="s">
        <v>764</v>
      </c>
    </row>
    <row r="1541" spans="1:14">
      <c r="A1541" s="2">
        <v>1540</v>
      </c>
      <c r="B1541" s="3" t="s">
        <v>5806</v>
      </c>
      <c r="C1541" s="2" t="s">
        <v>5807</v>
      </c>
      <c r="D1541" s="2">
        <v>51</v>
      </c>
      <c r="E1541" s="2">
        <v>54</v>
      </c>
      <c r="F1541" s="2" t="s">
        <v>5808</v>
      </c>
      <c r="H1541" s="2" t="s">
        <v>17</v>
      </c>
      <c r="K1541" s="4">
        <v>22316</v>
      </c>
      <c r="M1541" s="2" t="s">
        <v>164</v>
      </c>
      <c r="N1541" s="2" t="s">
        <v>165</v>
      </c>
    </row>
    <row r="1542" spans="1:14">
      <c r="A1542" s="2">
        <v>1541</v>
      </c>
      <c r="B1542" s="3" t="s">
        <v>5809</v>
      </c>
      <c r="C1542" s="2" t="s">
        <v>5810</v>
      </c>
      <c r="D1542" s="2">
        <v>52</v>
      </c>
      <c r="E1542" s="2">
        <v>54</v>
      </c>
      <c r="F1542" s="2" t="s">
        <v>5811</v>
      </c>
      <c r="H1542" s="2" t="s">
        <v>17</v>
      </c>
      <c r="K1542" s="4">
        <v>21811</v>
      </c>
      <c r="M1542" s="2" t="s">
        <v>122</v>
      </c>
      <c r="N1542" s="2" t="s">
        <v>5812</v>
      </c>
    </row>
    <row r="1543" spans="1:14">
      <c r="A1543" s="2">
        <v>1542</v>
      </c>
      <c r="B1543" s="3" t="s">
        <v>5813</v>
      </c>
      <c r="C1543" s="2" t="s">
        <v>5814</v>
      </c>
      <c r="D1543" s="2">
        <v>52</v>
      </c>
      <c r="E1543" s="2">
        <v>54</v>
      </c>
      <c r="F1543" s="2" t="s">
        <v>5815</v>
      </c>
      <c r="H1543" s="2" t="s">
        <v>17</v>
      </c>
      <c r="K1543" s="4">
        <v>18223</v>
      </c>
      <c r="L1543" s="4">
        <v>42060</v>
      </c>
      <c r="M1543" s="2" t="s">
        <v>40</v>
      </c>
      <c r="N1543" s="2" t="s">
        <v>41</v>
      </c>
    </row>
    <row r="1544" spans="1:14">
      <c r="A1544" s="2">
        <v>1543</v>
      </c>
      <c r="B1544" s="3" t="s">
        <v>5816</v>
      </c>
      <c r="C1544" s="2" t="s">
        <v>5817</v>
      </c>
      <c r="D1544" s="2">
        <v>54</v>
      </c>
      <c r="E1544" s="2">
        <v>54</v>
      </c>
      <c r="F1544" s="2" t="s">
        <v>5818</v>
      </c>
      <c r="H1544" s="2" t="s">
        <v>17</v>
      </c>
      <c r="K1544" s="4">
        <v>19343</v>
      </c>
      <c r="M1544" s="2" t="s">
        <v>170</v>
      </c>
      <c r="N1544" s="2" t="s">
        <v>3958</v>
      </c>
    </row>
    <row r="1545" spans="1:14">
      <c r="A1545" s="2">
        <v>1544</v>
      </c>
      <c r="B1545" s="3" t="s">
        <v>5819</v>
      </c>
      <c r="C1545" s="2" t="s">
        <v>5820</v>
      </c>
      <c r="D1545" s="2">
        <v>52</v>
      </c>
      <c r="E1545" s="2">
        <v>54</v>
      </c>
      <c r="F1545" s="2" t="s">
        <v>5821</v>
      </c>
      <c r="H1545" s="2" t="s">
        <v>17</v>
      </c>
      <c r="K1545" s="4">
        <v>16636</v>
      </c>
      <c r="M1545" s="2" t="s">
        <v>66</v>
      </c>
      <c r="N1545" s="2" t="s">
        <v>5822</v>
      </c>
    </row>
    <row r="1546" spans="1:14">
      <c r="A1546" s="2">
        <v>1545</v>
      </c>
      <c r="B1546" s="3" t="s">
        <v>5823</v>
      </c>
      <c r="C1546" s="2" t="s">
        <v>5824</v>
      </c>
      <c r="D1546" s="2">
        <v>53</v>
      </c>
      <c r="E1546" s="2">
        <v>53</v>
      </c>
      <c r="F1546" s="2" t="s">
        <v>5825</v>
      </c>
      <c r="H1546" s="2" t="s">
        <v>17</v>
      </c>
      <c r="K1546" s="4">
        <v>30419</v>
      </c>
    </row>
    <row r="1547" spans="1:14">
      <c r="A1547" s="2">
        <v>1546</v>
      </c>
      <c r="B1547" s="3" t="s">
        <v>5826</v>
      </c>
      <c r="C1547" s="2" t="s">
        <v>5827</v>
      </c>
      <c r="D1547" s="2">
        <v>53</v>
      </c>
      <c r="E1547" s="2">
        <v>53</v>
      </c>
      <c r="F1547" s="2" t="s">
        <v>5827</v>
      </c>
      <c r="H1547" s="2" t="s">
        <v>17</v>
      </c>
      <c r="K1547" s="4">
        <v>22616</v>
      </c>
    </row>
    <row r="1548" spans="1:14">
      <c r="A1548" s="2">
        <v>1547</v>
      </c>
      <c r="B1548" s="3" t="s">
        <v>5828</v>
      </c>
      <c r="C1548" s="2" t="s">
        <v>5829</v>
      </c>
      <c r="D1548" s="2">
        <v>49</v>
      </c>
      <c r="E1548" s="2">
        <v>53</v>
      </c>
      <c r="F1548" s="2" t="s">
        <v>5829</v>
      </c>
      <c r="H1548" s="2" t="s">
        <v>17</v>
      </c>
      <c r="K1548" s="4">
        <v>16789</v>
      </c>
      <c r="L1548" s="4">
        <v>39849</v>
      </c>
      <c r="M1548" s="2" t="s">
        <v>66</v>
      </c>
      <c r="N1548" s="2" t="s">
        <v>5830</v>
      </c>
    </row>
    <row r="1549" spans="1:14">
      <c r="A1549" s="2">
        <v>1548</v>
      </c>
      <c r="B1549" s="3" t="s">
        <v>5831</v>
      </c>
      <c r="C1549" s="2" t="s">
        <v>5832</v>
      </c>
      <c r="D1549" s="2">
        <v>50</v>
      </c>
      <c r="E1549" s="2">
        <v>53</v>
      </c>
      <c r="F1549" s="2" t="s">
        <v>5833</v>
      </c>
      <c r="H1549" s="2" t="s">
        <v>17</v>
      </c>
      <c r="K1549" s="4">
        <v>10713</v>
      </c>
      <c r="L1549" s="4">
        <v>40626</v>
      </c>
      <c r="M1549" s="2" t="s">
        <v>154</v>
      </c>
      <c r="N1549" s="2" t="s">
        <v>208</v>
      </c>
    </row>
    <row r="1550" spans="1:14">
      <c r="A1550" s="2">
        <v>1549</v>
      </c>
      <c r="B1550" s="3" t="s">
        <v>5834</v>
      </c>
      <c r="C1550" s="2" t="s">
        <v>5835</v>
      </c>
      <c r="D1550" s="2">
        <v>51</v>
      </c>
      <c r="E1550" s="2">
        <v>53</v>
      </c>
      <c r="F1550" s="2" t="s">
        <v>5835</v>
      </c>
      <c r="H1550" s="2" t="s">
        <v>17</v>
      </c>
      <c r="K1550" s="4">
        <v>25811</v>
      </c>
      <c r="L1550" s="4">
        <v>43191</v>
      </c>
      <c r="M1550" s="2" t="s">
        <v>154</v>
      </c>
      <c r="N1550" s="2" t="s">
        <v>5836</v>
      </c>
    </row>
    <row r="1551" spans="1:14">
      <c r="A1551" s="2">
        <v>1550</v>
      </c>
      <c r="B1551" s="3" t="s">
        <v>5837</v>
      </c>
      <c r="C1551" s="2" t="s">
        <v>5838</v>
      </c>
      <c r="D1551" s="2">
        <v>51</v>
      </c>
      <c r="E1551" s="2">
        <v>53</v>
      </c>
      <c r="F1551" s="2" t="s">
        <v>5839</v>
      </c>
      <c r="H1551" s="2" t="s">
        <v>17</v>
      </c>
      <c r="K1551" s="4">
        <v>17577</v>
      </c>
      <c r="M1551" s="2" t="s">
        <v>154</v>
      </c>
      <c r="N1551" s="2" t="s">
        <v>3516</v>
      </c>
    </row>
    <row r="1552" spans="1:14">
      <c r="A1552" s="2">
        <v>1551</v>
      </c>
      <c r="B1552" s="3" t="s">
        <v>5840</v>
      </c>
      <c r="C1552" s="2" t="s">
        <v>5841</v>
      </c>
      <c r="D1552" s="2">
        <v>53</v>
      </c>
      <c r="E1552" s="2">
        <v>53</v>
      </c>
      <c r="F1552" s="2" t="s">
        <v>5842</v>
      </c>
      <c r="H1552" s="2" t="s">
        <v>17</v>
      </c>
      <c r="K1552" s="4">
        <v>14937</v>
      </c>
      <c r="M1552" s="2" t="s">
        <v>91</v>
      </c>
      <c r="N1552" s="2" t="s">
        <v>677</v>
      </c>
    </row>
    <row r="1553" spans="1:14">
      <c r="A1553" s="2">
        <v>1552</v>
      </c>
      <c r="B1553" s="3" t="s">
        <v>5843</v>
      </c>
      <c r="C1553" s="2" t="s">
        <v>5844</v>
      </c>
      <c r="D1553" s="2">
        <v>48</v>
      </c>
      <c r="E1553" s="2">
        <v>53</v>
      </c>
      <c r="F1553" s="2" t="s">
        <v>5845</v>
      </c>
      <c r="H1553" s="2" t="s">
        <v>17</v>
      </c>
      <c r="K1553" s="4">
        <v>18363</v>
      </c>
      <c r="M1553" s="2" t="s">
        <v>198</v>
      </c>
      <c r="N1553" s="2" t="s">
        <v>5846</v>
      </c>
    </row>
    <row r="1554" spans="1:14">
      <c r="A1554" s="2">
        <v>1553</v>
      </c>
      <c r="B1554" s="3" t="s">
        <v>5847</v>
      </c>
      <c r="C1554" s="2" t="s">
        <v>5848</v>
      </c>
      <c r="D1554" s="2">
        <v>50</v>
      </c>
      <c r="E1554" s="2">
        <v>53</v>
      </c>
      <c r="F1554" s="2" t="s">
        <v>5849</v>
      </c>
      <c r="H1554" s="2" t="s">
        <v>17</v>
      </c>
      <c r="K1554" s="4">
        <v>6889</v>
      </c>
      <c r="L1554" s="4">
        <v>40084</v>
      </c>
      <c r="M1554" s="2" t="s">
        <v>140</v>
      </c>
      <c r="N1554" s="2" t="s">
        <v>5850</v>
      </c>
    </row>
    <row r="1555" spans="1:14">
      <c r="A1555" s="2">
        <v>1554</v>
      </c>
      <c r="B1555" s="3" t="s">
        <v>5851</v>
      </c>
      <c r="C1555" s="2" t="s">
        <v>5852</v>
      </c>
      <c r="D1555" s="2">
        <v>47</v>
      </c>
      <c r="E1555" s="2">
        <v>53</v>
      </c>
      <c r="F1555" s="2" t="s">
        <v>5853</v>
      </c>
      <c r="H1555" s="2" t="s">
        <v>17</v>
      </c>
      <c r="K1555" s="4">
        <v>16639</v>
      </c>
      <c r="M1555" s="2" t="s">
        <v>66</v>
      </c>
      <c r="N1555" s="2" t="s">
        <v>1147</v>
      </c>
    </row>
    <row r="1556" spans="1:14">
      <c r="A1556" s="2">
        <v>1555</v>
      </c>
      <c r="B1556" s="3" t="s">
        <v>5854</v>
      </c>
      <c r="C1556" s="2" t="s">
        <v>5855</v>
      </c>
      <c r="D1556" s="2">
        <v>53</v>
      </c>
      <c r="E1556" s="2">
        <v>53</v>
      </c>
      <c r="F1556" s="2" t="s">
        <v>5856</v>
      </c>
      <c r="H1556" s="2" t="s">
        <v>17</v>
      </c>
      <c r="K1556" s="4">
        <v>26883</v>
      </c>
      <c r="L1556" s="4">
        <v>43184</v>
      </c>
      <c r="M1556" s="2" t="s">
        <v>164</v>
      </c>
      <c r="N1556" s="2" t="s">
        <v>1223</v>
      </c>
    </row>
    <row r="1557" spans="1:14">
      <c r="A1557" s="2">
        <v>1556</v>
      </c>
      <c r="B1557" s="3" t="s">
        <v>5857</v>
      </c>
      <c r="C1557" s="2" t="s">
        <v>5858</v>
      </c>
      <c r="D1557" s="2">
        <v>53</v>
      </c>
      <c r="E1557" s="2">
        <v>53</v>
      </c>
      <c r="F1557" s="2" t="s">
        <v>5859</v>
      </c>
      <c r="H1557" s="2" t="s">
        <v>17</v>
      </c>
      <c r="K1557" s="4">
        <v>16127</v>
      </c>
      <c r="M1557" s="2" t="s">
        <v>47</v>
      </c>
      <c r="N1557" s="2" t="s">
        <v>48</v>
      </c>
    </row>
    <row r="1558" spans="1:14">
      <c r="A1558" s="2">
        <v>1557</v>
      </c>
      <c r="B1558" s="3" t="s">
        <v>5860</v>
      </c>
      <c r="C1558" s="2" t="s">
        <v>5861</v>
      </c>
      <c r="D1558" s="2">
        <v>53</v>
      </c>
      <c r="E1558" s="2">
        <v>53</v>
      </c>
      <c r="F1558" s="2" t="s">
        <v>5862</v>
      </c>
      <c r="H1558" s="2" t="s">
        <v>45</v>
      </c>
      <c r="K1558" s="4">
        <v>22680</v>
      </c>
      <c r="M1558" s="2" t="s">
        <v>85</v>
      </c>
      <c r="N1558" s="2" t="s">
        <v>1519</v>
      </c>
    </row>
    <row r="1559" spans="1:14">
      <c r="A1559" s="2">
        <v>1558</v>
      </c>
      <c r="B1559" s="3" t="s">
        <v>5863</v>
      </c>
      <c r="C1559" s="2" t="s">
        <v>5864</v>
      </c>
      <c r="D1559" s="2">
        <v>52</v>
      </c>
      <c r="E1559" s="2">
        <v>53</v>
      </c>
      <c r="F1559" s="2" t="s">
        <v>5865</v>
      </c>
      <c r="H1559" s="2" t="s">
        <v>45</v>
      </c>
      <c r="K1559" s="4">
        <v>24162</v>
      </c>
      <c r="M1559" s="2" t="s">
        <v>164</v>
      </c>
      <c r="N1559" s="2" t="s">
        <v>165</v>
      </c>
    </row>
    <row r="1560" spans="1:14">
      <c r="A1560" s="2">
        <v>1559</v>
      </c>
      <c r="B1560" s="3" t="s">
        <v>5866</v>
      </c>
      <c r="C1560" s="2" t="s">
        <v>5867</v>
      </c>
      <c r="D1560" s="2">
        <v>53</v>
      </c>
      <c r="E1560" s="2">
        <v>53</v>
      </c>
      <c r="F1560" s="2" t="s">
        <v>5868</v>
      </c>
      <c r="H1560" s="2" t="s">
        <v>17</v>
      </c>
      <c r="K1560" s="4">
        <v>22318</v>
      </c>
      <c r="M1560" s="2" t="s">
        <v>35</v>
      </c>
      <c r="N1560" s="2" t="s">
        <v>5869</v>
      </c>
    </row>
    <row r="1561" spans="1:14">
      <c r="A1561" s="2">
        <v>1560</v>
      </c>
      <c r="B1561" s="3" t="s">
        <v>5870</v>
      </c>
      <c r="C1561" s="2" t="s">
        <v>5871</v>
      </c>
      <c r="D1561" s="2">
        <v>51</v>
      </c>
      <c r="E1561" s="2">
        <v>53</v>
      </c>
      <c r="F1561" s="2" t="s">
        <v>5872</v>
      </c>
      <c r="H1561" s="2" t="s">
        <v>17</v>
      </c>
      <c r="K1561" s="4">
        <v>15495</v>
      </c>
      <c r="M1561" s="2" t="s">
        <v>154</v>
      </c>
      <c r="N1561" s="2" t="s">
        <v>208</v>
      </c>
    </row>
    <row r="1562" spans="1:14">
      <c r="A1562" s="2">
        <v>1561</v>
      </c>
      <c r="B1562" s="3" t="s">
        <v>5873</v>
      </c>
      <c r="C1562" s="2" t="s">
        <v>5874</v>
      </c>
      <c r="D1562" s="2">
        <v>53</v>
      </c>
      <c r="E1562" s="2">
        <v>53</v>
      </c>
      <c r="F1562" s="2" t="s">
        <v>5875</v>
      </c>
      <c r="H1562" s="2" t="s">
        <v>17</v>
      </c>
      <c r="K1562" s="4">
        <v>20511</v>
      </c>
      <c r="L1562" s="4">
        <v>45364</v>
      </c>
      <c r="M1562" s="2" t="s">
        <v>146</v>
      </c>
      <c r="N1562" s="2" t="s">
        <v>5876</v>
      </c>
    </row>
    <row r="1563" spans="1:14">
      <c r="A1563" s="2">
        <v>1562</v>
      </c>
      <c r="B1563" s="3" t="s">
        <v>5877</v>
      </c>
      <c r="C1563" s="2" t="s">
        <v>5878</v>
      </c>
      <c r="D1563" s="2">
        <v>50</v>
      </c>
      <c r="E1563" s="2">
        <v>53</v>
      </c>
      <c r="F1563" s="2" t="s">
        <v>5878</v>
      </c>
      <c r="H1563" s="2" t="s">
        <v>17</v>
      </c>
      <c r="K1563" s="4">
        <v>15916</v>
      </c>
      <c r="M1563" s="2" t="s">
        <v>47</v>
      </c>
      <c r="N1563" s="2" t="s">
        <v>48</v>
      </c>
    </row>
    <row r="1564" spans="1:14">
      <c r="A1564" s="2">
        <v>1563</v>
      </c>
      <c r="B1564" s="3" t="s">
        <v>5879</v>
      </c>
      <c r="C1564" s="2" t="s">
        <v>5880</v>
      </c>
      <c r="D1564" s="2">
        <v>51</v>
      </c>
      <c r="E1564" s="2">
        <v>53</v>
      </c>
      <c r="F1564" s="2" t="s">
        <v>5881</v>
      </c>
      <c r="H1564" s="2" t="s">
        <v>17</v>
      </c>
      <c r="K1564" s="4">
        <v>18237</v>
      </c>
      <c r="M1564" s="2" t="s">
        <v>18</v>
      </c>
      <c r="N1564" s="2" t="s">
        <v>19</v>
      </c>
    </row>
    <row r="1565" spans="1:14">
      <c r="A1565" s="2">
        <v>1564</v>
      </c>
      <c r="B1565" s="3" t="s">
        <v>5882</v>
      </c>
      <c r="C1565" s="2" t="s">
        <v>5883</v>
      </c>
      <c r="D1565" s="2">
        <v>50</v>
      </c>
      <c r="E1565" s="2">
        <v>53</v>
      </c>
      <c r="F1565" s="2" t="s">
        <v>5884</v>
      </c>
      <c r="H1565" s="2" t="s">
        <v>17</v>
      </c>
      <c r="K1565" s="4">
        <v>20625</v>
      </c>
      <c r="M1565" s="2" t="s">
        <v>85</v>
      </c>
      <c r="N1565" s="2" t="s">
        <v>1868</v>
      </c>
    </row>
    <row r="1566" spans="1:14">
      <c r="A1566" s="2">
        <v>1565</v>
      </c>
      <c r="B1566" s="3" t="s">
        <v>5885</v>
      </c>
      <c r="C1566" s="2" t="s">
        <v>5886</v>
      </c>
      <c r="D1566" s="2">
        <v>53</v>
      </c>
      <c r="E1566" s="2">
        <v>53</v>
      </c>
      <c r="F1566" s="2" t="s">
        <v>5887</v>
      </c>
      <c r="H1566" s="2" t="s">
        <v>17</v>
      </c>
      <c r="K1566" s="4">
        <v>18399</v>
      </c>
      <c r="M1566" s="2" t="s">
        <v>140</v>
      </c>
      <c r="N1566" s="2" t="s">
        <v>294</v>
      </c>
    </row>
    <row r="1567" spans="1:14">
      <c r="A1567" s="2">
        <v>1566</v>
      </c>
      <c r="B1567" s="3" t="s">
        <v>5888</v>
      </c>
      <c r="C1567" s="2" t="s">
        <v>5889</v>
      </c>
      <c r="D1567" s="2">
        <v>51</v>
      </c>
      <c r="E1567" s="2">
        <v>53</v>
      </c>
      <c r="F1567" s="2" t="s">
        <v>5890</v>
      </c>
      <c r="H1567" s="2" t="s">
        <v>17</v>
      </c>
      <c r="K1567" s="4">
        <v>22193</v>
      </c>
      <c r="M1567" s="2" t="s">
        <v>47</v>
      </c>
      <c r="N1567" s="2" t="s">
        <v>417</v>
      </c>
    </row>
    <row r="1568" spans="1:14">
      <c r="A1568" s="2">
        <v>1567</v>
      </c>
      <c r="B1568" s="3" t="s">
        <v>5891</v>
      </c>
      <c r="C1568" s="2" t="s">
        <v>5892</v>
      </c>
      <c r="D1568" s="2">
        <v>51</v>
      </c>
      <c r="E1568" s="2">
        <v>53</v>
      </c>
      <c r="F1568" s="2" t="s">
        <v>5893</v>
      </c>
      <c r="H1568" s="2" t="s">
        <v>17</v>
      </c>
      <c r="K1568" s="4">
        <v>19048</v>
      </c>
      <c r="M1568" s="2" t="s">
        <v>198</v>
      </c>
      <c r="N1568" s="2" t="s">
        <v>199</v>
      </c>
    </row>
    <row r="1569" spans="1:14">
      <c r="A1569" s="2">
        <v>1568</v>
      </c>
      <c r="B1569" s="3" t="s">
        <v>5894</v>
      </c>
      <c r="C1569" s="2" t="s">
        <v>5895</v>
      </c>
      <c r="D1569" s="2">
        <v>50</v>
      </c>
      <c r="E1569" s="2">
        <v>53</v>
      </c>
      <c r="F1569" s="2" t="s">
        <v>5896</v>
      </c>
      <c r="H1569" s="2" t="s">
        <v>17</v>
      </c>
      <c r="K1569" s="4">
        <v>14680</v>
      </c>
      <c r="M1569" s="2" t="s">
        <v>47</v>
      </c>
      <c r="N1569" s="2" t="s">
        <v>691</v>
      </c>
    </row>
    <row r="1570" spans="1:14">
      <c r="A1570" s="2">
        <v>1569</v>
      </c>
      <c r="B1570" s="3" t="s">
        <v>5897</v>
      </c>
      <c r="C1570" s="2" t="s">
        <v>5898</v>
      </c>
      <c r="D1570" s="2">
        <v>53</v>
      </c>
      <c r="E1570" s="2">
        <v>53</v>
      </c>
      <c r="F1570" s="2" t="s">
        <v>5899</v>
      </c>
      <c r="H1570" s="2" t="s">
        <v>17</v>
      </c>
      <c r="K1570" s="4">
        <v>17475</v>
      </c>
      <c r="M1570" s="2" t="s">
        <v>170</v>
      </c>
      <c r="N1570" s="2" t="s">
        <v>385</v>
      </c>
    </row>
    <row r="1571" spans="1:14">
      <c r="A1571" s="2">
        <v>1570</v>
      </c>
      <c r="B1571" s="3" t="s">
        <v>5900</v>
      </c>
      <c r="C1571" s="2" t="s">
        <v>5901</v>
      </c>
      <c r="D1571" s="2">
        <v>49</v>
      </c>
      <c r="E1571" s="2">
        <v>53</v>
      </c>
      <c r="F1571" s="2" t="s">
        <v>5902</v>
      </c>
      <c r="H1571" s="2" t="s">
        <v>17</v>
      </c>
      <c r="K1571" s="4">
        <v>20818</v>
      </c>
      <c r="M1571" s="2" t="s">
        <v>146</v>
      </c>
      <c r="N1571" s="2" t="s">
        <v>5903</v>
      </c>
    </row>
    <row r="1572" spans="1:14">
      <c r="A1572" s="2">
        <v>1571</v>
      </c>
      <c r="B1572" s="3" t="s">
        <v>5904</v>
      </c>
      <c r="C1572" s="2" t="s">
        <v>5905</v>
      </c>
      <c r="D1572" s="2">
        <v>50</v>
      </c>
      <c r="E1572" s="2">
        <v>53</v>
      </c>
      <c r="F1572" s="2" t="s">
        <v>5906</v>
      </c>
      <c r="H1572" s="2" t="s">
        <v>17</v>
      </c>
      <c r="K1572" s="4">
        <v>16935</v>
      </c>
      <c r="M1572" s="2" t="s">
        <v>170</v>
      </c>
      <c r="N1572" s="2" t="s">
        <v>323</v>
      </c>
    </row>
    <row r="1573" spans="1:14">
      <c r="A1573" s="2">
        <v>1572</v>
      </c>
      <c r="B1573" s="3" t="s">
        <v>5907</v>
      </c>
      <c r="C1573" s="2" t="s">
        <v>5908</v>
      </c>
      <c r="D1573" s="2">
        <v>49</v>
      </c>
      <c r="E1573" s="2">
        <v>53</v>
      </c>
      <c r="F1573" s="2" t="s">
        <v>5909</v>
      </c>
      <c r="H1573" s="2" t="s">
        <v>17</v>
      </c>
      <c r="K1573" s="4">
        <v>17163</v>
      </c>
      <c r="M1573" s="2" t="s">
        <v>140</v>
      </c>
      <c r="N1573" s="2" t="s">
        <v>141</v>
      </c>
    </row>
    <row r="1574" spans="1:14">
      <c r="A1574" s="2">
        <v>1573</v>
      </c>
      <c r="B1574" s="3" t="s">
        <v>5910</v>
      </c>
      <c r="C1574" s="2" t="s">
        <v>5911</v>
      </c>
      <c r="D1574" s="2">
        <v>53</v>
      </c>
      <c r="E1574" s="2">
        <v>53</v>
      </c>
      <c r="F1574" s="2" t="s">
        <v>5912</v>
      </c>
      <c r="H1574" s="2" t="s">
        <v>17</v>
      </c>
      <c r="K1574" s="4">
        <v>24369</v>
      </c>
      <c r="M1574" s="2" t="s">
        <v>47</v>
      </c>
      <c r="N1574" s="2" t="s">
        <v>5913</v>
      </c>
    </row>
    <row r="1575" spans="1:14">
      <c r="A1575" s="2">
        <v>1574</v>
      </c>
      <c r="B1575" s="3" t="s">
        <v>5914</v>
      </c>
      <c r="C1575" s="2" t="s">
        <v>5915</v>
      </c>
      <c r="D1575" s="2">
        <v>53</v>
      </c>
      <c r="E1575" s="2">
        <v>53</v>
      </c>
      <c r="F1575" s="2" t="s">
        <v>5916</v>
      </c>
      <c r="H1575" s="2" t="s">
        <v>45</v>
      </c>
      <c r="K1575" s="4">
        <v>19261</v>
      </c>
      <c r="M1575" s="2" t="s">
        <v>47</v>
      </c>
      <c r="N1575" s="2" t="s">
        <v>3278</v>
      </c>
    </row>
    <row r="1576" spans="1:14">
      <c r="A1576" s="2">
        <v>1575</v>
      </c>
      <c r="B1576" s="3" t="s">
        <v>5917</v>
      </c>
      <c r="C1576" s="2" t="s">
        <v>5918</v>
      </c>
      <c r="D1576" s="2">
        <v>53</v>
      </c>
      <c r="E1576" s="2">
        <v>53</v>
      </c>
      <c r="F1576" s="2" t="s">
        <v>5919</v>
      </c>
      <c r="H1576" s="2" t="s">
        <v>17</v>
      </c>
      <c r="K1576" s="4">
        <v>21280</v>
      </c>
      <c r="M1576" s="2" t="s">
        <v>185</v>
      </c>
      <c r="N1576" s="2" t="s">
        <v>1571</v>
      </c>
    </row>
    <row r="1577" spans="1:14">
      <c r="A1577" s="2">
        <v>1576</v>
      </c>
      <c r="B1577" s="3" t="s">
        <v>5920</v>
      </c>
      <c r="C1577" s="2" t="s">
        <v>5921</v>
      </c>
      <c r="D1577" s="2">
        <v>50</v>
      </c>
      <c r="E1577" s="2">
        <v>53</v>
      </c>
      <c r="F1577" s="2" t="s">
        <v>5921</v>
      </c>
      <c r="H1577" s="2" t="s">
        <v>17</v>
      </c>
      <c r="K1577" s="4">
        <v>15462</v>
      </c>
      <c r="L1577" s="4">
        <v>45671</v>
      </c>
      <c r="M1577" s="2" t="s">
        <v>146</v>
      </c>
      <c r="N1577" s="2" t="s">
        <v>5922</v>
      </c>
    </row>
    <row r="1578" spans="1:14">
      <c r="A1578" s="2">
        <v>1577</v>
      </c>
      <c r="B1578" s="3" t="s">
        <v>5923</v>
      </c>
      <c r="C1578" s="2" t="s">
        <v>5924</v>
      </c>
      <c r="D1578" s="2">
        <v>52</v>
      </c>
      <c r="E1578" s="2">
        <v>53</v>
      </c>
      <c r="F1578" s="2" t="s">
        <v>5925</v>
      </c>
      <c r="H1578" s="2" t="s">
        <v>17</v>
      </c>
      <c r="K1578" s="4">
        <v>25471</v>
      </c>
      <c r="M1578" s="2" t="s">
        <v>170</v>
      </c>
      <c r="N1578" s="2" t="s">
        <v>323</v>
      </c>
    </row>
    <row r="1579" spans="1:14">
      <c r="A1579" s="2">
        <v>1578</v>
      </c>
      <c r="B1579" s="3" t="s">
        <v>5926</v>
      </c>
      <c r="C1579" s="2" t="s">
        <v>5927</v>
      </c>
      <c r="D1579" s="2">
        <v>53</v>
      </c>
      <c r="E1579" s="2">
        <v>53</v>
      </c>
      <c r="F1579" s="2" t="s">
        <v>5928</v>
      </c>
      <c r="H1579" s="2" t="s">
        <v>17</v>
      </c>
      <c r="K1579" s="4">
        <v>21413</v>
      </c>
      <c r="M1579" s="2" t="s">
        <v>47</v>
      </c>
      <c r="N1579" s="2" t="s">
        <v>48</v>
      </c>
    </row>
    <row r="1580" spans="1:14">
      <c r="A1580" s="2">
        <v>1579</v>
      </c>
      <c r="B1580" s="3" t="s">
        <v>5929</v>
      </c>
      <c r="C1580" s="2" t="s">
        <v>5930</v>
      </c>
      <c r="D1580" s="2">
        <v>53</v>
      </c>
      <c r="E1580" s="2">
        <v>53</v>
      </c>
      <c r="F1580" s="2" t="s">
        <v>5931</v>
      </c>
      <c r="H1580" s="2" t="s">
        <v>17</v>
      </c>
      <c r="K1580" s="4">
        <v>23113</v>
      </c>
      <c r="M1580" s="2" t="s">
        <v>192</v>
      </c>
      <c r="N1580" s="2" t="s">
        <v>3113</v>
      </c>
    </row>
    <row r="1581" spans="1:14">
      <c r="A1581" s="2">
        <v>1580</v>
      </c>
      <c r="B1581" s="3" t="s">
        <v>5932</v>
      </c>
      <c r="C1581" s="2" t="s">
        <v>5933</v>
      </c>
      <c r="D1581" s="2">
        <v>51</v>
      </c>
      <c r="E1581" s="2">
        <v>53</v>
      </c>
      <c r="F1581" s="2" t="s">
        <v>5933</v>
      </c>
      <c r="H1581" s="2" t="s">
        <v>17</v>
      </c>
      <c r="K1581" s="4">
        <v>20348</v>
      </c>
      <c r="M1581" s="2" t="s">
        <v>423</v>
      </c>
      <c r="N1581" s="2" t="s">
        <v>3088</v>
      </c>
    </row>
    <row r="1582" spans="1:14">
      <c r="A1582" s="2">
        <v>1581</v>
      </c>
      <c r="B1582" s="3" t="s">
        <v>5934</v>
      </c>
      <c r="C1582" s="2" t="s">
        <v>5935</v>
      </c>
      <c r="D1582" s="2">
        <v>52</v>
      </c>
      <c r="E1582" s="2">
        <v>53</v>
      </c>
      <c r="F1582" s="2" t="s">
        <v>5936</v>
      </c>
      <c r="H1582" s="2" t="s">
        <v>17</v>
      </c>
      <c r="K1582" s="4">
        <v>22669</v>
      </c>
      <c r="M1582" s="2" t="s">
        <v>170</v>
      </c>
      <c r="N1582" s="2" t="s">
        <v>1154</v>
      </c>
    </row>
    <row r="1583" spans="1:14">
      <c r="A1583" s="2">
        <v>1582</v>
      </c>
      <c r="B1583" s="3" t="s">
        <v>5937</v>
      </c>
      <c r="C1583" s="2" t="s">
        <v>5938</v>
      </c>
      <c r="D1583" s="2">
        <v>53</v>
      </c>
      <c r="E1583" s="2">
        <v>53</v>
      </c>
      <c r="F1583" s="2" t="s">
        <v>5939</v>
      </c>
      <c r="H1583" s="2" t="s">
        <v>17</v>
      </c>
      <c r="K1583" s="4">
        <v>19974</v>
      </c>
      <c r="M1583" s="2" t="s">
        <v>35</v>
      </c>
      <c r="N1583" s="2" t="s">
        <v>5940</v>
      </c>
    </row>
    <row r="1584" spans="1:14">
      <c r="A1584" s="2">
        <v>1583</v>
      </c>
      <c r="B1584" s="3" t="s">
        <v>5941</v>
      </c>
      <c r="C1584" s="2" t="s">
        <v>5942</v>
      </c>
      <c r="D1584" s="2">
        <v>53</v>
      </c>
      <c r="E1584" s="2">
        <v>53</v>
      </c>
      <c r="F1584" s="2" t="s">
        <v>5943</v>
      </c>
      <c r="H1584" s="2" t="s">
        <v>17</v>
      </c>
      <c r="K1584" s="4">
        <v>19005</v>
      </c>
      <c r="M1584" s="2" t="s">
        <v>146</v>
      </c>
      <c r="N1584" s="2" t="s">
        <v>147</v>
      </c>
    </row>
    <row r="1585" spans="1:14">
      <c r="A1585" s="2">
        <v>1584</v>
      </c>
      <c r="B1585" s="3" t="s">
        <v>5944</v>
      </c>
      <c r="C1585" s="2" t="s">
        <v>5945</v>
      </c>
      <c r="D1585" s="2">
        <v>49</v>
      </c>
      <c r="E1585" s="2">
        <v>53</v>
      </c>
      <c r="F1585" s="2" t="s">
        <v>5946</v>
      </c>
      <c r="H1585" s="2" t="s">
        <v>17</v>
      </c>
      <c r="K1585" s="4">
        <v>22426</v>
      </c>
      <c r="M1585" s="2" t="s">
        <v>192</v>
      </c>
      <c r="N1585" s="2" t="s">
        <v>3113</v>
      </c>
    </row>
    <row r="1586" spans="1:14">
      <c r="A1586" s="2">
        <v>1585</v>
      </c>
      <c r="B1586" s="3" t="s">
        <v>5947</v>
      </c>
      <c r="C1586" s="2" t="s">
        <v>5948</v>
      </c>
      <c r="D1586" s="2">
        <v>52</v>
      </c>
      <c r="E1586" s="2">
        <v>53</v>
      </c>
      <c r="F1586" s="2" t="s">
        <v>5949</v>
      </c>
      <c r="H1586" s="2" t="s">
        <v>17</v>
      </c>
      <c r="K1586" s="4">
        <v>20668</v>
      </c>
      <c r="M1586" s="2" t="s">
        <v>35</v>
      </c>
      <c r="N1586" s="2" t="s">
        <v>58</v>
      </c>
    </row>
    <row r="1587" spans="1:14">
      <c r="A1587" s="2">
        <v>1586</v>
      </c>
      <c r="B1587" s="3" t="s">
        <v>5950</v>
      </c>
      <c r="C1587" s="2" t="s">
        <v>5951</v>
      </c>
      <c r="D1587" s="2">
        <v>45</v>
      </c>
      <c r="E1587" s="2">
        <v>53</v>
      </c>
      <c r="F1587" s="2" t="s">
        <v>5952</v>
      </c>
      <c r="H1587" s="2" t="s">
        <v>17</v>
      </c>
      <c r="K1587" s="4">
        <v>18333</v>
      </c>
      <c r="L1587" s="4">
        <v>39914</v>
      </c>
      <c r="M1587" s="2" t="s">
        <v>198</v>
      </c>
      <c r="N1587" s="2" t="s">
        <v>199</v>
      </c>
    </row>
    <row r="1588" spans="1:14">
      <c r="A1588" s="2">
        <v>1587</v>
      </c>
      <c r="B1588" s="3" t="s">
        <v>5953</v>
      </c>
      <c r="C1588" s="2" t="s">
        <v>5954</v>
      </c>
      <c r="D1588" s="2">
        <v>53</v>
      </c>
      <c r="E1588" s="2">
        <v>53</v>
      </c>
      <c r="F1588" s="2" t="s">
        <v>5955</v>
      </c>
      <c r="H1588" s="2" t="s">
        <v>17</v>
      </c>
      <c r="K1588" s="4">
        <v>15279</v>
      </c>
      <c r="M1588" s="2" t="s">
        <v>47</v>
      </c>
      <c r="N1588" s="2" t="s">
        <v>5956</v>
      </c>
    </row>
    <row r="1589" spans="1:14">
      <c r="A1589" s="2">
        <v>1588</v>
      </c>
      <c r="B1589" s="3" t="s">
        <v>5957</v>
      </c>
      <c r="C1589" s="2" t="s">
        <v>5958</v>
      </c>
      <c r="D1589" s="2">
        <v>51</v>
      </c>
      <c r="E1589" s="2">
        <v>53</v>
      </c>
      <c r="F1589" s="2" t="s">
        <v>5959</v>
      </c>
      <c r="H1589" s="2" t="s">
        <v>45</v>
      </c>
      <c r="K1589" s="4">
        <v>16062</v>
      </c>
      <c r="M1589" s="2" t="s">
        <v>18</v>
      </c>
      <c r="N1589" s="2" t="s">
        <v>5960</v>
      </c>
    </row>
    <row r="1590" spans="1:14">
      <c r="A1590" s="2">
        <v>1589</v>
      </c>
      <c r="B1590" s="3" t="s">
        <v>5961</v>
      </c>
      <c r="C1590" s="2" t="s">
        <v>5962</v>
      </c>
      <c r="D1590" s="2">
        <v>51</v>
      </c>
      <c r="E1590" s="2">
        <v>53</v>
      </c>
      <c r="F1590" s="2" t="s">
        <v>5963</v>
      </c>
      <c r="H1590" s="2" t="s">
        <v>17</v>
      </c>
      <c r="K1590" s="4">
        <v>19047</v>
      </c>
      <c r="M1590" s="2" t="s">
        <v>66</v>
      </c>
      <c r="N1590" s="2" t="s">
        <v>1069</v>
      </c>
    </row>
    <row r="1591" spans="1:14">
      <c r="A1591" s="2">
        <v>1590</v>
      </c>
      <c r="B1591" s="3" t="s">
        <v>5964</v>
      </c>
      <c r="C1591" s="2" t="s">
        <v>5965</v>
      </c>
      <c r="D1591" s="2">
        <v>53</v>
      </c>
      <c r="E1591" s="2">
        <v>53</v>
      </c>
      <c r="F1591" s="2" t="s">
        <v>5965</v>
      </c>
      <c r="H1591" s="2" t="s">
        <v>17</v>
      </c>
      <c r="K1591" s="4">
        <v>21297</v>
      </c>
    </row>
    <row r="1592" spans="1:14">
      <c r="A1592" s="2">
        <v>1591</v>
      </c>
      <c r="B1592" s="3" t="s">
        <v>5966</v>
      </c>
      <c r="C1592" s="2" t="s">
        <v>5967</v>
      </c>
      <c r="D1592" s="2">
        <v>52</v>
      </c>
      <c r="E1592" s="2">
        <v>53</v>
      </c>
      <c r="F1592" s="2" t="s">
        <v>5968</v>
      </c>
      <c r="H1592" s="2" t="s">
        <v>17</v>
      </c>
      <c r="K1592" s="4">
        <v>24646</v>
      </c>
      <c r="M1592" s="2" t="s">
        <v>198</v>
      </c>
      <c r="N1592" s="2" t="s">
        <v>199</v>
      </c>
    </row>
    <row r="1593" spans="1:14">
      <c r="A1593" s="2">
        <v>1592</v>
      </c>
      <c r="B1593" s="3" t="s">
        <v>5969</v>
      </c>
      <c r="C1593" s="2" t="s">
        <v>5970</v>
      </c>
      <c r="D1593" s="2">
        <v>53</v>
      </c>
      <c r="E1593" s="2">
        <v>53</v>
      </c>
      <c r="F1593" s="2" t="s">
        <v>5971</v>
      </c>
      <c r="H1593" s="2" t="s">
        <v>17</v>
      </c>
      <c r="K1593" s="4">
        <v>20963</v>
      </c>
      <c r="M1593" s="2" t="s">
        <v>122</v>
      </c>
      <c r="N1593" s="2" t="s">
        <v>3058</v>
      </c>
    </row>
    <row r="1594" spans="1:14">
      <c r="A1594" s="2">
        <v>1593</v>
      </c>
      <c r="B1594" s="3" t="s">
        <v>5972</v>
      </c>
      <c r="C1594" s="2" t="s">
        <v>5973</v>
      </c>
      <c r="D1594" s="2">
        <v>50</v>
      </c>
      <c r="E1594" s="2">
        <v>53</v>
      </c>
      <c r="F1594" s="2" t="s">
        <v>5974</v>
      </c>
      <c r="H1594" s="2" t="s">
        <v>17</v>
      </c>
      <c r="K1594" s="4">
        <v>19919</v>
      </c>
      <c r="M1594" s="2" t="s">
        <v>423</v>
      </c>
      <c r="N1594" s="2" t="s">
        <v>5975</v>
      </c>
    </row>
    <row r="1595" spans="1:14">
      <c r="A1595" s="2">
        <v>1594</v>
      </c>
      <c r="B1595" s="3" t="s">
        <v>5976</v>
      </c>
      <c r="C1595" s="2" t="s">
        <v>5977</v>
      </c>
      <c r="D1595" s="2">
        <v>53</v>
      </c>
      <c r="E1595" s="2">
        <v>53</v>
      </c>
      <c r="F1595" s="2" t="s">
        <v>5978</v>
      </c>
      <c r="H1595" s="2" t="s">
        <v>17</v>
      </c>
      <c r="K1595" s="4">
        <v>20665</v>
      </c>
      <c r="M1595" s="2" t="s">
        <v>18</v>
      </c>
      <c r="N1595" s="2" t="s">
        <v>19</v>
      </c>
    </row>
    <row r="1596" spans="1:14">
      <c r="A1596" s="2">
        <v>1595</v>
      </c>
      <c r="B1596" s="3" t="s">
        <v>5979</v>
      </c>
      <c r="C1596" s="2" t="s">
        <v>5980</v>
      </c>
      <c r="D1596" s="2">
        <v>53</v>
      </c>
      <c r="E1596" s="2">
        <v>53</v>
      </c>
      <c r="F1596" s="2" t="s">
        <v>5981</v>
      </c>
      <c r="H1596" s="2" t="s">
        <v>17</v>
      </c>
      <c r="K1596" s="4">
        <v>20583</v>
      </c>
      <c r="M1596" s="2" t="s">
        <v>164</v>
      </c>
      <c r="N1596" s="2" t="s">
        <v>5982</v>
      </c>
    </row>
    <row r="1597" spans="1:14">
      <c r="A1597" s="2">
        <v>1596</v>
      </c>
      <c r="B1597" s="3" t="s">
        <v>5983</v>
      </c>
      <c r="C1597" s="2" t="s">
        <v>5984</v>
      </c>
      <c r="D1597" s="2">
        <v>53</v>
      </c>
      <c r="E1597" s="2">
        <v>53</v>
      </c>
      <c r="F1597" s="2" t="s">
        <v>5985</v>
      </c>
      <c r="H1597" s="2" t="s">
        <v>45</v>
      </c>
      <c r="K1597" s="4">
        <v>21205</v>
      </c>
      <c r="M1597" s="2" t="s">
        <v>170</v>
      </c>
      <c r="N1597" s="2" t="s">
        <v>323</v>
      </c>
    </row>
    <row r="1598" spans="1:14">
      <c r="A1598" s="2">
        <v>1597</v>
      </c>
      <c r="B1598" s="3" t="s">
        <v>5986</v>
      </c>
      <c r="C1598" s="2" t="s">
        <v>5987</v>
      </c>
      <c r="D1598" s="2">
        <v>53</v>
      </c>
      <c r="E1598" s="2">
        <v>53</v>
      </c>
      <c r="F1598" s="2" t="s">
        <v>5988</v>
      </c>
      <c r="H1598" s="2" t="s">
        <v>17</v>
      </c>
      <c r="K1598" s="4">
        <v>21130</v>
      </c>
      <c r="M1598" s="2" t="s">
        <v>47</v>
      </c>
      <c r="N1598" s="2" t="s">
        <v>4066</v>
      </c>
    </row>
    <row r="1599" spans="1:14">
      <c r="A1599" s="2">
        <v>1598</v>
      </c>
      <c r="B1599" s="3" t="s">
        <v>5989</v>
      </c>
      <c r="C1599" s="2" t="s">
        <v>5990</v>
      </c>
      <c r="D1599" s="2">
        <v>50</v>
      </c>
      <c r="E1599" s="2">
        <v>53</v>
      </c>
      <c r="F1599" s="2" t="s">
        <v>5991</v>
      </c>
      <c r="H1599" s="2" t="s">
        <v>17</v>
      </c>
      <c r="K1599" s="4">
        <v>25163</v>
      </c>
      <c r="M1599" s="2" t="s">
        <v>140</v>
      </c>
      <c r="N1599" s="2" t="s">
        <v>294</v>
      </c>
    </row>
    <row r="1600" spans="1:14">
      <c r="A1600" s="2">
        <v>1599</v>
      </c>
      <c r="B1600" s="3" t="s">
        <v>5992</v>
      </c>
      <c r="C1600" s="2" t="s">
        <v>5993</v>
      </c>
      <c r="D1600" s="2">
        <v>53</v>
      </c>
      <c r="E1600" s="2">
        <v>53</v>
      </c>
      <c r="F1600" s="2" t="s">
        <v>5994</v>
      </c>
      <c r="H1600" s="2" t="s">
        <v>17</v>
      </c>
      <c r="K1600" s="4">
        <v>20645</v>
      </c>
      <c r="M1600" s="2" t="s">
        <v>35</v>
      </c>
      <c r="N1600" s="2" t="s">
        <v>4936</v>
      </c>
    </row>
    <row r="1601" spans="1:14">
      <c r="A1601" s="2">
        <v>1600</v>
      </c>
      <c r="B1601" s="3" t="s">
        <v>5995</v>
      </c>
      <c r="C1601" s="2" t="s">
        <v>5996</v>
      </c>
      <c r="D1601" s="2">
        <v>52</v>
      </c>
      <c r="E1601" s="2">
        <v>53</v>
      </c>
      <c r="F1601" s="2" t="s">
        <v>5997</v>
      </c>
      <c r="H1601" s="2" t="s">
        <v>17</v>
      </c>
      <c r="K1601" s="4">
        <v>19635</v>
      </c>
      <c r="M1601" s="2" t="s">
        <v>66</v>
      </c>
      <c r="N1601" s="2" t="s">
        <v>131</v>
      </c>
    </row>
    <row r="1602" spans="1:14">
      <c r="A1602" s="2">
        <v>1601</v>
      </c>
      <c r="B1602" s="3" t="s">
        <v>5998</v>
      </c>
      <c r="C1602" s="2" t="s">
        <v>5999</v>
      </c>
      <c r="D1602" s="2">
        <v>52</v>
      </c>
      <c r="E1602" s="2">
        <v>53</v>
      </c>
      <c r="F1602" s="2" t="s">
        <v>6000</v>
      </c>
      <c r="H1602" s="2" t="s">
        <v>17</v>
      </c>
      <c r="K1602" s="4">
        <v>18815</v>
      </c>
      <c r="M1602" s="2" t="s">
        <v>47</v>
      </c>
      <c r="N1602" s="2" t="s">
        <v>2201</v>
      </c>
    </row>
    <row r="1603" spans="1:14">
      <c r="A1603" s="2">
        <v>1602</v>
      </c>
      <c r="B1603" s="3" t="s">
        <v>6001</v>
      </c>
      <c r="C1603" s="2" t="s">
        <v>6002</v>
      </c>
      <c r="D1603" s="2">
        <v>53</v>
      </c>
      <c r="E1603" s="2">
        <v>53</v>
      </c>
      <c r="F1603" s="2" t="s">
        <v>6002</v>
      </c>
      <c r="H1603" s="2" t="s">
        <v>17</v>
      </c>
      <c r="K1603" s="4">
        <v>13683</v>
      </c>
      <c r="L1603" s="4">
        <v>39889</v>
      </c>
      <c r="M1603" s="2" t="s">
        <v>47</v>
      </c>
      <c r="N1603" s="2" t="s">
        <v>6003</v>
      </c>
    </row>
    <row r="1604" spans="1:14">
      <c r="A1604" s="2">
        <v>1603</v>
      </c>
      <c r="B1604" s="3" t="s">
        <v>6004</v>
      </c>
      <c r="C1604" s="2" t="s">
        <v>6005</v>
      </c>
      <c r="D1604" s="2">
        <v>52</v>
      </c>
      <c r="E1604" s="2">
        <v>53</v>
      </c>
      <c r="F1604" s="2" t="s">
        <v>6006</v>
      </c>
      <c r="H1604" s="2" t="s">
        <v>17</v>
      </c>
      <c r="K1604" s="4">
        <v>25242</v>
      </c>
      <c r="M1604" s="2" t="s">
        <v>969</v>
      </c>
      <c r="N1604" s="2" t="s">
        <v>970</v>
      </c>
    </row>
    <row r="1605" spans="1:14">
      <c r="A1605" s="2">
        <v>1604</v>
      </c>
      <c r="B1605" s="3" t="s">
        <v>6007</v>
      </c>
      <c r="C1605" s="2" t="s">
        <v>6008</v>
      </c>
      <c r="D1605" s="2">
        <v>53</v>
      </c>
      <c r="E1605" s="2">
        <v>53</v>
      </c>
      <c r="F1605" s="2" t="s">
        <v>6009</v>
      </c>
      <c r="H1605" s="2" t="s">
        <v>17</v>
      </c>
      <c r="K1605" s="4">
        <v>26818</v>
      </c>
      <c r="M1605" s="2" t="s">
        <v>47</v>
      </c>
      <c r="N1605" s="2" t="s">
        <v>6010</v>
      </c>
    </row>
    <row r="1606" spans="1:14">
      <c r="A1606" s="2">
        <v>1605</v>
      </c>
      <c r="B1606" s="3" t="s">
        <v>6011</v>
      </c>
      <c r="C1606" s="2" t="s">
        <v>6012</v>
      </c>
      <c r="D1606" s="2">
        <v>51</v>
      </c>
      <c r="E1606" s="2">
        <v>53</v>
      </c>
      <c r="F1606" s="2" t="s">
        <v>6013</v>
      </c>
      <c r="H1606" s="2" t="s">
        <v>17</v>
      </c>
      <c r="K1606" s="4">
        <v>17626</v>
      </c>
      <c r="M1606" s="2" t="s">
        <v>35</v>
      </c>
      <c r="N1606" s="2" t="s">
        <v>6014</v>
      </c>
    </row>
    <row r="1607" spans="1:14">
      <c r="A1607" s="2">
        <v>1606</v>
      </c>
      <c r="B1607" s="3" t="s">
        <v>6015</v>
      </c>
      <c r="C1607" s="2" t="s">
        <v>6016</v>
      </c>
      <c r="D1607" s="2">
        <v>53</v>
      </c>
      <c r="E1607" s="2">
        <v>53</v>
      </c>
      <c r="F1607" s="2" t="s">
        <v>6017</v>
      </c>
      <c r="H1607" s="2" t="s">
        <v>17</v>
      </c>
      <c r="K1607" s="4">
        <v>25193</v>
      </c>
      <c r="M1607" s="2" t="s">
        <v>122</v>
      </c>
      <c r="N1607" s="2" t="s">
        <v>5103</v>
      </c>
    </row>
    <row r="1608" spans="1:14">
      <c r="A1608" s="2">
        <v>1607</v>
      </c>
      <c r="B1608" s="3" t="s">
        <v>6018</v>
      </c>
      <c r="C1608" s="2" t="s">
        <v>6019</v>
      </c>
      <c r="D1608" s="2">
        <v>53</v>
      </c>
      <c r="E1608" s="2">
        <v>53</v>
      </c>
      <c r="F1608" s="2" t="s">
        <v>6020</v>
      </c>
      <c r="H1608" s="2" t="s">
        <v>17</v>
      </c>
      <c r="K1608" s="4">
        <v>22712</v>
      </c>
      <c r="M1608" s="2" t="s">
        <v>423</v>
      </c>
      <c r="N1608" s="2" t="s">
        <v>4460</v>
      </c>
    </row>
    <row r="1609" spans="1:14">
      <c r="A1609" s="2">
        <v>1608</v>
      </c>
      <c r="B1609" s="3" t="s">
        <v>6021</v>
      </c>
      <c r="C1609" s="2" t="s">
        <v>6022</v>
      </c>
      <c r="D1609" s="2">
        <v>53</v>
      </c>
      <c r="E1609" s="2">
        <v>53</v>
      </c>
      <c r="F1609" s="2" t="s">
        <v>6023</v>
      </c>
      <c r="H1609" s="2" t="s">
        <v>17</v>
      </c>
      <c r="K1609" s="4">
        <v>20623</v>
      </c>
      <c r="M1609" s="2" t="s">
        <v>66</v>
      </c>
      <c r="N1609" s="2" t="s">
        <v>1561</v>
      </c>
    </row>
    <row r="1610" spans="1:14">
      <c r="A1610" s="2">
        <v>1609</v>
      </c>
      <c r="B1610" s="3" t="s">
        <v>6024</v>
      </c>
      <c r="C1610" s="2" t="s">
        <v>6025</v>
      </c>
      <c r="D1610" s="2">
        <v>53</v>
      </c>
      <c r="E1610" s="2">
        <v>53</v>
      </c>
      <c r="F1610" s="2" t="s">
        <v>6026</v>
      </c>
      <c r="H1610" s="2" t="s">
        <v>17</v>
      </c>
      <c r="K1610" s="4">
        <v>18805</v>
      </c>
      <c r="M1610" s="2" t="s">
        <v>47</v>
      </c>
      <c r="N1610" s="2" t="s">
        <v>3765</v>
      </c>
    </row>
    <row r="1611" spans="1:14">
      <c r="A1611" s="2">
        <v>1610</v>
      </c>
      <c r="B1611" s="3" t="s">
        <v>6027</v>
      </c>
      <c r="C1611" s="2" t="s">
        <v>6028</v>
      </c>
      <c r="D1611" s="2">
        <v>50</v>
      </c>
      <c r="E1611" s="2">
        <v>53</v>
      </c>
      <c r="F1611" s="2" t="s">
        <v>6029</v>
      </c>
      <c r="H1611" s="2" t="s">
        <v>17</v>
      </c>
      <c r="K1611" s="4">
        <v>12773</v>
      </c>
      <c r="L1611" s="4">
        <v>39995</v>
      </c>
      <c r="M1611" s="2" t="s">
        <v>47</v>
      </c>
      <c r="N1611" s="2" t="s">
        <v>48</v>
      </c>
    </row>
    <row r="1612" spans="1:14">
      <c r="A1612" s="2">
        <v>1611</v>
      </c>
      <c r="B1612" s="3" t="s">
        <v>6030</v>
      </c>
      <c r="C1612" s="2" t="s">
        <v>6031</v>
      </c>
      <c r="D1612" s="2">
        <v>53</v>
      </c>
      <c r="E1612" s="2">
        <v>53</v>
      </c>
      <c r="F1612" s="2" t="s">
        <v>6032</v>
      </c>
      <c r="H1612" s="2" t="s">
        <v>17</v>
      </c>
      <c r="K1612" s="4">
        <v>21529</v>
      </c>
      <c r="M1612" s="2" t="s">
        <v>35</v>
      </c>
      <c r="N1612" s="2" t="s">
        <v>6033</v>
      </c>
    </row>
    <row r="1613" spans="1:14">
      <c r="A1613" s="2">
        <v>1612</v>
      </c>
      <c r="B1613" s="3" t="s">
        <v>6034</v>
      </c>
      <c r="C1613" s="2" t="s">
        <v>6035</v>
      </c>
      <c r="D1613" s="2">
        <v>53</v>
      </c>
      <c r="E1613" s="2">
        <v>53</v>
      </c>
      <c r="F1613" s="2" t="s">
        <v>6036</v>
      </c>
      <c r="H1613" s="2" t="s">
        <v>17</v>
      </c>
      <c r="K1613" s="4">
        <v>16073</v>
      </c>
      <c r="M1613" s="2" t="s">
        <v>198</v>
      </c>
      <c r="N1613" s="2" t="s">
        <v>199</v>
      </c>
    </row>
    <row r="1614" spans="1:14">
      <c r="A1614" s="2">
        <v>1613</v>
      </c>
      <c r="B1614" s="3" t="s">
        <v>6037</v>
      </c>
      <c r="C1614" s="2" t="s">
        <v>6038</v>
      </c>
      <c r="D1614" s="2">
        <v>53</v>
      </c>
      <c r="E1614" s="2">
        <v>53</v>
      </c>
      <c r="F1614" s="2" t="s">
        <v>6039</v>
      </c>
      <c r="H1614" s="2" t="s">
        <v>17</v>
      </c>
      <c r="K1614" s="4">
        <v>21564</v>
      </c>
      <c r="M1614" s="2" t="s">
        <v>40</v>
      </c>
      <c r="N1614" s="2" t="s">
        <v>6040</v>
      </c>
    </row>
    <row r="1615" spans="1:14">
      <c r="A1615" s="2">
        <v>1614</v>
      </c>
      <c r="B1615" s="3" t="s">
        <v>6041</v>
      </c>
      <c r="C1615" s="2" t="s">
        <v>6042</v>
      </c>
      <c r="D1615" s="2">
        <v>52</v>
      </c>
      <c r="E1615" s="2">
        <v>53</v>
      </c>
      <c r="F1615" s="2" t="s">
        <v>6043</v>
      </c>
      <c r="H1615" s="2" t="s">
        <v>17</v>
      </c>
      <c r="K1615" s="4">
        <v>20613</v>
      </c>
      <c r="M1615" s="2" t="s">
        <v>47</v>
      </c>
      <c r="N1615" s="2" t="s">
        <v>6044</v>
      </c>
    </row>
    <row r="1616" spans="1:14">
      <c r="A1616" s="2">
        <v>1615</v>
      </c>
      <c r="B1616" s="3" t="s">
        <v>6045</v>
      </c>
      <c r="C1616" s="2" t="s">
        <v>6046</v>
      </c>
      <c r="D1616" s="2">
        <v>51</v>
      </c>
      <c r="E1616" s="2">
        <v>53</v>
      </c>
      <c r="F1616" s="2" t="s">
        <v>6047</v>
      </c>
      <c r="H1616" s="2" t="s">
        <v>17</v>
      </c>
      <c r="K1616" s="4">
        <v>18297</v>
      </c>
      <c r="L1616" s="4">
        <v>44777</v>
      </c>
      <c r="M1616" s="2" t="s">
        <v>66</v>
      </c>
      <c r="N1616" s="2" t="s">
        <v>6048</v>
      </c>
    </row>
    <row r="1617" spans="1:14">
      <c r="A1617" s="2">
        <v>1616</v>
      </c>
      <c r="B1617" s="3" t="s">
        <v>6049</v>
      </c>
      <c r="C1617" s="2" t="s">
        <v>6050</v>
      </c>
      <c r="D1617" s="2">
        <v>48</v>
      </c>
      <c r="E1617" s="2">
        <v>53</v>
      </c>
      <c r="F1617" s="2" t="s">
        <v>6051</v>
      </c>
      <c r="H1617" s="2" t="s">
        <v>17</v>
      </c>
      <c r="K1617" s="4">
        <v>23220</v>
      </c>
      <c r="M1617" s="2" t="s">
        <v>170</v>
      </c>
      <c r="N1617" s="2" t="s">
        <v>323</v>
      </c>
    </row>
    <row r="1618" spans="1:14">
      <c r="A1618" s="2">
        <v>1617</v>
      </c>
      <c r="B1618" s="3" t="s">
        <v>6052</v>
      </c>
      <c r="C1618" s="2" t="s">
        <v>6053</v>
      </c>
      <c r="D1618" s="2">
        <v>52</v>
      </c>
      <c r="E1618" s="2">
        <v>53</v>
      </c>
      <c r="F1618" s="2" t="s">
        <v>6054</v>
      </c>
      <c r="H1618" s="2" t="s">
        <v>17</v>
      </c>
      <c r="K1618" s="4">
        <v>24048</v>
      </c>
      <c r="M1618" s="2" t="s">
        <v>40</v>
      </c>
      <c r="N1618" s="2" t="s">
        <v>3693</v>
      </c>
    </row>
    <row r="1619" spans="1:14">
      <c r="A1619" s="2">
        <v>1618</v>
      </c>
      <c r="B1619" s="3" t="s">
        <v>6055</v>
      </c>
      <c r="C1619" s="2" t="s">
        <v>6056</v>
      </c>
      <c r="D1619" s="2">
        <v>53</v>
      </c>
      <c r="E1619" s="2">
        <v>53</v>
      </c>
      <c r="F1619" s="2" t="s">
        <v>6057</v>
      </c>
      <c r="H1619" s="2" t="s">
        <v>17</v>
      </c>
      <c r="K1619" s="4">
        <v>23148</v>
      </c>
      <c r="M1619" s="2" t="s">
        <v>91</v>
      </c>
      <c r="N1619" s="2" t="s">
        <v>368</v>
      </c>
    </row>
    <row r="1620" spans="1:14">
      <c r="A1620" s="2">
        <v>1619</v>
      </c>
      <c r="B1620" s="3" t="s">
        <v>6058</v>
      </c>
      <c r="C1620" s="2" t="s">
        <v>6059</v>
      </c>
      <c r="D1620" s="2">
        <v>53</v>
      </c>
      <c r="E1620" s="2">
        <v>53</v>
      </c>
      <c r="F1620" s="2" t="s">
        <v>6060</v>
      </c>
      <c r="H1620" s="2" t="s">
        <v>17</v>
      </c>
      <c r="K1620" s="4">
        <v>23639</v>
      </c>
      <c r="M1620" s="2" t="s">
        <v>47</v>
      </c>
      <c r="N1620" s="2" t="s">
        <v>5598</v>
      </c>
    </row>
    <row r="1621" spans="1:14">
      <c r="A1621" s="2">
        <v>1620</v>
      </c>
      <c r="B1621" s="3" t="s">
        <v>6061</v>
      </c>
      <c r="C1621" s="2" t="s">
        <v>6062</v>
      </c>
      <c r="D1621" s="2">
        <v>53</v>
      </c>
      <c r="E1621" s="2">
        <v>53</v>
      </c>
      <c r="F1621" s="2" t="s">
        <v>6063</v>
      </c>
      <c r="H1621" s="2" t="s">
        <v>17</v>
      </c>
      <c r="K1621" s="4">
        <v>18863</v>
      </c>
      <c r="M1621" s="2" t="s">
        <v>170</v>
      </c>
      <c r="N1621" s="2" t="s">
        <v>323</v>
      </c>
    </row>
    <row r="1622" spans="1:14">
      <c r="A1622" s="2">
        <v>1621</v>
      </c>
      <c r="B1622" s="3" t="s">
        <v>6064</v>
      </c>
      <c r="C1622" s="2" t="s">
        <v>6065</v>
      </c>
      <c r="D1622" s="2">
        <v>52</v>
      </c>
      <c r="E1622" s="2">
        <v>53</v>
      </c>
      <c r="F1622" s="2" t="s">
        <v>6066</v>
      </c>
      <c r="H1622" s="2" t="s">
        <v>17</v>
      </c>
      <c r="K1622" s="4">
        <v>20871</v>
      </c>
      <c r="L1622" s="4">
        <v>40613</v>
      </c>
      <c r="M1622" s="2" t="s">
        <v>170</v>
      </c>
      <c r="N1622" s="2" t="s">
        <v>323</v>
      </c>
    </row>
    <row r="1623" spans="1:14">
      <c r="A1623" s="2">
        <v>1622</v>
      </c>
      <c r="B1623" s="3" t="s">
        <v>6067</v>
      </c>
      <c r="C1623" s="2" t="s">
        <v>6068</v>
      </c>
      <c r="D1623" s="2">
        <v>53</v>
      </c>
      <c r="E1623" s="2">
        <v>53</v>
      </c>
      <c r="F1623" s="2" t="s">
        <v>6069</v>
      </c>
      <c r="H1623" s="2" t="s">
        <v>17</v>
      </c>
      <c r="K1623" s="4">
        <v>26523</v>
      </c>
      <c r="M1623" s="2" t="s">
        <v>35</v>
      </c>
      <c r="N1623" s="2" t="s">
        <v>608</v>
      </c>
    </row>
    <row r="1624" spans="1:14">
      <c r="A1624" s="2">
        <v>1623</v>
      </c>
      <c r="B1624" s="3" t="s">
        <v>6070</v>
      </c>
      <c r="C1624" s="2" t="s">
        <v>6071</v>
      </c>
      <c r="D1624" s="2">
        <v>53</v>
      </c>
      <c r="E1624" s="2">
        <v>53</v>
      </c>
      <c r="F1624" s="2" t="s">
        <v>6072</v>
      </c>
      <c r="H1624" s="2" t="s">
        <v>17</v>
      </c>
      <c r="K1624" s="4">
        <v>24255</v>
      </c>
      <c r="M1624" s="2" t="s">
        <v>140</v>
      </c>
      <c r="N1624" s="2" t="s">
        <v>294</v>
      </c>
    </row>
    <row r="1625" spans="1:14">
      <c r="A1625" s="2">
        <v>1624</v>
      </c>
      <c r="B1625" s="3" t="s">
        <v>6073</v>
      </c>
      <c r="C1625" s="2" t="s">
        <v>6074</v>
      </c>
      <c r="D1625" s="2">
        <v>53</v>
      </c>
      <c r="E1625" s="2">
        <v>53</v>
      </c>
      <c r="F1625" s="2" t="s">
        <v>6075</v>
      </c>
      <c r="H1625" s="2" t="s">
        <v>45</v>
      </c>
      <c r="K1625" s="4">
        <v>18097</v>
      </c>
      <c r="M1625" s="2" t="s">
        <v>66</v>
      </c>
      <c r="N1625" s="2" t="s">
        <v>6076</v>
      </c>
    </row>
    <row r="1626" spans="1:14">
      <c r="A1626" s="2">
        <v>1625</v>
      </c>
      <c r="B1626" s="3" t="s">
        <v>6077</v>
      </c>
      <c r="C1626" s="2" t="s">
        <v>6078</v>
      </c>
      <c r="D1626" s="2">
        <v>52</v>
      </c>
      <c r="E1626" s="2">
        <v>53</v>
      </c>
      <c r="F1626" s="2" t="s">
        <v>6079</v>
      </c>
      <c r="H1626" s="2" t="s">
        <v>17</v>
      </c>
      <c r="K1626" s="4">
        <v>14189</v>
      </c>
      <c r="L1626" s="4">
        <v>39208</v>
      </c>
      <c r="M1626" s="2" t="s">
        <v>164</v>
      </c>
      <c r="N1626" s="2" t="s">
        <v>165</v>
      </c>
    </row>
    <row r="1627" spans="1:14">
      <c r="A1627" s="2">
        <v>1626</v>
      </c>
      <c r="B1627" s="3" t="s">
        <v>6080</v>
      </c>
      <c r="C1627" s="2" t="s">
        <v>6081</v>
      </c>
      <c r="D1627" s="2">
        <v>53</v>
      </c>
      <c r="E1627" s="2">
        <v>53</v>
      </c>
      <c r="F1627" s="2" t="s">
        <v>6082</v>
      </c>
      <c r="H1627" s="2" t="s">
        <v>17</v>
      </c>
      <c r="K1627" s="4">
        <v>17097</v>
      </c>
      <c r="M1627" s="2" t="s">
        <v>40</v>
      </c>
      <c r="N1627" s="2" t="s">
        <v>6083</v>
      </c>
    </row>
    <row r="1628" spans="1:14">
      <c r="A1628" s="2">
        <v>1627</v>
      </c>
      <c r="B1628" s="3" t="s">
        <v>6084</v>
      </c>
      <c r="C1628" s="2" t="s">
        <v>6085</v>
      </c>
      <c r="D1628" s="2">
        <v>53</v>
      </c>
      <c r="E1628" s="2">
        <v>53</v>
      </c>
      <c r="F1628" s="2" t="s">
        <v>6085</v>
      </c>
      <c r="H1628" s="2" t="s">
        <v>17</v>
      </c>
      <c r="K1628" s="4">
        <v>20590</v>
      </c>
      <c r="M1628" s="2" t="s">
        <v>85</v>
      </c>
      <c r="N1628" s="2" t="s">
        <v>6086</v>
      </c>
    </row>
    <row r="1629" spans="1:14">
      <c r="A1629" s="2">
        <v>1628</v>
      </c>
      <c r="B1629" s="3" t="s">
        <v>6087</v>
      </c>
      <c r="C1629" s="2" t="s">
        <v>6088</v>
      </c>
      <c r="D1629" s="2">
        <v>50</v>
      </c>
      <c r="E1629" s="2">
        <v>53</v>
      </c>
      <c r="F1629" s="2" t="s">
        <v>6089</v>
      </c>
      <c r="H1629" s="2" t="s">
        <v>17</v>
      </c>
      <c r="K1629" s="4">
        <v>19775</v>
      </c>
      <c r="M1629" s="2" t="s">
        <v>47</v>
      </c>
      <c r="N1629" s="2" t="s">
        <v>6090</v>
      </c>
    </row>
    <row r="1630" spans="1:14">
      <c r="A1630" s="2">
        <v>1629</v>
      </c>
      <c r="B1630" s="3" t="s">
        <v>6091</v>
      </c>
      <c r="C1630" s="2" t="s">
        <v>6092</v>
      </c>
      <c r="D1630" s="2">
        <v>47</v>
      </c>
      <c r="E1630" s="2">
        <v>53</v>
      </c>
      <c r="F1630" s="2" t="s">
        <v>6093</v>
      </c>
      <c r="H1630" s="2" t="s">
        <v>17</v>
      </c>
      <c r="K1630" s="4">
        <v>10310</v>
      </c>
      <c r="L1630" s="4">
        <v>44008</v>
      </c>
      <c r="M1630" s="2" t="s">
        <v>40</v>
      </c>
      <c r="N1630" s="2" t="s">
        <v>6094</v>
      </c>
    </row>
    <row r="1631" spans="1:14">
      <c r="A1631" s="2">
        <v>1630</v>
      </c>
      <c r="B1631" s="3" t="s">
        <v>6095</v>
      </c>
      <c r="C1631" s="2" t="s">
        <v>6096</v>
      </c>
      <c r="D1631" s="2">
        <v>53</v>
      </c>
      <c r="E1631" s="2">
        <v>53</v>
      </c>
      <c r="F1631" s="2" t="s">
        <v>6096</v>
      </c>
      <c r="H1631" s="2" t="s">
        <v>17</v>
      </c>
      <c r="K1631" s="4">
        <v>20841</v>
      </c>
      <c r="M1631" s="2" t="s">
        <v>47</v>
      </c>
      <c r="N1631" s="2" t="s">
        <v>417</v>
      </c>
    </row>
    <row r="1632" spans="1:14">
      <c r="A1632" s="2">
        <v>1631</v>
      </c>
      <c r="B1632" s="3" t="s">
        <v>6097</v>
      </c>
      <c r="C1632" s="2" t="s">
        <v>6098</v>
      </c>
      <c r="D1632" s="2">
        <v>52</v>
      </c>
      <c r="E1632" s="2">
        <v>53</v>
      </c>
      <c r="F1632" s="2" t="s">
        <v>6099</v>
      </c>
      <c r="H1632" s="2" t="s">
        <v>17</v>
      </c>
      <c r="K1632" s="4">
        <v>24321</v>
      </c>
      <c r="M1632" s="2" t="s">
        <v>35</v>
      </c>
      <c r="N1632" s="2" t="s">
        <v>3602</v>
      </c>
    </row>
    <row r="1633" spans="1:14">
      <c r="A1633" s="2">
        <v>1632</v>
      </c>
      <c r="B1633" s="3" t="s">
        <v>6100</v>
      </c>
      <c r="C1633" s="2" t="s">
        <v>6101</v>
      </c>
      <c r="D1633" s="2">
        <v>51</v>
      </c>
      <c r="E1633" s="2">
        <v>53</v>
      </c>
      <c r="F1633" s="2" t="s">
        <v>6102</v>
      </c>
      <c r="H1633" s="2" t="s">
        <v>17</v>
      </c>
      <c r="K1633" s="4">
        <v>20062</v>
      </c>
      <c r="M1633" s="2" t="s">
        <v>423</v>
      </c>
      <c r="N1633" s="2" t="s">
        <v>456</v>
      </c>
    </row>
    <row r="1634" spans="1:14">
      <c r="A1634" s="2">
        <v>1633</v>
      </c>
      <c r="B1634" s="3" t="s">
        <v>6103</v>
      </c>
      <c r="C1634" s="2" t="s">
        <v>6104</v>
      </c>
      <c r="D1634" s="2">
        <v>52</v>
      </c>
      <c r="E1634" s="2">
        <v>53</v>
      </c>
      <c r="F1634" s="2" t="s">
        <v>6105</v>
      </c>
      <c r="H1634" s="2" t="s">
        <v>17</v>
      </c>
      <c r="K1634" s="4">
        <v>21135</v>
      </c>
      <c r="M1634" s="2" t="s">
        <v>40</v>
      </c>
      <c r="N1634" s="2" t="s">
        <v>2573</v>
      </c>
    </row>
    <row r="1635" spans="1:14">
      <c r="A1635" s="2">
        <v>1634</v>
      </c>
      <c r="B1635" s="3" t="s">
        <v>6106</v>
      </c>
      <c r="C1635" s="2" t="s">
        <v>6107</v>
      </c>
      <c r="D1635" s="2">
        <v>49</v>
      </c>
      <c r="E1635" s="2">
        <v>53</v>
      </c>
      <c r="F1635" s="2" t="s">
        <v>6108</v>
      </c>
      <c r="H1635" s="2" t="s">
        <v>17</v>
      </c>
      <c r="K1635" s="4">
        <v>19758</v>
      </c>
      <c r="L1635" s="4">
        <v>40011</v>
      </c>
      <c r="M1635" s="2" t="s">
        <v>35</v>
      </c>
      <c r="N1635" s="2" t="s">
        <v>58</v>
      </c>
    </row>
    <row r="1636" spans="1:14">
      <c r="A1636" s="2">
        <v>1635</v>
      </c>
      <c r="B1636" s="3" t="s">
        <v>6109</v>
      </c>
      <c r="C1636" s="2" t="s">
        <v>6110</v>
      </c>
      <c r="D1636" s="2">
        <v>50</v>
      </c>
      <c r="E1636" s="2">
        <v>53</v>
      </c>
      <c r="F1636" s="2" t="s">
        <v>6111</v>
      </c>
      <c r="H1636" s="2" t="s">
        <v>17</v>
      </c>
      <c r="K1636" s="4">
        <v>15024</v>
      </c>
      <c r="M1636" s="2" t="s">
        <v>35</v>
      </c>
      <c r="N1636" s="2" t="s">
        <v>1462</v>
      </c>
    </row>
    <row r="1637" spans="1:14">
      <c r="A1637" s="2">
        <v>1636</v>
      </c>
      <c r="B1637" s="3" t="s">
        <v>6112</v>
      </c>
      <c r="C1637" s="2" t="s">
        <v>6113</v>
      </c>
      <c r="D1637" s="2">
        <v>50</v>
      </c>
      <c r="E1637" s="2">
        <v>53</v>
      </c>
      <c r="F1637" s="2" t="s">
        <v>6114</v>
      </c>
      <c r="H1637" s="2" t="s">
        <v>17</v>
      </c>
      <c r="K1637" s="4">
        <v>20429</v>
      </c>
      <c r="M1637" s="2" t="s">
        <v>170</v>
      </c>
      <c r="N1637" s="2" t="s">
        <v>784</v>
      </c>
    </row>
    <row r="1638" spans="1:14">
      <c r="A1638" s="2">
        <v>1637</v>
      </c>
      <c r="B1638" s="3" t="s">
        <v>6115</v>
      </c>
      <c r="C1638" s="2" t="s">
        <v>6116</v>
      </c>
      <c r="D1638" s="2">
        <v>53</v>
      </c>
      <c r="E1638" s="2">
        <v>53</v>
      </c>
      <c r="F1638" s="2" t="s">
        <v>6117</v>
      </c>
      <c r="H1638" s="2" t="s">
        <v>17</v>
      </c>
      <c r="K1638" s="4">
        <v>21417</v>
      </c>
      <c r="M1638" s="2" t="s">
        <v>247</v>
      </c>
      <c r="N1638" s="2" t="s">
        <v>562</v>
      </c>
    </row>
    <row r="1639" spans="1:14">
      <c r="A1639" s="2">
        <v>1638</v>
      </c>
      <c r="B1639" s="3" t="s">
        <v>6118</v>
      </c>
      <c r="C1639" s="2" t="s">
        <v>6119</v>
      </c>
      <c r="D1639" s="2">
        <v>53</v>
      </c>
      <c r="E1639" s="2">
        <v>53</v>
      </c>
      <c r="F1639" s="2" t="s">
        <v>6120</v>
      </c>
      <c r="H1639" s="2" t="s">
        <v>17</v>
      </c>
      <c r="K1639" s="4">
        <v>19520</v>
      </c>
      <c r="M1639" s="2" t="s">
        <v>198</v>
      </c>
      <c r="N1639" s="2" t="s">
        <v>6121</v>
      </c>
    </row>
    <row r="1640" spans="1:14">
      <c r="A1640" s="2">
        <v>1639</v>
      </c>
      <c r="B1640" s="3" t="s">
        <v>6122</v>
      </c>
      <c r="C1640" s="2" t="s">
        <v>6123</v>
      </c>
      <c r="D1640" s="2">
        <v>53</v>
      </c>
      <c r="E1640" s="2">
        <v>53</v>
      </c>
      <c r="F1640" s="2" t="s">
        <v>6124</v>
      </c>
      <c r="H1640" s="2" t="s">
        <v>17</v>
      </c>
      <c r="K1640" s="4">
        <v>26941</v>
      </c>
      <c r="M1640" s="2" t="s">
        <v>170</v>
      </c>
      <c r="N1640" s="2" t="s">
        <v>784</v>
      </c>
    </row>
    <row r="1641" spans="1:14">
      <c r="A1641" s="2">
        <v>1640</v>
      </c>
      <c r="B1641" s="3" t="s">
        <v>6125</v>
      </c>
      <c r="C1641" s="2" t="s">
        <v>6126</v>
      </c>
      <c r="D1641" s="2">
        <v>53</v>
      </c>
      <c r="E1641" s="2">
        <v>53</v>
      </c>
      <c r="F1641" s="2" t="s">
        <v>6127</v>
      </c>
      <c r="H1641" s="2" t="s">
        <v>17</v>
      </c>
      <c r="K1641" s="4">
        <v>22336</v>
      </c>
      <c r="M1641" s="2" t="s">
        <v>336</v>
      </c>
      <c r="N1641" s="2" t="s">
        <v>1883</v>
      </c>
    </row>
    <row r="1642" spans="1:14">
      <c r="A1642" s="2">
        <v>1641</v>
      </c>
      <c r="B1642" s="3" t="s">
        <v>6128</v>
      </c>
      <c r="C1642" s="2" t="s">
        <v>6129</v>
      </c>
      <c r="D1642" s="2">
        <v>53</v>
      </c>
      <c r="E1642" s="2">
        <v>53</v>
      </c>
      <c r="F1642" s="2" t="s">
        <v>6130</v>
      </c>
      <c r="H1642" s="2" t="s">
        <v>17</v>
      </c>
      <c r="K1642" s="4">
        <v>24958</v>
      </c>
      <c r="M1642" s="2" t="s">
        <v>185</v>
      </c>
      <c r="N1642" s="2" t="s">
        <v>838</v>
      </c>
    </row>
    <row r="1643" spans="1:14">
      <c r="A1643" s="2">
        <v>1642</v>
      </c>
      <c r="B1643" s="3" t="s">
        <v>6131</v>
      </c>
      <c r="C1643" s="2" t="s">
        <v>6132</v>
      </c>
      <c r="D1643" s="2">
        <v>49</v>
      </c>
      <c r="E1643" s="2">
        <v>53</v>
      </c>
      <c r="F1643" s="2" t="s">
        <v>6133</v>
      </c>
      <c r="H1643" s="2" t="s">
        <v>17</v>
      </c>
      <c r="K1643" s="4">
        <v>18741</v>
      </c>
      <c r="M1643" s="2" t="s">
        <v>198</v>
      </c>
      <c r="N1643" s="2" t="s">
        <v>199</v>
      </c>
    </row>
    <row r="1644" spans="1:14">
      <c r="A1644" s="2">
        <v>1643</v>
      </c>
      <c r="B1644" s="3" t="s">
        <v>6134</v>
      </c>
      <c r="C1644" s="2" t="s">
        <v>6135</v>
      </c>
      <c r="D1644" s="2">
        <v>46</v>
      </c>
      <c r="E1644" s="2">
        <v>53</v>
      </c>
      <c r="F1644" s="2" t="s">
        <v>6136</v>
      </c>
      <c r="H1644" s="2" t="s">
        <v>17</v>
      </c>
      <c r="K1644" s="4">
        <v>14802</v>
      </c>
      <c r="M1644" s="2" t="s">
        <v>47</v>
      </c>
      <c r="N1644" s="2" t="s">
        <v>6137</v>
      </c>
    </row>
    <row r="1645" spans="1:14">
      <c r="A1645" s="2">
        <v>1644</v>
      </c>
      <c r="B1645" s="3" t="s">
        <v>6138</v>
      </c>
      <c r="C1645" s="2" t="s">
        <v>6139</v>
      </c>
      <c r="D1645" s="2">
        <v>53</v>
      </c>
      <c r="E1645" s="2">
        <v>53</v>
      </c>
      <c r="F1645" s="2" t="s">
        <v>6140</v>
      </c>
      <c r="H1645" s="2" t="s">
        <v>17</v>
      </c>
      <c r="K1645" s="4">
        <v>25829</v>
      </c>
      <c r="M1645" s="2" t="s">
        <v>140</v>
      </c>
      <c r="N1645" s="2" t="s">
        <v>6141</v>
      </c>
    </row>
    <row r="1646" spans="1:14">
      <c r="A1646" s="2">
        <v>1645</v>
      </c>
      <c r="B1646" s="3" t="s">
        <v>6142</v>
      </c>
      <c r="C1646" s="2" t="s">
        <v>6143</v>
      </c>
      <c r="D1646" s="2">
        <v>53</v>
      </c>
      <c r="E1646" s="2">
        <v>53</v>
      </c>
      <c r="F1646" s="2" t="s">
        <v>6144</v>
      </c>
      <c r="H1646" s="2" t="s">
        <v>17</v>
      </c>
      <c r="K1646" s="4">
        <v>20517</v>
      </c>
      <c r="M1646" s="2" t="s">
        <v>66</v>
      </c>
      <c r="N1646" s="2" t="s">
        <v>71</v>
      </c>
    </row>
    <row r="1647" spans="1:14">
      <c r="A1647" s="2">
        <v>1646</v>
      </c>
      <c r="B1647" s="3" t="s">
        <v>6145</v>
      </c>
      <c r="C1647" s="2" t="s">
        <v>6146</v>
      </c>
      <c r="D1647" s="2">
        <v>49</v>
      </c>
      <c r="E1647" s="2">
        <v>53</v>
      </c>
      <c r="F1647" s="2" t="s">
        <v>6147</v>
      </c>
      <c r="H1647" s="2" t="s">
        <v>17</v>
      </c>
      <c r="K1647" s="4">
        <v>21627</v>
      </c>
      <c r="M1647" s="2" t="s">
        <v>40</v>
      </c>
      <c r="N1647" s="2" t="s">
        <v>41</v>
      </c>
    </row>
    <row r="1648" spans="1:14">
      <c r="A1648" s="2">
        <v>1647</v>
      </c>
      <c r="B1648" s="3" t="s">
        <v>6148</v>
      </c>
      <c r="C1648" s="2" t="s">
        <v>6149</v>
      </c>
      <c r="D1648" s="2">
        <v>53</v>
      </c>
      <c r="E1648" s="2">
        <v>53</v>
      </c>
      <c r="F1648" s="2" t="s">
        <v>6150</v>
      </c>
      <c r="H1648" s="2" t="s">
        <v>17</v>
      </c>
      <c r="K1648" s="4">
        <v>26349</v>
      </c>
      <c r="M1648" s="2" t="s">
        <v>66</v>
      </c>
      <c r="N1648" s="2" t="s">
        <v>71</v>
      </c>
    </row>
    <row r="1649" spans="1:14">
      <c r="A1649" s="2">
        <v>1648</v>
      </c>
      <c r="B1649" s="3" t="s">
        <v>6151</v>
      </c>
      <c r="C1649" s="2" t="s">
        <v>6152</v>
      </c>
      <c r="D1649" s="2">
        <v>53</v>
      </c>
      <c r="E1649" s="2">
        <v>53</v>
      </c>
      <c r="F1649" s="2" t="s">
        <v>6153</v>
      </c>
      <c r="H1649" s="2" t="s">
        <v>17</v>
      </c>
      <c r="K1649" s="4">
        <v>21983</v>
      </c>
      <c r="M1649" s="2" t="s">
        <v>170</v>
      </c>
      <c r="N1649" s="2" t="s">
        <v>385</v>
      </c>
    </row>
    <row r="1650" spans="1:14">
      <c r="A1650" s="2">
        <v>1649</v>
      </c>
      <c r="B1650" s="3" t="s">
        <v>6154</v>
      </c>
      <c r="C1650" s="2" t="s">
        <v>6155</v>
      </c>
      <c r="D1650" s="2">
        <v>53</v>
      </c>
      <c r="E1650" s="2">
        <v>53</v>
      </c>
      <c r="F1650" s="2" t="s">
        <v>6156</v>
      </c>
      <c r="H1650" s="2" t="s">
        <v>17</v>
      </c>
      <c r="K1650" s="4">
        <v>15436</v>
      </c>
      <c r="M1650" s="2" t="s">
        <v>66</v>
      </c>
      <c r="N1650" s="2" t="s">
        <v>71</v>
      </c>
    </row>
    <row r="1651" spans="1:14">
      <c r="A1651" s="2">
        <v>1650</v>
      </c>
      <c r="B1651" s="3" t="s">
        <v>6157</v>
      </c>
      <c r="C1651" s="2" t="s">
        <v>6158</v>
      </c>
      <c r="D1651" s="2">
        <v>53</v>
      </c>
      <c r="E1651" s="2">
        <v>53</v>
      </c>
      <c r="F1651" s="2" t="s">
        <v>6159</v>
      </c>
      <c r="H1651" s="2" t="s">
        <v>17</v>
      </c>
      <c r="K1651" s="4">
        <v>20679</v>
      </c>
      <c r="L1651" s="4">
        <v>39152</v>
      </c>
      <c r="M1651" s="2" t="s">
        <v>146</v>
      </c>
      <c r="N1651" s="2" t="s">
        <v>6160</v>
      </c>
    </row>
    <row r="1652" spans="1:14">
      <c r="A1652" s="2">
        <v>1651</v>
      </c>
      <c r="B1652" s="3" t="s">
        <v>6161</v>
      </c>
      <c r="C1652" s="2" t="s">
        <v>6162</v>
      </c>
      <c r="D1652" s="2">
        <v>47</v>
      </c>
      <c r="E1652" s="2">
        <v>53</v>
      </c>
      <c r="F1652" s="2" t="s">
        <v>6163</v>
      </c>
      <c r="H1652" s="2" t="s">
        <v>17</v>
      </c>
      <c r="K1652" s="4">
        <v>11445</v>
      </c>
      <c r="L1652" s="4">
        <v>43942</v>
      </c>
      <c r="M1652" s="2" t="s">
        <v>164</v>
      </c>
      <c r="N1652" s="2" t="s">
        <v>6164</v>
      </c>
    </row>
    <row r="1653" spans="1:14">
      <c r="A1653" s="2">
        <v>1652</v>
      </c>
      <c r="B1653" s="3" t="s">
        <v>6165</v>
      </c>
      <c r="C1653" s="2" t="s">
        <v>6166</v>
      </c>
      <c r="D1653" s="2">
        <v>51</v>
      </c>
      <c r="E1653" s="2">
        <v>53</v>
      </c>
      <c r="F1653" s="2" t="s">
        <v>6167</v>
      </c>
      <c r="H1653" s="2" t="s">
        <v>17</v>
      </c>
      <c r="K1653" s="4">
        <v>20233</v>
      </c>
      <c r="L1653" s="4">
        <v>44241</v>
      </c>
      <c r="M1653" s="2" t="s">
        <v>423</v>
      </c>
      <c r="N1653" s="2" t="s">
        <v>6168</v>
      </c>
    </row>
    <row r="1654" spans="1:14">
      <c r="A1654" s="2">
        <v>1653</v>
      </c>
      <c r="B1654" s="3" t="s">
        <v>6169</v>
      </c>
      <c r="C1654" s="2" t="s">
        <v>6170</v>
      </c>
      <c r="D1654" s="2">
        <v>53</v>
      </c>
      <c r="E1654" s="2">
        <v>53</v>
      </c>
      <c r="F1654" s="2" t="s">
        <v>6171</v>
      </c>
      <c r="H1654" s="2" t="s">
        <v>45</v>
      </c>
      <c r="K1654" s="4">
        <v>21939</v>
      </c>
      <c r="M1654" s="2" t="s">
        <v>164</v>
      </c>
      <c r="N1654" s="2" t="s">
        <v>165</v>
      </c>
    </row>
    <row r="1655" spans="1:14">
      <c r="A1655" s="2">
        <v>1654</v>
      </c>
      <c r="B1655" s="3" t="s">
        <v>6172</v>
      </c>
      <c r="C1655" s="2" t="s">
        <v>6173</v>
      </c>
      <c r="D1655" s="2">
        <v>52</v>
      </c>
      <c r="E1655" s="2">
        <v>53</v>
      </c>
      <c r="F1655" s="2" t="s">
        <v>6174</v>
      </c>
      <c r="H1655" s="2" t="s">
        <v>17</v>
      </c>
      <c r="K1655" s="4">
        <v>16052</v>
      </c>
      <c r="M1655" s="2" t="s">
        <v>40</v>
      </c>
      <c r="N1655" s="2" t="s">
        <v>6175</v>
      </c>
    </row>
    <row r="1656" spans="1:14">
      <c r="A1656" s="2">
        <v>1655</v>
      </c>
      <c r="B1656" s="3" t="s">
        <v>6176</v>
      </c>
      <c r="C1656" s="2" t="s">
        <v>6177</v>
      </c>
      <c r="D1656" s="2">
        <v>47</v>
      </c>
      <c r="E1656" s="2">
        <v>53</v>
      </c>
      <c r="F1656" s="2" t="s">
        <v>6178</v>
      </c>
      <c r="H1656" s="2" t="s">
        <v>17</v>
      </c>
      <c r="K1656" s="4">
        <v>12970</v>
      </c>
      <c r="L1656" s="4">
        <v>43854</v>
      </c>
      <c r="M1656" s="2" t="s">
        <v>66</v>
      </c>
      <c r="N1656" s="2" t="s">
        <v>6179</v>
      </c>
    </row>
    <row r="1657" spans="1:14">
      <c r="A1657" s="2">
        <v>1656</v>
      </c>
      <c r="B1657" s="3" t="s">
        <v>6180</v>
      </c>
      <c r="C1657" s="2" t="s">
        <v>6181</v>
      </c>
      <c r="D1657" s="2">
        <v>53</v>
      </c>
      <c r="E1657" s="2">
        <v>53</v>
      </c>
      <c r="F1657" s="2" t="s">
        <v>6182</v>
      </c>
      <c r="H1657" s="2" t="s">
        <v>17</v>
      </c>
      <c r="K1657" s="4">
        <v>28304</v>
      </c>
      <c r="M1657" s="2" t="s">
        <v>247</v>
      </c>
      <c r="N1657" s="2" t="s">
        <v>562</v>
      </c>
    </row>
    <row r="1658" spans="1:14">
      <c r="A1658" s="2">
        <v>1657</v>
      </c>
      <c r="B1658" s="3" t="s">
        <v>6183</v>
      </c>
      <c r="C1658" s="2" t="s">
        <v>6184</v>
      </c>
      <c r="D1658" s="2">
        <v>53</v>
      </c>
      <c r="E1658" s="2">
        <v>53</v>
      </c>
      <c r="F1658" s="2" t="s">
        <v>6185</v>
      </c>
      <c r="H1658" s="2" t="s">
        <v>17</v>
      </c>
      <c r="K1658" s="4">
        <v>24279</v>
      </c>
      <c r="M1658" s="2" t="s">
        <v>91</v>
      </c>
      <c r="N1658" s="2" t="s">
        <v>677</v>
      </c>
    </row>
    <row r="1659" spans="1:14">
      <c r="A1659" s="2">
        <v>1658</v>
      </c>
      <c r="B1659" s="3" t="s">
        <v>6186</v>
      </c>
      <c r="C1659" s="2" t="s">
        <v>6187</v>
      </c>
      <c r="D1659" s="2">
        <v>51</v>
      </c>
      <c r="E1659" s="2">
        <v>53</v>
      </c>
      <c r="F1659" s="2" t="s">
        <v>6188</v>
      </c>
      <c r="H1659" s="2" t="s">
        <v>17</v>
      </c>
      <c r="K1659" s="4">
        <v>22426</v>
      </c>
      <c r="M1659" s="2" t="s">
        <v>154</v>
      </c>
      <c r="N1659" s="2" t="s">
        <v>726</v>
      </c>
    </row>
    <row r="1660" spans="1:14">
      <c r="A1660" s="2">
        <v>1659</v>
      </c>
      <c r="B1660" s="3" t="s">
        <v>6189</v>
      </c>
      <c r="C1660" s="2" t="s">
        <v>6190</v>
      </c>
      <c r="D1660" s="2">
        <v>53</v>
      </c>
      <c r="E1660" s="2">
        <v>53</v>
      </c>
      <c r="F1660" s="2" t="s">
        <v>6191</v>
      </c>
      <c r="H1660" s="2" t="s">
        <v>17</v>
      </c>
      <c r="K1660" s="4">
        <v>18614</v>
      </c>
      <c r="M1660" s="2" t="s">
        <v>76</v>
      </c>
      <c r="N1660" s="2" t="s">
        <v>1326</v>
      </c>
    </row>
    <row r="1661" spans="1:14">
      <c r="A1661" s="2">
        <v>1660</v>
      </c>
      <c r="B1661" s="3" t="s">
        <v>6192</v>
      </c>
      <c r="C1661" s="2" t="s">
        <v>6193</v>
      </c>
      <c r="D1661" s="2">
        <v>46</v>
      </c>
      <c r="E1661" s="2">
        <v>53</v>
      </c>
      <c r="F1661" s="2" t="s">
        <v>6194</v>
      </c>
      <c r="H1661" s="2" t="s">
        <v>17</v>
      </c>
      <c r="K1661" s="4">
        <v>16198</v>
      </c>
      <c r="M1661" s="2" t="s">
        <v>91</v>
      </c>
      <c r="N1661" s="2" t="s">
        <v>4833</v>
      </c>
    </row>
    <row r="1662" spans="1:14">
      <c r="A1662" s="2">
        <v>1661</v>
      </c>
      <c r="B1662" s="3" t="s">
        <v>6195</v>
      </c>
      <c r="C1662" s="2" t="s">
        <v>6196</v>
      </c>
      <c r="D1662" s="2">
        <v>45</v>
      </c>
      <c r="E1662" s="2">
        <v>53</v>
      </c>
      <c r="F1662" s="2" t="s">
        <v>6197</v>
      </c>
      <c r="H1662" s="2" t="s">
        <v>17</v>
      </c>
      <c r="K1662" s="4">
        <v>16372</v>
      </c>
      <c r="M1662" s="2" t="s">
        <v>164</v>
      </c>
      <c r="N1662" s="2" t="s">
        <v>165</v>
      </c>
    </row>
    <row r="1663" spans="1:14">
      <c r="A1663" s="2">
        <v>1662</v>
      </c>
      <c r="B1663" s="3" t="s">
        <v>6198</v>
      </c>
      <c r="C1663" s="2" t="s">
        <v>6199</v>
      </c>
      <c r="D1663" s="2">
        <v>48</v>
      </c>
      <c r="E1663" s="2">
        <v>53</v>
      </c>
      <c r="F1663" s="2" t="s">
        <v>6200</v>
      </c>
      <c r="H1663" s="2" t="s">
        <v>17</v>
      </c>
      <c r="K1663" s="4">
        <v>16159</v>
      </c>
      <c r="M1663" s="2" t="s">
        <v>40</v>
      </c>
      <c r="N1663" s="2" t="s">
        <v>2573</v>
      </c>
    </row>
    <row r="1664" spans="1:14">
      <c r="A1664" s="2">
        <v>1663</v>
      </c>
      <c r="B1664" s="3" t="s">
        <v>6201</v>
      </c>
      <c r="C1664" s="2" t="s">
        <v>6202</v>
      </c>
      <c r="D1664" s="2">
        <v>49</v>
      </c>
      <c r="E1664" s="2">
        <v>53</v>
      </c>
      <c r="F1664" s="2" t="s">
        <v>6203</v>
      </c>
      <c r="H1664" s="2" t="s">
        <v>17</v>
      </c>
      <c r="K1664" s="4">
        <v>20342</v>
      </c>
      <c r="M1664" s="2" t="s">
        <v>91</v>
      </c>
      <c r="N1664" s="2" t="s">
        <v>984</v>
      </c>
    </row>
    <row r="1665" spans="1:14">
      <c r="A1665" s="2">
        <v>1664</v>
      </c>
      <c r="B1665" s="3" t="s">
        <v>6204</v>
      </c>
      <c r="C1665" s="2" t="s">
        <v>6205</v>
      </c>
      <c r="D1665" s="2">
        <v>49</v>
      </c>
      <c r="E1665" s="2">
        <v>53</v>
      </c>
      <c r="F1665" s="2" t="s">
        <v>6206</v>
      </c>
      <c r="H1665" s="2" t="s">
        <v>17</v>
      </c>
      <c r="K1665" s="4">
        <v>16945</v>
      </c>
      <c r="M1665" s="2" t="s">
        <v>40</v>
      </c>
      <c r="N1665" s="2" t="s">
        <v>6207</v>
      </c>
    </row>
    <row r="1666" spans="1:14">
      <c r="A1666" s="2">
        <v>1665</v>
      </c>
      <c r="B1666" s="3" t="s">
        <v>6208</v>
      </c>
      <c r="C1666" s="2" t="s">
        <v>6209</v>
      </c>
      <c r="D1666" s="2">
        <v>53</v>
      </c>
      <c r="E1666" s="2">
        <v>53</v>
      </c>
      <c r="F1666" s="2" t="s">
        <v>6210</v>
      </c>
      <c r="H1666" s="2" t="s">
        <v>17</v>
      </c>
      <c r="K1666" s="4">
        <v>23916</v>
      </c>
    </row>
    <row r="1667" spans="1:14">
      <c r="A1667" s="2">
        <v>1666</v>
      </c>
      <c r="B1667" s="3" t="s">
        <v>6211</v>
      </c>
      <c r="C1667" s="2" t="s">
        <v>6212</v>
      </c>
      <c r="D1667" s="2">
        <v>47</v>
      </c>
      <c r="E1667" s="2">
        <v>53</v>
      </c>
      <c r="F1667" s="2" t="s">
        <v>6213</v>
      </c>
      <c r="H1667" s="2" t="s">
        <v>17</v>
      </c>
      <c r="K1667" s="4">
        <v>16868</v>
      </c>
      <c r="L1667" s="4">
        <v>39915</v>
      </c>
      <c r="M1667" s="2" t="s">
        <v>47</v>
      </c>
      <c r="N1667" s="2" t="s">
        <v>442</v>
      </c>
    </row>
    <row r="1668" spans="1:14">
      <c r="A1668" s="2">
        <v>1667</v>
      </c>
      <c r="B1668" s="3" t="s">
        <v>6214</v>
      </c>
      <c r="C1668" s="2" t="s">
        <v>6215</v>
      </c>
      <c r="D1668" s="2">
        <v>50</v>
      </c>
      <c r="E1668" s="2">
        <v>53</v>
      </c>
      <c r="F1668" s="2" t="s">
        <v>6216</v>
      </c>
      <c r="H1668" s="2" t="s">
        <v>17</v>
      </c>
      <c r="K1668" s="4">
        <v>17540</v>
      </c>
      <c r="M1668" s="2" t="s">
        <v>423</v>
      </c>
      <c r="N1668" s="2" t="s">
        <v>6217</v>
      </c>
    </row>
    <row r="1669" spans="1:14">
      <c r="A1669" s="2">
        <v>1668</v>
      </c>
      <c r="B1669" s="3" t="s">
        <v>6218</v>
      </c>
      <c r="C1669" s="2" t="s">
        <v>6219</v>
      </c>
      <c r="D1669" s="2">
        <v>53</v>
      </c>
      <c r="E1669" s="2">
        <v>53</v>
      </c>
      <c r="F1669" s="2" t="s">
        <v>6220</v>
      </c>
      <c r="H1669" s="2" t="s">
        <v>17</v>
      </c>
      <c r="K1669" s="4">
        <v>19046</v>
      </c>
      <c r="M1669" s="2" t="s">
        <v>185</v>
      </c>
      <c r="N1669" s="2" t="s">
        <v>1488</v>
      </c>
    </row>
    <row r="1670" spans="1:14">
      <c r="A1670" s="2">
        <v>1669</v>
      </c>
      <c r="B1670" s="3" t="s">
        <v>6221</v>
      </c>
      <c r="C1670" s="2" t="s">
        <v>6222</v>
      </c>
      <c r="D1670" s="2">
        <v>48</v>
      </c>
      <c r="E1670" s="2">
        <v>53</v>
      </c>
      <c r="F1670" s="2" t="s">
        <v>6222</v>
      </c>
      <c r="H1670" s="2" t="s">
        <v>17</v>
      </c>
      <c r="K1670" s="4">
        <v>13654</v>
      </c>
      <c r="L1670" s="4">
        <v>44158</v>
      </c>
      <c r="M1670" s="2" t="s">
        <v>140</v>
      </c>
      <c r="N1670" s="2" t="s">
        <v>5557</v>
      </c>
    </row>
    <row r="1671" spans="1:14">
      <c r="A1671" s="2">
        <v>1670</v>
      </c>
      <c r="B1671" s="3" t="s">
        <v>6223</v>
      </c>
      <c r="C1671" s="2" t="s">
        <v>6224</v>
      </c>
      <c r="D1671" s="2">
        <v>51</v>
      </c>
      <c r="E1671" s="2">
        <v>53</v>
      </c>
      <c r="F1671" s="2" t="s">
        <v>6225</v>
      </c>
      <c r="H1671" s="2" t="s">
        <v>17</v>
      </c>
      <c r="K1671" s="4">
        <v>19453</v>
      </c>
      <c r="M1671" s="2" t="s">
        <v>91</v>
      </c>
      <c r="N1671" s="2" t="s">
        <v>677</v>
      </c>
    </row>
    <row r="1672" spans="1:14">
      <c r="A1672" s="2">
        <v>1671</v>
      </c>
      <c r="B1672" s="3" t="s">
        <v>6226</v>
      </c>
      <c r="C1672" s="2" t="s">
        <v>6227</v>
      </c>
      <c r="D1672" s="2">
        <v>49</v>
      </c>
      <c r="E1672" s="2">
        <v>53</v>
      </c>
      <c r="F1672" s="2" t="s">
        <v>6228</v>
      </c>
      <c r="H1672" s="2" t="s">
        <v>17</v>
      </c>
      <c r="K1672" s="4">
        <v>17945</v>
      </c>
      <c r="M1672" s="2" t="s">
        <v>40</v>
      </c>
      <c r="N1672" s="2" t="s">
        <v>3693</v>
      </c>
    </row>
    <row r="1673" spans="1:14">
      <c r="A1673" s="2">
        <v>1672</v>
      </c>
      <c r="B1673" s="3" t="s">
        <v>6229</v>
      </c>
      <c r="C1673" s="2" t="s">
        <v>6230</v>
      </c>
      <c r="D1673" s="2">
        <v>53</v>
      </c>
      <c r="E1673" s="2">
        <v>53</v>
      </c>
      <c r="F1673" s="2" t="s">
        <v>6231</v>
      </c>
      <c r="H1673" s="2" t="s">
        <v>17</v>
      </c>
      <c r="K1673" s="4">
        <v>22166</v>
      </c>
      <c r="M1673" s="2" t="s">
        <v>47</v>
      </c>
      <c r="N1673" s="2" t="s">
        <v>48</v>
      </c>
    </row>
    <row r="1674" spans="1:14">
      <c r="A1674" s="2">
        <v>1673</v>
      </c>
      <c r="B1674" s="3" t="s">
        <v>6232</v>
      </c>
      <c r="C1674" s="2" t="s">
        <v>6233</v>
      </c>
      <c r="D1674" s="2">
        <v>53</v>
      </c>
      <c r="E1674" s="2">
        <v>53</v>
      </c>
      <c r="F1674" s="2" t="s">
        <v>6234</v>
      </c>
      <c r="H1674" s="2" t="s">
        <v>17</v>
      </c>
      <c r="K1674" s="4">
        <v>18717</v>
      </c>
      <c r="L1674" s="4">
        <v>45057</v>
      </c>
    </row>
    <row r="1675" spans="1:14">
      <c r="A1675" s="2">
        <v>1674</v>
      </c>
      <c r="B1675" s="3" t="s">
        <v>6235</v>
      </c>
      <c r="C1675" s="2" t="s">
        <v>6236</v>
      </c>
      <c r="D1675" s="2">
        <v>52</v>
      </c>
      <c r="E1675" s="2">
        <v>53</v>
      </c>
      <c r="F1675" s="2" t="s">
        <v>6237</v>
      </c>
      <c r="H1675" s="2" t="s">
        <v>17</v>
      </c>
      <c r="K1675" s="4">
        <v>17915</v>
      </c>
      <c r="M1675" s="2" t="s">
        <v>91</v>
      </c>
      <c r="N1675" s="2" t="s">
        <v>368</v>
      </c>
    </row>
    <row r="1676" spans="1:14">
      <c r="A1676" s="2">
        <v>1675</v>
      </c>
      <c r="B1676" s="3" t="s">
        <v>6238</v>
      </c>
      <c r="C1676" s="2" t="s">
        <v>6239</v>
      </c>
      <c r="D1676" s="2">
        <v>53</v>
      </c>
      <c r="E1676" s="2">
        <v>53</v>
      </c>
      <c r="F1676" s="2" t="s">
        <v>6240</v>
      </c>
      <c r="H1676" s="2" t="s">
        <v>17</v>
      </c>
      <c r="K1676" s="4">
        <v>18930</v>
      </c>
      <c r="M1676" s="2" t="s">
        <v>53</v>
      </c>
      <c r="N1676" s="2" t="s">
        <v>6241</v>
      </c>
    </row>
    <row r="1677" spans="1:14">
      <c r="A1677" s="2">
        <v>1676</v>
      </c>
      <c r="B1677" s="3" t="s">
        <v>6242</v>
      </c>
      <c r="C1677" s="2" t="s">
        <v>6243</v>
      </c>
      <c r="D1677" s="2">
        <v>52</v>
      </c>
      <c r="E1677" s="2">
        <v>53</v>
      </c>
      <c r="F1677" s="2" t="s">
        <v>6244</v>
      </c>
      <c r="H1677" s="2" t="s">
        <v>17</v>
      </c>
      <c r="K1677" s="4">
        <v>21658</v>
      </c>
      <c r="M1677" s="2" t="s">
        <v>47</v>
      </c>
      <c r="N1677" s="2" t="s">
        <v>48</v>
      </c>
    </row>
    <row r="1678" spans="1:14">
      <c r="A1678" s="2">
        <v>1677</v>
      </c>
      <c r="B1678" s="3" t="s">
        <v>6245</v>
      </c>
      <c r="C1678" s="2" t="s">
        <v>6246</v>
      </c>
      <c r="D1678" s="2">
        <v>53</v>
      </c>
      <c r="E1678" s="2">
        <v>53</v>
      </c>
      <c r="F1678" s="2" t="s">
        <v>6246</v>
      </c>
      <c r="H1678" s="2" t="s">
        <v>17</v>
      </c>
      <c r="K1678" s="4">
        <v>27167</v>
      </c>
      <c r="M1678" s="2" t="s">
        <v>170</v>
      </c>
      <c r="N1678" s="2" t="s">
        <v>323</v>
      </c>
    </row>
    <row r="1679" spans="1:14">
      <c r="A1679" s="2">
        <v>1678</v>
      </c>
      <c r="B1679" s="3" t="s">
        <v>6247</v>
      </c>
      <c r="C1679" s="2" t="s">
        <v>6248</v>
      </c>
      <c r="D1679" s="2">
        <v>46</v>
      </c>
      <c r="E1679" s="2">
        <v>53</v>
      </c>
      <c r="F1679" s="2" t="s">
        <v>6248</v>
      </c>
      <c r="H1679" s="2" t="s">
        <v>17</v>
      </c>
      <c r="K1679" s="4">
        <v>13167</v>
      </c>
      <c r="L1679" s="4">
        <v>40657</v>
      </c>
      <c r="M1679" s="2" t="s">
        <v>198</v>
      </c>
      <c r="N1679" s="2" t="s">
        <v>6249</v>
      </c>
    </row>
    <row r="1680" spans="1:14">
      <c r="A1680" s="2">
        <v>1679</v>
      </c>
      <c r="B1680" s="3" t="s">
        <v>6250</v>
      </c>
      <c r="C1680" s="2" t="s">
        <v>6251</v>
      </c>
      <c r="D1680" s="2">
        <v>49</v>
      </c>
      <c r="E1680" s="2">
        <v>53</v>
      </c>
      <c r="F1680" s="2" t="s">
        <v>6252</v>
      </c>
      <c r="H1680" s="2" t="s">
        <v>17</v>
      </c>
      <c r="K1680" s="4">
        <v>17801</v>
      </c>
      <c r="M1680" s="2" t="s">
        <v>198</v>
      </c>
      <c r="N1680" s="2" t="s">
        <v>199</v>
      </c>
    </row>
    <row r="1681" spans="1:14">
      <c r="A1681" s="2">
        <v>1680</v>
      </c>
      <c r="B1681" s="3" t="s">
        <v>6253</v>
      </c>
      <c r="C1681" s="2" t="s">
        <v>6254</v>
      </c>
      <c r="D1681" s="2">
        <v>53</v>
      </c>
      <c r="E1681" s="2">
        <v>53</v>
      </c>
      <c r="F1681" s="2" t="s">
        <v>6255</v>
      </c>
      <c r="H1681" s="2" t="s">
        <v>17</v>
      </c>
      <c r="K1681" s="4">
        <v>25754</v>
      </c>
      <c r="M1681" s="2" t="s">
        <v>47</v>
      </c>
      <c r="N1681" s="2" t="s">
        <v>6256</v>
      </c>
    </row>
    <row r="1682" spans="1:14">
      <c r="A1682" s="2">
        <v>1681</v>
      </c>
      <c r="B1682" s="3" t="s">
        <v>6257</v>
      </c>
      <c r="C1682" s="2" t="s">
        <v>6258</v>
      </c>
      <c r="D1682" s="2">
        <v>50</v>
      </c>
      <c r="E1682" s="2">
        <v>53</v>
      </c>
      <c r="F1682" s="2" t="s">
        <v>6259</v>
      </c>
      <c r="H1682" s="2" t="s">
        <v>17</v>
      </c>
      <c r="K1682" s="4">
        <v>19648</v>
      </c>
      <c r="M1682" s="2" t="s">
        <v>140</v>
      </c>
      <c r="N1682" s="2" t="s">
        <v>3179</v>
      </c>
    </row>
    <row r="1683" spans="1:14">
      <c r="A1683" s="2">
        <v>1682</v>
      </c>
      <c r="B1683" s="3" t="s">
        <v>6260</v>
      </c>
      <c r="C1683" s="2" t="s">
        <v>6261</v>
      </c>
      <c r="D1683" s="2">
        <v>53</v>
      </c>
      <c r="E1683" s="2">
        <v>53</v>
      </c>
      <c r="F1683" s="2" t="s">
        <v>6262</v>
      </c>
      <c r="H1683" s="2" t="s">
        <v>17</v>
      </c>
      <c r="K1683" s="4">
        <v>23582</v>
      </c>
      <c r="M1683" s="2" t="s">
        <v>192</v>
      </c>
      <c r="N1683" s="2" t="s">
        <v>3992</v>
      </c>
    </row>
    <row r="1684" spans="1:14">
      <c r="A1684" s="2">
        <v>1683</v>
      </c>
      <c r="B1684" s="3" t="s">
        <v>6263</v>
      </c>
      <c r="C1684" s="2" t="s">
        <v>6264</v>
      </c>
      <c r="D1684" s="2">
        <v>48</v>
      </c>
      <c r="E1684" s="2">
        <v>53</v>
      </c>
      <c r="F1684" s="2" t="s">
        <v>6265</v>
      </c>
      <c r="H1684" s="2" t="s">
        <v>17</v>
      </c>
      <c r="K1684" s="4">
        <v>14345</v>
      </c>
      <c r="M1684" s="2" t="s">
        <v>35</v>
      </c>
      <c r="N1684" s="2" t="s">
        <v>6266</v>
      </c>
    </row>
    <row r="1685" spans="1:14">
      <c r="A1685" s="2">
        <v>1684</v>
      </c>
      <c r="B1685" s="3" t="s">
        <v>6267</v>
      </c>
      <c r="C1685" s="2" t="s">
        <v>6268</v>
      </c>
      <c r="D1685" s="2">
        <v>50</v>
      </c>
      <c r="E1685" s="2">
        <v>53</v>
      </c>
      <c r="F1685" s="2" t="s">
        <v>6269</v>
      </c>
      <c r="H1685" s="2" t="s">
        <v>17</v>
      </c>
      <c r="K1685" s="4">
        <v>20648</v>
      </c>
      <c r="L1685" s="4">
        <v>39280</v>
      </c>
      <c r="M1685" s="2" t="s">
        <v>66</v>
      </c>
      <c r="N1685" s="2" t="s">
        <v>6270</v>
      </c>
    </row>
    <row r="1686" spans="1:14">
      <c r="A1686" s="2">
        <v>1685</v>
      </c>
      <c r="B1686" s="3" t="s">
        <v>6271</v>
      </c>
      <c r="C1686" s="2" t="s">
        <v>6272</v>
      </c>
      <c r="D1686" s="2">
        <v>53</v>
      </c>
      <c r="E1686" s="2">
        <v>53</v>
      </c>
      <c r="F1686" s="2" t="s">
        <v>6273</v>
      </c>
      <c r="H1686" s="2" t="s">
        <v>17</v>
      </c>
      <c r="K1686" s="4">
        <v>24145</v>
      </c>
      <c r="M1686" s="2" t="s">
        <v>35</v>
      </c>
      <c r="N1686" s="2" t="s">
        <v>2466</v>
      </c>
    </row>
    <row r="1687" spans="1:14">
      <c r="A1687" s="2">
        <v>1686</v>
      </c>
      <c r="B1687" s="3" t="s">
        <v>6274</v>
      </c>
      <c r="C1687" s="2" t="s">
        <v>6275</v>
      </c>
      <c r="D1687" s="2">
        <v>51</v>
      </c>
      <c r="E1687" s="2">
        <v>53</v>
      </c>
      <c r="F1687" s="2" t="s">
        <v>6276</v>
      </c>
      <c r="H1687" s="2" t="s">
        <v>17</v>
      </c>
      <c r="K1687" s="4">
        <v>18334</v>
      </c>
      <c r="M1687" s="2" t="s">
        <v>164</v>
      </c>
      <c r="N1687" s="2" t="s">
        <v>6277</v>
      </c>
    </row>
    <row r="1688" spans="1:14">
      <c r="A1688" s="2">
        <v>1687</v>
      </c>
      <c r="B1688" s="3" t="s">
        <v>6278</v>
      </c>
      <c r="C1688" s="2" t="s">
        <v>6279</v>
      </c>
      <c r="D1688" s="2">
        <v>53</v>
      </c>
      <c r="E1688" s="2">
        <v>53</v>
      </c>
      <c r="F1688" s="2" t="s">
        <v>6280</v>
      </c>
      <c r="H1688" s="2" t="s">
        <v>17</v>
      </c>
      <c r="K1688" s="4">
        <v>14919</v>
      </c>
      <c r="M1688" s="2" t="s">
        <v>192</v>
      </c>
      <c r="N1688" s="2" t="s">
        <v>6281</v>
      </c>
    </row>
    <row r="1689" spans="1:14">
      <c r="A1689" s="2">
        <v>1688</v>
      </c>
      <c r="B1689" s="3" t="s">
        <v>6282</v>
      </c>
      <c r="C1689" s="2" t="s">
        <v>6283</v>
      </c>
      <c r="D1689" s="2">
        <v>53</v>
      </c>
      <c r="E1689" s="2">
        <v>53</v>
      </c>
      <c r="F1689" s="2" t="s">
        <v>6284</v>
      </c>
      <c r="H1689" s="2" t="s">
        <v>45</v>
      </c>
      <c r="K1689" s="4">
        <v>23072</v>
      </c>
      <c r="M1689" s="2" t="s">
        <v>154</v>
      </c>
      <c r="N1689" s="2" t="s">
        <v>6285</v>
      </c>
    </row>
    <row r="1690" spans="1:14">
      <c r="A1690" s="2">
        <v>1689</v>
      </c>
      <c r="B1690" s="3" t="s">
        <v>6286</v>
      </c>
      <c r="C1690" s="2" t="s">
        <v>6287</v>
      </c>
      <c r="D1690" s="2">
        <v>53</v>
      </c>
      <c r="E1690" s="2">
        <v>53</v>
      </c>
      <c r="F1690" s="2" t="s">
        <v>6288</v>
      </c>
      <c r="H1690" s="2" t="s">
        <v>17</v>
      </c>
      <c r="K1690" s="4">
        <v>21706</v>
      </c>
      <c r="M1690" s="2" t="s">
        <v>35</v>
      </c>
      <c r="N1690" s="2" t="s">
        <v>6289</v>
      </c>
    </row>
    <row r="1691" spans="1:14">
      <c r="A1691" s="2">
        <v>1690</v>
      </c>
      <c r="B1691" s="3" t="s">
        <v>6290</v>
      </c>
      <c r="C1691" s="2" t="s">
        <v>6291</v>
      </c>
      <c r="D1691" s="2">
        <v>53</v>
      </c>
      <c r="E1691" s="2">
        <v>53</v>
      </c>
      <c r="F1691" s="2" t="s">
        <v>6292</v>
      </c>
      <c r="H1691" s="2" t="s">
        <v>17</v>
      </c>
      <c r="K1691" s="4">
        <v>22214</v>
      </c>
      <c r="M1691" s="2" t="s">
        <v>170</v>
      </c>
      <c r="N1691" s="2" t="s">
        <v>1624</v>
      </c>
    </row>
    <row r="1692" spans="1:14">
      <c r="A1692" s="2">
        <v>1691</v>
      </c>
      <c r="B1692" s="3" t="s">
        <v>6293</v>
      </c>
      <c r="C1692" s="2" t="s">
        <v>6294</v>
      </c>
      <c r="D1692" s="2">
        <v>51</v>
      </c>
      <c r="E1692" s="2">
        <v>53</v>
      </c>
      <c r="F1692" s="2" t="s">
        <v>6295</v>
      </c>
      <c r="H1692" s="2" t="s">
        <v>17</v>
      </c>
      <c r="K1692" s="4">
        <v>26638</v>
      </c>
      <c r="M1692" s="2" t="s">
        <v>85</v>
      </c>
      <c r="N1692" s="2" t="s">
        <v>86</v>
      </c>
    </row>
    <row r="1693" spans="1:14">
      <c r="A1693" s="2">
        <v>1692</v>
      </c>
      <c r="B1693" s="3" t="s">
        <v>6296</v>
      </c>
      <c r="C1693" s="2" t="s">
        <v>6297</v>
      </c>
      <c r="D1693" s="2">
        <v>53</v>
      </c>
      <c r="E1693" s="2">
        <v>53</v>
      </c>
      <c r="F1693" s="2" t="s">
        <v>6298</v>
      </c>
      <c r="H1693" s="2" t="s">
        <v>17</v>
      </c>
      <c r="K1693" s="4">
        <v>21183</v>
      </c>
      <c r="M1693" s="2" t="s">
        <v>40</v>
      </c>
      <c r="N1693" s="2" t="s">
        <v>6299</v>
      </c>
    </row>
    <row r="1694" spans="1:14">
      <c r="A1694" s="2">
        <v>1693</v>
      </c>
      <c r="B1694" s="3" t="s">
        <v>6300</v>
      </c>
      <c r="C1694" s="2" t="s">
        <v>6301</v>
      </c>
      <c r="D1694" s="2">
        <v>53</v>
      </c>
      <c r="E1694" s="2">
        <v>53</v>
      </c>
      <c r="F1694" s="2" t="s">
        <v>6302</v>
      </c>
      <c r="H1694" s="2" t="s">
        <v>45</v>
      </c>
      <c r="K1694" s="4">
        <v>21113</v>
      </c>
      <c r="M1694" s="2" t="s">
        <v>164</v>
      </c>
      <c r="N1694" s="2" t="s">
        <v>165</v>
      </c>
    </row>
    <row r="1695" spans="1:14">
      <c r="A1695" s="2">
        <v>1694</v>
      </c>
      <c r="B1695" s="3" t="s">
        <v>6303</v>
      </c>
      <c r="C1695" s="2" t="s">
        <v>6304</v>
      </c>
      <c r="D1695" s="2">
        <v>53</v>
      </c>
      <c r="E1695" s="2">
        <v>53</v>
      </c>
      <c r="F1695" s="2" t="s">
        <v>6305</v>
      </c>
      <c r="H1695" s="2" t="s">
        <v>45</v>
      </c>
      <c r="K1695" s="4">
        <v>26588</v>
      </c>
      <c r="M1695" s="2" t="s">
        <v>47</v>
      </c>
      <c r="N1695" s="2" t="s">
        <v>6306</v>
      </c>
    </row>
    <row r="1696" spans="1:14">
      <c r="A1696" s="2">
        <v>1695</v>
      </c>
      <c r="B1696" s="3" t="s">
        <v>6307</v>
      </c>
      <c r="C1696" s="2" t="s">
        <v>6308</v>
      </c>
      <c r="D1696" s="2">
        <v>52</v>
      </c>
      <c r="E1696" s="2">
        <v>53</v>
      </c>
      <c r="F1696" s="2" t="s">
        <v>6309</v>
      </c>
      <c r="H1696" s="2" t="s">
        <v>45</v>
      </c>
      <c r="K1696" s="4">
        <v>25950</v>
      </c>
      <c r="M1696" s="2" t="s">
        <v>66</v>
      </c>
      <c r="N1696" s="2" t="s">
        <v>1069</v>
      </c>
    </row>
    <row r="1697" spans="1:14">
      <c r="A1697" s="2">
        <v>1696</v>
      </c>
      <c r="B1697" s="3" t="s">
        <v>6310</v>
      </c>
      <c r="C1697" s="2" t="s">
        <v>6311</v>
      </c>
      <c r="D1697" s="2">
        <v>52</v>
      </c>
      <c r="E1697" s="2">
        <v>53</v>
      </c>
      <c r="F1697" s="2" t="s">
        <v>6312</v>
      </c>
      <c r="H1697" s="2" t="s">
        <v>17</v>
      </c>
      <c r="K1697" s="4">
        <v>20675</v>
      </c>
      <c r="M1697" s="2" t="s">
        <v>154</v>
      </c>
      <c r="N1697" s="2" t="s">
        <v>208</v>
      </c>
    </row>
    <row r="1698" spans="1:14">
      <c r="A1698" s="2">
        <v>1697</v>
      </c>
      <c r="B1698" s="3" t="s">
        <v>6313</v>
      </c>
      <c r="C1698" s="2" t="s">
        <v>6314</v>
      </c>
      <c r="D1698" s="2">
        <v>51</v>
      </c>
      <c r="E1698" s="2">
        <v>53</v>
      </c>
      <c r="F1698" s="2" t="s">
        <v>6315</v>
      </c>
      <c r="H1698" s="2" t="s">
        <v>17</v>
      </c>
      <c r="K1698" s="4">
        <v>20626</v>
      </c>
      <c r="M1698" s="2" t="s">
        <v>53</v>
      </c>
      <c r="N1698" s="2" t="s">
        <v>847</v>
      </c>
    </row>
    <row r="1699" spans="1:14">
      <c r="A1699" s="2">
        <v>1698</v>
      </c>
      <c r="B1699" s="3" t="s">
        <v>6316</v>
      </c>
      <c r="C1699" s="2" t="s">
        <v>6317</v>
      </c>
      <c r="D1699" s="2">
        <v>52</v>
      </c>
      <c r="E1699" s="2">
        <v>53</v>
      </c>
      <c r="F1699" s="2" t="s">
        <v>6318</v>
      </c>
      <c r="H1699" s="2" t="s">
        <v>17</v>
      </c>
      <c r="K1699" s="4">
        <v>17467</v>
      </c>
      <c r="M1699" s="2" t="s">
        <v>40</v>
      </c>
      <c r="N1699" s="2" t="s">
        <v>41</v>
      </c>
    </row>
    <row r="1700" spans="1:14">
      <c r="A1700" s="2">
        <v>1699</v>
      </c>
      <c r="B1700" s="3" t="s">
        <v>6319</v>
      </c>
      <c r="C1700" s="2" t="s">
        <v>6320</v>
      </c>
      <c r="D1700" s="2">
        <v>53</v>
      </c>
      <c r="E1700" s="2">
        <v>53</v>
      </c>
      <c r="F1700" s="2" t="s">
        <v>6320</v>
      </c>
      <c r="H1700" s="2" t="s">
        <v>17</v>
      </c>
      <c r="K1700" s="4">
        <v>20802</v>
      </c>
      <c r="M1700" s="2" t="s">
        <v>192</v>
      </c>
      <c r="N1700" s="2" t="s">
        <v>193</v>
      </c>
    </row>
    <row r="1701" spans="1:14">
      <c r="A1701" s="2">
        <v>1700</v>
      </c>
      <c r="B1701" s="3" t="s">
        <v>6321</v>
      </c>
      <c r="C1701" s="2" t="s">
        <v>6322</v>
      </c>
      <c r="D1701" s="2">
        <v>52</v>
      </c>
      <c r="E1701" s="2">
        <v>53</v>
      </c>
      <c r="F1701" s="2" t="s">
        <v>6323</v>
      </c>
      <c r="H1701" s="2" t="s">
        <v>17</v>
      </c>
      <c r="I1701" s="3" t="s">
        <v>6324</v>
      </c>
      <c r="K1701" s="4">
        <v>18566</v>
      </c>
      <c r="M1701" s="2" t="s">
        <v>30</v>
      </c>
      <c r="N1701" s="2" t="s">
        <v>6325</v>
      </c>
    </row>
    <row r="1702" spans="1:14">
      <c r="A1702" s="2">
        <v>1701</v>
      </c>
      <c r="B1702" s="3" t="s">
        <v>6326</v>
      </c>
      <c r="C1702" s="2" t="s">
        <v>6327</v>
      </c>
      <c r="D1702" s="2">
        <v>53</v>
      </c>
      <c r="E1702" s="2">
        <v>53</v>
      </c>
      <c r="F1702" s="2" t="s">
        <v>6328</v>
      </c>
      <c r="H1702" s="2" t="s">
        <v>17</v>
      </c>
      <c r="K1702" s="4">
        <v>20534</v>
      </c>
      <c r="M1702" s="2" t="s">
        <v>170</v>
      </c>
      <c r="N1702" s="2" t="s">
        <v>323</v>
      </c>
    </row>
    <row r="1703" spans="1:14">
      <c r="A1703" s="2">
        <v>1702</v>
      </c>
      <c r="B1703" s="3" t="s">
        <v>6329</v>
      </c>
      <c r="C1703" s="2" t="s">
        <v>6330</v>
      </c>
      <c r="D1703" s="2">
        <v>53</v>
      </c>
      <c r="E1703" s="2">
        <v>53</v>
      </c>
      <c r="F1703" s="2" t="s">
        <v>6331</v>
      </c>
      <c r="H1703" s="2" t="s">
        <v>17</v>
      </c>
      <c r="K1703" s="4">
        <v>21469</v>
      </c>
      <c r="M1703" s="2" t="s">
        <v>53</v>
      </c>
      <c r="N1703" s="2" t="s">
        <v>475</v>
      </c>
    </row>
    <row r="1704" spans="1:14">
      <c r="A1704" s="2">
        <v>1703</v>
      </c>
      <c r="B1704" s="3" t="s">
        <v>6332</v>
      </c>
      <c r="C1704" s="2" t="s">
        <v>6333</v>
      </c>
      <c r="D1704" s="2">
        <v>53</v>
      </c>
      <c r="E1704" s="2">
        <v>53</v>
      </c>
      <c r="F1704" s="2" t="s">
        <v>6334</v>
      </c>
      <c r="H1704" s="2" t="s">
        <v>17</v>
      </c>
      <c r="K1704" s="4">
        <v>28134</v>
      </c>
      <c r="M1704" s="2" t="s">
        <v>30</v>
      </c>
      <c r="N1704" s="2" t="s">
        <v>31</v>
      </c>
    </row>
    <row r="1705" spans="1:14">
      <c r="A1705" s="2">
        <v>1704</v>
      </c>
      <c r="B1705" s="3" t="s">
        <v>6335</v>
      </c>
      <c r="C1705" s="2" t="s">
        <v>6336</v>
      </c>
      <c r="D1705" s="2">
        <v>50</v>
      </c>
      <c r="E1705" s="2">
        <v>53</v>
      </c>
      <c r="F1705" s="2" t="s">
        <v>6337</v>
      </c>
      <c r="H1705" s="2" t="s">
        <v>17</v>
      </c>
      <c r="K1705" s="4">
        <v>20916</v>
      </c>
      <c r="M1705" s="2" t="s">
        <v>85</v>
      </c>
      <c r="N1705" s="2" t="s">
        <v>86</v>
      </c>
    </row>
    <row r="1706" spans="1:14">
      <c r="A1706" s="2">
        <v>1705</v>
      </c>
      <c r="B1706" s="3" t="s">
        <v>6338</v>
      </c>
      <c r="C1706" s="2" t="s">
        <v>6339</v>
      </c>
      <c r="D1706" s="2">
        <v>53</v>
      </c>
      <c r="E1706" s="2">
        <v>53</v>
      </c>
      <c r="F1706" s="2" t="s">
        <v>6340</v>
      </c>
      <c r="H1706" s="2" t="s">
        <v>17</v>
      </c>
      <c r="K1706" s="4">
        <v>23756</v>
      </c>
      <c r="M1706" s="2" t="s">
        <v>35</v>
      </c>
      <c r="N1706" s="2" t="s">
        <v>955</v>
      </c>
    </row>
    <row r="1707" spans="1:14">
      <c r="A1707" s="2">
        <v>1706</v>
      </c>
      <c r="B1707" s="3" t="s">
        <v>6341</v>
      </c>
      <c r="C1707" s="2" t="s">
        <v>6342</v>
      </c>
      <c r="D1707" s="2">
        <v>53</v>
      </c>
      <c r="E1707" s="2">
        <v>53</v>
      </c>
      <c r="F1707" s="2" t="s">
        <v>6343</v>
      </c>
      <c r="H1707" s="2" t="s">
        <v>17</v>
      </c>
      <c r="K1707" s="4">
        <v>23317</v>
      </c>
      <c r="M1707" s="2" t="s">
        <v>198</v>
      </c>
      <c r="N1707" s="2" t="s">
        <v>6344</v>
      </c>
    </row>
    <row r="1708" spans="1:14">
      <c r="A1708" s="2">
        <v>1707</v>
      </c>
      <c r="B1708" s="3" t="s">
        <v>6345</v>
      </c>
      <c r="C1708" s="2" t="s">
        <v>6346</v>
      </c>
      <c r="D1708" s="2">
        <v>51</v>
      </c>
      <c r="E1708" s="2">
        <v>53</v>
      </c>
      <c r="F1708" s="2" t="s">
        <v>6347</v>
      </c>
      <c r="H1708" s="2" t="s">
        <v>45</v>
      </c>
      <c r="K1708" s="4">
        <v>19954</v>
      </c>
      <c r="M1708" s="2" t="s">
        <v>35</v>
      </c>
      <c r="N1708" s="2" t="s">
        <v>6348</v>
      </c>
    </row>
    <row r="1709" spans="1:14">
      <c r="A1709" s="2">
        <v>1708</v>
      </c>
      <c r="B1709" s="3" t="s">
        <v>6349</v>
      </c>
      <c r="C1709" s="2" t="s">
        <v>6350</v>
      </c>
      <c r="D1709" s="2">
        <v>51</v>
      </c>
      <c r="E1709" s="2">
        <v>53</v>
      </c>
      <c r="F1709" s="2" t="s">
        <v>6350</v>
      </c>
      <c r="H1709" s="2" t="s">
        <v>45</v>
      </c>
      <c r="K1709" s="4">
        <v>21516</v>
      </c>
      <c r="M1709" s="2" t="s">
        <v>35</v>
      </c>
      <c r="N1709" s="2" t="s">
        <v>6351</v>
      </c>
    </row>
    <row r="1710" spans="1:14">
      <c r="A1710" s="2">
        <v>1709</v>
      </c>
      <c r="B1710" s="3" t="s">
        <v>6352</v>
      </c>
      <c r="C1710" s="2" t="s">
        <v>6353</v>
      </c>
      <c r="D1710" s="2">
        <v>53</v>
      </c>
      <c r="E1710" s="2">
        <v>53</v>
      </c>
      <c r="F1710" s="2" t="s">
        <v>6354</v>
      </c>
      <c r="H1710" s="2" t="s">
        <v>45</v>
      </c>
      <c r="K1710" s="4">
        <v>21592</v>
      </c>
      <c r="M1710" s="2" t="s">
        <v>170</v>
      </c>
      <c r="N1710" s="2" t="s">
        <v>323</v>
      </c>
    </row>
    <row r="1711" spans="1:14">
      <c r="A1711" s="2">
        <v>1710</v>
      </c>
      <c r="B1711" s="3" t="s">
        <v>6355</v>
      </c>
      <c r="C1711" s="2" t="s">
        <v>6356</v>
      </c>
      <c r="D1711" s="2">
        <v>53</v>
      </c>
      <c r="E1711" s="2">
        <v>53</v>
      </c>
      <c r="F1711" s="2" t="s">
        <v>6357</v>
      </c>
      <c r="H1711" s="2" t="s">
        <v>17</v>
      </c>
      <c r="K1711" s="4">
        <v>24421</v>
      </c>
      <c r="M1711" s="2" t="s">
        <v>66</v>
      </c>
      <c r="N1711" s="2" t="s">
        <v>3640</v>
      </c>
    </row>
    <row r="1712" spans="1:14">
      <c r="A1712" s="2">
        <v>1711</v>
      </c>
      <c r="B1712" s="3" t="s">
        <v>6358</v>
      </c>
      <c r="C1712" s="2" t="s">
        <v>6359</v>
      </c>
      <c r="D1712" s="2">
        <v>48</v>
      </c>
      <c r="E1712" s="2">
        <v>53</v>
      </c>
      <c r="F1712" s="2" t="s">
        <v>6359</v>
      </c>
      <c r="H1712" s="2" t="s">
        <v>17</v>
      </c>
      <c r="K1712" s="4">
        <v>16405</v>
      </c>
      <c r="L1712" s="4">
        <v>39746</v>
      </c>
      <c r="M1712" s="2" t="s">
        <v>154</v>
      </c>
      <c r="N1712" s="2" t="s">
        <v>208</v>
      </c>
    </row>
    <row r="1713" spans="1:14">
      <c r="A1713" s="2">
        <v>1712</v>
      </c>
      <c r="B1713" s="3" t="s">
        <v>6360</v>
      </c>
      <c r="C1713" s="2" t="s">
        <v>6361</v>
      </c>
      <c r="D1713" s="2">
        <v>48</v>
      </c>
      <c r="E1713" s="2">
        <v>53</v>
      </c>
      <c r="F1713" s="2" t="s">
        <v>6362</v>
      </c>
      <c r="H1713" s="2" t="s">
        <v>17</v>
      </c>
      <c r="K1713" s="4">
        <v>14877</v>
      </c>
      <c r="M1713" s="2" t="s">
        <v>47</v>
      </c>
      <c r="N1713" s="2" t="s">
        <v>6363</v>
      </c>
    </row>
    <row r="1714" spans="1:14">
      <c r="A1714" s="2">
        <v>1713</v>
      </c>
      <c r="B1714" s="3" t="s">
        <v>6364</v>
      </c>
      <c r="C1714" s="2" t="s">
        <v>6365</v>
      </c>
      <c r="D1714" s="2">
        <v>53</v>
      </c>
      <c r="E1714" s="2">
        <v>53</v>
      </c>
      <c r="F1714" s="2" t="s">
        <v>6366</v>
      </c>
      <c r="H1714" s="2" t="s">
        <v>17</v>
      </c>
      <c r="K1714" s="4">
        <v>20176</v>
      </c>
      <c r="L1714" s="4">
        <v>41563</v>
      </c>
      <c r="M1714" s="2" t="s">
        <v>192</v>
      </c>
      <c r="N1714" s="2" t="s">
        <v>577</v>
      </c>
    </row>
    <row r="1715" spans="1:14">
      <c r="A1715" s="2">
        <v>1714</v>
      </c>
      <c r="B1715" s="3" t="s">
        <v>6367</v>
      </c>
      <c r="C1715" s="2" t="s">
        <v>6368</v>
      </c>
      <c r="D1715" s="2">
        <v>48</v>
      </c>
      <c r="E1715" s="2">
        <v>53</v>
      </c>
      <c r="F1715" s="2" t="s">
        <v>6369</v>
      </c>
      <c r="H1715" s="2" t="s">
        <v>17</v>
      </c>
      <c r="K1715" s="4">
        <v>20086</v>
      </c>
      <c r="L1715" s="4">
        <v>45885</v>
      </c>
      <c r="M1715" s="2" t="s">
        <v>40</v>
      </c>
      <c r="N1715" s="2" t="s">
        <v>6370</v>
      </c>
    </row>
    <row r="1716" spans="1:14">
      <c r="A1716" s="2">
        <v>1715</v>
      </c>
      <c r="B1716" s="3" t="s">
        <v>6371</v>
      </c>
      <c r="C1716" s="2" t="s">
        <v>6372</v>
      </c>
      <c r="D1716" s="2">
        <v>48</v>
      </c>
      <c r="E1716" s="2">
        <v>53</v>
      </c>
      <c r="F1716" s="2" t="s">
        <v>6373</v>
      </c>
      <c r="H1716" s="2" t="s">
        <v>17</v>
      </c>
      <c r="K1716" s="4">
        <v>14751</v>
      </c>
      <c r="M1716" s="2" t="s">
        <v>140</v>
      </c>
      <c r="N1716" s="2" t="s">
        <v>6374</v>
      </c>
    </row>
    <row r="1717" spans="1:14">
      <c r="A1717" s="2">
        <v>1716</v>
      </c>
      <c r="B1717" s="3" t="s">
        <v>6375</v>
      </c>
      <c r="C1717" s="2" t="s">
        <v>6376</v>
      </c>
      <c r="D1717" s="2">
        <v>48</v>
      </c>
      <c r="E1717" s="2">
        <v>53</v>
      </c>
      <c r="F1717" s="2" t="s">
        <v>6377</v>
      </c>
      <c r="H1717" s="2" t="s">
        <v>17</v>
      </c>
      <c r="K1717" s="4">
        <v>14587</v>
      </c>
      <c r="L1717" s="4">
        <v>39757</v>
      </c>
      <c r="M1717" s="2" t="s">
        <v>140</v>
      </c>
      <c r="N1717" s="2" t="s">
        <v>5557</v>
      </c>
    </row>
    <row r="1718" spans="1:14">
      <c r="A1718" s="2">
        <v>1717</v>
      </c>
      <c r="B1718" s="3" t="s">
        <v>6378</v>
      </c>
      <c r="C1718" s="2" t="s">
        <v>6379</v>
      </c>
      <c r="D1718" s="2">
        <v>52</v>
      </c>
      <c r="E1718" s="2">
        <v>53</v>
      </c>
      <c r="F1718" s="2" t="s">
        <v>6380</v>
      </c>
      <c r="H1718" s="2" t="s">
        <v>17</v>
      </c>
      <c r="K1718" s="4">
        <v>16459</v>
      </c>
      <c r="L1718" s="4">
        <v>39283</v>
      </c>
      <c r="M1718" s="2" t="s">
        <v>336</v>
      </c>
      <c r="N1718" s="2" t="s">
        <v>1883</v>
      </c>
    </row>
    <row r="1719" spans="1:14">
      <c r="A1719" s="2">
        <v>1718</v>
      </c>
      <c r="B1719" s="3" t="s">
        <v>6381</v>
      </c>
      <c r="C1719" s="2" t="s">
        <v>6382</v>
      </c>
      <c r="D1719" s="2">
        <v>53</v>
      </c>
      <c r="E1719" s="2">
        <v>53</v>
      </c>
      <c r="F1719" s="2" t="s">
        <v>6383</v>
      </c>
      <c r="H1719" s="2" t="s">
        <v>17</v>
      </c>
      <c r="K1719" s="4">
        <v>20439</v>
      </c>
      <c r="M1719" s="2" t="s">
        <v>423</v>
      </c>
      <c r="N1719" s="2" t="s">
        <v>6384</v>
      </c>
    </row>
    <row r="1720" spans="1:14">
      <c r="A1720" s="2">
        <v>1719</v>
      </c>
      <c r="B1720" s="3" t="s">
        <v>6385</v>
      </c>
      <c r="C1720" s="2" t="s">
        <v>6386</v>
      </c>
      <c r="D1720" s="2">
        <v>49</v>
      </c>
      <c r="E1720" s="2">
        <v>53</v>
      </c>
      <c r="F1720" s="2" t="s">
        <v>6387</v>
      </c>
      <c r="H1720" s="2" t="s">
        <v>17</v>
      </c>
      <c r="K1720" s="4">
        <v>18489</v>
      </c>
      <c r="L1720" s="4">
        <v>44730</v>
      </c>
      <c r="M1720" s="2" t="s">
        <v>66</v>
      </c>
      <c r="N1720" s="2" t="s">
        <v>71</v>
      </c>
    </row>
    <row r="1721" spans="1:14">
      <c r="A1721" s="2">
        <v>1720</v>
      </c>
      <c r="B1721" s="3" t="s">
        <v>6388</v>
      </c>
      <c r="C1721" s="2" t="s">
        <v>6389</v>
      </c>
      <c r="D1721" s="2">
        <v>49</v>
      </c>
      <c r="E1721" s="2">
        <v>53</v>
      </c>
      <c r="F1721" s="2" t="s">
        <v>6389</v>
      </c>
      <c r="H1721" s="2" t="s">
        <v>17</v>
      </c>
      <c r="K1721" s="4">
        <v>11261</v>
      </c>
      <c r="L1721" s="4">
        <v>40884</v>
      </c>
      <c r="M1721" s="2" t="s">
        <v>341</v>
      </c>
      <c r="N1721" s="2" t="s">
        <v>6390</v>
      </c>
    </row>
    <row r="1722" spans="1:14">
      <c r="A1722" s="2">
        <v>1721</v>
      </c>
      <c r="B1722" s="3" t="s">
        <v>6391</v>
      </c>
      <c r="C1722" s="2" t="s">
        <v>6392</v>
      </c>
      <c r="D1722" s="2">
        <v>53</v>
      </c>
      <c r="E1722" s="2">
        <v>53</v>
      </c>
      <c r="F1722" s="2" t="s">
        <v>6393</v>
      </c>
      <c r="H1722" s="2" t="s">
        <v>17</v>
      </c>
      <c r="K1722" s="4">
        <v>17046</v>
      </c>
      <c r="M1722" s="2" t="s">
        <v>662</v>
      </c>
      <c r="N1722" s="2" t="s">
        <v>663</v>
      </c>
    </row>
    <row r="1723" spans="1:14">
      <c r="A1723" s="2">
        <v>1722</v>
      </c>
      <c r="B1723" s="3" t="s">
        <v>6394</v>
      </c>
      <c r="C1723" s="2" t="s">
        <v>6395</v>
      </c>
      <c r="D1723" s="2">
        <v>51</v>
      </c>
      <c r="E1723" s="2">
        <v>53</v>
      </c>
      <c r="F1723" s="2" t="s">
        <v>6396</v>
      </c>
      <c r="H1723" s="2" t="s">
        <v>17</v>
      </c>
      <c r="K1723" s="4">
        <v>19085</v>
      </c>
      <c r="M1723" s="2" t="s">
        <v>247</v>
      </c>
      <c r="N1723" s="2" t="s">
        <v>2414</v>
      </c>
    </row>
    <row r="1724" spans="1:14">
      <c r="A1724" s="2">
        <v>1723</v>
      </c>
      <c r="B1724" s="3" t="s">
        <v>6397</v>
      </c>
      <c r="C1724" s="2" t="s">
        <v>6398</v>
      </c>
      <c r="D1724" s="2">
        <v>49</v>
      </c>
      <c r="E1724" s="2">
        <v>53</v>
      </c>
      <c r="F1724" s="2" t="s">
        <v>6399</v>
      </c>
      <c r="H1724" s="2" t="s">
        <v>17</v>
      </c>
      <c r="K1724" s="4">
        <v>20891</v>
      </c>
      <c r="M1724" s="2" t="s">
        <v>146</v>
      </c>
      <c r="N1724" s="2" t="s">
        <v>2196</v>
      </c>
    </row>
    <row r="1725" spans="1:14">
      <c r="A1725" s="2">
        <v>1724</v>
      </c>
      <c r="B1725" s="3" t="s">
        <v>6400</v>
      </c>
      <c r="C1725" s="2" t="s">
        <v>6401</v>
      </c>
      <c r="D1725" s="2">
        <v>49</v>
      </c>
      <c r="E1725" s="2">
        <v>53</v>
      </c>
      <c r="F1725" s="2" t="s">
        <v>6402</v>
      </c>
      <c r="H1725" s="2" t="s">
        <v>17</v>
      </c>
      <c r="K1725" s="4">
        <v>10784</v>
      </c>
      <c r="M1725" s="2" t="s">
        <v>35</v>
      </c>
      <c r="N1725" s="2" t="s">
        <v>2466</v>
      </c>
    </row>
    <row r="1726" spans="1:14">
      <c r="A1726" s="2">
        <v>1725</v>
      </c>
      <c r="B1726" s="3" t="s">
        <v>6403</v>
      </c>
      <c r="C1726" s="2" t="s">
        <v>6404</v>
      </c>
      <c r="D1726" s="2">
        <v>50</v>
      </c>
      <c r="E1726" s="2">
        <v>53</v>
      </c>
      <c r="F1726" s="2" t="s">
        <v>6405</v>
      </c>
      <c r="H1726" s="2" t="s">
        <v>17</v>
      </c>
      <c r="K1726" s="4">
        <v>12769</v>
      </c>
      <c r="L1726" s="4">
        <v>41263</v>
      </c>
      <c r="M1726" s="2" t="s">
        <v>66</v>
      </c>
      <c r="N1726" s="2" t="s">
        <v>5822</v>
      </c>
    </row>
    <row r="1727" spans="1:14">
      <c r="A1727" s="2">
        <v>1726</v>
      </c>
      <c r="B1727" s="3" t="s">
        <v>6406</v>
      </c>
      <c r="C1727" s="2" t="s">
        <v>6407</v>
      </c>
      <c r="D1727" s="2">
        <v>53</v>
      </c>
      <c r="E1727" s="2">
        <v>53</v>
      </c>
      <c r="F1727" s="2" t="s">
        <v>6408</v>
      </c>
      <c r="H1727" s="2" t="s">
        <v>17</v>
      </c>
      <c r="K1727" s="4">
        <v>19448</v>
      </c>
      <c r="M1727" s="2" t="s">
        <v>47</v>
      </c>
      <c r="N1727" s="2" t="s">
        <v>48</v>
      </c>
    </row>
    <row r="1728" spans="1:14">
      <c r="A1728" s="2">
        <v>1727</v>
      </c>
      <c r="B1728" s="3" t="s">
        <v>6409</v>
      </c>
      <c r="C1728" s="2" t="s">
        <v>6410</v>
      </c>
      <c r="D1728" s="2">
        <v>52</v>
      </c>
      <c r="E1728" s="2">
        <v>53</v>
      </c>
      <c r="F1728" s="2" t="s">
        <v>6411</v>
      </c>
      <c r="H1728" s="2" t="s">
        <v>17</v>
      </c>
      <c r="K1728" s="4">
        <v>22766</v>
      </c>
      <c r="M1728" s="2" t="s">
        <v>662</v>
      </c>
      <c r="N1728" s="2" t="s">
        <v>663</v>
      </c>
    </row>
    <row r="1729" spans="1:14">
      <c r="A1729" s="2">
        <v>1728</v>
      </c>
      <c r="B1729" s="3" t="s">
        <v>6412</v>
      </c>
      <c r="C1729" s="2" t="s">
        <v>6413</v>
      </c>
      <c r="D1729" s="2">
        <v>53</v>
      </c>
      <c r="E1729" s="2">
        <v>53</v>
      </c>
      <c r="F1729" s="2" t="s">
        <v>6414</v>
      </c>
      <c r="H1729" s="2" t="s">
        <v>17</v>
      </c>
      <c r="K1729" s="4">
        <v>11839</v>
      </c>
      <c r="M1729" s="2" t="s">
        <v>47</v>
      </c>
      <c r="N1729" s="2" t="s">
        <v>651</v>
      </c>
    </row>
    <row r="1730" spans="1:14">
      <c r="A1730" s="2">
        <v>1729</v>
      </c>
      <c r="B1730" s="3" t="s">
        <v>6415</v>
      </c>
      <c r="C1730" s="2" t="s">
        <v>6416</v>
      </c>
      <c r="D1730" s="2">
        <v>52</v>
      </c>
      <c r="E1730" s="2">
        <v>53</v>
      </c>
      <c r="F1730" s="2" t="s">
        <v>6417</v>
      </c>
      <c r="H1730" s="2" t="s">
        <v>17</v>
      </c>
      <c r="K1730" s="4">
        <v>16948</v>
      </c>
      <c r="M1730" s="2" t="s">
        <v>85</v>
      </c>
      <c r="N1730" s="2" t="s">
        <v>6418</v>
      </c>
    </row>
    <row r="1731" spans="1:14">
      <c r="A1731" s="2">
        <v>1730</v>
      </c>
      <c r="B1731" s="3" t="s">
        <v>6419</v>
      </c>
      <c r="C1731" s="2" t="s">
        <v>6420</v>
      </c>
      <c r="D1731" s="2">
        <v>49</v>
      </c>
      <c r="E1731" s="2">
        <v>53</v>
      </c>
      <c r="F1731" s="2" t="s">
        <v>6421</v>
      </c>
      <c r="H1731" s="2" t="s">
        <v>17</v>
      </c>
      <c r="K1731" s="4">
        <v>20899</v>
      </c>
      <c r="M1731" s="2" t="s">
        <v>423</v>
      </c>
      <c r="N1731" s="2" t="s">
        <v>1264</v>
      </c>
    </row>
    <row r="1732" spans="1:14">
      <c r="A1732" s="2">
        <v>1731</v>
      </c>
      <c r="B1732" s="3" t="s">
        <v>6422</v>
      </c>
      <c r="C1732" s="2" t="s">
        <v>6423</v>
      </c>
      <c r="D1732" s="2">
        <v>48</v>
      </c>
      <c r="E1732" s="2">
        <v>53</v>
      </c>
      <c r="F1732" s="2" t="s">
        <v>6424</v>
      </c>
      <c r="H1732" s="2" t="s">
        <v>17</v>
      </c>
      <c r="K1732" s="4">
        <v>18990</v>
      </c>
      <c r="M1732" s="2" t="s">
        <v>35</v>
      </c>
      <c r="N1732" s="2" t="s">
        <v>6425</v>
      </c>
    </row>
    <row r="1733" spans="1:14">
      <c r="A1733" s="2">
        <v>1732</v>
      </c>
      <c r="B1733" s="3" t="s">
        <v>6426</v>
      </c>
      <c r="C1733" s="2" t="s">
        <v>6427</v>
      </c>
      <c r="D1733" s="2">
        <v>49</v>
      </c>
      <c r="E1733" s="2">
        <v>53</v>
      </c>
      <c r="F1733" s="2" t="s">
        <v>6428</v>
      </c>
      <c r="H1733" s="2" t="s">
        <v>17</v>
      </c>
      <c r="K1733" s="4">
        <v>23051</v>
      </c>
      <c r="M1733" s="2" t="s">
        <v>47</v>
      </c>
      <c r="N1733" s="2" t="s">
        <v>1980</v>
      </c>
    </row>
    <row r="1734" spans="1:14">
      <c r="A1734" s="2">
        <v>1733</v>
      </c>
      <c r="B1734" s="3" t="s">
        <v>6429</v>
      </c>
      <c r="C1734" s="2" t="s">
        <v>6430</v>
      </c>
      <c r="D1734" s="2">
        <v>46</v>
      </c>
      <c r="E1734" s="2">
        <v>53</v>
      </c>
      <c r="F1734" s="2" t="s">
        <v>6431</v>
      </c>
      <c r="H1734" s="2" t="s">
        <v>17</v>
      </c>
      <c r="K1734" s="4">
        <v>12409</v>
      </c>
      <c r="L1734" s="4">
        <v>41745</v>
      </c>
      <c r="M1734" s="2" t="s">
        <v>170</v>
      </c>
      <c r="N1734" s="2" t="s">
        <v>1624</v>
      </c>
    </row>
    <row r="1735" spans="1:14">
      <c r="A1735" s="2">
        <v>1734</v>
      </c>
      <c r="B1735" s="3" t="s">
        <v>6432</v>
      </c>
      <c r="C1735" s="2" t="s">
        <v>6433</v>
      </c>
      <c r="D1735" s="2">
        <v>53</v>
      </c>
      <c r="E1735" s="2">
        <v>53</v>
      </c>
      <c r="F1735" s="2" t="s">
        <v>6434</v>
      </c>
      <c r="H1735" s="2" t="s">
        <v>17</v>
      </c>
      <c r="K1735" s="4">
        <v>16690</v>
      </c>
      <c r="M1735" s="2" t="s">
        <v>66</v>
      </c>
      <c r="N1735" s="2" t="s">
        <v>71</v>
      </c>
    </row>
    <row r="1736" spans="1:14">
      <c r="A1736" s="2">
        <v>1735</v>
      </c>
      <c r="B1736" s="3" t="s">
        <v>6435</v>
      </c>
      <c r="C1736" s="2" t="s">
        <v>6436</v>
      </c>
      <c r="D1736" s="2">
        <v>53</v>
      </c>
      <c r="E1736" s="2">
        <v>53</v>
      </c>
      <c r="F1736" s="2" t="s">
        <v>6437</v>
      </c>
      <c r="H1736" s="2" t="s">
        <v>17</v>
      </c>
      <c r="J1736" s="3" t="s">
        <v>6438</v>
      </c>
      <c r="K1736" s="4">
        <v>22625</v>
      </c>
      <c r="M1736" s="2" t="s">
        <v>47</v>
      </c>
      <c r="N1736" s="2" t="s">
        <v>1811</v>
      </c>
    </row>
    <row r="1737" spans="1:14">
      <c r="A1737" s="2">
        <v>1736</v>
      </c>
      <c r="B1737" s="3" t="s">
        <v>6439</v>
      </c>
      <c r="C1737" s="2" t="s">
        <v>6440</v>
      </c>
      <c r="D1737" s="2">
        <v>49</v>
      </c>
      <c r="E1737" s="2">
        <v>53</v>
      </c>
      <c r="F1737" s="2" t="s">
        <v>6441</v>
      </c>
      <c r="H1737" s="2" t="s">
        <v>17</v>
      </c>
      <c r="K1737" s="4">
        <v>18719</v>
      </c>
      <c r="M1737" s="2" t="s">
        <v>164</v>
      </c>
      <c r="N1737" s="2" t="s">
        <v>6442</v>
      </c>
    </row>
    <row r="1738" spans="1:14">
      <c r="A1738" s="2">
        <v>1737</v>
      </c>
      <c r="B1738" s="3" t="s">
        <v>6443</v>
      </c>
      <c r="C1738" s="2" t="s">
        <v>6444</v>
      </c>
      <c r="D1738" s="2">
        <v>49</v>
      </c>
      <c r="E1738" s="2">
        <v>53</v>
      </c>
      <c r="F1738" s="2" t="s">
        <v>6445</v>
      </c>
      <c r="H1738" s="2" t="s">
        <v>17</v>
      </c>
      <c r="K1738" s="4">
        <v>23989</v>
      </c>
      <c r="L1738" s="4">
        <v>41864</v>
      </c>
      <c r="M1738" s="2" t="s">
        <v>91</v>
      </c>
      <c r="N1738" s="2" t="s">
        <v>975</v>
      </c>
    </row>
    <row r="1739" spans="1:14">
      <c r="A1739" s="2">
        <v>1738</v>
      </c>
      <c r="B1739" s="3" t="s">
        <v>6446</v>
      </c>
      <c r="C1739" s="2" t="s">
        <v>6447</v>
      </c>
      <c r="D1739" s="2">
        <v>50</v>
      </c>
      <c r="E1739" s="2">
        <v>53</v>
      </c>
      <c r="F1739" s="2" t="s">
        <v>6448</v>
      </c>
      <c r="H1739" s="2" t="s">
        <v>17</v>
      </c>
      <c r="K1739" s="4">
        <v>15396</v>
      </c>
      <c r="M1739" s="2" t="s">
        <v>53</v>
      </c>
      <c r="N1739" s="2" t="s">
        <v>6449</v>
      </c>
    </row>
    <row r="1740" spans="1:14">
      <c r="A1740" s="2">
        <v>1739</v>
      </c>
      <c r="B1740" s="3" t="s">
        <v>6450</v>
      </c>
      <c r="C1740" s="2" t="s">
        <v>6451</v>
      </c>
      <c r="D1740" s="2">
        <v>53</v>
      </c>
      <c r="E1740" s="2">
        <v>53</v>
      </c>
      <c r="F1740" s="2" t="s">
        <v>6452</v>
      </c>
      <c r="H1740" s="2" t="s">
        <v>17</v>
      </c>
      <c r="K1740" s="4">
        <v>13195</v>
      </c>
      <c r="M1740" s="2" t="s">
        <v>66</v>
      </c>
      <c r="N1740" s="2" t="s">
        <v>730</v>
      </c>
    </row>
    <row r="1741" spans="1:14">
      <c r="A1741" s="2">
        <v>1740</v>
      </c>
      <c r="B1741" s="3" t="s">
        <v>6453</v>
      </c>
      <c r="C1741" s="2" t="s">
        <v>6454</v>
      </c>
      <c r="D1741" s="2">
        <v>52</v>
      </c>
      <c r="E1741" s="2">
        <v>53</v>
      </c>
      <c r="F1741" s="2" t="s">
        <v>6455</v>
      </c>
      <c r="H1741" s="2" t="s">
        <v>45</v>
      </c>
      <c r="K1741" s="4">
        <v>17130</v>
      </c>
      <c r="M1741" s="2" t="s">
        <v>53</v>
      </c>
      <c r="N1741" s="2" t="s">
        <v>847</v>
      </c>
    </row>
    <row r="1742" spans="1:14">
      <c r="A1742" s="2">
        <v>1741</v>
      </c>
      <c r="B1742" s="3" t="s">
        <v>6456</v>
      </c>
      <c r="C1742" s="2" t="s">
        <v>6457</v>
      </c>
      <c r="D1742" s="2">
        <v>53</v>
      </c>
      <c r="E1742" s="2">
        <v>53</v>
      </c>
      <c r="F1742" s="2" t="s">
        <v>6458</v>
      </c>
      <c r="H1742" s="2" t="s">
        <v>17</v>
      </c>
      <c r="K1742" s="4">
        <v>26646</v>
      </c>
      <c r="M1742" s="2" t="s">
        <v>140</v>
      </c>
      <c r="N1742" s="2" t="s">
        <v>3179</v>
      </c>
    </row>
    <row r="1743" spans="1:14">
      <c r="A1743" s="2">
        <v>1742</v>
      </c>
      <c r="B1743" s="3" t="s">
        <v>6459</v>
      </c>
      <c r="C1743" s="2" t="s">
        <v>6460</v>
      </c>
      <c r="D1743" s="2">
        <v>51</v>
      </c>
      <c r="E1743" s="2">
        <v>53</v>
      </c>
      <c r="F1743" s="2" t="s">
        <v>6461</v>
      </c>
      <c r="H1743" s="2" t="s">
        <v>17</v>
      </c>
      <c r="K1743" s="4">
        <v>15794</v>
      </c>
      <c r="M1743" s="2" t="s">
        <v>35</v>
      </c>
      <c r="N1743" s="2" t="s">
        <v>58</v>
      </c>
    </row>
    <row r="1744" spans="1:14">
      <c r="A1744" s="2">
        <v>1743</v>
      </c>
      <c r="B1744" s="3" t="s">
        <v>6462</v>
      </c>
      <c r="C1744" s="2" t="s">
        <v>6463</v>
      </c>
      <c r="D1744" s="2">
        <v>50</v>
      </c>
      <c r="E1744" s="2">
        <v>53</v>
      </c>
      <c r="F1744" s="2" t="s">
        <v>6464</v>
      </c>
      <c r="H1744" s="2" t="s">
        <v>17</v>
      </c>
      <c r="K1744" s="4">
        <v>16334</v>
      </c>
      <c r="M1744" s="2" t="s">
        <v>47</v>
      </c>
      <c r="N1744" s="2" t="s">
        <v>6465</v>
      </c>
    </row>
    <row r="1745" spans="1:14">
      <c r="A1745" s="2">
        <v>1744</v>
      </c>
      <c r="B1745" s="3" t="s">
        <v>6466</v>
      </c>
      <c r="C1745" s="2" t="s">
        <v>6467</v>
      </c>
      <c r="D1745" s="2">
        <v>53</v>
      </c>
      <c r="E1745" s="2">
        <v>53</v>
      </c>
      <c r="F1745" s="2" t="s">
        <v>6468</v>
      </c>
      <c r="H1745" s="2" t="s">
        <v>17</v>
      </c>
      <c r="K1745" s="4">
        <v>24732</v>
      </c>
      <c r="M1745" s="2" t="s">
        <v>47</v>
      </c>
      <c r="N1745" s="2" t="s">
        <v>6469</v>
      </c>
    </row>
    <row r="1746" spans="1:14">
      <c r="A1746" s="2">
        <v>1745</v>
      </c>
      <c r="B1746" s="3" t="s">
        <v>6470</v>
      </c>
      <c r="C1746" s="2" t="s">
        <v>6471</v>
      </c>
      <c r="D1746" s="2">
        <v>53</v>
      </c>
      <c r="E1746" s="2">
        <v>53</v>
      </c>
      <c r="F1746" s="2" t="s">
        <v>6472</v>
      </c>
      <c r="H1746" s="2" t="s">
        <v>17</v>
      </c>
      <c r="K1746" s="4">
        <v>17101</v>
      </c>
      <c r="M1746" s="2" t="s">
        <v>47</v>
      </c>
      <c r="N1746" s="2" t="s">
        <v>1181</v>
      </c>
    </row>
    <row r="1747" spans="1:14">
      <c r="A1747" s="2">
        <v>1746</v>
      </c>
      <c r="B1747" s="3" t="s">
        <v>6473</v>
      </c>
      <c r="C1747" s="2" t="s">
        <v>6474</v>
      </c>
      <c r="D1747" s="2">
        <v>52</v>
      </c>
      <c r="E1747" s="2">
        <v>53</v>
      </c>
      <c r="F1747" s="2" t="s">
        <v>6475</v>
      </c>
      <c r="H1747" s="2" t="s">
        <v>17</v>
      </c>
      <c r="K1747" s="4">
        <v>20482</v>
      </c>
      <c r="M1747" s="2" t="s">
        <v>170</v>
      </c>
      <c r="N1747" s="2" t="s">
        <v>323</v>
      </c>
    </row>
    <row r="1748" spans="1:14">
      <c r="A1748" s="2">
        <v>1747</v>
      </c>
      <c r="B1748" s="3" t="s">
        <v>6476</v>
      </c>
      <c r="C1748" s="2" t="s">
        <v>6477</v>
      </c>
      <c r="D1748" s="2">
        <v>48</v>
      </c>
      <c r="E1748" s="2">
        <v>53</v>
      </c>
      <c r="F1748" s="2" t="s">
        <v>6478</v>
      </c>
      <c r="H1748" s="2" t="s">
        <v>17</v>
      </c>
      <c r="K1748" s="4">
        <v>14089</v>
      </c>
      <c r="L1748" s="4">
        <v>39570</v>
      </c>
      <c r="M1748" s="2" t="s">
        <v>47</v>
      </c>
      <c r="N1748" s="2" t="s">
        <v>48</v>
      </c>
    </row>
    <row r="1749" spans="1:14">
      <c r="A1749" s="2">
        <v>1748</v>
      </c>
      <c r="B1749" s="3" t="s">
        <v>6479</v>
      </c>
      <c r="C1749" s="2" t="s">
        <v>6480</v>
      </c>
      <c r="D1749" s="2">
        <v>51</v>
      </c>
      <c r="E1749" s="2">
        <v>53</v>
      </c>
      <c r="F1749" s="2" t="s">
        <v>6481</v>
      </c>
      <c r="H1749" s="2" t="s">
        <v>17</v>
      </c>
      <c r="K1749" s="4">
        <v>19010</v>
      </c>
      <c r="M1749" s="2" t="s">
        <v>423</v>
      </c>
      <c r="N1749" s="2" t="s">
        <v>456</v>
      </c>
    </row>
    <row r="1750" spans="1:14">
      <c r="A1750" s="2">
        <v>1749</v>
      </c>
      <c r="B1750" s="3" t="s">
        <v>6482</v>
      </c>
      <c r="C1750" s="2" t="s">
        <v>6483</v>
      </c>
      <c r="D1750" s="2">
        <v>48</v>
      </c>
      <c r="E1750" s="2">
        <v>53</v>
      </c>
      <c r="F1750" s="2" t="s">
        <v>6484</v>
      </c>
      <c r="H1750" s="2" t="s">
        <v>45</v>
      </c>
      <c r="K1750" s="4">
        <v>22282</v>
      </c>
      <c r="M1750" s="2" t="s">
        <v>192</v>
      </c>
      <c r="N1750" s="2" t="s">
        <v>965</v>
      </c>
    </row>
    <row r="1751" spans="1:14">
      <c r="A1751" s="2">
        <v>1750</v>
      </c>
      <c r="B1751" s="3" t="s">
        <v>6485</v>
      </c>
      <c r="C1751" s="2" t="s">
        <v>6486</v>
      </c>
      <c r="D1751" s="2">
        <v>49</v>
      </c>
      <c r="E1751" s="2">
        <v>53</v>
      </c>
      <c r="F1751" s="2" t="s">
        <v>6487</v>
      </c>
      <c r="H1751" s="2" t="s">
        <v>17</v>
      </c>
      <c r="K1751" s="4">
        <v>12252</v>
      </c>
      <c r="M1751" s="2" t="s">
        <v>336</v>
      </c>
      <c r="N1751" s="2" t="s">
        <v>6488</v>
      </c>
    </row>
    <row r="1752" spans="1:14">
      <c r="A1752" s="2">
        <v>1751</v>
      </c>
      <c r="B1752" s="3" t="s">
        <v>6489</v>
      </c>
      <c r="C1752" s="2" t="s">
        <v>6490</v>
      </c>
      <c r="D1752" s="2">
        <v>50</v>
      </c>
      <c r="E1752" s="2">
        <v>53</v>
      </c>
      <c r="F1752" s="2" t="s">
        <v>6491</v>
      </c>
      <c r="H1752" s="2" t="s">
        <v>17</v>
      </c>
      <c r="K1752" s="4">
        <v>23958</v>
      </c>
      <c r="M1752" s="2" t="s">
        <v>185</v>
      </c>
      <c r="N1752" s="2" t="s">
        <v>838</v>
      </c>
    </row>
    <row r="1753" spans="1:14">
      <c r="A1753" s="2">
        <v>1752</v>
      </c>
      <c r="B1753" s="3" t="s">
        <v>6492</v>
      </c>
      <c r="C1753" s="2" t="s">
        <v>6493</v>
      </c>
      <c r="D1753" s="2">
        <v>49</v>
      </c>
      <c r="E1753" s="2">
        <v>53</v>
      </c>
      <c r="F1753" s="2" t="s">
        <v>6493</v>
      </c>
      <c r="H1753" s="2" t="s">
        <v>17</v>
      </c>
      <c r="K1753" s="4">
        <v>25086</v>
      </c>
      <c r="M1753" s="2" t="s">
        <v>47</v>
      </c>
      <c r="N1753" s="2" t="s">
        <v>48</v>
      </c>
    </row>
    <row r="1754" spans="1:14">
      <c r="A1754" s="2">
        <v>1753</v>
      </c>
      <c r="B1754" s="3" t="s">
        <v>6494</v>
      </c>
      <c r="C1754" s="2" t="s">
        <v>6495</v>
      </c>
      <c r="D1754" s="2">
        <v>53</v>
      </c>
      <c r="E1754" s="2">
        <v>53</v>
      </c>
      <c r="F1754" s="2" t="s">
        <v>6496</v>
      </c>
      <c r="H1754" s="2" t="s">
        <v>17</v>
      </c>
      <c r="K1754" s="4">
        <v>20316</v>
      </c>
      <c r="M1754" s="2" t="s">
        <v>53</v>
      </c>
      <c r="N1754" s="2" t="s">
        <v>1697</v>
      </c>
    </row>
    <row r="1755" spans="1:14">
      <c r="A1755" s="2">
        <v>1754</v>
      </c>
      <c r="B1755" s="3" t="s">
        <v>6497</v>
      </c>
      <c r="C1755" s="2" t="s">
        <v>6498</v>
      </c>
      <c r="D1755" s="2">
        <v>53</v>
      </c>
      <c r="E1755" s="2">
        <v>53</v>
      </c>
      <c r="F1755" s="2" t="s">
        <v>6499</v>
      </c>
      <c r="H1755" s="2" t="s">
        <v>17</v>
      </c>
      <c r="K1755" s="4">
        <v>24706</v>
      </c>
      <c r="M1755" s="2" t="s">
        <v>170</v>
      </c>
      <c r="N1755" s="2" t="s">
        <v>323</v>
      </c>
    </row>
    <row r="1756" spans="1:14">
      <c r="A1756" s="2">
        <v>1755</v>
      </c>
      <c r="B1756" s="3" t="s">
        <v>6500</v>
      </c>
      <c r="C1756" s="2" t="s">
        <v>6501</v>
      </c>
      <c r="D1756" s="2">
        <v>50</v>
      </c>
      <c r="E1756" s="2">
        <v>53</v>
      </c>
      <c r="F1756" s="2" t="s">
        <v>6502</v>
      </c>
      <c r="H1756" s="2" t="s">
        <v>17</v>
      </c>
      <c r="K1756" s="4">
        <v>20050</v>
      </c>
      <c r="M1756" s="2" t="s">
        <v>35</v>
      </c>
      <c r="N1756" s="2" t="s">
        <v>5201</v>
      </c>
    </row>
    <row r="1757" spans="1:14">
      <c r="A1757" s="2">
        <v>1756</v>
      </c>
      <c r="B1757" s="3" t="s">
        <v>6503</v>
      </c>
      <c r="C1757" s="2" t="s">
        <v>6504</v>
      </c>
      <c r="D1757" s="2">
        <v>52</v>
      </c>
      <c r="E1757" s="2">
        <v>53</v>
      </c>
      <c r="F1757" s="2" t="s">
        <v>6505</v>
      </c>
      <c r="H1757" s="2" t="s">
        <v>17</v>
      </c>
      <c r="K1757" s="4">
        <v>13227</v>
      </c>
      <c r="L1757" s="4">
        <v>41097</v>
      </c>
      <c r="M1757" s="2" t="s">
        <v>76</v>
      </c>
      <c r="N1757" s="2" t="s">
        <v>6506</v>
      </c>
    </row>
    <row r="1758" spans="1:14">
      <c r="A1758" s="2">
        <v>1757</v>
      </c>
      <c r="B1758" s="3" t="s">
        <v>6507</v>
      </c>
      <c r="C1758" s="2" t="s">
        <v>6508</v>
      </c>
      <c r="D1758" s="2">
        <v>53</v>
      </c>
      <c r="E1758" s="2">
        <v>53</v>
      </c>
      <c r="F1758" s="2" t="s">
        <v>6509</v>
      </c>
      <c r="H1758" s="2" t="s">
        <v>17</v>
      </c>
      <c r="K1758" s="4">
        <v>20225</v>
      </c>
      <c r="M1758" s="2" t="s">
        <v>30</v>
      </c>
      <c r="N1758" s="2" t="s">
        <v>31</v>
      </c>
    </row>
    <row r="1759" spans="1:14">
      <c r="A1759" s="2">
        <v>1758</v>
      </c>
      <c r="B1759" s="3" t="s">
        <v>6510</v>
      </c>
      <c r="C1759" s="2" t="s">
        <v>6511</v>
      </c>
      <c r="D1759" s="2">
        <v>51</v>
      </c>
      <c r="E1759" s="2">
        <v>53</v>
      </c>
      <c r="F1759" s="2" t="s">
        <v>6512</v>
      </c>
      <c r="H1759" s="2" t="s">
        <v>17</v>
      </c>
      <c r="K1759" s="4">
        <v>19632</v>
      </c>
      <c r="M1759" s="2" t="s">
        <v>154</v>
      </c>
      <c r="N1759" s="2" t="s">
        <v>2470</v>
      </c>
    </row>
    <row r="1760" spans="1:14">
      <c r="A1760" s="2">
        <v>1759</v>
      </c>
      <c r="B1760" s="3" t="s">
        <v>6513</v>
      </c>
      <c r="C1760" s="2" t="s">
        <v>6514</v>
      </c>
      <c r="D1760" s="2">
        <v>53</v>
      </c>
      <c r="E1760" s="2">
        <v>53</v>
      </c>
      <c r="F1760" s="2" t="s">
        <v>6515</v>
      </c>
      <c r="H1760" s="2" t="s">
        <v>17</v>
      </c>
      <c r="K1760" s="4">
        <v>23271</v>
      </c>
      <c r="M1760" s="2" t="s">
        <v>35</v>
      </c>
      <c r="N1760" s="2" t="s">
        <v>6516</v>
      </c>
    </row>
    <row r="1761" spans="1:14">
      <c r="A1761" s="2">
        <v>1760</v>
      </c>
      <c r="B1761" s="3" t="s">
        <v>6517</v>
      </c>
      <c r="C1761" s="2" t="s">
        <v>6518</v>
      </c>
      <c r="D1761" s="2">
        <v>52</v>
      </c>
      <c r="E1761" s="2">
        <v>53</v>
      </c>
      <c r="F1761" s="2" t="s">
        <v>6519</v>
      </c>
      <c r="H1761" s="2" t="s">
        <v>17</v>
      </c>
      <c r="K1761" s="4">
        <v>25680</v>
      </c>
      <c r="M1761" s="2" t="s">
        <v>170</v>
      </c>
      <c r="N1761" s="2" t="s">
        <v>4354</v>
      </c>
    </row>
    <row r="1762" spans="1:14">
      <c r="A1762" s="2">
        <v>1761</v>
      </c>
      <c r="B1762" s="3" t="s">
        <v>6520</v>
      </c>
      <c r="C1762" s="2" t="s">
        <v>6521</v>
      </c>
      <c r="D1762" s="2">
        <v>53</v>
      </c>
      <c r="E1762" s="2">
        <v>53</v>
      </c>
      <c r="F1762" s="2" t="s">
        <v>6521</v>
      </c>
      <c r="H1762" s="2" t="s">
        <v>17</v>
      </c>
      <c r="K1762" s="4">
        <v>16405</v>
      </c>
      <c r="L1762" s="4">
        <v>44203</v>
      </c>
      <c r="M1762" s="2" t="s">
        <v>47</v>
      </c>
      <c r="N1762" s="2" t="s">
        <v>6522</v>
      </c>
    </row>
    <row r="1763" spans="1:14">
      <c r="A1763" s="2">
        <v>1762</v>
      </c>
      <c r="B1763" s="3" t="s">
        <v>6523</v>
      </c>
      <c r="C1763" s="2" t="s">
        <v>6524</v>
      </c>
      <c r="D1763" s="2">
        <v>50</v>
      </c>
      <c r="E1763" s="2">
        <v>53</v>
      </c>
      <c r="F1763" s="2" t="s">
        <v>6525</v>
      </c>
      <c r="H1763" s="2" t="s">
        <v>17</v>
      </c>
      <c r="K1763" s="4">
        <v>18261</v>
      </c>
      <c r="M1763" s="2" t="s">
        <v>185</v>
      </c>
      <c r="N1763" s="2" t="s">
        <v>6526</v>
      </c>
    </row>
    <row r="1764" spans="1:14">
      <c r="A1764" s="2">
        <v>1763</v>
      </c>
      <c r="B1764" s="3" t="s">
        <v>6527</v>
      </c>
      <c r="C1764" s="2" t="s">
        <v>6528</v>
      </c>
      <c r="D1764" s="2">
        <v>53</v>
      </c>
      <c r="E1764" s="2">
        <v>53</v>
      </c>
      <c r="F1764" s="2" t="s">
        <v>6529</v>
      </c>
      <c r="H1764" s="2" t="s">
        <v>17</v>
      </c>
      <c r="K1764" s="4">
        <v>22026</v>
      </c>
      <c r="M1764" s="2" t="s">
        <v>247</v>
      </c>
      <c r="N1764" s="2" t="s">
        <v>886</v>
      </c>
    </row>
    <row r="1765" spans="1:14">
      <c r="A1765" s="2">
        <v>1764</v>
      </c>
      <c r="B1765" s="3" t="s">
        <v>6530</v>
      </c>
      <c r="C1765" s="2" t="s">
        <v>6531</v>
      </c>
      <c r="D1765" s="2">
        <v>50</v>
      </c>
      <c r="E1765" s="2">
        <v>53</v>
      </c>
      <c r="F1765" s="2" t="s">
        <v>6532</v>
      </c>
      <c r="H1765" s="2" t="s">
        <v>17</v>
      </c>
      <c r="K1765" s="4">
        <v>15749</v>
      </c>
      <c r="M1765" s="2" t="s">
        <v>40</v>
      </c>
      <c r="N1765" s="2" t="s">
        <v>3210</v>
      </c>
    </row>
    <row r="1766" spans="1:14">
      <c r="A1766" s="2">
        <v>1765</v>
      </c>
      <c r="B1766" s="3" t="s">
        <v>6533</v>
      </c>
      <c r="C1766" s="2" t="s">
        <v>6534</v>
      </c>
      <c r="D1766" s="2">
        <v>53</v>
      </c>
      <c r="E1766" s="2">
        <v>53</v>
      </c>
      <c r="F1766" s="2" t="s">
        <v>6535</v>
      </c>
      <c r="H1766" s="2" t="s">
        <v>17</v>
      </c>
      <c r="K1766" s="4">
        <v>21188</v>
      </c>
      <c r="M1766" s="2" t="s">
        <v>47</v>
      </c>
      <c r="N1766" s="2" t="s">
        <v>691</v>
      </c>
    </row>
    <row r="1767" spans="1:14">
      <c r="A1767" s="2">
        <v>1766</v>
      </c>
      <c r="B1767" s="3" t="s">
        <v>6536</v>
      </c>
      <c r="C1767" s="2" t="s">
        <v>6537</v>
      </c>
      <c r="D1767" s="2">
        <v>50</v>
      </c>
      <c r="E1767" s="2">
        <v>53</v>
      </c>
      <c r="F1767" s="2" t="s">
        <v>6538</v>
      </c>
      <c r="H1767" s="2" t="s">
        <v>17</v>
      </c>
      <c r="K1767" s="4">
        <v>11516</v>
      </c>
      <c r="M1767" s="2" t="s">
        <v>170</v>
      </c>
      <c r="N1767" s="2" t="s">
        <v>323</v>
      </c>
    </row>
    <row r="1768" spans="1:14">
      <c r="A1768" s="2">
        <v>1767</v>
      </c>
      <c r="B1768" s="3" t="s">
        <v>6539</v>
      </c>
      <c r="C1768" s="2" t="s">
        <v>6540</v>
      </c>
      <c r="D1768" s="2">
        <v>53</v>
      </c>
      <c r="E1768" s="2">
        <v>53</v>
      </c>
      <c r="F1768" s="2" t="s">
        <v>6540</v>
      </c>
      <c r="H1768" s="2" t="s">
        <v>45</v>
      </c>
      <c r="K1768" s="4">
        <v>19513</v>
      </c>
      <c r="M1768" s="2" t="s">
        <v>170</v>
      </c>
      <c r="N1768" s="2" t="s">
        <v>323</v>
      </c>
    </row>
    <row r="1769" spans="1:14">
      <c r="A1769" s="2">
        <v>1768</v>
      </c>
      <c r="B1769" s="3" t="s">
        <v>6541</v>
      </c>
      <c r="C1769" s="2" t="s">
        <v>6542</v>
      </c>
      <c r="D1769" s="2">
        <v>53</v>
      </c>
      <c r="E1769" s="2">
        <v>53</v>
      </c>
      <c r="F1769" s="2" t="s">
        <v>6543</v>
      </c>
      <c r="H1769" s="2" t="s">
        <v>45</v>
      </c>
      <c r="K1769" s="4">
        <v>27998</v>
      </c>
      <c r="M1769" s="2" t="s">
        <v>40</v>
      </c>
      <c r="N1769" s="2" t="s">
        <v>6544</v>
      </c>
    </row>
    <row r="1770" spans="1:14">
      <c r="A1770" s="2">
        <v>1769</v>
      </c>
      <c r="B1770" s="3" t="s">
        <v>6545</v>
      </c>
      <c r="C1770" s="2" t="s">
        <v>6546</v>
      </c>
      <c r="D1770" s="2">
        <v>51</v>
      </c>
      <c r="E1770" s="2">
        <v>53</v>
      </c>
      <c r="F1770" s="2" t="s">
        <v>6547</v>
      </c>
      <c r="H1770" s="2" t="s">
        <v>17</v>
      </c>
      <c r="K1770" s="4">
        <v>19929</v>
      </c>
      <c r="M1770" s="2" t="s">
        <v>66</v>
      </c>
      <c r="N1770" s="2" t="s">
        <v>364</v>
      </c>
    </row>
    <row r="1771" spans="1:14">
      <c r="A1771" s="2">
        <v>1770</v>
      </c>
      <c r="B1771" s="3" t="s">
        <v>6548</v>
      </c>
      <c r="C1771" s="2" t="s">
        <v>6549</v>
      </c>
      <c r="D1771" s="2">
        <v>52</v>
      </c>
      <c r="E1771" s="2">
        <v>53</v>
      </c>
      <c r="F1771" s="2" t="s">
        <v>6550</v>
      </c>
      <c r="H1771" s="2" t="s">
        <v>17</v>
      </c>
      <c r="K1771" s="4">
        <v>14882</v>
      </c>
      <c r="M1771" s="2" t="s">
        <v>35</v>
      </c>
      <c r="N1771" s="2" t="s">
        <v>6551</v>
      </c>
    </row>
    <row r="1772" spans="1:14">
      <c r="A1772" s="2">
        <v>1771</v>
      </c>
      <c r="B1772" s="3" t="s">
        <v>6552</v>
      </c>
      <c r="C1772" s="2" t="s">
        <v>6553</v>
      </c>
      <c r="D1772" s="2">
        <v>50</v>
      </c>
      <c r="E1772" s="2">
        <v>53</v>
      </c>
      <c r="F1772" s="2" t="s">
        <v>6554</v>
      </c>
      <c r="H1772" s="2" t="s">
        <v>45</v>
      </c>
      <c r="K1772" s="4">
        <v>16344</v>
      </c>
      <c r="M1772" s="2" t="s">
        <v>47</v>
      </c>
      <c r="N1772" s="2" t="s">
        <v>691</v>
      </c>
    </row>
    <row r="1773" spans="1:14">
      <c r="A1773" s="2">
        <v>1772</v>
      </c>
      <c r="B1773" s="3" t="s">
        <v>6555</v>
      </c>
      <c r="C1773" s="2" t="s">
        <v>6556</v>
      </c>
      <c r="D1773" s="2">
        <v>52</v>
      </c>
      <c r="E1773" s="2">
        <v>53</v>
      </c>
      <c r="F1773" s="2" t="s">
        <v>6557</v>
      </c>
      <c r="H1773" s="2" t="s">
        <v>45</v>
      </c>
      <c r="K1773" s="4">
        <v>21123</v>
      </c>
      <c r="M1773" s="2" t="s">
        <v>18</v>
      </c>
      <c r="N1773" s="2" t="s">
        <v>19</v>
      </c>
    </row>
    <row r="1774" spans="1:14">
      <c r="A1774" s="2">
        <v>1773</v>
      </c>
      <c r="B1774" s="3" t="s">
        <v>6558</v>
      </c>
      <c r="C1774" s="2" t="s">
        <v>6559</v>
      </c>
      <c r="D1774" s="2">
        <v>51</v>
      </c>
      <c r="E1774" s="2">
        <v>53</v>
      </c>
      <c r="F1774" s="2" t="s">
        <v>6560</v>
      </c>
      <c r="H1774" s="2" t="s">
        <v>17</v>
      </c>
      <c r="K1774" s="4">
        <v>7987</v>
      </c>
      <c r="L1774" s="4">
        <v>41418</v>
      </c>
      <c r="M1774" s="2" t="s">
        <v>122</v>
      </c>
      <c r="N1774" s="2" t="s">
        <v>6561</v>
      </c>
    </row>
    <row r="1775" spans="1:14">
      <c r="A1775" s="2">
        <v>1774</v>
      </c>
      <c r="B1775" s="3" t="s">
        <v>6562</v>
      </c>
      <c r="C1775" s="2" t="s">
        <v>6563</v>
      </c>
      <c r="D1775" s="2">
        <v>53</v>
      </c>
      <c r="E1775" s="2">
        <v>53</v>
      </c>
      <c r="F1775" s="2" t="s">
        <v>6564</v>
      </c>
      <c r="H1775" s="2" t="s">
        <v>45</v>
      </c>
      <c r="K1775" s="4">
        <v>21201</v>
      </c>
      <c r="M1775" s="2" t="s">
        <v>40</v>
      </c>
      <c r="N1775" s="2" t="s">
        <v>6565</v>
      </c>
    </row>
    <row r="1776" spans="1:14">
      <c r="A1776" s="2">
        <v>1775</v>
      </c>
      <c r="B1776" s="3" t="s">
        <v>6566</v>
      </c>
      <c r="C1776" s="2" t="s">
        <v>6567</v>
      </c>
      <c r="D1776" s="2">
        <v>48</v>
      </c>
      <c r="E1776" s="2">
        <v>53</v>
      </c>
      <c r="F1776" s="2" t="s">
        <v>6568</v>
      </c>
      <c r="H1776" s="2" t="s">
        <v>17</v>
      </c>
      <c r="K1776" s="4">
        <v>19373</v>
      </c>
      <c r="M1776" s="2" t="s">
        <v>40</v>
      </c>
      <c r="N1776" s="2" t="s">
        <v>2340</v>
      </c>
    </row>
    <row r="1777" spans="1:14">
      <c r="A1777" s="2">
        <v>1776</v>
      </c>
      <c r="B1777" s="3" t="s">
        <v>6569</v>
      </c>
      <c r="C1777" s="2" t="s">
        <v>6570</v>
      </c>
      <c r="D1777" s="2">
        <v>49</v>
      </c>
      <c r="E1777" s="2">
        <v>53</v>
      </c>
      <c r="F1777" s="2" t="s">
        <v>6571</v>
      </c>
      <c r="H1777" s="2" t="s">
        <v>17</v>
      </c>
      <c r="K1777" s="4">
        <v>20929</v>
      </c>
      <c r="M1777" s="2" t="s">
        <v>47</v>
      </c>
      <c r="N1777" s="2" t="s">
        <v>6572</v>
      </c>
    </row>
    <row r="1778" spans="1:14">
      <c r="A1778" s="2">
        <v>1777</v>
      </c>
      <c r="B1778" s="3" t="s">
        <v>6573</v>
      </c>
      <c r="C1778" s="2" t="s">
        <v>6574</v>
      </c>
      <c r="D1778" s="2">
        <v>51</v>
      </c>
      <c r="E1778" s="2">
        <v>53</v>
      </c>
      <c r="F1778" s="2" t="s">
        <v>6574</v>
      </c>
      <c r="H1778" s="2" t="s">
        <v>45</v>
      </c>
      <c r="K1778" s="4">
        <v>22461</v>
      </c>
      <c r="M1778" s="2" t="s">
        <v>423</v>
      </c>
      <c r="N1778" s="2" t="s">
        <v>6575</v>
      </c>
    </row>
    <row r="1779" spans="1:14">
      <c r="A1779" s="2">
        <v>1778</v>
      </c>
      <c r="B1779" s="3" t="s">
        <v>6576</v>
      </c>
      <c r="C1779" s="2" t="s">
        <v>6577</v>
      </c>
      <c r="D1779" s="2">
        <v>53</v>
      </c>
      <c r="E1779" s="2">
        <v>53</v>
      </c>
      <c r="F1779" s="2" t="s">
        <v>6578</v>
      </c>
      <c r="H1779" s="2" t="s">
        <v>17</v>
      </c>
      <c r="K1779" s="4">
        <v>13891</v>
      </c>
      <c r="M1779" s="2" t="s">
        <v>40</v>
      </c>
      <c r="N1779" s="2" t="s">
        <v>3810</v>
      </c>
    </row>
    <row r="1780" spans="1:14">
      <c r="A1780" s="2">
        <v>1779</v>
      </c>
      <c r="B1780" s="3" t="s">
        <v>6579</v>
      </c>
      <c r="C1780" s="2" t="s">
        <v>6580</v>
      </c>
      <c r="D1780" s="2">
        <v>50</v>
      </c>
      <c r="E1780" s="2">
        <v>53</v>
      </c>
      <c r="F1780" s="2" t="s">
        <v>6581</v>
      </c>
      <c r="H1780" s="2" t="s">
        <v>17</v>
      </c>
      <c r="K1780" s="4">
        <v>22085</v>
      </c>
      <c r="M1780" s="2" t="s">
        <v>164</v>
      </c>
      <c r="N1780" s="2" t="s">
        <v>165</v>
      </c>
    </row>
    <row r="1781" spans="1:14">
      <c r="A1781" s="2">
        <v>1780</v>
      </c>
      <c r="B1781" s="3" t="s">
        <v>6582</v>
      </c>
      <c r="C1781" s="2" t="s">
        <v>6583</v>
      </c>
      <c r="D1781" s="2">
        <v>53</v>
      </c>
      <c r="E1781" s="2">
        <v>53</v>
      </c>
      <c r="F1781" s="2" t="s">
        <v>6584</v>
      </c>
      <c r="H1781" s="2" t="s">
        <v>17</v>
      </c>
      <c r="K1781" s="4">
        <v>21094</v>
      </c>
      <c r="M1781" s="2" t="s">
        <v>122</v>
      </c>
      <c r="N1781" s="2" t="s">
        <v>253</v>
      </c>
    </row>
    <row r="1782" spans="1:14">
      <c r="A1782" s="2">
        <v>1781</v>
      </c>
      <c r="B1782" s="3" t="s">
        <v>6585</v>
      </c>
      <c r="C1782" s="2" t="s">
        <v>6586</v>
      </c>
      <c r="D1782" s="2">
        <v>53</v>
      </c>
      <c r="E1782" s="2">
        <v>53</v>
      </c>
      <c r="F1782" s="2" t="s">
        <v>6587</v>
      </c>
      <c r="H1782" s="2" t="s">
        <v>17</v>
      </c>
      <c r="K1782" s="4">
        <v>18877</v>
      </c>
      <c r="M1782" s="2" t="s">
        <v>76</v>
      </c>
      <c r="N1782" s="2" t="s">
        <v>6588</v>
      </c>
    </row>
    <row r="1783" spans="1:14">
      <c r="A1783" s="2">
        <v>1782</v>
      </c>
      <c r="B1783" s="3" t="s">
        <v>6589</v>
      </c>
      <c r="C1783" s="2" t="s">
        <v>6590</v>
      </c>
      <c r="D1783" s="2">
        <v>52</v>
      </c>
      <c r="E1783" s="2">
        <v>53</v>
      </c>
      <c r="F1783" s="2" t="s">
        <v>6591</v>
      </c>
      <c r="H1783" s="2" t="s">
        <v>17</v>
      </c>
      <c r="K1783" s="4">
        <v>24505</v>
      </c>
      <c r="M1783" s="2" t="s">
        <v>423</v>
      </c>
      <c r="N1783" s="2" t="s">
        <v>6592</v>
      </c>
    </row>
    <row r="1784" spans="1:14">
      <c r="A1784" s="2">
        <v>1783</v>
      </c>
      <c r="B1784" s="3" t="s">
        <v>6593</v>
      </c>
      <c r="C1784" s="2" t="s">
        <v>6594</v>
      </c>
      <c r="D1784" s="2">
        <v>48</v>
      </c>
      <c r="E1784" s="2">
        <v>53</v>
      </c>
      <c r="F1784" s="2" t="s">
        <v>6595</v>
      </c>
      <c r="H1784" s="2" t="s">
        <v>17</v>
      </c>
      <c r="K1784" s="4">
        <v>18146</v>
      </c>
      <c r="M1784" s="2" t="s">
        <v>35</v>
      </c>
      <c r="N1784" s="2" t="s">
        <v>58</v>
      </c>
    </row>
    <row r="1785" spans="1:14">
      <c r="A1785" s="2">
        <v>1784</v>
      </c>
      <c r="B1785" s="3" t="s">
        <v>6596</v>
      </c>
      <c r="C1785" s="2" t="s">
        <v>6597</v>
      </c>
      <c r="D1785" s="2">
        <v>53</v>
      </c>
      <c r="E1785" s="2">
        <v>53</v>
      </c>
      <c r="F1785" s="2" t="s">
        <v>6597</v>
      </c>
      <c r="H1785" s="2" t="s">
        <v>17</v>
      </c>
      <c r="K1785" s="4">
        <v>23275</v>
      </c>
      <c r="M1785" s="2" t="s">
        <v>76</v>
      </c>
      <c r="N1785" s="2" t="s">
        <v>77</v>
      </c>
    </row>
    <row r="1786" spans="1:14">
      <c r="A1786" s="2">
        <v>1785</v>
      </c>
      <c r="B1786" s="3" t="s">
        <v>6598</v>
      </c>
      <c r="C1786" s="2" t="s">
        <v>6599</v>
      </c>
      <c r="D1786" s="2">
        <v>51</v>
      </c>
      <c r="E1786" s="2">
        <v>53</v>
      </c>
      <c r="F1786" s="2" t="s">
        <v>6600</v>
      </c>
      <c r="H1786" s="2" t="s">
        <v>17</v>
      </c>
      <c r="K1786" s="4">
        <v>18911</v>
      </c>
      <c r="M1786" s="2" t="s">
        <v>341</v>
      </c>
      <c r="N1786" s="2" t="s">
        <v>6601</v>
      </c>
    </row>
    <row r="1787" spans="1:14">
      <c r="A1787" s="2">
        <v>1786</v>
      </c>
      <c r="B1787" s="3" t="s">
        <v>6602</v>
      </c>
      <c r="C1787" s="2" t="s">
        <v>6603</v>
      </c>
      <c r="D1787" s="2">
        <v>53</v>
      </c>
      <c r="E1787" s="2">
        <v>53</v>
      </c>
      <c r="F1787" s="2" t="s">
        <v>6604</v>
      </c>
      <c r="H1787" s="2" t="s">
        <v>17</v>
      </c>
      <c r="K1787" s="4">
        <v>23042</v>
      </c>
      <c r="M1787" s="2" t="s">
        <v>341</v>
      </c>
      <c r="N1787" s="2" t="s">
        <v>6605</v>
      </c>
    </row>
    <row r="1788" spans="1:14">
      <c r="A1788" s="2">
        <v>1787</v>
      </c>
      <c r="B1788" s="3" t="s">
        <v>6606</v>
      </c>
      <c r="C1788" s="2" t="s">
        <v>6607</v>
      </c>
      <c r="D1788" s="2">
        <v>53</v>
      </c>
      <c r="E1788" s="2">
        <v>53</v>
      </c>
      <c r="F1788" s="2" t="s">
        <v>6608</v>
      </c>
      <c r="H1788" s="2" t="s">
        <v>17</v>
      </c>
      <c r="K1788" s="4">
        <v>30195</v>
      </c>
      <c r="M1788" s="2" t="s">
        <v>76</v>
      </c>
      <c r="N1788" s="2" t="s">
        <v>77</v>
      </c>
    </row>
    <row r="1789" spans="1:14">
      <c r="A1789" s="2">
        <v>1788</v>
      </c>
      <c r="B1789" s="3" t="s">
        <v>6609</v>
      </c>
      <c r="C1789" s="2" t="s">
        <v>6610</v>
      </c>
      <c r="D1789" s="2">
        <v>50</v>
      </c>
      <c r="E1789" s="2">
        <v>53</v>
      </c>
      <c r="F1789" s="2" t="s">
        <v>6611</v>
      </c>
      <c r="H1789" s="2" t="s">
        <v>17</v>
      </c>
      <c r="K1789" s="4">
        <v>21695</v>
      </c>
      <c r="M1789" s="2" t="s">
        <v>40</v>
      </c>
      <c r="N1789" s="2" t="s">
        <v>41</v>
      </c>
    </row>
    <row r="1790" spans="1:14">
      <c r="A1790" s="2">
        <v>1789</v>
      </c>
      <c r="B1790" s="3" t="s">
        <v>6612</v>
      </c>
      <c r="C1790" s="2" t="s">
        <v>6613</v>
      </c>
      <c r="D1790" s="2">
        <v>52</v>
      </c>
      <c r="E1790" s="2">
        <v>53</v>
      </c>
      <c r="F1790" s="2" t="s">
        <v>6614</v>
      </c>
      <c r="H1790" s="2" t="s">
        <v>17</v>
      </c>
      <c r="K1790" s="4">
        <v>18256</v>
      </c>
      <c r="M1790" s="2" t="s">
        <v>85</v>
      </c>
      <c r="N1790" s="2" t="s">
        <v>1392</v>
      </c>
    </row>
    <row r="1791" spans="1:14">
      <c r="A1791" s="2">
        <v>1790</v>
      </c>
      <c r="B1791" s="3" t="s">
        <v>6615</v>
      </c>
      <c r="C1791" s="2" t="s">
        <v>6616</v>
      </c>
      <c r="D1791" s="2">
        <v>43</v>
      </c>
      <c r="E1791" s="2">
        <v>53</v>
      </c>
      <c r="F1791" s="2" t="s">
        <v>6617</v>
      </c>
      <c r="H1791" s="2" t="s">
        <v>17</v>
      </c>
      <c r="K1791" s="4">
        <v>11522</v>
      </c>
      <c r="L1791" s="4">
        <v>43968</v>
      </c>
      <c r="M1791" s="2" t="s">
        <v>76</v>
      </c>
      <c r="N1791" s="2" t="s">
        <v>6618</v>
      </c>
    </row>
    <row r="1792" spans="1:14">
      <c r="A1792" s="2">
        <v>1791</v>
      </c>
      <c r="B1792" s="3" t="s">
        <v>6619</v>
      </c>
      <c r="C1792" s="2" t="s">
        <v>6620</v>
      </c>
      <c r="D1792" s="2">
        <v>53</v>
      </c>
      <c r="E1792" s="2">
        <v>53</v>
      </c>
      <c r="F1792" s="2" t="s">
        <v>6620</v>
      </c>
      <c r="H1792" s="2" t="s">
        <v>17</v>
      </c>
      <c r="K1792" s="4">
        <v>23385</v>
      </c>
      <c r="M1792" s="2" t="s">
        <v>47</v>
      </c>
      <c r="N1792" s="2" t="s">
        <v>6621</v>
      </c>
    </row>
    <row r="1793" spans="1:14">
      <c r="A1793" s="2">
        <v>1792</v>
      </c>
      <c r="B1793" s="3" t="s">
        <v>6622</v>
      </c>
      <c r="C1793" s="2" t="s">
        <v>6623</v>
      </c>
      <c r="D1793" s="2">
        <v>50</v>
      </c>
      <c r="E1793" s="2">
        <v>53</v>
      </c>
      <c r="F1793" s="2" t="s">
        <v>6624</v>
      </c>
      <c r="H1793" s="2" t="s">
        <v>17</v>
      </c>
      <c r="K1793" s="4">
        <v>21670</v>
      </c>
      <c r="M1793" s="2" t="s">
        <v>85</v>
      </c>
      <c r="N1793" s="2" t="s">
        <v>2800</v>
      </c>
    </row>
    <row r="1794" spans="1:14">
      <c r="A1794" s="2">
        <v>1793</v>
      </c>
      <c r="B1794" s="3" t="s">
        <v>6625</v>
      </c>
      <c r="C1794" s="2" t="s">
        <v>6626</v>
      </c>
      <c r="D1794" s="2">
        <v>47</v>
      </c>
      <c r="E1794" s="2">
        <v>52</v>
      </c>
      <c r="F1794" s="2" t="s">
        <v>6627</v>
      </c>
      <c r="H1794" s="2" t="s">
        <v>17</v>
      </c>
      <c r="K1794" s="4">
        <v>12939</v>
      </c>
      <c r="L1794" s="4">
        <v>37982</v>
      </c>
      <c r="M1794" s="2" t="s">
        <v>76</v>
      </c>
      <c r="N1794" s="2" t="s">
        <v>6628</v>
      </c>
    </row>
    <row r="1795" spans="1:14">
      <c r="A1795" s="2">
        <v>1794</v>
      </c>
      <c r="B1795" s="3" t="s">
        <v>6629</v>
      </c>
      <c r="C1795" s="2" t="s">
        <v>6630</v>
      </c>
      <c r="D1795" s="2">
        <v>52</v>
      </c>
      <c r="E1795" s="2">
        <v>52</v>
      </c>
      <c r="F1795" s="2" t="s">
        <v>6631</v>
      </c>
      <c r="H1795" s="2" t="s">
        <v>17</v>
      </c>
      <c r="K1795" s="4">
        <v>17174</v>
      </c>
      <c r="M1795" s="2" t="s">
        <v>423</v>
      </c>
      <c r="N1795" s="2" t="s">
        <v>1264</v>
      </c>
    </row>
    <row r="1796" spans="1:14">
      <c r="A1796" s="2">
        <v>1795</v>
      </c>
      <c r="B1796" s="3" t="s">
        <v>6632</v>
      </c>
      <c r="C1796" s="2" t="s">
        <v>6633</v>
      </c>
      <c r="D1796" s="2">
        <v>50</v>
      </c>
      <c r="E1796" s="2">
        <v>52</v>
      </c>
      <c r="F1796" s="2" t="s">
        <v>6634</v>
      </c>
      <c r="H1796" s="2" t="s">
        <v>17</v>
      </c>
      <c r="K1796" s="4">
        <v>21498</v>
      </c>
      <c r="M1796" s="2" t="s">
        <v>40</v>
      </c>
      <c r="N1796" s="2" t="s">
        <v>6635</v>
      </c>
    </row>
    <row r="1797" spans="1:14">
      <c r="A1797" s="2">
        <v>1796</v>
      </c>
      <c r="B1797" s="3" t="s">
        <v>6636</v>
      </c>
      <c r="C1797" s="2" t="s">
        <v>6637</v>
      </c>
      <c r="D1797" s="2">
        <v>46</v>
      </c>
      <c r="E1797" s="2">
        <v>52</v>
      </c>
      <c r="F1797" s="2" t="s">
        <v>6637</v>
      </c>
      <c r="H1797" s="2" t="s">
        <v>17</v>
      </c>
      <c r="K1797" s="4">
        <v>13800</v>
      </c>
      <c r="L1797" s="4">
        <v>43709</v>
      </c>
      <c r="M1797" s="2" t="s">
        <v>47</v>
      </c>
      <c r="N1797" s="2" t="s">
        <v>48</v>
      </c>
    </row>
    <row r="1798" spans="1:14">
      <c r="A1798" s="2">
        <v>1797</v>
      </c>
      <c r="B1798" s="3" t="s">
        <v>6638</v>
      </c>
      <c r="C1798" s="2" t="s">
        <v>6639</v>
      </c>
      <c r="D1798" s="2">
        <v>49</v>
      </c>
      <c r="E1798" s="2">
        <v>52</v>
      </c>
      <c r="F1798" s="2" t="s">
        <v>6640</v>
      </c>
      <c r="H1798" s="2" t="s">
        <v>17</v>
      </c>
      <c r="K1798" s="4">
        <v>16153</v>
      </c>
      <c r="L1798" s="4">
        <v>44545</v>
      </c>
      <c r="M1798" s="2" t="s">
        <v>30</v>
      </c>
      <c r="N1798" s="2" t="s">
        <v>31</v>
      </c>
    </row>
    <row r="1799" spans="1:14">
      <c r="A1799" s="2">
        <v>1798</v>
      </c>
      <c r="B1799" s="3" t="s">
        <v>6641</v>
      </c>
      <c r="C1799" s="2" t="s">
        <v>6642</v>
      </c>
      <c r="D1799" s="2">
        <v>44</v>
      </c>
      <c r="E1799" s="2">
        <v>52</v>
      </c>
      <c r="F1799" s="2" t="s">
        <v>6643</v>
      </c>
      <c r="H1799" s="2" t="s">
        <v>17</v>
      </c>
      <c r="K1799" s="4">
        <v>10117</v>
      </c>
      <c r="L1799" s="4">
        <v>45650</v>
      </c>
      <c r="M1799" s="2" t="s">
        <v>66</v>
      </c>
      <c r="N1799" s="2" t="s">
        <v>6644</v>
      </c>
    </row>
    <row r="1800" spans="1:14">
      <c r="A1800" s="2">
        <v>1799</v>
      </c>
      <c r="B1800" s="3" t="s">
        <v>6645</v>
      </c>
      <c r="C1800" s="2" t="s">
        <v>6646</v>
      </c>
      <c r="D1800" s="2">
        <v>49</v>
      </c>
      <c r="E1800" s="2">
        <v>52</v>
      </c>
      <c r="F1800" s="2" t="s">
        <v>6647</v>
      </c>
      <c r="H1800" s="2" t="s">
        <v>17</v>
      </c>
      <c r="K1800" s="4">
        <v>17604</v>
      </c>
      <c r="M1800" s="2" t="s">
        <v>170</v>
      </c>
      <c r="N1800" s="2" t="s">
        <v>323</v>
      </c>
    </row>
    <row r="1801" spans="1:14">
      <c r="A1801" s="2">
        <v>1800</v>
      </c>
      <c r="B1801" s="3" t="s">
        <v>6648</v>
      </c>
      <c r="C1801" s="2" t="s">
        <v>6649</v>
      </c>
      <c r="D1801" s="2">
        <v>52</v>
      </c>
      <c r="E1801" s="2">
        <v>52</v>
      </c>
      <c r="F1801" s="2" t="s">
        <v>6650</v>
      </c>
      <c r="H1801" s="2" t="s">
        <v>17</v>
      </c>
      <c r="K1801" s="4">
        <v>21974</v>
      </c>
      <c r="M1801" s="2" t="s">
        <v>35</v>
      </c>
      <c r="N1801" s="2" t="s">
        <v>6651</v>
      </c>
    </row>
    <row r="1802" spans="1:14">
      <c r="A1802" s="2">
        <v>1801</v>
      </c>
      <c r="B1802" s="3" t="s">
        <v>6652</v>
      </c>
      <c r="C1802" s="2" t="s">
        <v>6653</v>
      </c>
      <c r="D1802" s="2">
        <v>51</v>
      </c>
      <c r="E1802" s="2">
        <v>52</v>
      </c>
      <c r="F1802" s="2" t="s">
        <v>6654</v>
      </c>
      <c r="H1802" s="2" t="s">
        <v>17</v>
      </c>
      <c r="K1802" s="4">
        <v>21558</v>
      </c>
      <c r="L1802" s="4">
        <v>45073</v>
      </c>
      <c r="M1802" s="2" t="s">
        <v>85</v>
      </c>
      <c r="N1802" s="2" t="s">
        <v>3776</v>
      </c>
    </row>
    <row r="1803" spans="1:14">
      <c r="A1803" s="2">
        <v>1802</v>
      </c>
      <c r="B1803" s="3" t="s">
        <v>6655</v>
      </c>
      <c r="C1803" s="2" t="s">
        <v>6656</v>
      </c>
      <c r="D1803" s="2">
        <v>51</v>
      </c>
      <c r="E1803" s="2">
        <v>52</v>
      </c>
      <c r="F1803" s="2" t="s">
        <v>6657</v>
      </c>
      <c r="H1803" s="2" t="s">
        <v>45</v>
      </c>
      <c r="K1803" s="4">
        <v>19010</v>
      </c>
      <c r="M1803" s="2" t="s">
        <v>170</v>
      </c>
    </row>
    <row r="1804" spans="1:14">
      <c r="A1804" s="2">
        <v>1803</v>
      </c>
      <c r="B1804" s="3" t="s">
        <v>6658</v>
      </c>
      <c r="C1804" s="2" t="s">
        <v>6659</v>
      </c>
      <c r="D1804" s="2">
        <v>52</v>
      </c>
      <c r="E1804" s="2">
        <v>52</v>
      </c>
      <c r="F1804" s="2" t="s">
        <v>6660</v>
      </c>
      <c r="H1804" s="2" t="s">
        <v>17</v>
      </c>
      <c r="K1804" s="4">
        <v>21692</v>
      </c>
      <c r="M1804" s="2" t="s">
        <v>170</v>
      </c>
      <c r="N1804" s="2" t="s">
        <v>323</v>
      </c>
    </row>
    <row r="1805" spans="1:14">
      <c r="A1805" s="2">
        <v>1804</v>
      </c>
      <c r="B1805" s="3" t="s">
        <v>6661</v>
      </c>
      <c r="C1805" s="2" t="s">
        <v>6662</v>
      </c>
      <c r="D1805" s="2">
        <v>50</v>
      </c>
      <c r="E1805" s="2">
        <v>52</v>
      </c>
      <c r="F1805" s="2" t="s">
        <v>6663</v>
      </c>
      <c r="H1805" s="2" t="s">
        <v>17</v>
      </c>
      <c r="K1805" s="4">
        <v>16532</v>
      </c>
      <c r="M1805" s="2" t="s">
        <v>47</v>
      </c>
      <c r="N1805" s="2" t="s">
        <v>582</v>
      </c>
    </row>
    <row r="1806" spans="1:14">
      <c r="A1806" s="2">
        <v>1805</v>
      </c>
      <c r="B1806" s="3" t="s">
        <v>6664</v>
      </c>
      <c r="C1806" s="2" t="s">
        <v>6665</v>
      </c>
      <c r="D1806" s="2">
        <v>52</v>
      </c>
      <c r="E1806" s="2">
        <v>52</v>
      </c>
      <c r="F1806" s="2" t="s">
        <v>6666</v>
      </c>
      <c r="H1806" s="2" t="s">
        <v>17</v>
      </c>
      <c r="K1806" s="4">
        <v>21797</v>
      </c>
      <c r="M1806" s="2" t="s">
        <v>336</v>
      </c>
      <c r="N1806" s="2" t="s">
        <v>1364</v>
      </c>
    </row>
    <row r="1807" spans="1:14">
      <c r="A1807" s="2">
        <v>1806</v>
      </c>
      <c r="B1807" s="3" t="s">
        <v>6667</v>
      </c>
      <c r="C1807" s="2" t="s">
        <v>6668</v>
      </c>
      <c r="D1807" s="2">
        <v>52</v>
      </c>
      <c r="E1807" s="2">
        <v>52</v>
      </c>
      <c r="F1807" s="2" t="s">
        <v>6669</v>
      </c>
      <c r="H1807" s="2" t="s">
        <v>17</v>
      </c>
      <c r="K1807" s="4">
        <v>15091</v>
      </c>
      <c r="L1807" s="4">
        <v>42946</v>
      </c>
      <c r="M1807" s="2" t="s">
        <v>35</v>
      </c>
      <c r="N1807" s="2" t="s">
        <v>6670</v>
      </c>
    </row>
    <row r="1808" spans="1:14">
      <c r="A1808" s="2">
        <v>1807</v>
      </c>
      <c r="B1808" s="3" t="s">
        <v>6671</v>
      </c>
      <c r="C1808" s="2" t="s">
        <v>6672</v>
      </c>
      <c r="D1808" s="2">
        <v>52</v>
      </c>
      <c r="E1808" s="2">
        <v>52</v>
      </c>
      <c r="F1808" s="2" t="s">
        <v>6673</v>
      </c>
      <c r="H1808" s="2" t="s">
        <v>17</v>
      </c>
      <c r="K1808" s="4">
        <v>21261</v>
      </c>
      <c r="M1808" s="2" t="s">
        <v>47</v>
      </c>
      <c r="N1808" s="2" t="s">
        <v>48</v>
      </c>
    </row>
    <row r="1809" spans="1:14">
      <c r="A1809" s="2">
        <v>1808</v>
      </c>
      <c r="B1809" s="3" t="s">
        <v>6674</v>
      </c>
      <c r="C1809" s="2" t="s">
        <v>6675</v>
      </c>
      <c r="D1809" s="2">
        <v>52</v>
      </c>
      <c r="E1809" s="2">
        <v>52</v>
      </c>
      <c r="F1809" s="2" t="s">
        <v>6676</v>
      </c>
      <c r="H1809" s="2" t="s">
        <v>45</v>
      </c>
      <c r="K1809" s="4">
        <v>22594</v>
      </c>
      <c r="M1809" s="2" t="s">
        <v>53</v>
      </c>
      <c r="N1809" s="2" t="s">
        <v>1697</v>
      </c>
    </row>
    <row r="1810" spans="1:14">
      <c r="A1810" s="2">
        <v>1809</v>
      </c>
      <c r="B1810" s="3" t="s">
        <v>6677</v>
      </c>
      <c r="C1810" s="2" t="s">
        <v>6678</v>
      </c>
      <c r="D1810" s="2">
        <v>52</v>
      </c>
      <c r="E1810" s="2">
        <v>52</v>
      </c>
      <c r="F1810" s="2" t="s">
        <v>6679</v>
      </c>
      <c r="H1810" s="2" t="s">
        <v>45</v>
      </c>
      <c r="K1810" s="4">
        <v>19980</v>
      </c>
      <c r="M1810" s="2" t="s">
        <v>76</v>
      </c>
      <c r="N1810" s="2" t="s">
        <v>77</v>
      </c>
    </row>
    <row r="1811" spans="1:14">
      <c r="A1811" s="2">
        <v>1810</v>
      </c>
      <c r="B1811" s="3" t="s">
        <v>6680</v>
      </c>
      <c r="C1811" s="2" t="s">
        <v>6681</v>
      </c>
      <c r="D1811" s="2">
        <v>52</v>
      </c>
      <c r="E1811" s="2">
        <v>52</v>
      </c>
      <c r="F1811" s="2" t="s">
        <v>6682</v>
      </c>
      <c r="H1811" s="2" t="s">
        <v>17</v>
      </c>
      <c r="K1811" s="4">
        <v>20916</v>
      </c>
      <c r="M1811" s="2" t="s">
        <v>35</v>
      </c>
      <c r="N1811" s="2" t="s">
        <v>4382</v>
      </c>
    </row>
    <row r="1812" spans="1:14">
      <c r="A1812" s="2">
        <v>1811</v>
      </c>
      <c r="B1812" s="3" t="s">
        <v>6683</v>
      </c>
      <c r="C1812" s="2" t="s">
        <v>6684</v>
      </c>
      <c r="D1812" s="2">
        <v>52</v>
      </c>
      <c r="E1812" s="2">
        <v>52</v>
      </c>
      <c r="F1812" s="2" t="s">
        <v>6685</v>
      </c>
      <c r="H1812" s="2" t="s">
        <v>17</v>
      </c>
      <c r="K1812" s="4">
        <v>24980</v>
      </c>
      <c r="M1812" s="2" t="s">
        <v>170</v>
      </c>
      <c r="N1812" s="2" t="s">
        <v>171</v>
      </c>
    </row>
    <row r="1813" spans="1:14">
      <c r="A1813" s="2">
        <v>1812</v>
      </c>
      <c r="B1813" s="3" t="s">
        <v>6686</v>
      </c>
      <c r="C1813" s="2" t="s">
        <v>6687</v>
      </c>
      <c r="D1813" s="2">
        <v>52</v>
      </c>
      <c r="E1813" s="2">
        <v>52</v>
      </c>
      <c r="F1813" s="2" t="s">
        <v>6688</v>
      </c>
      <c r="H1813" s="2" t="s">
        <v>17</v>
      </c>
      <c r="K1813" s="4">
        <v>21585</v>
      </c>
      <c r="M1813" s="2" t="s">
        <v>170</v>
      </c>
      <c r="N1813" s="2" t="s">
        <v>323</v>
      </c>
    </row>
    <row r="1814" spans="1:14">
      <c r="A1814" s="2">
        <v>1813</v>
      </c>
      <c r="B1814" s="3" t="s">
        <v>6689</v>
      </c>
      <c r="C1814" s="2" t="s">
        <v>6690</v>
      </c>
      <c r="D1814" s="2">
        <v>51</v>
      </c>
      <c r="E1814" s="2">
        <v>52</v>
      </c>
      <c r="F1814" s="2" t="s">
        <v>6691</v>
      </c>
      <c r="H1814" s="2" t="s">
        <v>45</v>
      </c>
      <c r="K1814" s="4">
        <v>17631</v>
      </c>
      <c r="M1814" s="2" t="s">
        <v>170</v>
      </c>
      <c r="N1814" s="2" t="s">
        <v>323</v>
      </c>
    </row>
    <row r="1815" spans="1:14">
      <c r="A1815" s="2">
        <v>1814</v>
      </c>
      <c r="B1815" s="3" t="s">
        <v>6692</v>
      </c>
      <c r="C1815" s="2" t="s">
        <v>6693</v>
      </c>
      <c r="D1815" s="2">
        <v>50</v>
      </c>
      <c r="E1815" s="2">
        <v>52</v>
      </c>
      <c r="F1815" s="2" t="s">
        <v>6694</v>
      </c>
      <c r="H1815" s="2" t="s">
        <v>17</v>
      </c>
      <c r="K1815" s="4">
        <v>16408</v>
      </c>
      <c r="L1815" s="4">
        <v>44643</v>
      </c>
      <c r="M1815" s="2" t="s">
        <v>35</v>
      </c>
      <c r="N1815" s="2" t="s">
        <v>6695</v>
      </c>
    </row>
    <row r="1816" spans="1:14">
      <c r="A1816" s="2">
        <v>1815</v>
      </c>
      <c r="B1816" s="3" t="s">
        <v>6696</v>
      </c>
      <c r="C1816" s="2" t="s">
        <v>6697</v>
      </c>
      <c r="D1816" s="2">
        <v>52</v>
      </c>
      <c r="E1816" s="2">
        <v>52</v>
      </c>
      <c r="F1816" s="2" t="s">
        <v>6698</v>
      </c>
      <c r="H1816" s="2" t="s">
        <v>17</v>
      </c>
      <c r="K1816" s="4">
        <v>14905</v>
      </c>
      <c r="M1816" s="2" t="s">
        <v>423</v>
      </c>
      <c r="N1816" s="2" t="s">
        <v>621</v>
      </c>
    </row>
    <row r="1817" spans="1:14">
      <c r="A1817" s="2">
        <v>1816</v>
      </c>
      <c r="B1817" s="3" t="s">
        <v>6699</v>
      </c>
      <c r="C1817" s="2" t="s">
        <v>6700</v>
      </c>
      <c r="D1817" s="2">
        <v>51</v>
      </c>
      <c r="E1817" s="2">
        <v>52</v>
      </c>
      <c r="F1817" s="2" t="s">
        <v>6701</v>
      </c>
      <c r="H1817" s="2" t="s">
        <v>17</v>
      </c>
      <c r="K1817" s="4">
        <v>15554</v>
      </c>
      <c r="M1817" s="2" t="s">
        <v>85</v>
      </c>
      <c r="N1817" s="2" t="s">
        <v>6702</v>
      </c>
    </row>
    <row r="1818" spans="1:14">
      <c r="A1818" s="2">
        <v>1817</v>
      </c>
      <c r="B1818" s="3" t="s">
        <v>6703</v>
      </c>
      <c r="C1818" s="2" t="s">
        <v>6704</v>
      </c>
      <c r="D1818" s="2">
        <v>49</v>
      </c>
      <c r="E1818" s="2">
        <v>52</v>
      </c>
      <c r="F1818" s="2" t="s">
        <v>6705</v>
      </c>
      <c r="H1818" s="2" t="s">
        <v>17</v>
      </c>
      <c r="K1818" s="4">
        <v>14844</v>
      </c>
      <c r="M1818" s="2" t="s">
        <v>185</v>
      </c>
      <c r="N1818" s="2" t="s">
        <v>186</v>
      </c>
    </row>
    <row r="1819" spans="1:14">
      <c r="A1819" s="2">
        <v>1818</v>
      </c>
      <c r="B1819" s="3" t="s">
        <v>6706</v>
      </c>
      <c r="C1819" s="2" t="s">
        <v>6707</v>
      </c>
      <c r="D1819" s="2">
        <v>52</v>
      </c>
      <c r="E1819" s="2">
        <v>52</v>
      </c>
      <c r="F1819" s="2" t="s">
        <v>6708</v>
      </c>
      <c r="H1819" s="2" t="s">
        <v>17</v>
      </c>
      <c r="K1819" s="4">
        <v>26051</v>
      </c>
      <c r="M1819" s="2" t="s">
        <v>24</v>
      </c>
      <c r="N1819" s="2" t="s">
        <v>25</v>
      </c>
    </row>
    <row r="1820" spans="1:14">
      <c r="A1820" s="2">
        <v>1819</v>
      </c>
      <c r="B1820" s="3" t="s">
        <v>6709</v>
      </c>
      <c r="C1820" s="2" t="s">
        <v>6710</v>
      </c>
      <c r="D1820" s="2">
        <v>49</v>
      </c>
      <c r="E1820" s="2">
        <v>52</v>
      </c>
      <c r="F1820" s="2" t="s">
        <v>6711</v>
      </c>
      <c r="H1820" s="2" t="s">
        <v>17</v>
      </c>
      <c r="K1820" s="4">
        <v>18685</v>
      </c>
      <c r="M1820" s="2" t="s">
        <v>40</v>
      </c>
      <c r="N1820" s="2" t="s">
        <v>902</v>
      </c>
    </row>
    <row r="1821" spans="1:14">
      <c r="A1821" s="2">
        <v>1820</v>
      </c>
      <c r="B1821" s="3" t="s">
        <v>6712</v>
      </c>
      <c r="C1821" s="2" t="s">
        <v>6713</v>
      </c>
      <c r="D1821" s="2">
        <v>49</v>
      </c>
      <c r="E1821" s="2">
        <v>52</v>
      </c>
      <c r="F1821" s="2" t="s">
        <v>6714</v>
      </c>
      <c r="H1821" s="2" t="s">
        <v>17</v>
      </c>
      <c r="K1821" s="4">
        <v>15426</v>
      </c>
      <c r="L1821" s="4">
        <v>43770</v>
      </c>
      <c r="M1821" s="2" t="s">
        <v>47</v>
      </c>
      <c r="N1821" s="2" t="s">
        <v>6715</v>
      </c>
    </row>
    <row r="1822" spans="1:14">
      <c r="A1822" s="2">
        <v>1821</v>
      </c>
      <c r="B1822" s="3" t="s">
        <v>6716</v>
      </c>
      <c r="C1822" s="2" t="s">
        <v>6717</v>
      </c>
      <c r="D1822" s="2">
        <v>51</v>
      </c>
      <c r="E1822" s="2">
        <v>52</v>
      </c>
      <c r="F1822" s="2" t="s">
        <v>6718</v>
      </c>
      <c r="H1822" s="2" t="s">
        <v>17</v>
      </c>
      <c r="K1822" s="4">
        <v>21480</v>
      </c>
      <c r="M1822" s="2" t="s">
        <v>423</v>
      </c>
      <c r="N1822" s="2" t="s">
        <v>6719</v>
      </c>
    </row>
    <row r="1823" spans="1:14">
      <c r="A1823" s="2">
        <v>1822</v>
      </c>
      <c r="B1823" s="3" t="s">
        <v>6720</v>
      </c>
      <c r="C1823" s="2" t="s">
        <v>6721</v>
      </c>
      <c r="D1823" s="2">
        <v>52</v>
      </c>
      <c r="E1823" s="2">
        <v>52</v>
      </c>
      <c r="F1823" s="2" t="s">
        <v>6722</v>
      </c>
      <c r="H1823" s="2" t="s">
        <v>17</v>
      </c>
      <c r="K1823" s="4">
        <v>18785</v>
      </c>
      <c r="M1823" s="2" t="s">
        <v>35</v>
      </c>
      <c r="N1823" s="2" t="s">
        <v>703</v>
      </c>
    </row>
    <row r="1824" spans="1:14">
      <c r="A1824" s="2">
        <v>1823</v>
      </c>
      <c r="B1824" s="3" t="s">
        <v>6723</v>
      </c>
      <c r="C1824" s="2" t="s">
        <v>6724</v>
      </c>
      <c r="D1824" s="2">
        <v>50</v>
      </c>
      <c r="E1824" s="2">
        <v>52</v>
      </c>
      <c r="F1824" s="2" t="s">
        <v>6725</v>
      </c>
      <c r="H1824" s="2" t="s">
        <v>17</v>
      </c>
      <c r="K1824" s="4">
        <v>19280</v>
      </c>
      <c r="M1824" s="2" t="s">
        <v>66</v>
      </c>
      <c r="N1824" s="2" t="s">
        <v>3865</v>
      </c>
    </row>
    <row r="1825" spans="1:14">
      <c r="A1825" s="2">
        <v>1824</v>
      </c>
      <c r="B1825" s="3" t="s">
        <v>6726</v>
      </c>
      <c r="C1825" s="2" t="s">
        <v>6727</v>
      </c>
      <c r="D1825" s="2">
        <v>51</v>
      </c>
      <c r="E1825" s="2">
        <v>52</v>
      </c>
      <c r="F1825" s="2" t="s">
        <v>6728</v>
      </c>
      <c r="H1825" s="2" t="s">
        <v>17</v>
      </c>
      <c r="K1825" s="4">
        <v>19663</v>
      </c>
      <c r="M1825" s="2" t="s">
        <v>164</v>
      </c>
      <c r="N1825" s="2" t="s">
        <v>6729</v>
      </c>
    </row>
    <row r="1826" spans="1:14">
      <c r="A1826" s="2">
        <v>1825</v>
      </c>
      <c r="B1826" s="3" t="s">
        <v>6730</v>
      </c>
      <c r="C1826" s="2" t="s">
        <v>6731</v>
      </c>
      <c r="D1826" s="2">
        <v>51</v>
      </c>
      <c r="E1826" s="2">
        <v>52</v>
      </c>
      <c r="F1826" s="2" t="s">
        <v>6732</v>
      </c>
      <c r="H1826" s="2" t="s">
        <v>17</v>
      </c>
      <c r="K1826" s="4">
        <v>23035</v>
      </c>
      <c r="M1826" s="2" t="s">
        <v>164</v>
      </c>
      <c r="N1826" s="2" t="s">
        <v>165</v>
      </c>
    </row>
    <row r="1827" spans="1:14">
      <c r="A1827" s="2">
        <v>1826</v>
      </c>
      <c r="B1827" s="3" t="s">
        <v>6733</v>
      </c>
      <c r="C1827" s="2" t="s">
        <v>5911</v>
      </c>
      <c r="D1827" s="2">
        <v>50</v>
      </c>
      <c r="E1827" s="2">
        <v>52</v>
      </c>
      <c r="F1827" s="2" t="s">
        <v>6734</v>
      </c>
      <c r="H1827" s="2" t="s">
        <v>17</v>
      </c>
      <c r="K1827" s="4">
        <v>23410</v>
      </c>
      <c r="M1827" s="2" t="s">
        <v>53</v>
      </c>
      <c r="N1827" s="2" t="s">
        <v>847</v>
      </c>
    </row>
    <row r="1828" spans="1:14">
      <c r="A1828" s="2">
        <v>1827</v>
      </c>
      <c r="B1828" s="3" t="s">
        <v>6735</v>
      </c>
      <c r="C1828" s="2" t="s">
        <v>6736</v>
      </c>
      <c r="D1828" s="2">
        <v>52</v>
      </c>
      <c r="E1828" s="2">
        <v>52</v>
      </c>
      <c r="F1828" s="2" t="s">
        <v>6737</v>
      </c>
      <c r="H1828" s="2" t="s">
        <v>17</v>
      </c>
      <c r="K1828" s="4">
        <v>21032</v>
      </c>
      <c r="M1828" s="2" t="s">
        <v>85</v>
      </c>
      <c r="N1828" s="2" t="s">
        <v>86</v>
      </c>
    </row>
    <row r="1829" spans="1:14">
      <c r="A1829" s="2">
        <v>1828</v>
      </c>
      <c r="B1829" s="3" t="s">
        <v>6738</v>
      </c>
      <c r="C1829" s="2" t="s">
        <v>6739</v>
      </c>
      <c r="D1829" s="2">
        <v>51</v>
      </c>
      <c r="E1829" s="2">
        <v>52</v>
      </c>
      <c r="F1829" s="2" t="s">
        <v>6740</v>
      </c>
      <c r="H1829" s="2" t="s">
        <v>17</v>
      </c>
      <c r="K1829" s="4">
        <v>25707</v>
      </c>
      <c r="M1829" s="2" t="s">
        <v>35</v>
      </c>
      <c r="N1829" s="2" t="s">
        <v>58</v>
      </c>
    </row>
    <row r="1830" spans="1:14">
      <c r="A1830" s="2">
        <v>1829</v>
      </c>
      <c r="B1830" s="3" t="s">
        <v>6741</v>
      </c>
      <c r="C1830" s="2" t="s">
        <v>6742</v>
      </c>
      <c r="D1830" s="2">
        <v>52</v>
      </c>
      <c r="E1830" s="2">
        <v>52</v>
      </c>
      <c r="F1830" s="2" t="s">
        <v>6743</v>
      </c>
      <c r="H1830" s="2" t="s">
        <v>17</v>
      </c>
      <c r="K1830" s="4">
        <v>24840</v>
      </c>
      <c r="M1830" s="2" t="s">
        <v>53</v>
      </c>
      <c r="N1830" s="2" t="s">
        <v>847</v>
      </c>
    </row>
    <row r="1831" spans="1:14">
      <c r="A1831" s="2">
        <v>1830</v>
      </c>
      <c r="B1831" s="3" t="s">
        <v>6744</v>
      </c>
      <c r="C1831" s="2" t="s">
        <v>6745</v>
      </c>
      <c r="D1831" s="2">
        <v>51</v>
      </c>
      <c r="E1831" s="2">
        <v>52</v>
      </c>
      <c r="F1831" s="2" t="s">
        <v>6746</v>
      </c>
      <c r="H1831" s="2" t="s">
        <v>17</v>
      </c>
      <c r="K1831" s="4">
        <v>21714</v>
      </c>
      <c r="M1831" s="2" t="s">
        <v>198</v>
      </c>
      <c r="N1831" s="2" t="s">
        <v>1040</v>
      </c>
    </row>
    <row r="1832" spans="1:14">
      <c r="A1832" s="2">
        <v>1831</v>
      </c>
      <c r="B1832" s="3" t="s">
        <v>6747</v>
      </c>
      <c r="C1832" s="2" t="s">
        <v>6748</v>
      </c>
      <c r="D1832" s="2">
        <v>51</v>
      </c>
      <c r="E1832" s="2">
        <v>52</v>
      </c>
      <c r="F1832" s="2" t="s">
        <v>6749</v>
      </c>
      <c r="H1832" s="2" t="s">
        <v>17</v>
      </c>
      <c r="K1832" s="4">
        <v>16778</v>
      </c>
      <c r="M1832" s="2" t="s">
        <v>76</v>
      </c>
      <c r="N1832" s="2" t="s">
        <v>6628</v>
      </c>
    </row>
    <row r="1833" spans="1:14">
      <c r="A1833" s="2">
        <v>1832</v>
      </c>
      <c r="B1833" s="3" t="s">
        <v>6750</v>
      </c>
      <c r="C1833" s="2" t="s">
        <v>6751</v>
      </c>
      <c r="D1833" s="2">
        <v>52</v>
      </c>
      <c r="E1833" s="2">
        <v>52</v>
      </c>
      <c r="F1833" s="2" t="s">
        <v>6752</v>
      </c>
      <c r="H1833" s="2" t="s">
        <v>17</v>
      </c>
      <c r="K1833" s="4">
        <v>16413</v>
      </c>
      <c r="M1833" s="2" t="s">
        <v>198</v>
      </c>
      <c r="N1833" s="2" t="s">
        <v>199</v>
      </c>
    </row>
    <row r="1834" spans="1:14">
      <c r="A1834" s="2">
        <v>1833</v>
      </c>
      <c r="B1834" s="3" t="s">
        <v>6753</v>
      </c>
      <c r="C1834" s="2" t="s">
        <v>6754</v>
      </c>
      <c r="D1834" s="2">
        <v>52</v>
      </c>
      <c r="E1834" s="2">
        <v>52</v>
      </c>
      <c r="F1834" s="2" t="s">
        <v>6755</v>
      </c>
      <c r="H1834" s="2" t="s">
        <v>17</v>
      </c>
      <c r="K1834" s="4">
        <v>20183</v>
      </c>
      <c r="M1834" s="2" t="s">
        <v>35</v>
      </c>
      <c r="N1834" s="2" t="s">
        <v>36</v>
      </c>
    </row>
    <row r="1835" spans="1:14">
      <c r="A1835" s="2">
        <v>1834</v>
      </c>
      <c r="B1835" s="3" t="s">
        <v>6756</v>
      </c>
      <c r="C1835" s="2" t="s">
        <v>6757</v>
      </c>
      <c r="D1835" s="2">
        <v>51</v>
      </c>
      <c r="E1835" s="2">
        <v>52</v>
      </c>
      <c r="F1835" s="2" t="s">
        <v>6758</v>
      </c>
      <c r="H1835" s="2" t="s">
        <v>17</v>
      </c>
      <c r="K1835" s="4">
        <v>24006</v>
      </c>
      <c r="M1835" s="2" t="s">
        <v>170</v>
      </c>
      <c r="N1835" s="2" t="s">
        <v>6759</v>
      </c>
    </row>
    <row r="1836" spans="1:14">
      <c r="A1836" s="2">
        <v>1835</v>
      </c>
      <c r="B1836" s="3" t="s">
        <v>6760</v>
      </c>
      <c r="C1836" s="2" t="s">
        <v>6761</v>
      </c>
      <c r="D1836" s="2">
        <v>51</v>
      </c>
      <c r="E1836" s="2">
        <v>52</v>
      </c>
      <c r="F1836" s="2" t="s">
        <v>6762</v>
      </c>
      <c r="H1836" s="2" t="s">
        <v>17</v>
      </c>
      <c r="K1836" s="4">
        <v>21097</v>
      </c>
      <c r="M1836" s="2" t="s">
        <v>170</v>
      </c>
      <c r="N1836" s="2" t="s">
        <v>323</v>
      </c>
    </row>
    <row r="1837" spans="1:14">
      <c r="A1837" s="2">
        <v>1836</v>
      </c>
      <c r="B1837" s="3" t="s">
        <v>6763</v>
      </c>
      <c r="C1837" s="2" t="s">
        <v>6764</v>
      </c>
      <c r="D1837" s="2">
        <v>49</v>
      </c>
      <c r="E1837" s="2">
        <v>52</v>
      </c>
      <c r="F1837" s="2" t="s">
        <v>6765</v>
      </c>
      <c r="H1837" s="2" t="s">
        <v>17</v>
      </c>
      <c r="K1837" s="4">
        <v>16924</v>
      </c>
      <c r="M1837" s="2" t="s">
        <v>185</v>
      </c>
      <c r="N1837" s="2" t="s">
        <v>2069</v>
      </c>
    </row>
    <row r="1838" spans="1:14">
      <c r="A1838" s="2">
        <v>1837</v>
      </c>
      <c r="B1838" s="3" t="s">
        <v>6766</v>
      </c>
      <c r="C1838" s="2" t="s">
        <v>6767</v>
      </c>
      <c r="D1838" s="2">
        <v>52</v>
      </c>
      <c r="E1838" s="2">
        <v>52</v>
      </c>
      <c r="F1838" s="2" t="s">
        <v>6768</v>
      </c>
      <c r="H1838" s="2" t="s">
        <v>17</v>
      </c>
      <c r="K1838" s="4">
        <v>25612</v>
      </c>
      <c r="M1838" s="2" t="s">
        <v>35</v>
      </c>
      <c r="N1838" s="2" t="s">
        <v>6769</v>
      </c>
    </row>
    <row r="1839" spans="1:14">
      <c r="A1839" s="2">
        <v>1838</v>
      </c>
      <c r="B1839" s="3" t="s">
        <v>6770</v>
      </c>
      <c r="C1839" s="2" t="s">
        <v>6771</v>
      </c>
      <c r="D1839" s="2">
        <v>50</v>
      </c>
      <c r="E1839" s="2">
        <v>52</v>
      </c>
      <c r="F1839" s="2" t="s">
        <v>6772</v>
      </c>
      <c r="H1839" s="2" t="s">
        <v>17</v>
      </c>
      <c r="K1839" s="4">
        <v>21253</v>
      </c>
      <c r="M1839" s="2" t="s">
        <v>30</v>
      </c>
      <c r="N1839" s="2" t="s">
        <v>6773</v>
      </c>
    </row>
    <row r="1840" spans="1:14">
      <c r="A1840" s="2">
        <v>1839</v>
      </c>
      <c r="B1840" s="3" t="s">
        <v>6774</v>
      </c>
      <c r="C1840" s="2" t="s">
        <v>6775</v>
      </c>
      <c r="D1840" s="2">
        <v>51</v>
      </c>
      <c r="E1840" s="2">
        <v>52</v>
      </c>
      <c r="F1840" s="2" t="s">
        <v>6776</v>
      </c>
      <c r="H1840" s="2" t="s">
        <v>17</v>
      </c>
      <c r="K1840" s="4">
        <v>20632</v>
      </c>
      <c r="M1840" s="2" t="s">
        <v>47</v>
      </c>
      <c r="N1840" s="2" t="s">
        <v>3636</v>
      </c>
    </row>
    <row r="1841" spans="1:14">
      <c r="A1841" s="2">
        <v>1840</v>
      </c>
      <c r="B1841" s="3" t="s">
        <v>6777</v>
      </c>
      <c r="C1841" s="2" t="s">
        <v>6778</v>
      </c>
      <c r="D1841" s="2">
        <v>52</v>
      </c>
      <c r="E1841" s="2">
        <v>52</v>
      </c>
      <c r="F1841" s="2" t="s">
        <v>6779</v>
      </c>
      <c r="H1841" s="2" t="s">
        <v>17</v>
      </c>
      <c r="K1841" s="4">
        <v>19104</v>
      </c>
      <c r="M1841" s="2" t="s">
        <v>154</v>
      </c>
      <c r="N1841" s="2" t="s">
        <v>2478</v>
      </c>
    </row>
    <row r="1842" spans="1:14">
      <c r="A1842" s="2">
        <v>1841</v>
      </c>
      <c r="B1842" s="3" t="s">
        <v>6780</v>
      </c>
      <c r="C1842" s="2" t="s">
        <v>6781</v>
      </c>
      <c r="D1842" s="2">
        <v>48</v>
      </c>
      <c r="E1842" s="2">
        <v>52</v>
      </c>
      <c r="F1842" s="2" t="s">
        <v>6782</v>
      </c>
      <c r="H1842" s="2" t="s">
        <v>17</v>
      </c>
      <c r="K1842" s="4">
        <v>13498</v>
      </c>
      <c r="L1842" s="4">
        <v>44197</v>
      </c>
      <c r="M1842" s="2" t="s">
        <v>91</v>
      </c>
      <c r="N1842" s="2" t="s">
        <v>6783</v>
      </c>
    </row>
    <row r="1843" spans="1:14">
      <c r="A1843" s="2">
        <v>1842</v>
      </c>
      <c r="B1843" s="3" t="s">
        <v>6784</v>
      </c>
      <c r="C1843" s="2" t="s">
        <v>6785</v>
      </c>
      <c r="D1843" s="2">
        <v>51</v>
      </c>
      <c r="E1843" s="2">
        <v>52</v>
      </c>
      <c r="F1843" s="2" t="s">
        <v>6786</v>
      </c>
      <c r="H1843" s="2" t="s">
        <v>17</v>
      </c>
      <c r="K1843" s="4">
        <v>14637</v>
      </c>
      <c r="L1843" s="4">
        <v>45397</v>
      </c>
      <c r="M1843" s="2" t="s">
        <v>40</v>
      </c>
      <c r="N1843" s="2" t="s">
        <v>6787</v>
      </c>
    </row>
    <row r="1844" spans="1:14">
      <c r="A1844" s="2">
        <v>1843</v>
      </c>
      <c r="B1844" s="3" t="s">
        <v>6788</v>
      </c>
      <c r="C1844" s="2" t="s">
        <v>6789</v>
      </c>
      <c r="D1844" s="2">
        <v>52</v>
      </c>
      <c r="E1844" s="2">
        <v>52</v>
      </c>
      <c r="F1844" s="2" t="s">
        <v>6790</v>
      </c>
      <c r="H1844" s="2" t="s">
        <v>17</v>
      </c>
      <c r="K1844" s="4">
        <v>16198</v>
      </c>
      <c r="M1844" s="2" t="s">
        <v>198</v>
      </c>
      <c r="N1844" s="2" t="s">
        <v>199</v>
      </c>
    </row>
    <row r="1845" spans="1:14">
      <c r="A1845" s="2">
        <v>1844</v>
      </c>
      <c r="B1845" s="3" t="s">
        <v>6791</v>
      </c>
      <c r="C1845" s="2" t="s">
        <v>6792</v>
      </c>
      <c r="D1845" s="2">
        <v>52</v>
      </c>
      <c r="E1845" s="2">
        <v>52</v>
      </c>
      <c r="F1845" s="2" t="s">
        <v>6793</v>
      </c>
      <c r="H1845" s="2" t="s">
        <v>17</v>
      </c>
      <c r="K1845" s="4">
        <v>23398</v>
      </c>
      <c r="M1845" s="2" t="s">
        <v>154</v>
      </c>
      <c r="N1845" s="2" t="s">
        <v>4526</v>
      </c>
    </row>
    <row r="1846" spans="1:14">
      <c r="A1846" s="2">
        <v>1845</v>
      </c>
      <c r="B1846" s="3" t="s">
        <v>6794</v>
      </c>
      <c r="C1846" s="2" t="s">
        <v>6795</v>
      </c>
      <c r="D1846" s="2">
        <v>50</v>
      </c>
      <c r="E1846" s="2">
        <v>52</v>
      </c>
      <c r="F1846" s="2" t="s">
        <v>6796</v>
      </c>
      <c r="H1846" s="2" t="s">
        <v>17</v>
      </c>
      <c r="K1846" s="4">
        <v>17669</v>
      </c>
      <c r="M1846" s="2" t="s">
        <v>122</v>
      </c>
      <c r="N1846" s="2" t="s">
        <v>6797</v>
      </c>
    </row>
    <row r="1847" spans="1:14">
      <c r="A1847" s="2">
        <v>1846</v>
      </c>
      <c r="B1847" s="3" t="s">
        <v>6798</v>
      </c>
      <c r="C1847" s="2" t="s">
        <v>6799</v>
      </c>
      <c r="D1847" s="2">
        <v>50</v>
      </c>
      <c r="E1847" s="2">
        <v>52</v>
      </c>
      <c r="F1847" s="2" t="s">
        <v>6800</v>
      </c>
      <c r="H1847" s="2" t="s">
        <v>17</v>
      </c>
      <c r="K1847" s="4">
        <v>16673</v>
      </c>
      <c r="M1847" s="2" t="s">
        <v>47</v>
      </c>
      <c r="N1847" s="2" t="s">
        <v>417</v>
      </c>
    </row>
    <row r="1848" spans="1:14">
      <c r="A1848" s="2">
        <v>1847</v>
      </c>
      <c r="B1848" s="3" t="s">
        <v>6801</v>
      </c>
      <c r="C1848" s="2" t="s">
        <v>6802</v>
      </c>
      <c r="D1848" s="2">
        <v>50</v>
      </c>
      <c r="E1848" s="2">
        <v>52</v>
      </c>
      <c r="F1848" s="2" t="s">
        <v>6803</v>
      </c>
      <c r="H1848" s="2" t="s">
        <v>17</v>
      </c>
      <c r="K1848" s="4">
        <v>15919</v>
      </c>
      <c r="L1848" s="4">
        <v>43241</v>
      </c>
      <c r="M1848" s="2" t="s">
        <v>40</v>
      </c>
      <c r="N1848" s="2" t="s">
        <v>6804</v>
      </c>
    </row>
    <row r="1849" spans="1:14">
      <c r="A1849" s="2">
        <v>1848</v>
      </c>
      <c r="B1849" s="3" t="s">
        <v>6805</v>
      </c>
      <c r="C1849" s="2" t="s">
        <v>6806</v>
      </c>
      <c r="D1849" s="2">
        <v>52</v>
      </c>
      <c r="E1849" s="2">
        <v>52</v>
      </c>
      <c r="F1849" s="2" t="s">
        <v>6807</v>
      </c>
      <c r="H1849" s="2" t="s">
        <v>17</v>
      </c>
      <c r="K1849" s="4">
        <v>21795</v>
      </c>
      <c r="M1849" s="2" t="s">
        <v>164</v>
      </c>
      <c r="N1849" s="2" t="s">
        <v>165</v>
      </c>
    </row>
    <row r="1850" spans="1:14">
      <c r="A1850" s="2">
        <v>1849</v>
      </c>
      <c r="B1850" s="3" t="s">
        <v>6808</v>
      </c>
      <c r="C1850" s="2" t="s">
        <v>6809</v>
      </c>
      <c r="D1850" s="2">
        <v>50</v>
      </c>
      <c r="E1850" s="2">
        <v>52</v>
      </c>
      <c r="F1850" s="2" t="s">
        <v>6809</v>
      </c>
      <c r="H1850" s="2" t="s">
        <v>17</v>
      </c>
      <c r="K1850" s="4">
        <v>16501</v>
      </c>
      <c r="M1850" s="2" t="s">
        <v>35</v>
      </c>
      <c r="N1850" s="2" t="s">
        <v>2261</v>
      </c>
    </row>
    <row r="1851" spans="1:14">
      <c r="A1851" s="2">
        <v>1850</v>
      </c>
      <c r="B1851" s="3" t="s">
        <v>6810</v>
      </c>
      <c r="C1851" s="2" t="s">
        <v>6811</v>
      </c>
      <c r="D1851" s="2">
        <v>49</v>
      </c>
      <c r="E1851" s="2">
        <v>52</v>
      </c>
      <c r="F1851" s="2" t="s">
        <v>6812</v>
      </c>
      <c r="H1851" s="2" t="s">
        <v>17</v>
      </c>
      <c r="K1851" s="4">
        <v>14627</v>
      </c>
      <c r="M1851" s="2" t="s">
        <v>185</v>
      </c>
      <c r="N1851" s="2" t="s">
        <v>3962</v>
      </c>
    </row>
    <row r="1852" spans="1:14">
      <c r="A1852" s="2">
        <v>1851</v>
      </c>
      <c r="B1852" s="3" t="s">
        <v>6813</v>
      </c>
      <c r="C1852" s="2" t="s">
        <v>6814</v>
      </c>
      <c r="D1852" s="2">
        <v>48</v>
      </c>
      <c r="E1852" s="2">
        <v>52</v>
      </c>
      <c r="F1852" s="2" t="s">
        <v>6815</v>
      </c>
      <c r="H1852" s="2" t="s">
        <v>17</v>
      </c>
      <c r="K1852" s="4">
        <v>10349</v>
      </c>
      <c r="L1852" s="4">
        <v>45516</v>
      </c>
      <c r="M1852" s="2" t="s">
        <v>47</v>
      </c>
      <c r="N1852" s="2" t="s">
        <v>48</v>
      </c>
    </row>
    <row r="1853" spans="1:14">
      <c r="A1853" s="2">
        <v>1852</v>
      </c>
      <c r="B1853" s="3" t="s">
        <v>6816</v>
      </c>
      <c r="C1853" s="2" t="s">
        <v>6817</v>
      </c>
      <c r="D1853" s="2">
        <v>49</v>
      </c>
      <c r="E1853" s="2">
        <v>52</v>
      </c>
      <c r="F1853" s="2" t="s">
        <v>6818</v>
      </c>
      <c r="H1853" s="2" t="s">
        <v>17</v>
      </c>
      <c r="K1853" s="4">
        <v>15516</v>
      </c>
      <c r="M1853" s="2" t="s">
        <v>53</v>
      </c>
      <c r="N1853" s="2" t="s">
        <v>6819</v>
      </c>
    </row>
    <row r="1854" spans="1:14">
      <c r="A1854" s="2">
        <v>1853</v>
      </c>
      <c r="B1854" s="3" t="s">
        <v>6820</v>
      </c>
      <c r="C1854" s="2" t="s">
        <v>6821</v>
      </c>
      <c r="D1854" s="2">
        <v>51</v>
      </c>
      <c r="E1854" s="2">
        <v>52</v>
      </c>
      <c r="F1854" s="2" t="s">
        <v>6822</v>
      </c>
      <c r="H1854" s="2" t="s">
        <v>17</v>
      </c>
      <c r="K1854" s="4">
        <v>20164</v>
      </c>
      <c r="M1854" s="2" t="s">
        <v>76</v>
      </c>
      <c r="N1854" s="2" t="s">
        <v>906</v>
      </c>
    </row>
    <row r="1855" spans="1:14">
      <c r="A1855" s="2">
        <v>1854</v>
      </c>
      <c r="B1855" s="3" t="s">
        <v>6823</v>
      </c>
      <c r="C1855" s="2" t="s">
        <v>6824</v>
      </c>
      <c r="D1855" s="2">
        <v>51</v>
      </c>
      <c r="E1855" s="2">
        <v>52</v>
      </c>
      <c r="F1855" s="2" t="s">
        <v>6825</v>
      </c>
      <c r="H1855" s="2" t="s">
        <v>17</v>
      </c>
      <c r="K1855" s="4">
        <v>21155</v>
      </c>
      <c r="M1855" s="2" t="s">
        <v>164</v>
      </c>
      <c r="N1855" s="2" t="s">
        <v>6826</v>
      </c>
    </row>
    <row r="1856" spans="1:14">
      <c r="A1856" s="2">
        <v>1855</v>
      </c>
      <c r="B1856" s="3" t="s">
        <v>6827</v>
      </c>
      <c r="C1856" s="2" t="s">
        <v>6828</v>
      </c>
      <c r="D1856" s="2">
        <v>51</v>
      </c>
      <c r="E1856" s="2">
        <v>52</v>
      </c>
      <c r="F1856" s="2" t="s">
        <v>6829</v>
      </c>
      <c r="H1856" s="2" t="s">
        <v>17</v>
      </c>
      <c r="K1856" s="4">
        <v>19030</v>
      </c>
      <c r="M1856" s="2" t="s">
        <v>76</v>
      </c>
      <c r="N1856" s="2" t="s">
        <v>6830</v>
      </c>
    </row>
    <row r="1857" spans="1:14">
      <c r="A1857" s="2">
        <v>1856</v>
      </c>
      <c r="B1857" s="3" t="s">
        <v>6831</v>
      </c>
      <c r="C1857" s="2" t="s">
        <v>6832</v>
      </c>
      <c r="D1857" s="2">
        <v>52</v>
      </c>
      <c r="E1857" s="2">
        <v>52</v>
      </c>
      <c r="F1857" s="2" t="s">
        <v>6833</v>
      </c>
      <c r="H1857" s="2" t="s">
        <v>17</v>
      </c>
      <c r="K1857" s="4">
        <v>17530</v>
      </c>
      <c r="M1857" s="2" t="s">
        <v>35</v>
      </c>
      <c r="N1857" s="2" t="s">
        <v>6834</v>
      </c>
    </row>
    <row r="1858" spans="1:14">
      <c r="A1858" s="2">
        <v>1857</v>
      </c>
      <c r="B1858" s="3" t="s">
        <v>6835</v>
      </c>
      <c r="C1858" s="2" t="s">
        <v>6836</v>
      </c>
      <c r="D1858" s="2">
        <v>51</v>
      </c>
      <c r="E1858" s="2">
        <v>52</v>
      </c>
      <c r="F1858" s="2" t="s">
        <v>6837</v>
      </c>
      <c r="H1858" s="2" t="s">
        <v>17</v>
      </c>
      <c r="K1858" s="4">
        <v>14726</v>
      </c>
      <c r="M1858" s="2" t="s">
        <v>76</v>
      </c>
      <c r="N1858" s="2" t="s">
        <v>77</v>
      </c>
    </row>
    <row r="1859" spans="1:14">
      <c r="A1859" s="2">
        <v>1858</v>
      </c>
      <c r="B1859" s="3" t="s">
        <v>6838</v>
      </c>
      <c r="C1859" s="2" t="s">
        <v>6839</v>
      </c>
      <c r="D1859" s="2">
        <v>51</v>
      </c>
      <c r="E1859" s="2">
        <v>52</v>
      </c>
      <c r="F1859" s="2" t="s">
        <v>6840</v>
      </c>
      <c r="H1859" s="2" t="s">
        <v>17</v>
      </c>
      <c r="K1859" s="4">
        <v>18512</v>
      </c>
      <c r="M1859" s="2" t="s">
        <v>341</v>
      </c>
      <c r="N1859" s="2" t="s">
        <v>834</v>
      </c>
    </row>
    <row r="1860" spans="1:14">
      <c r="A1860" s="2">
        <v>1859</v>
      </c>
      <c r="B1860" s="3" t="s">
        <v>6841</v>
      </c>
      <c r="C1860" s="2" t="s">
        <v>6842</v>
      </c>
      <c r="D1860" s="2">
        <v>52</v>
      </c>
      <c r="E1860" s="2">
        <v>52</v>
      </c>
      <c r="F1860" s="2" t="s">
        <v>6843</v>
      </c>
      <c r="H1860" s="2" t="s">
        <v>17</v>
      </c>
      <c r="K1860" s="4">
        <v>24847</v>
      </c>
      <c r="M1860" s="2" t="s">
        <v>662</v>
      </c>
      <c r="N1860" s="2" t="s">
        <v>663</v>
      </c>
    </row>
    <row r="1861" spans="1:14">
      <c r="A1861" s="2">
        <v>1860</v>
      </c>
      <c r="B1861" s="3" t="s">
        <v>6844</v>
      </c>
      <c r="C1861" s="2" t="s">
        <v>6845</v>
      </c>
      <c r="D1861" s="2">
        <v>52</v>
      </c>
      <c r="E1861" s="2">
        <v>52</v>
      </c>
      <c r="F1861" s="2" t="s">
        <v>6846</v>
      </c>
      <c r="H1861" s="2" t="s">
        <v>45</v>
      </c>
      <c r="K1861" s="4">
        <v>16628</v>
      </c>
      <c r="M1861" s="2" t="s">
        <v>423</v>
      </c>
      <c r="N1861" s="2" t="s">
        <v>3088</v>
      </c>
    </row>
    <row r="1862" spans="1:14">
      <c r="A1862" s="2">
        <v>1861</v>
      </c>
      <c r="B1862" s="3" t="s">
        <v>6847</v>
      </c>
      <c r="C1862" s="2" t="s">
        <v>6848</v>
      </c>
      <c r="D1862" s="2">
        <v>52</v>
      </c>
      <c r="E1862" s="2">
        <v>52</v>
      </c>
      <c r="F1862" s="2" t="s">
        <v>6849</v>
      </c>
      <c r="H1862" s="2" t="s">
        <v>17</v>
      </c>
      <c r="K1862" s="4">
        <v>23488</v>
      </c>
      <c r="M1862" s="2" t="s">
        <v>47</v>
      </c>
      <c r="N1862" s="2" t="s">
        <v>3278</v>
      </c>
    </row>
    <row r="1863" spans="1:14">
      <c r="A1863" s="2">
        <v>1862</v>
      </c>
      <c r="B1863" s="3" t="s">
        <v>6850</v>
      </c>
      <c r="C1863" s="2" t="s">
        <v>6851</v>
      </c>
      <c r="D1863" s="2">
        <v>49</v>
      </c>
      <c r="E1863" s="2">
        <v>52</v>
      </c>
      <c r="F1863" s="2" t="s">
        <v>6852</v>
      </c>
      <c r="H1863" s="2" t="s">
        <v>17</v>
      </c>
      <c r="K1863" s="4">
        <v>16789</v>
      </c>
      <c r="M1863" s="2" t="s">
        <v>423</v>
      </c>
      <c r="N1863" s="2" t="s">
        <v>3005</v>
      </c>
    </row>
    <row r="1864" spans="1:14">
      <c r="A1864" s="2">
        <v>1863</v>
      </c>
      <c r="B1864" s="3" t="s">
        <v>6853</v>
      </c>
      <c r="C1864" s="2" t="s">
        <v>6854</v>
      </c>
      <c r="D1864" s="2">
        <v>48</v>
      </c>
      <c r="E1864" s="2">
        <v>52</v>
      </c>
      <c r="F1864" s="2" t="s">
        <v>6855</v>
      </c>
      <c r="H1864" s="2" t="s">
        <v>17</v>
      </c>
      <c r="K1864" s="4">
        <v>21486</v>
      </c>
      <c r="L1864" s="4">
        <v>44308</v>
      </c>
      <c r="M1864" s="2" t="s">
        <v>122</v>
      </c>
      <c r="N1864" s="2" t="s">
        <v>123</v>
      </c>
    </row>
    <row r="1865" spans="1:14">
      <c r="A1865" s="2">
        <v>1864</v>
      </c>
      <c r="B1865" s="3" t="s">
        <v>6856</v>
      </c>
      <c r="C1865" s="2" t="s">
        <v>6857</v>
      </c>
      <c r="D1865" s="2">
        <v>52</v>
      </c>
      <c r="E1865" s="2">
        <v>52</v>
      </c>
      <c r="F1865" s="2" t="s">
        <v>6858</v>
      </c>
      <c r="H1865" s="2" t="s">
        <v>45</v>
      </c>
      <c r="K1865" s="4">
        <v>17624</v>
      </c>
      <c r="M1865" s="2" t="s">
        <v>170</v>
      </c>
      <c r="N1865" s="2" t="s">
        <v>6859</v>
      </c>
    </row>
    <row r="1866" spans="1:14">
      <c r="A1866" s="2">
        <v>1865</v>
      </c>
      <c r="B1866" s="3" t="s">
        <v>6860</v>
      </c>
      <c r="C1866" s="2" t="s">
        <v>6861</v>
      </c>
      <c r="D1866" s="2">
        <v>50</v>
      </c>
      <c r="E1866" s="2">
        <v>52</v>
      </c>
      <c r="F1866" s="2" t="s">
        <v>6862</v>
      </c>
      <c r="H1866" s="2" t="s">
        <v>17</v>
      </c>
      <c r="K1866" s="4">
        <v>23964</v>
      </c>
      <c r="L1866" s="4">
        <v>41864</v>
      </c>
      <c r="M1866" s="2" t="s">
        <v>198</v>
      </c>
      <c r="N1866" s="2" t="s">
        <v>199</v>
      </c>
    </row>
    <row r="1867" spans="1:14">
      <c r="A1867" s="2">
        <v>1866</v>
      </c>
      <c r="B1867" s="3" t="s">
        <v>6863</v>
      </c>
      <c r="C1867" s="2" t="s">
        <v>6864</v>
      </c>
      <c r="D1867" s="2">
        <v>51</v>
      </c>
      <c r="E1867" s="2">
        <v>52</v>
      </c>
      <c r="F1867" s="2" t="s">
        <v>6865</v>
      </c>
      <c r="H1867" s="2" t="s">
        <v>17</v>
      </c>
      <c r="K1867" s="4">
        <v>25521</v>
      </c>
      <c r="M1867" s="2" t="s">
        <v>170</v>
      </c>
      <c r="N1867" s="2" t="s">
        <v>323</v>
      </c>
    </row>
    <row r="1868" spans="1:14">
      <c r="A1868" s="2">
        <v>1867</v>
      </c>
      <c r="B1868" s="3" t="s">
        <v>6866</v>
      </c>
      <c r="C1868" s="2" t="s">
        <v>6867</v>
      </c>
      <c r="D1868" s="2">
        <v>51</v>
      </c>
      <c r="E1868" s="2">
        <v>52</v>
      </c>
      <c r="F1868" s="2" t="s">
        <v>6868</v>
      </c>
      <c r="H1868" s="2" t="s">
        <v>17</v>
      </c>
      <c r="K1868" s="4">
        <v>18886</v>
      </c>
      <c r="M1868" s="2" t="s">
        <v>164</v>
      </c>
      <c r="N1868" s="2" t="s">
        <v>165</v>
      </c>
    </row>
    <row r="1869" spans="1:14">
      <c r="A1869" s="2">
        <v>1868</v>
      </c>
      <c r="B1869" s="3" t="s">
        <v>6869</v>
      </c>
      <c r="C1869" s="2" t="s">
        <v>6870</v>
      </c>
      <c r="D1869" s="2">
        <v>52</v>
      </c>
      <c r="E1869" s="2">
        <v>52</v>
      </c>
      <c r="F1869" s="2" t="s">
        <v>6871</v>
      </c>
      <c r="H1869" s="2" t="s">
        <v>45</v>
      </c>
      <c r="K1869" s="4">
        <v>21682</v>
      </c>
      <c r="M1869" s="2" t="s">
        <v>170</v>
      </c>
      <c r="N1869" s="2" t="s">
        <v>171</v>
      </c>
    </row>
    <row r="1870" spans="1:14">
      <c r="A1870" s="2">
        <v>1869</v>
      </c>
      <c r="B1870" s="3" t="s">
        <v>6872</v>
      </c>
      <c r="C1870" s="2" t="s">
        <v>6873</v>
      </c>
      <c r="D1870" s="2">
        <v>52</v>
      </c>
      <c r="E1870" s="2">
        <v>52</v>
      </c>
      <c r="F1870" s="2" t="s">
        <v>6873</v>
      </c>
      <c r="H1870" s="2" t="s">
        <v>17</v>
      </c>
      <c r="K1870" s="4">
        <v>18676</v>
      </c>
      <c r="M1870" s="2" t="s">
        <v>35</v>
      </c>
      <c r="N1870" s="2" t="s">
        <v>6874</v>
      </c>
    </row>
    <row r="1871" spans="1:14">
      <c r="A1871" s="2">
        <v>1870</v>
      </c>
      <c r="B1871" s="3" t="s">
        <v>6875</v>
      </c>
      <c r="C1871" s="2" t="s">
        <v>6876</v>
      </c>
      <c r="D1871" s="2">
        <v>50</v>
      </c>
      <c r="E1871" s="2">
        <v>52</v>
      </c>
      <c r="F1871" s="2" t="s">
        <v>6877</v>
      </c>
      <c r="H1871" s="2" t="s">
        <v>17</v>
      </c>
      <c r="K1871" s="4">
        <v>19332</v>
      </c>
      <c r="M1871" s="2" t="s">
        <v>140</v>
      </c>
      <c r="N1871" s="2" t="s">
        <v>141</v>
      </c>
    </row>
    <row r="1872" spans="1:14">
      <c r="A1872" s="2">
        <v>1871</v>
      </c>
      <c r="B1872" s="3" t="s">
        <v>6878</v>
      </c>
      <c r="C1872" s="2" t="s">
        <v>6879</v>
      </c>
      <c r="D1872" s="2">
        <v>50</v>
      </c>
      <c r="E1872" s="2">
        <v>52</v>
      </c>
      <c r="F1872" s="2" t="s">
        <v>6879</v>
      </c>
      <c r="H1872" s="2" t="s">
        <v>17</v>
      </c>
      <c r="K1872" s="4">
        <v>10631</v>
      </c>
      <c r="L1872" s="4">
        <v>40545</v>
      </c>
      <c r="M1872" s="2" t="s">
        <v>35</v>
      </c>
      <c r="N1872" s="2" t="s">
        <v>6880</v>
      </c>
    </row>
    <row r="1873" spans="1:14">
      <c r="A1873" s="2">
        <v>1872</v>
      </c>
      <c r="B1873" s="3" t="s">
        <v>6881</v>
      </c>
      <c r="C1873" s="2" t="s">
        <v>6882</v>
      </c>
      <c r="D1873" s="2">
        <v>52</v>
      </c>
      <c r="E1873" s="2">
        <v>52</v>
      </c>
      <c r="F1873" s="2" t="s">
        <v>6883</v>
      </c>
      <c r="H1873" s="2" t="s">
        <v>17</v>
      </c>
      <c r="K1873" s="4">
        <v>23463</v>
      </c>
      <c r="M1873" s="2" t="s">
        <v>35</v>
      </c>
      <c r="N1873" s="2" t="s">
        <v>6551</v>
      </c>
    </row>
    <row r="1874" spans="1:14">
      <c r="A1874" s="2">
        <v>1873</v>
      </c>
      <c r="B1874" s="3" t="s">
        <v>6884</v>
      </c>
      <c r="C1874" s="2" t="s">
        <v>6885</v>
      </c>
      <c r="D1874" s="2">
        <v>50</v>
      </c>
      <c r="E1874" s="2">
        <v>52</v>
      </c>
      <c r="F1874" s="2" t="s">
        <v>6885</v>
      </c>
      <c r="H1874" s="2" t="s">
        <v>17</v>
      </c>
      <c r="K1874" s="4">
        <v>12869</v>
      </c>
      <c r="M1874" s="2" t="s">
        <v>76</v>
      </c>
      <c r="N1874" s="2" t="s">
        <v>77</v>
      </c>
    </row>
    <row r="1875" spans="1:14">
      <c r="A1875" s="2">
        <v>1874</v>
      </c>
      <c r="B1875" s="3" t="s">
        <v>6886</v>
      </c>
      <c r="C1875" s="2" t="s">
        <v>6887</v>
      </c>
      <c r="D1875" s="2">
        <v>52</v>
      </c>
      <c r="E1875" s="2">
        <v>52</v>
      </c>
      <c r="F1875" s="2" t="s">
        <v>6888</v>
      </c>
      <c r="H1875" s="2" t="s">
        <v>17</v>
      </c>
      <c r="K1875" s="4">
        <v>13145</v>
      </c>
      <c r="M1875" s="2" t="s">
        <v>66</v>
      </c>
      <c r="N1875" s="2" t="s">
        <v>6889</v>
      </c>
    </row>
    <row r="1876" spans="1:14">
      <c r="A1876" s="2">
        <v>1875</v>
      </c>
      <c r="B1876" s="3" t="s">
        <v>6890</v>
      </c>
      <c r="C1876" s="2" t="s">
        <v>6891</v>
      </c>
      <c r="D1876" s="2">
        <v>52</v>
      </c>
      <c r="E1876" s="2">
        <v>52</v>
      </c>
      <c r="F1876" s="2" t="s">
        <v>6892</v>
      </c>
      <c r="H1876" s="2" t="s">
        <v>17</v>
      </c>
      <c r="K1876" s="4">
        <v>28503</v>
      </c>
      <c r="M1876" s="2" t="s">
        <v>47</v>
      </c>
      <c r="N1876" s="2" t="s">
        <v>48</v>
      </c>
    </row>
    <row r="1877" spans="1:14">
      <c r="A1877" s="2">
        <v>1876</v>
      </c>
      <c r="B1877" s="3" t="s">
        <v>6893</v>
      </c>
      <c r="C1877" s="2" t="s">
        <v>6894</v>
      </c>
      <c r="D1877" s="2">
        <v>52</v>
      </c>
      <c r="E1877" s="2">
        <v>52</v>
      </c>
      <c r="F1877" s="2" t="s">
        <v>6895</v>
      </c>
      <c r="H1877" s="2" t="s">
        <v>17</v>
      </c>
      <c r="K1877" s="4">
        <v>19859</v>
      </c>
      <c r="M1877" s="2" t="s">
        <v>170</v>
      </c>
      <c r="N1877" s="2" t="s">
        <v>323</v>
      </c>
    </row>
    <row r="1878" spans="1:14">
      <c r="A1878" s="2">
        <v>1877</v>
      </c>
      <c r="B1878" s="3" t="s">
        <v>6896</v>
      </c>
      <c r="C1878" s="2" t="s">
        <v>6897</v>
      </c>
      <c r="D1878" s="2">
        <v>50</v>
      </c>
      <c r="E1878" s="2">
        <v>52</v>
      </c>
      <c r="F1878" s="2" t="s">
        <v>6898</v>
      </c>
      <c r="H1878" s="2" t="s">
        <v>17</v>
      </c>
      <c r="K1878" s="4">
        <v>17186</v>
      </c>
      <c r="M1878" s="2" t="s">
        <v>192</v>
      </c>
      <c r="N1878" s="2" t="s">
        <v>193</v>
      </c>
    </row>
    <row r="1879" spans="1:14">
      <c r="A1879" s="2">
        <v>1878</v>
      </c>
      <c r="B1879" s="3" t="s">
        <v>6899</v>
      </c>
      <c r="C1879" s="2" t="s">
        <v>6900</v>
      </c>
      <c r="D1879" s="2">
        <v>51</v>
      </c>
      <c r="E1879" s="2">
        <v>52</v>
      </c>
      <c r="F1879" s="2" t="s">
        <v>6901</v>
      </c>
      <c r="H1879" s="2" t="s">
        <v>17</v>
      </c>
      <c r="K1879" s="4">
        <v>17987</v>
      </c>
      <c r="L1879" s="4">
        <v>44880</v>
      </c>
      <c r="M1879" s="2" t="s">
        <v>47</v>
      </c>
      <c r="N1879" s="2" t="s">
        <v>582</v>
      </c>
    </row>
    <row r="1880" spans="1:14">
      <c r="A1880" s="2">
        <v>1879</v>
      </c>
      <c r="B1880" s="3" t="s">
        <v>6902</v>
      </c>
      <c r="C1880" s="2" t="s">
        <v>6903</v>
      </c>
      <c r="D1880" s="2">
        <v>52</v>
      </c>
      <c r="E1880" s="2">
        <v>52</v>
      </c>
      <c r="F1880" s="2" t="s">
        <v>6904</v>
      </c>
      <c r="H1880" s="2" t="s">
        <v>45</v>
      </c>
      <c r="K1880" s="4">
        <v>24192</v>
      </c>
      <c r="L1880" s="4">
        <v>37829</v>
      </c>
      <c r="M1880" s="2" t="s">
        <v>140</v>
      </c>
      <c r="N1880" s="2" t="s">
        <v>294</v>
      </c>
    </row>
    <row r="1881" spans="1:14">
      <c r="A1881" s="2">
        <v>1880</v>
      </c>
      <c r="B1881" s="3" t="s">
        <v>6905</v>
      </c>
      <c r="C1881" s="2" t="s">
        <v>6906</v>
      </c>
      <c r="D1881" s="2">
        <v>52</v>
      </c>
      <c r="E1881" s="2">
        <v>52</v>
      </c>
      <c r="F1881" s="2" t="s">
        <v>6907</v>
      </c>
      <c r="H1881" s="2" t="s">
        <v>17</v>
      </c>
      <c r="K1881" s="4">
        <v>17495</v>
      </c>
      <c r="L1881" s="4">
        <v>44865</v>
      </c>
      <c r="M1881" s="2" t="s">
        <v>66</v>
      </c>
      <c r="N1881" s="2" t="s">
        <v>3534</v>
      </c>
    </row>
    <row r="1882" spans="1:14">
      <c r="A1882" s="2">
        <v>1881</v>
      </c>
      <c r="B1882" s="3" t="s">
        <v>6908</v>
      </c>
      <c r="C1882" s="2" t="s">
        <v>6909</v>
      </c>
      <c r="D1882" s="2">
        <v>48</v>
      </c>
      <c r="E1882" s="2">
        <v>52</v>
      </c>
      <c r="F1882" s="2" t="s">
        <v>6910</v>
      </c>
      <c r="H1882" s="2" t="s">
        <v>17</v>
      </c>
      <c r="K1882" s="4">
        <v>12791</v>
      </c>
      <c r="L1882" s="4">
        <v>45161</v>
      </c>
      <c r="M1882" s="2" t="s">
        <v>35</v>
      </c>
      <c r="N1882" s="2" t="s">
        <v>58</v>
      </c>
    </row>
    <row r="1883" spans="1:14">
      <c r="A1883" s="2">
        <v>1882</v>
      </c>
      <c r="B1883" s="3" t="s">
        <v>6911</v>
      </c>
      <c r="C1883" s="2" t="s">
        <v>6912</v>
      </c>
      <c r="D1883" s="2">
        <v>51</v>
      </c>
      <c r="E1883" s="2">
        <v>52</v>
      </c>
      <c r="F1883" s="2" t="s">
        <v>6913</v>
      </c>
      <c r="H1883" s="2" t="s">
        <v>17</v>
      </c>
      <c r="K1883" s="4">
        <v>17897</v>
      </c>
      <c r="M1883" s="2" t="s">
        <v>30</v>
      </c>
      <c r="N1883" s="2" t="s">
        <v>31</v>
      </c>
    </row>
    <row r="1884" spans="1:14">
      <c r="A1884" s="2">
        <v>1883</v>
      </c>
      <c r="B1884" s="3" t="s">
        <v>6914</v>
      </c>
      <c r="C1884" s="2" t="s">
        <v>6915</v>
      </c>
      <c r="D1884" s="2">
        <v>52</v>
      </c>
      <c r="E1884" s="2">
        <v>52</v>
      </c>
      <c r="F1884" s="2" t="s">
        <v>6916</v>
      </c>
      <c r="H1884" s="2" t="s">
        <v>17</v>
      </c>
      <c r="K1884" s="4">
        <v>15600</v>
      </c>
      <c r="M1884" s="2" t="s">
        <v>66</v>
      </c>
      <c r="N1884" s="2" t="s">
        <v>2174</v>
      </c>
    </row>
    <row r="1885" spans="1:14">
      <c r="A1885" s="2">
        <v>1884</v>
      </c>
      <c r="B1885" s="3" t="s">
        <v>6917</v>
      </c>
      <c r="C1885" s="2" t="s">
        <v>6918</v>
      </c>
      <c r="D1885" s="2">
        <v>52</v>
      </c>
      <c r="E1885" s="2">
        <v>52</v>
      </c>
      <c r="F1885" s="2" t="s">
        <v>6919</v>
      </c>
      <c r="H1885" s="2" t="s">
        <v>17</v>
      </c>
      <c r="K1885" s="4">
        <v>23170</v>
      </c>
      <c r="M1885" s="2" t="s">
        <v>170</v>
      </c>
      <c r="N1885" s="2" t="s">
        <v>323</v>
      </c>
    </row>
    <row r="1886" spans="1:14">
      <c r="A1886" s="2">
        <v>1885</v>
      </c>
      <c r="B1886" s="3" t="s">
        <v>6920</v>
      </c>
      <c r="C1886" s="2" t="s">
        <v>6921</v>
      </c>
      <c r="D1886" s="2">
        <v>51</v>
      </c>
      <c r="E1886" s="2">
        <v>52</v>
      </c>
      <c r="F1886" s="2" t="s">
        <v>6922</v>
      </c>
      <c r="H1886" s="2" t="s">
        <v>17</v>
      </c>
      <c r="K1886" s="4">
        <v>18131</v>
      </c>
      <c r="M1886" s="2" t="s">
        <v>40</v>
      </c>
      <c r="N1886" s="2" t="s">
        <v>41</v>
      </c>
    </row>
    <row r="1887" spans="1:14">
      <c r="A1887" s="2">
        <v>1886</v>
      </c>
      <c r="B1887" s="3" t="s">
        <v>6923</v>
      </c>
      <c r="C1887" s="2" t="s">
        <v>6924</v>
      </c>
      <c r="D1887" s="2">
        <v>50</v>
      </c>
      <c r="E1887" s="2">
        <v>52</v>
      </c>
      <c r="F1887" s="2" t="s">
        <v>6925</v>
      </c>
      <c r="H1887" s="2" t="s">
        <v>17</v>
      </c>
      <c r="K1887" s="4">
        <v>20980</v>
      </c>
      <c r="M1887" s="2" t="s">
        <v>24</v>
      </c>
      <c r="N1887" s="2" t="s">
        <v>6926</v>
      </c>
    </row>
    <row r="1888" spans="1:14">
      <c r="A1888" s="2">
        <v>1887</v>
      </c>
      <c r="B1888" s="3" t="s">
        <v>6927</v>
      </c>
      <c r="C1888" s="2" t="s">
        <v>6928</v>
      </c>
      <c r="D1888" s="2">
        <v>51</v>
      </c>
      <c r="E1888" s="2">
        <v>52</v>
      </c>
      <c r="F1888" s="2" t="s">
        <v>6928</v>
      </c>
      <c r="H1888" s="2" t="s">
        <v>17</v>
      </c>
      <c r="K1888" s="4">
        <v>22140</v>
      </c>
      <c r="M1888" s="2" t="s">
        <v>47</v>
      </c>
      <c r="N1888" s="2" t="s">
        <v>48</v>
      </c>
    </row>
    <row r="1889" spans="1:14">
      <c r="A1889" s="2">
        <v>1888</v>
      </c>
      <c r="B1889" s="3" t="s">
        <v>6929</v>
      </c>
      <c r="C1889" s="2" t="s">
        <v>6930</v>
      </c>
      <c r="D1889" s="2">
        <v>49</v>
      </c>
      <c r="E1889" s="2">
        <v>52</v>
      </c>
      <c r="F1889" s="2" t="s">
        <v>6931</v>
      </c>
      <c r="H1889" s="2" t="s">
        <v>17</v>
      </c>
      <c r="K1889" s="4">
        <v>15684</v>
      </c>
      <c r="M1889" s="2" t="s">
        <v>85</v>
      </c>
      <c r="N1889" s="2" t="s">
        <v>86</v>
      </c>
    </row>
    <row r="1890" spans="1:14">
      <c r="A1890" s="2">
        <v>1889</v>
      </c>
      <c r="B1890" s="3" t="s">
        <v>6932</v>
      </c>
      <c r="C1890" s="2" t="s">
        <v>6933</v>
      </c>
      <c r="D1890" s="2">
        <v>52</v>
      </c>
      <c r="E1890" s="2">
        <v>52</v>
      </c>
      <c r="F1890" s="2" t="s">
        <v>6934</v>
      </c>
      <c r="H1890" s="2" t="s">
        <v>17</v>
      </c>
      <c r="K1890" s="4">
        <v>21620</v>
      </c>
      <c r="M1890" s="2" t="s">
        <v>571</v>
      </c>
      <c r="N1890" s="2" t="s">
        <v>5307</v>
      </c>
    </row>
    <row r="1891" spans="1:14">
      <c r="A1891" s="2">
        <v>1890</v>
      </c>
      <c r="B1891" s="3" t="s">
        <v>6935</v>
      </c>
      <c r="C1891" s="2" t="s">
        <v>6936</v>
      </c>
      <c r="D1891" s="2">
        <v>51</v>
      </c>
      <c r="E1891" s="2">
        <v>52</v>
      </c>
      <c r="F1891" s="2" t="s">
        <v>6937</v>
      </c>
      <c r="H1891" s="2" t="s">
        <v>17</v>
      </c>
      <c r="K1891" s="4">
        <v>17073</v>
      </c>
      <c r="L1891" s="4">
        <v>39072</v>
      </c>
      <c r="M1891" s="2" t="s">
        <v>198</v>
      </c>
    </row>
    <row r="1892" spans="1:14">
      <c r="A1892" s="2">
        <v>1891</v>
      </c>
      <c r="B1892" s="3" t="s">
        <v>6938</v>
      </c>
      <c r="C1892" s="2" t="s">
        <v>6939</v>
      </c>
      <c r="D1892" s="2">
        <v>52</v>
      </c>
      <c r="E1892" s="2">
        <v>52</v>
      </c>
      <c r="F1892" s="2" t="s">
        <v>6940</v>
      </c>
      <c r="H1892" s="2" t="s">
        <v>17</v>
      </c>
      <c r="K1892" s="4">
        <v>20121</v>
      </c>
      <c r="M1892" s="2" t="s">
        <v>24</v>
      </c>
      <c r="N1892" s="2" t="s">
        <v>25</v>
      </c>
    </row>
    <row r="1893" spans="1:14">
      <c r="A1893" s="2">
        <v>1892</v>
      </c>
      <c r="B1893" s="3" t="s">
        <v>6941</v>
      </c>
      <c r="C1893" s="2" t="s">
        <v>6942</v>
      </c>
      <c r="D1893" s="2">
        <v>50</v>
      </c>
      <c r="E1893" s="2">
        <v>52</v>
      </c>
      <c r="F1893" s="2" t="s">
        <v>6942</v>
      </c>
      <c r="H1893" s="2" t="s">
        <v>17</v>
      </c>
      <c r="K1893" s="4">
        <v>22031</v>
      </c>
      <c r="M1893" s="2" t="s">
        <v>35</v>
      </c>
      <c r="N1893" s="2" t="s">
        <v>58</v>
      </c>
    </row>
    <row r="1894" spans="1:14">
      <c r="A1894" s="2">
        <v>1893</v>
      </c>
      <c r="B1894" s="3" t="s">
        <v>6943</v>
      </c>
      <c r="C1894" s="2" t="s">
        <v>6944</v>
      </c>
      <c r="D1894" s="2">
        <v>52</v>
      </c>
      <c r="E1894" s="2">
        <v>52</v>
      </c>
      <c r="F1894" s="2" t="s">
        <v>6945</v>
      </c>
      <c r="H1894" s="2" t="s">
        <v>17</v>
      </c>
      <c r="K1894" s="4">
        <v>18965</v>
      </c>
      <c r="M1894" s="2" t="s">
        <v>170</v>
      </c>
      <c r="N1894" s="2" t="s">
        <v>323</v>
      </c>
    </row>
    <row r="1895" spans="1:14">
      <c r="A1895" s="2">
        <v>1894</v>
      </c>
      <c r="B1895" s="3" t="s">
        <v>6946</v>
      </c>
      <c r="C1895" s="2" t="s">
        <v>6947</v>
      </c>
      <c r="D1895" s="2">
        <v>47</v>
      </c>
      <c r="E1895" s="2">
        <v>52</v>
      </c>
      <c r="F1895" s="2" t="s">
        <v>6948</v>
      </c>
      <c r="H1895" s="2" t="s">
        <v>17</v>
      </c>
      <c r="K1895" s="4">
        <v>16129</v>
      </c>
      <c r="L1895" s="4">
        <v>41895</v>
      </c>
      <c r="M1895" s="2" t="s">
        <v>336</v>
      </c>
      <c r="N1895" s="2" t="s">
        <v>1883</v>
      </c>
    </row>
    <row r="1896" spans="1:14">
      <c r="A1896" s="2">
        <v>1895</v>
      </c>
      <c r="B1896" s="3" t="s">
        <v>6949</v>
      </c>
      <c r="C1896" s="2" t="s">
        <v>6950</v>
      </c>
      <c r="D1896" s="2">
        <v>45</v>
      </c>
      <c r="E1896" s="2">
        <v>52</v>
      </c>
      <c r="F1896" s="2" t="s">
        <v>6950</v>
      </c>
      <c r="H1896" s="2" t="s">
        <v>17</v>
      </c>
      <c r="K1896" s="4">
        <v>9558</v>
      </c>
      <c r="M1896" s="2" t="s">
        <v>35</v>
      </c>
      <c r="N1896" s="2" t="s">
        <v>1776</v>
      </c>
    </row>
    <row r="1897" spans="1:14">
      <c r="A1897" s="2">
        <v>1896</v>
      </c>
      <c r="B1897" s="3" t="s">
        <v>6951</v>
      </c>
      <c r="C1897" s="2" t="s">
        <v>6952</v>
      </c>
      <c r="D1897" s="2">
        <v>52</v>
      </c>
      <c r="E1897" s="2">
        <v>52</v>
      </c>
      <c r="F1897" s="2" t="s">
        <v>6953</v>
      </c>
      <c r="H1897" s="2" t="s">
        <v>17</v>
      </c>
      <c r="K1897" s="4">
        <v>15787</v>
      </c>
      <c r="M1897" s="2" t="s">
        <v>35</v>
      </c>
      <c r="N1897" s="2" t="s">
        <v>6954</v>
      </c>
    </row>
    <row r="1898" spans="1:14">
      <c r="A1898" s="2">
        <v>1897</v>
      </c>
      <c r="B1898" s="3" t="s">
        <v>6955</v>
      </c>
      <c r="C1898" s="2" t="s">
        <v>6956</v>
      </c>
      <c r="D1898" s="2">
        <v>50</v>
      </c>
      <c r="E1898" s="2">
        <v>52</v>
      </c>
      <c r="F1898" s="2" t="s">
        <v>6957</v>
      </c>
      <c r="H1898" s="2" t="s">
        <v>17</v>
      </c>
      <c r="K1898" s="4">
        <v>20945</v>
      </c>
      <c r="M1898" s="2" t="s">
        <v>85</v>
      </c>
      <c r="N1898" s="2" t="s">
        <v>86</v>
      </c>
    </row>
    <row r="1899" spans="1:14">
      <c r="A1899" s="2">
        <v>1898</v>
      </c>
      <c r="B1899" s="3" t="s">
        <v>6958</v>
      </c>
      <c r="C1899" s="2" t="s">
        <v>6959</v>
      </c>
      <c r="D1899" s="2">
        <v>51</v>
      </c>
      <c r="E1899" s="2">
        <v>52</v>
      </c>
      <c r="F1899" s="2" t="s">
        <v>6960</v>
      </c>
      <c r="H1899" s="2" t="s">
        <v>17</v>
      </c>
      <c r="K1899" s="4">
        <v>18936</v>
      </c>
      <c r="M1899" s="2" t="s">
        <v>76</v>
      </c>
      <c r="N1899" s="2" t="s">
        <v>764</v>
      </c>
    </row>
    <row r="1900" spans="1:14">
      <c r="A1900" s="2">
        <v>1899</v>
      </c>
      <c r="B1900" s="3" t="s">
        <v>6961</v>
      </c>
      <c r="C1900" s="2" t="s">
        <v>6962</v>
      </c>
      <c r="D1900" s="2">
        <v>52</v>
      </c>
      <c r="E1900" s="2">
        <v>52</v>
      </c>
      <c r="F1900" s="2" t="s">
        <v>6962</v>
      </c>
      <c r="H1900" s="2" t="s">
        <v>17</v>
      </c>
      <c r="K1900" s="4">
        <v>20017</v>
      </c>
      <c r="M1900" s="2" t="s">
        <v>66</v>
      </c>
      <c r="N1900" s="2" t="s">
        <v>6963</v>
      </c>
    </row>
    <row r="1901" spans="1:14">
      <c r="A1901" s="2">
        <v>1900</v>
      </c>
      <c r="B1901" s="3" t="s">
        <v>6964</v>
      </c>
      <c r="C1901" s="2" t="s">
        <v>6965</v>
      </c>
      <c r="D1901" s="2">
        <v>50</v>
      </c>
      <c r="E1901" s="2">
        <v>52</v>
      </c>
      <c r="F1901" s="2" t="s">
        <v>6966</v>
      </c>
      <c r="H1901" s="2" t="s">
        <v>17</v>
      </c>
      <c r="K1901" s="4">
        <v>15160</v>
      </c>
      <c r="L1901" s="4">
        <v>45125</v>
      </c>
      <c r="M1901" s="2" t="s">
        <v>192</v>
      </c>
      <c r="N1901" s="2" t="s">
        <v>193</v>
      </c>
    </row>
    <row r="1902" spans="1:14">
      <c r="A1902" s="2">
        <v>1901</v>
      </c>
      <c r="B1902" s="3" t="s">
        <v>6967</v>
      </c>
      <c r="C1902" s="2" t="s">
        <v>6968</v>
      </c>
      <c r="D1902" s="2">
        <v>51</v>
      </c>
      <c r="E1902" s="2">
        <v>52</v>
      </c>
      <c r="F1902" s="2" t="s">
        <v>6969</v>
      </c>
      <c r="H1902" s="2" t="s">
        <v>17</v>
      </c>
      <c r="K1902" s="4">
        <v>19104</v>
      </c>
      <c r="L1902" s="4">
        <v>43617</v>
      </c>
      <c r="M1902" s="2" t="s">
        <v>91</v>
      </c>
      <c r="N1902" s="2" t="s">
        <v>6970</v>
      </c>
    </row>
    <row r="1903" spans="1:14">
      <c r="A1903" s="2">
        <v>1902</v>
      </c>
      <c r="B1903" s="3" t="s">
        <v>6971</v>
      </c>
      <c r="C1903" s="2" t="s">
        <v>6972</v>
      </c>
      <c r="D1903" s="2">
        <v>52</v>
      </c>
      <c r="E1903" s="2">
        <v>52</v>
      </c>
      <c r="F1903" s="2" t="s">
        <v>6973</v>
      </c>
      <c r="H1903" s="2" t="s">
        <v>17</v>
      </c>
      <c r="K1903" s="4">
        <v>14414</v>
      </c>
      <c r="M1903" s="2" t="s">
        <v>423</v>
      </c>
      <c r="N1903" s="2" t="s">
        <v>456</v>
      </c>
    </row>
    <row r="1904" spans="1:14">
      <c r="A1904" s="2">
        <v>1903</v>
      </c>
      <c r="B1904" s="3" t="s">
        <v>6974</v>
      </c>
      <c r="C1904" s="2" t="s">
        <v>6975</v>
      </c>
      <c r="D1904" s="2">
        <v>52</v>
      </c>
      <c r="E1904" s="2">
        <v>52</v>
      </c>
      <c r="F1904" s="2" t="s">
        <v>6976</v>
      </c>
      <c r="H1904" s="2" t="s">
        <v>17</v>
      </c>
      <c r="K1904" s="4">
        <v>19541</v>
      </c>
      <c r="M1904" s="2" t="s">
        <v>35</v>
      </c>
      <c r="N1904" s="2" t="s">
        <v>6977</v>
      </c>
    </row>
    <row r="1905" spans="1:14">
      <c r="A1905" s="2">
        <v>1904</v>
      </c>
      <c r="B1905" s="3" t="s">
        <v>6978</v>
      </c>
      <c r="C1905" s="2" t="s">
        <v>6979</v>
      </c>
      <c r="D1905" s="2">
        <v>52</v>
      </c>
      <c r="E1905" s="2">
        <v>52</v>
      </c>
      <c r="F1905" s="2" t="s">
        <v>6979</v>
      </c>
      <c r="H1905" s="2" t="s">
        <v>17</v>
      </c>
      <c r="K1905" s="4">
        <v>18998</v>
      </c>
      <c r="M1905" s="2" t="s">
        <v>35</v>
      </c>
      <c r="N1905" s="2" t="s">
        <v>6980</v>
      </c>
    </row>
    <row r="1906" spans="1:14">
      <c r="A1906" s="2">
        <v>1905</v>
      </c>
      <c r="B1906" s="3" t="s">
        <v>6981</v>
      </c>
      <c r="C1906" s="2" t="s">
        <v>6982</v>
      </c>
      <c r="D1906" s="2">
        <v>52</v>
      </c>
      <c r="E1906" s="2">
        <v>52</v>
      </c>
      <c r="F1906" s="2" t="s">
        <v>6982</v>
      </c>
      <c r="H1906" s="2" t="s">
        <v>17</v>
      </c>
      <c r="K1906" s="4">
        <v>15757</v>
      </c>
      <c r="M1906" s="2" t="s">
        <v>47</v>
      </c>
      <c r="N1906" s="2" t="s">
        <v>6983</v>
      </c>
    </row>
    <row r="1907" spans="1:14">
      <c r="A1907" s="2">
        <v>1906</v>
      </c>
      <c r="B1907" s="3" t="s">
        <v>6984</v>
      </c>
      <c r="C1907" s="2" t="s">
        <v>6985</v>
      </c>
      <c r="D1907" s="2">
        <v>52</v>
      </c>
      <c r="E1907" s="2">
        <v>52</v>
      </c>
      <c r="F1907" s="2" t="s">
        <v>6986</v>
      </c>
      <c r="H1907" s="2" t="s">
        <v>17</v>
      </c>
      <c r="K1907" s="4">
        <v>21509</v>
      </c>
      <c r="M1907" s="2" t="s">
        <v>85</v>
      </c>
      <c r="N1907" s="2" t="s">
        <v>86</v>
      </c>
    </row>
    <row r="1908" spans="1:14">
      <c r="A1908" s="2">
        <v>1907</v>
      </c>
      <c r="B1908" s="3" t="s">
        <v>6987</v>
      </c>
      <c r="C1908" s="2" t="s">
        <v>6209</v>
      </c>
      <c r="D1908" s="2">
        <v>52</v>
      </c>
      <c r="E1908" s="2">
        <v>52</v>
      </c>
      <c r="F1908" s="2" t="s">
        <v>6988</v>
      </c>
      <c r="H1908" s="2" t="s">
        <v>17</v>
      </c>
      <c r="K1908" s="4">
        <v>16126</v>
      </c>
      <c r="M1908" s="2" t="s">
        <v>170</v>
      </c>
      <c r="N1908" s="2" t="s">
        <v>323</v>
      </c>
    </row>
    <row r="1909" spans="1:14">
      <c r="A1909" s="2">
        <v>1908</v>
      </c>
      <c r="B1909" s="3" t="s">
        <v>6989</v>
      </c>
      <c r="C1909" s="2" t="s">
        <v>6990</v>
      </c>
      <c r="D1909" s="2">
        <v>48</v>
      </c>
      <c r="E1909" s="2">
        <v>52</v>
      </c>
      <c r="F1909" s="2" t="s">
        <v>6991</v>
      </c>
      <c r="H1909" s="2" t="s">
        <v>17</v>
      </c>
      <c r="K1909" s="4">
        <v>15313</v>
      </c>
      <c r="L1909" s="4">
        <v>39973</v>
      </c>
      <c r="M1909" s="2" t="s">
        <v>40</v>
      </c>
      <c r="N1909" s="2" t="s">
        <v>5394</v>
      </c>
    </row>
    <row r="1910" spans="1:14">
      <c r="A1910" s="2">
        <v>1909</v>
      </c>
      <c r="B1910" s="3" t="s">
        <v>6992</v>
      </c>
      <c r="C1910" s="2" t="s">
        <v>6993</v>
      </c>
      <c r="D1910" s="2">
        <v>52</v>
      </c>
      <c r="E1910" s="2">
        <v>52</v>
      </c>
      <c r="F1910" s="2" t="s">
        <v>6994</v>
      </c>
      <c r="H1910" s="2" t="s">
        <v>17</v>
      </c>
      <c r="K1910" s="4">
        <v>19501</v>
      </c>
      <c r="M1910" s="2" t="s">
        <v>247</v>
      </c>
      <c r="N1910" s="2" t="s">
        <v>562</v>
      </c>
    </row>
    <row r="1911" spans="1:14">
      <c r="A1911" s="2">
        <v>1910</v>
      </c>
      <c r="B1911" s="3" t="s">
        <v>6995</v>
      </c>
      <c r="C1911" s="2" t="s">
        <v>6996</v>
      </c>
      <c r="D1911" s="2">
        <v>52</v>
      </c>
      <c r="E1911" s="2">
        <v>52</v>
      </c>
      <c r="F1911" s="2" t="s">
        <v>6997</v>
      </c>
      <c r="H1911" s="2" t="s">
        <v>17</v>
      </c>
      <c r="K1911" s="4">
        <v>21337</v>
      </c>
      <c r="M1911" s="2" t="s">
        <v>91</v>
      </c>
      <c r="N1911" s="2" t="s">
        <v>677</v>
      </c>
    </row>
    <row r="1912" spans="1:14">
      <c r="A1912" s="2">
        <v>1911</v>
      </c>
      <c r="B1912" s="3" t="s">
        <v>6998</v>
      </c>
      <c r="C1912" s="2" t="s">
        <v>6999</v>
      </c>
      <c r="D1912" s="2">
        <v>51</v>
      </c>
      <c r="E1912" s="2">
        <v>52</v>
      </c>
      <c r="F1912" s="2" t="s">
        <v>6210</v>
      </c>
      <c r="H1912" s="2" t="s">
        <v>17</v>
      </c>
      <c r="K1912" s="4">
        <v>21910</v>
      </c>
      <c r="M1912" s="2" t="s">
        <v>47</v>
      </c>
      <c r="N1912" s="2" t="s">
        <v>7000</v>
      </c>
    </row>
    <row r="1913" spans="1:14">
      <c r="A1913" s="2">
        <v>1912</v>
      </c>
      <c r="B1913" s="3" t="s">
        <v>7001</v>
      </c>
      <c r="C1913" s="2" t="s">
        <v>7002</v>
      </c>
      <c r="D1913" s="2">
        <v>51</v>
      </c>
      <c r="E1913" s="2">
        <v>52</v>
      </c>
      <c r="F1913" s="2" t="s">
        <v>7003</v>
      </c>
      <c r="H1913" s="2" t="s">
        <v>17</v>
      </c>
      <c r="K1913" s="4">
        <v>22133</v>
      </c>
      <c r="M1913" s="2" t="s">
        <v>35</v>
      </c>
      <c r="N1913" s="2" t="s">
        <v>7004</v>
      </c>
    </row>
    <row r="1914" spans="1:14">
      <c r="A1914" s="2">
        <v>1913</v>
      </c>
      <c r="B1914" s="3" t="s">
        <v>7005</v>
      </c>
      <c r="C1914" s="2" t="s">
        <v>7006</v>
      </c>
      <c r="D1914" s="2">
        <v>52</v>
      </c>
      <c r="E1914" s="2">
        <v>52</v>
      </c>
      <c r="F1914" s="2" t="s">
        <v>7006</v>
      </c>
      <c r="H1914" s="2" t="s">
        <v>17</v>
      </c>
      <c r="K1914" s="4">
        <v>19386</v>
      </c>
      <c r="M1914" s="2" t="s">
        <v>40</v>
      </c>
      <c r="N1914" s="2" t="s">
        <v>7007</v>
      </c>
    </row>
    <row r="1915" spans="1:14">
      <c r="A1915" s="2">
        <v>1914</v>
      </c>
      <c r="B1915" s="3" t="s">
        <v>7008</v>
      </c>
      <c r="C1915" s="2" t="s">
        <v>7009</v>
      </c>
      <c r="D1915" s="2">
        <v>52</v>
      </c>
      <c r="E1915" s="2">
        <v>52</v>
      </c>
      <c r="F1915" s="2" t="s">
        <v>7009</v>
      </c>
      <c r="H1915" s="2" t="s">
        <v>17</v>
      </c>
      <c r="K1915" s="4">
        <v>18480</v>
      </c>
      <c r="M1915" s="2" t="s">
        <v>35</v>
      </c>
      <c r="N1915" s="2" t="s">
        <v>7010</v>
      </c>
    </row>
    <row r="1916" spans="1:14">
      <c r="A1916" s="2">
        <v>1915</v>
      </c>
      <c r="B1916" s="3" t="s">
        <v>7011</v>
      </c>
      <c r="C1916" s="2" t="s">
        <v>7012</v>
      </c>
      <c r="D1916" s="2">
        <v>49</v>
      </c>
      <c r="E1916" s="2">
        <v>52</v>
      </c>
      <c r="F1916" s="2" t="s">
        <v>7013</v>
      </c>
      <c r="H1916" s="2" t="s">
        <v>17</v>
      </c>
      <c r="K1916" s="4">
        <v>14904</v>
      </c>
      <c r="L1916" s="4">
        <v>42837</v>
      </c>
      <c r="M1916" s="2" t="s">
        <v>76</v>
      </c>
      <c r="N1916" s="2" t="s">
        <v>7014</v>
      </c>
    </row>
    <row r="1917" spans="1:14">
      <c r="A1917" s="2">
        <v>1916</v>
      </c>
      <c r="B1917" s="3" t="s">
        <v>7015</v>
      </c>
      <c r="C1917" s="2" t="s">
        <v>7016</v>
      </c>
      <c r="D1917" s="2">
        <v>48</v>
      </c>
      <c r="E1917" s="2">
        <v>52</v>
      </c>
      <c r="F1917" s="2" t="s">
        <v>7017</v>
      </c>
      <c r="H1917" s="2" t="s">
        <v>17</v>
      </c>
      <c r="K1917" s="4">
        <v>17637</v>
      </c>
      <c r="L1917" s="4">
        <v>44411</v>
      </c>
      <c r="M1917" s="2" t="s">
        <v>198</v>
      </c>
      <c r="N1917" s="2" t="s">
        <v>199</v>
      </c>
    </row>
    <row r="1918" spans="1:14">
      <c r="A1918" s="2">
        <v>1917</v>
      </c>
      <c r="B1918" s="3" t="s">
        <v>7018</v>
      </c>
      <c r="C1918" s="2" t="s">
        <v>7019</v>
      </c>
      <c r="D1918" s="2">
        <v>51</v>
      </c>
      <c r="E1918" s="2">
        <v>52</v>
      </c>
      <c r="F1918" s="2" t="s">
        <v>7020</v>
      </c>
      <c r="H1918" s="2" t="s">
        <v>17</v>
      </c>
      <c r="K1918" s="4">
        <v>15797</v>
      </c>
      <c r="M1918" s="2" t="s">
        <v>198</v>
      </c>
      <c r="N1918" s="2" t="s">
        <v>3682</v>
      </c>
    </row>
    <row r="1919" spans="1:14">
      <c r="A1919" s="2">
        <v>1918</v>
      </c>
      <c r="B1919" s="3" t="s">
        <v>7021</v>
      </c>
      <c r="C1919" s="2" t="s">
        <v>7022</v>
      </c>
      <c r="D1919" s="2">
        <v>51</v>
      </c>
      <c r="E1919" s="2">
        <v>52</v>
      </c>
      <c r="F1919" s="2" t="s">
        <v>7023</v>
      </c>
      <c r="H1919" s="2" t="s">
        <v>17</v>
      </c>
      <c r="K1919" s="4">
        <v>24503</v>
      </c>
      <c r="M1919" s="2" t="s">
        <v>40</v>
      </c>
      <c r="N1919" s="2" t="s">
        <v>7024</v>
      </c>
    </row>
    <row r="1920" spans="1:14">
      <c r="A1920" s="2">
        <v>1919</v>
      </c>
      <c r="B1920" s="3" t="s">
        <v>7025</v>
      </c>
      <c r="C1920" s="2" t="s">
        <v>7026</v>
      </c>
      <c r="D1920" s="2">
        <v>52</v>
      </c>
      <c r="E1920" s="2">
        <v>52</v>
      </c>
      <c r="F1920" s="2" t="s">
        <v>7027</v>
      </c>
      <c r="H1920" s="2" t="s">
        <v>17</v>
      </c>
      <c r="K1920" s="4">
        <v>16864</v>
      </c>
      <c r="M1920" s="2" t="s">
        <v>198</v>
      </c>
      <c r="N1920" s="2" t="s">
        <v>3464</v>
      </c>
    </row>
    <row r="1921" spans="1:14">
      <c r="A1921" s="2">
        <v>1920</v>
      </c>
      <c r="B1921" s="3" t="s">
        <v>7028</v>
      </c>
      <c r="C1921" s="2" t="s">
        <v>7029</v>
      </c>
      <c r="D1921" s="2">
        <v>52</v>
      </c>
      <c r="E1921" s="2">
        <v>52</v>
      </c>
      <c r="F1921" s="2" t="s">
        <v>7030</v>
      </c>
      <c r="H1921" s="2" t="s">
        <v>17</v>
      </c>
      <c r="K1921" s="4">
        <v>22482</v>
      </c>
      <c r="M1921" s="2" t="s">
        <v>146</v>
      </c>
      <c r="N1921" s="2" t="s">
        <v>147</v>
      </c>
    </row>
    <row r="1922" spans="1:14">
      <c r="A1922" s="2">
        <v>1921</v>
      </c>
      <c r="B1922" s="3" t="s">
        <v>7031</v>
      </c>
      <c r="C1922" s="2" t="s">
        <v>7032</v>
      </c>
      <c r="D1922" s="2">
        <v>50</v>
      </c>
      <c r="E1922" s="2">
        <v>52</v>
      </c>
      <c r="F1922" s="2" t="s">
        <v>7033</v>
      </c>
      <c r="H1922" s="2" t="s">
        <v>17</v>
      </c>
      <c r="K1922" s="4">
        <v>18093</v>
      </c>
      <c r="M1922" s="2" t="s">
        <v>154</v>
      </c>
      <c r="N1922" s="2" t="s">
        <v>4866</v>
      </c>
    </row>
    <row r="1923" spans="1:14">
      <c r="A1923" s="2">
        <v>1922</v>
      </c>
      <c r="B1923" s="3" t="s">
        <v>7034</v>
      </c>
      <c r="C1923" s="2" t="s">
        <v>7035</v>
      </c>
      <c r="D1923" s="2">
        <v>51</v>
      </c>
      <c r="E1923" s="2">
        <v>52</v>
      </c>
      <c r="F1923" s="2" t="s">
        <v>7035</v>
      </c>
      <c r="H1923" s="2" t="s">
        <v>17</v>
      </c>
      <c r="K1923" s="4">
        <v>19876</v>
      </c>
      <c r="M1923" s="2" t="s">
        <v>192</v>
      </c>
      <c r="N1923" s="2" t="s">
        <v>7036</v>
      </c>
    </row>
    <row r="1924" spans="1:14">
      <c r="A1924" s="2">
        <v>1923</v>
      </c>
      <c r="B1924" s="3" t="s">
        <v>7037</v>
      </c>
      <c r="C1924" s="2" t="s">
        <v>7038</v>
      </c>
      <c r="D1924" s="2">
        <v>47</v>
      </c>
      <c r="E1924" s="2">
        <v>52</v>
      </c>
      <c r="F1924" s="2" t="s">
        <v>7039</v>
      </c>
      <c r="H1924" s="2" t="s">
        <v>17</v>
      </c>
      <c r="K1924" s="4">
        <v>17676</v>
      </c>
      <c r="L1924" s="4">
        <v>37898</v>
      </c>
      <c r="M1924" s="2" t="s">
        <v>47</v>
      </c>
      <c r="N1924" s="2" t="s">
        <v>48</v>
      </c>
    </row>
    <row r="1925" spans="1:14">
      <c r="A1925" s="2">
        <v>1924</v>
      </c>
      <c r="B1925" s="3" t="s">
        <v>7040</v>
      </c>
      <c r="C1925" s="2" t="s">
        <v>7041</v>
      </c>
      <c r="D1925" s="2">
        <v>49</v>
      </c>
      <c r="E1925" s="2">
        <v>52</v>
      </c>
      <c r="F1925" s="2" t="s">
        <v>7042</v>
      </c>
      <c r="H1925" s="2" t="s">
        <v>17</v>
      </c>
      <c r="K1925" s="4">
        <v>16877</v>
      </c>
      <c r="M1925" s="2" t="s">
        <v>35</v>
      </c>
      <c r="N1925" s="2" t="s">
        <v>7043</v>
      </c>
    </row>
    <row r="1926" spans="1:14">
      <c r="A1926" s="2">
        <v>1925</v>
      </c>
      <c r="B1926" s="3" t="s">
        <v>7044</v>
      </c>
      <c r="C1926" s="2" t="s">
        <v>7045</v>
      </c>
      <c r="D1926" s="2">
        <v>52</v>
      </c>
      <c r="E1926" s="2">
        <v>52</v>
      </c>
      <c r="F1926" s="2" t="s">
        <v>7046</v>
      </c>
      <c r="H1926" s="2" t="s">
        <v>17</v>
      </c>
      <c r="K1926" s="4">
        <v>23530</v>
      </c>
      <c r="M1926" s="2" t="s">
        <v>341</v>
      </c>
      <c r="N1926" s="2" t="s">
        <v>7047</v>
      </c>
    </row>
    <row r="1927" spans="1:14">
      <c r="A1927" s="2">
        <v>1926</v>
      </c>
      <c r="B1927" s="3" t="s">
        <v>7048</v>
      </c>
      <c r="C1927" s="2" t="s">
        <v>7049</v>
      </c>
      <c r="D1927" s="2">
        <v>49</v>
      </c>
      <c r="E1927" s="2">
        <v>52</v>
      </c>
      <c r="F1927" s="2" t="s">
        <v>7050</v>
      </c>
      <c r="H1927" s="2" t="s">
        <v>17</v>
      </c>
      <c r="K1927" s="4">
        <v>20386</v>
      </c>
      <c r="M1927" s="2" t="s">
        <v>66</v>
      </c>
      <c r="N1927" s="2" t="s">
        <v>7051</v>
      </c>
    </row>
    <row r="1928" spans="1:14">
      <c r="A1928" s="2">
        <v>1927</v>
      </c>
      <c r="B1928" s="3" t="s">
        <v>7052</v>
      </c>
      <c r="C1928" s="2" t="s">
        <v>7053</v>
      </c>
      <c r="D1928" s="2">
        <v>52</v>
      </c>
      <c r="E1928" s="2">
        <v>52</v>
      </c>
      <c r="F1928" s="2" t="s">
        <v>7053</v>
      </c>
      <c r="H1928" s="2" t="s">
        <v>17</v>
      </c>
      <c r="K1928" s="4">
        <v>17588</v>
      </c>
      <c r="M1928" s="2" t="s">
        <v>66</v>
      </c>
      <c r="N1928" s="2" t="s">
        <v>7054</v>
      </c>
    </row>
    <row r="1929" spans="1:14">
      <c r="A1929" s="2">
        <v>1928</v>
      </c>
      <c r="B1929" s="3" t="s">
        <v>7055</v>
      </c>
      <c r="C1929" s="2" t="s">
        <v>7056</v>
      </c>
      <c r="D1929" s="2">
        <v>50</v>
      </c>
      <c r="E1929" s="2">
        <v>52</v>
      </c>
      <c r="F1929" s="2" t="s">
        <v>7057</v>
      </c>
      <c r="H1929" s="2" t="s">
        <v>17</v>
      </c>
      <c r="K1929" s="4">
        <v>20344</v>
      </c>
      <c r="L1929" s="4">
        <v>40435</v>
      </c>
      <c r="M1929" s="2" t="s">
        <v>154</v>
      </c>
      <c r="N1929" s="2" t="s">
        <v>7058</v>
      </c>
    </row>
    <row r="1930" spans="1:14">
      <c r="A1930" s="2">
        <v>1929</v>
      </c>
      <c r="B1930" s="3" t="s">
        <v>7059</v>
      </c>
      <c r="C1930" s="2" t="s">
        <v>7060</v>
      </c>
      <c r="D1930" s="2">
        <v>51</v>
      </c>
      <c r="E1930" s="2">
        <v>52</v>
      </c>
      <c r="F1930" s="2" t="s">
        <v>7061</v>
      </c>
      <c r="H1930" s="2" t="s">
        <v>17</v>
      </c>
      <c r="K1930" s="4">
        <v>15474</v>
      </c>
      <c r="M1930" s="2" t="s">
        <v>35</v>
      </c>
      <c r="N1930" s="2" t="s">
        <v>7062</v>
      </c>
    </row>
    <row r="1931" spans="1:14">
      <c r="A1931" s="2">
        <v>1930</v>
      </c>
      <c r="B1931" s="3" t="s">
        <v>7063</v>
      </c>
      <c r="C1931" s="2" t="s">
        <v>7064</v>
      </c>
      <c r="D1931" s="2">
        <v>52</v>
      </c>
      <c r="E1931" s="2">
        <v>52</v>
      </c>
      <c r="F1931" s="2" t="s">
        <v>7065</v>
      </c>
      <c r="H1931" s="2" t="s">
        <v>17</v>
      </c>
      <c r="K1931" s="4">
        <v>17100</v>
      </c>
      <c r="M1931" s="2" t="s">
        <v>170</v>
      </c>
      <c r="N1931" s="2" t="s">
        <v>323</v>
      </c>
    </row>
    <row r="1932" spans="1:14">
      <c r="A1932" s="2">
        <v>1931</v>
      </c>
      <c r="B1932" s="3" t="s">
        <v>7066</v>
      </c>
      <c r="C1932" s="2" t="s">
        <v>7067</v>
      </c>
      <c r="D1932" s="2">
        <v>52</v>
      </c>
      <c r="E1932" s="2">
        <v>52</v>
      </c>
      <c r="F1932" s="2" t="s">
        <v>7067</v>
      </c>
      <c r="H1932" s="2" t="s">
        <v>17</v>
      </c>
      <c r="K1932" s="4">
        <v>19729</v>
      </c>
      <c r="M1932" s="2" t="s">
        <v>35</v>
      </c>
      <c r="N1932" s="2" t="s">
        <v>3602</v>
      </c>
    </row>
    <row r="1933" spans="1:14">
      <c r="A1933" s="2">
        <v>1932</v>
      </c>
      <c r="B1933" s="3" t="s">
        <v>7068</v>
      </c>
      <c r="C1933" s="2" t="s">
        <v>7069</v>
      </c>
      <c r="D1933" s="2">
        <v>47</v>
      </c>
      <c r="E1933" s="2">
        <v>52</v>
      </c>
      <c r="F1933" s="2" t="s">
        <v>7070</v>
      </c>
      <c r="H1933" s="2" t="s">
        <v>17</v>
      </c>
      <c r="K1933" s="4">
        <v>17396</v>
      </c>
      <c r="M1933" s="2" t="s">
        <v>146</v>
      </c>
      <c r="N1933" s="2" t="s">
        <v>147</v>
      </c>
    </row>
    <row r="1934" spans="1:14">
      <c r="A1934" s="2">
        <v>1933</v>
      </c>
      <c r="B1934" s="3" t="s">
        <v>7071</v>
      </c>
      <c r="C1934" s="2" t="s">
        <v>7072</v>
      </c>
      <c r="D1934" s="2">
        <v>52</v>
      </c>
      <c r="E1934" s="2">
        <v>52</v>
      </c>
      <c r="F1934" s="2" t="s">
        <v>7073</v>
      </c>
      <c r="H1934" s="2" t="s">
        <v>17</v>
      </c>
      <c r="K1934" s="4">
        <v>17530</v>
      </c>
      <c r="M1934" s="2" t="s">
        <v>170</v>
      </c>
      <c r="N1934" s="2" t="s">
        <v>7074</v>
      </c>
    </row>
    <row r="1935" spans="1:14">
      <c r="A1935" s="2">
        <v>1934</v>
      </c>
      <c r="B1935" s="3" t="s">
        <v>7075</v>
      </c>
      <c r="C1935" s="2" t="s">
        <v>7076</v>
      </c>
      <c r="D1935" s="2">
        <v>52</v>
      </c>
      <c r="E1935" s="2">
        <v>52</v>
      </c>
      <c r="F1935" s="2" t="s">
        <v>7077</v>
      </c>
      <c r="H1935" s="2" t="s">
        <v>17</v>
      </c>
      <c r="K1935" s="4">
        <v>20109</v>
      </c>
      <c r="M1935" s="2" t="s">
        <v>47</v>
      </c>
      <c r="N1935" s="2" t="s">
        <v>7078</v>
      </c>
    </row>
    <row r="1936" spans="1:14">
      <c r="A1936" s="2">
        <v>1935</v>
      </c>
      <c r="B1936" s="3" t="s">
        <v>7079</v>
      </c>
      <c r="C1936" s="2" t="s">
        <v>7080</v>
      </c>
      <c r="D1936" s="2">
        <v>52</v>
      </c>
      <c r="E1936" s="2">
        <v>52</v>
      </c>
      <c r="F1936" s="2" t="s">
        <v>7081</v>
      </c>
      <c r="H1936" s="2" t="s">
        <v>45</v>
      </c>
      <c r="K1936" s="4">
        <v>18542</v>
      </c>
      <c r="M1936" s="2" t="s">
        <v>35</v>
      </c>
      <c r="N1936" s="2" t="s">
        <v>7082</v>
      </c>
    </row>
    <row r="1937" spans="1:14">
      <c r="A1937" s="2">
        <v>1936</v>
      </c>
      <c r="B1937" s="3" t="s">
        <v>7083</v>
      </c>
      <c r="C1937" s="2" t="s">
        <v>7084</v>
      </c>
      <c r="D1937" s="2">
        <v>52</v>
      </c>
      <c r="E1937" s="2">
        <v>52</v>
      </c>
      <c r="F1937" s="2" t="s">
        <v>7085</v>
      </c>
      <c r="H1937" s="2" t="s">
        <v>17</v>
      </c>
      <c r="K1937" s="4">
        <v>28194</v>
      </c>
      <c r="M1937" s="2" t="s">
        <v>247</v>
      </c>
      <c r="N1937" s="2" t="s">
        <v>886</v>
      </c>
    </row>
    <row r="1938" spans="1:14">
      <c r="A1938" s="2">
        <v>1937</v>
      </c>
      <c r="B1938" s="3" t="s">
        <v>7086</v>
      </c>
      <c r="C1938" s="2" t="s">
        <v>7087</v>
      </c>
      <c r="D1938" s="2">
        <v>52</v>
      </c>
      <c r="E1938" s="2">
        <v>52</v>
      </c>
      <c r="F1938" s="2" t="s">
        <v>7088</v>
      </c>
      <c r="H1938" s="2" t="s">
        <v>17</v>
      </c>
      <c r="K1938" s="4">
        <v>15443</v>
      </c>
      <c r="M1938" s="2" t="s">
        <v>146</v>
      </c>
      <c r="N1938" s="2" t="s">
        <v>147</v>
      </c>
    </row>
    <row r="1939" spans="1:14">
      <c r="A1939" s="2">
        <v>1938</v>
      </c>
      <c r="B1939" s="3" t="s">
        <v>7089</v>
      </c>
      <c r="C1939" s="2" t="s">
        <v>7090</v>
      </c>
      <c r="D1939" s="2">
        <v>51</v>
      </c>
      <c r="E1939" s="2">
        <v>52</v>
      </c>
      <c r="F1939" s="2" t="s">
        <v>7091</v>
      </c>
      <c r="H1939" s="2" t="s">
        <v>45</v>
      </c>
      <c r="K1939" s="4">
        <v>22679</v>
      </c>
      <c r="M1939" s="2" t="s">
        <v>53</v>
      </c>
      <c r="N1939" s="2" t="s">
        <v>847</v>
      </c>
    </row>
    <row r="1940" spans="1:14">
      <c r="A1940" s="2">
        <v>1939</v>
      </c>
      <c r="B1940" s="3" t="s">
        <v>7092</v>
      </c>
      <c r="C1940" s="2" t="s">
        <v>7093</v>
      </c>
      <c r="D1940" s="2">
        <v>52</v>
      </c>
      <c r="E1940" s="2">
        <v>52</v>
      </c>
      <c r="F1940" s="2" t="s">
        <v>7094</v>
      </c>
      <c r="H1940" s="2" t="s">
        <v>45</v>
      </c>
      <c r="K1940" s="4">
        <v>23030</v>
      </c>
      <c r="M1940" s="2" t="s">
        <v>66</v>
      </c>
      <c r="N1940" s="2" t="s">
        <v>1665</v>
      </c>
    </row>
    <row r="1941" spans="1:14">
      <c r="A1941" s="2">
        <v>1940</v>
      </c>
      <c r="B1941" s="3" t="s">
        <v>7095</v>
      </c>
      <c r="C1941" s="2" t="s">
        <v>7096</v>
      </c>
      <c r="D1941" s="2">
        <v>51</v>
      </c>
      <c r="E1941" s="2">
        <v>52</v>
      </c>
      <c r="F1941" s="2" t="s">
        <v>7097</v>
      </c>
      <c r="H1941" s="2" t="s">
        <v>17</v>
      </c>
      <c r="K1941" s="4">
        <v>10510</v>
      </c>
      <c r="L1941" s="4">
        <v>44480</v>
      </c>
      <c r="M1941" s="2" t="s">
        <v>76</v>
      </c>
    </row>
    <row r="1942" spans="1:14">
      <c r="A1942" s="2">
        <v>1941</v>
      </c>
      <c r="B1942" s="3" t="s">
        <v>7098</v>
      </c>
      <c r="C1942" s="2" t="s">
        <v>7099</v>
      </c>
      <c r="D1942" s="2">
        <v>51</v>
      </c>
      <c r="E1942" s="2">
        <v>52</v>
      </c>
      <c r="F1942" s="2" t="s">
        <v>7100</v>
      </c>
      <c r="H1942" s="2" t="s">
        <v>17</v>
      </c>
      <c r="K1942" s="4">
        <v>17808</v>
      </c>
      <c r="M1942" s="2" t="s">
        <v>423</v>
      </c>
      <c r="N1942" s="2" t="s">
        <v>7101</v>
      </c>
    </row>
    <row r="1943" spans="1:14">
      <c r="A1943" s="2">
        <v>1942</v>
      </c>
      <c r="B1943" s="3" t="s">
        <v>7102</v>
      </c>
      <c r="C1943" s="2" t="s">
        <v>7103</v>
      </c>
      <c r="D1943" s="2">
        <v>52</v>
      </c>
      <c r="E1943" s="2">
        <v>52</v>
      </c>
      <c r="F1943" s="2" t="s">
        <v>7104</v>
      </c>
      <c r="H1943" s="2" t="s">
        <v>17</v>
      </c>
      <c r="K1943" s="4">
        <v>20402</v>
      </c>
      <c r="M1943" s="2" t="s">
        <v>35</v>
      </c>
      <c r="N1943" s="2" t="s">
        <v>58</v>
      </c>
    </row>
    <row r="1944" spans="1:14">
      <c r="A1944" s="2">
        <v>1943</v>
      </c>
      <c r="B1944" s="3" t="s">
        <v>7105</v>
      </c>
      <c r="C1944" s="2" t="s">
        <v>7106</v>
      </c>
      <c r="D1944" s="2">
        <v>51</v>
      </c>
      <c r="E1944" s="2">
        <v>52</v>
      </c>
      <c r="F1944" s="2" t="s">
        <v>7107</v>
      </c>
      <c r="H1944" s="2" t="s">
        <v>17</v>
      </c>
      <c r="K1944" s="4">
        <v>21101</v>
      </c>
      <c r="L1944" s="4">
        <v>44561</v>
      </c>
      <c r="M1944" s="2" t="s">
        <v>154</v>
      </c>
      <c r="N1944" s="2" t="s">
        <v>7108</v>
      </c>
    </row>
    <row r="1945" spans="1:14">
      <c r="A1945" s="2">
        <v>1944</v>
      </c>
      <c r="B1945" s="3" t="s">
        <v>7109</v>
      </c>
      <c r="C1945" s="2" t="s">
        <v>7110</v>
      </c>
      <c r="D1945" s="2">
        <v>48</v>
      </c>
      <c r="E1945" s="2">
        <v>52</v>
      </c>
      <c r="F1945" s="2" t="s">
        <v>7111</v>
      </c>
      <c r="H1945" s="2" t="s">
        <v>45</v>
      </c>
      <c r="K1945" s="4">
        <v>12766</v>
      </c>
      <c r="L1945" s="4">
        <v>43959</v>
      </c>
      <c r="M1945" s="2" t="s">
        <v>76</v>
      </c>
      <c r="N1945" s="2" t="s">
        <v>906</v>
      </c>
    </row>
    <row r="1946" spans="1:14">
      <c r="A1946" s="2">
        <v>1945</v>
      </c>
      <c r="B1946" s="3" t="s">
        <v>7112</v>
      </c>
      <c r="C1946" s="2" t="s">
        <v>7113</v>
      </c>
      <c r="D1946" s="2">
        <v>52</v>
      </c>
      <c r="E1946" s="2">
        <v>52</v>
      </c>
      <c r="F1946" s="2" t="s">
        <v>7114</v>
      </c>
      <c r="H1946" s="2" t="s">
        <v>17</v>
      </c>
      <c r="K1946" s="4">
        <v>29394</v>
      </c>
      <c r="M1946" s="2" t="s">
        <v>140</v>
      </c>
      <c r="N1946" s="2" t="s">
        <v>5850</v>
      </c>
    </row>
    <row r="1947" spans="1:14">
      <c r="A1947" s="2">
        <v>1946</v>
      </c>
      <c r="B1947" s="3" t="s">
        <v>7115</v>
      </c>
      <c r="C1947" s="2" t="s">
        <v>7116</v>
      </c>
      <c r="D1947" s="2">
        <v>50</v>
      </c>
      <c r="E1947" s="2">
        <v>52</v>
      </c>
      <c r="F1947" s="2" t="s">
        <v>7117</v>
      </c>
      <c r="H1947" s="2" t="s">
        <v>17</v>
      </c>
      <c r="K1947" s="4">
        <v>18635</v>
      </c>
      <c r="M1947" s="2" t="s">
        <v>35</v>
      </c>
      <c r="N1947" s="2" t="s">
        <v>7118</v>
      </c>
    </row>
    <row r="1948" spans="1:14">
      <c r="A1948" s="2">
        <v>1947</v>
      </c>
      <c r="B1948" s="3" t="s">
        <v>7119</v>
      </c>
      <c r="C1948" s="2" t="s">
        <v>7120</v>
      </c>
      <c r="D1948" s="2">
        <v>49</v>
      </c>
      <c r="E1948" s="2">
        <v>52</v>
      </c>
      <c r="F1948" s="2" t="s">
        <v>7121</v>
      </c>
      <c r="H1948" s="2" t="s">
        <v>17</v>
      </c>
      <c r="K1948" s="4">
        <v>11835</v>
      </c>
      <c r="L1948" s="4">
        <v>41305</v>
      </c>
      <c r="M1948" s="2" t="s">
        <v>35</v>
      </c>
      <c r="N1948" s="2" t="s">
        <v>7122</v>
      </c>
    </row>
    <row r="1949" spans="1:14">
      <c r="A1949" s="2">
        <v>1948</v>
      </c>
      <c r="B1949" s="3" t="s">
        <v>7123</v>
      </c>
      <c r="C1949" s="2" t="s">
        <v>7124</v>
      </c>
      <c r="D1949" s="2">
        <v>49</v>
      </c>
      <c r="E1949" s="2">
        <v>52</v>
      </c>
      <c r="F1949" s="2" t="s">
        <v>7125</v>
      </c>
      <c r="H1949" s="2" t="s">
        <v>17</v>
      </c>
      <c r="K1949" s="4">
        <v>18231</v>
      </c>
      <c r="L1949" s="4">
        <v>45721</v>
      </c>
      <c r="M1949" s="2" t="s">
        <v>146</v>
      </c>
      <c r="N1949" s="2" t="s">
        <v>4057</v>
      </c>
    </row>
    <row r="1950" spans="1:14">
      <c r="A1950" s="2">
        <v>1949</v>
      </c>
      <c r="B1950" s="3" t="s">
        <v>7126</v>
      </c>
      <c r="C1950" s="2" t="s">
        <v>7127</v>
      </c>
      <c r="D1950" s="2">
        <v>48</v>
      </c>
      <c r="E1950" s="2">
        <v>52</v>
      </c>
      <c r="F1950" s="2" t="s">
        <v>7128</v>
      </c>
      <c r="H1950" s="2" t="s">
        <v>17</v>
      </c>
      <c r="K1950" s="4">
        <v>17634</v>
      </c>
      <c r="M1950" s="2" t="s">
        <v>47</v>
      </c>
      <c r="N1950" s="2" t="s">
        <v>48</v>
      </c>
    </row>
    <row r="1951" spans="1:14">
      <c r="A1951" s="2">
        <v>1950</v>
      </c>
      <c r="B1951" s="3" t="s">
        <v>7129</v>
      </c>
      <c r="C1951" s="2" t="s">
        <v>7130</v>
      </c>
      <c r="D1951" s="2">
        <v>49</v>
      </c>
      <c r="E1951" s="2">
        <v>52</v>
      </c>
      <c r="F1951" s="2" t="s">
        <v>7131</v>
      </c>
      <c r="H1951" s="2" t="s">
        <v>17</v>
      </c>
      <c r="K1951" s="4">
        <v>17389</v>
      </c>
      <c r="M1951" s="2" t="s">
        <v>198</v>
      </c>
      <c r="N1951" s="2" t="s">
        <v>199</v>
      </c>
    </row>
    <row r="1952" spans="1:14">
      <c r="A1952" s="2">
        <v>1951</v>
      </c>
      <c r="B1952" s="3" t="s">
        <v>7132</v>
      </c>
      <c r="C1952" s="2" t="s">
        <v>7133</v>
      </c>
      <c r="D1952" s="2">
        <v>52</v>
      </c>
      <c r="E1952" s="2">
        <v>52</v>
      </c>
      <c r="F1952" s="2" t="s">
        <v>7133</v>
      </c>
      <c r="H1952" s="2" t="s">
        <v>17</v>
      </c>
      <c r="K1952" s="4">
        <v>23531</v>
      </c>
      <c r="M1952" s="2" t="s">
        <v>185</v>
      </c>
      <c r="N1952" s="2" t="s">
        <v>838</v>
      </c>
    </row>
    <row r="1953" spans="1:14">
      <c r="A1953" s="2">
        <v>1952</v>
      </c>
      <c r="B1953" s="3" t="s">
        <v>7134</v>
      </c>
      <c r="C1953" s="2" t="s">
        <v>7135</v>
      </c>
      <c r="D1953" s="2">
        <v>52</v>
      </c>
      <c r="E1953" s="2">
        <v>52</v>
      </c>
      <c r="F1953" s="2" t="s">
        <v>7136</v>
      </c>
      <c r="H1953" s="2" t="s">
        <v>17</v>
      </c>
      <c r="K1953" s="4">
        <v>23465</v>
      </c>
      <c r="M1953" s="2" t="s">
        <v>170</v>
      </c>
      <c r="N1953" s="2" t="s">
        <v>385</v>
      </c>
    </row>
    <row r="1954" spans="1:14">
      <c r="A1954" s="2">
        <v>1953</v>
      </c>
      <c r="B1954" s="3" t="s">
        <v>7137</v>
      </c>
      <c r="C1954" s="2" t="s">
        <v>7138</v>
      </c>
      <c r="D1954" s="2">
        <v>52</v>
      </c>
      <c r="E1954" s="2">
        <v>52</v>
      </c>
      <c r="F1954" s="2" t="s">
        <v>7139</v>
      </c>
      <c r="H1954" s="2" t="s">
        <v>45</v>
      </c>
      <c r="K1954" s="4">
        <v>17789</v>
      </c>
      <c r="M1954" s="2" t="s">
        <v>35</v>
      </c>
      <c r="N1954" s="2" t="s">
        <v>7140</v>
      </c>
    </row>
    <row r="1955" spans="1:14">
      <c r="A1955" s="2">
        <v>1954</v>
      </c>
      <c r="B1955" s="3" t="s">
        <v>7141</v>
      </c>
      <c r="C1955" s="2" t="s">
        <v>7142</v>
      </c>
      <c r="D1955" s="2">
        <v>52</v>
      </c>
      <c r="E1955" s="2">
        <v>52</v>
      </c>
      <c r="F1955" s="2" t="s">
        <v>7143</v>
      </c>
      <c r="H1955" s="2" t="s">
        <v>17</v>
      </c>
      <c r="K1955" s="4">
        <v>21449</v>
      </c>
      <c r="M1955" s="2" t="s">
        <v>192</v>
      </c>
      <c r="N1955" s="2" t="s">
        <v>3583</v>
      </c>
    </row>
    <row r="1956" spans="1:14">
      <c r="A1956" s="2">
        <v>1955</v>
      </c>
      <c r="B1956" s="3" t="s">
        <v>7144</v>
      </c>
      <c r="C1956" s="2" t="s">
        <v>7145</v>
      </c>
      <c r="D1956" s="2">
        <v>52</v>
      </c>
      <c r="E1956" s="2">
        <v>52</v>
      </c>
      <c r="F1956" s="2" t="s">
        <v>7146</v>
      </c>
      <c r="H1956" s="2" t="s">
        <v>17</v>
      </c>
      <c r="K1956" s="4">
        <v>13933</v>
      </c>
      <c r="L1956" s="4">
        <v>45487</v>
      </c>
      <c r="M1956" s="2" t="s">
        <v>35</v>
      </c>
      <c r="N1956" s="2" t="s">
        <v>1462</v>
      </c>
    </row>
    <row r="1957" spans="1:14">
      <c r="A1957" s="2">
        <v>1956</v>
      </c>
      <c r="B1957" s="3" t="s">
        <v>7147</v>
      </c>
      <c r="C1957" s="2" t="s">
        <v>7148</v>
      </c>
      <c r="D1957" s="2">
        <v>49</v>
      </c>
      <c r="E1957" s="2">
        <v>52</v>
      </c>
      <c r="F1957" s="2" t="s">
        <v>7149</v>
      </c>
      <c r="H1957" s="2" t="s">
        <v>17</v>
      </c>
      <c r="K1957" s="4">
        <v>20780</v>
      </c>
      <c r="M1957" s="2" t="s">
        <v>47</v>
      </c>
      <c r="N1957" s="2" t="s">
        <v>7150</v>
      </c>
    </row>
    <row r="1958" spans="1:14">
      <c r="A1958" s="2">
        <v>1957</v>
      </c>
      <c r="B1958" s="3" t="s">
        <v>7151</v>
      </c>
      <c r="C1958" s="2" t="s">
        <v>7152</v>
      </c>
      <c r="D1958" s="2">
        <v>50</v>
      </c>
      <c r="E1958" s="2">
        <v>52</v>
      </c>
      <c r="F1958" s="2" t="s">
        <v>7153</v>
      </c>
      <c r="H1958" s="2" t="s">
        <v>17</v>
      </c>
      <c r="K1958" s="4">
        <v>16349</v>
      </c>
      <c r="M1958" s="2" t="s">
        <v>35</v>
      </c>
      <c r="N1958" s="2" t="s">
        <v>58</v>
      </c>
    </row>
    <row r="1959" spans="1:14">
      <c r="A1959" s="2">
        <v>1958</v>
      </c>
      <c r="B1959" s="3" t="s">
        <v>7154</v>
      </c>
      <c r="C1959" s="2" t="s">
        <v>7155</v>
      </c>
      <c r="D1959" s="2">
        <v>52</v>
      </c>
      <c r="E1959" s="2">
        <v>52</v>
      </c>
      <c r="F1959" s="2" t="s">
        <v>7156</v>
      </c>
      <c r="H1959" s="2" t="s">
        <v>17</v>
      </c>
      <c r="K1959" s="4">
        <v>25559</v>
      </c>
      <c r="M1959" s="2" t="s">
        <v>47</v>
      </c>
      <c r="N1959" s="2" t="s">
        <v>1122</v>
      </c>
    </row>
    <row r="1960" spans="1:14">
      <c r="A1960" s="2">
        <v>1959</v>
      </c>
      <c r="B1960" s="3" t="s">
        <v>7157</v>
      </c>
      <c r="C1960" s="2" t="s">
        <v>7158</v>
      </c>
      <c r="D1960" s="2">
        <v>51</v>
      </c>
      <c r="E1960" s="2">
        <v>52</v>
      </c>
      <c r="F1960" s="2" t="s">
        <v>7159</v>
      </c>
      <c r="H1960" s="2" t="s">
        <v>17</v>
      </c>
      <c r="K1960" s="4">
        <v>21482</v>
      </c>
      <c r="M1960" s="2" t="s">
        <v>198</v>
      </c>
      <c r="N1960" s="2" t="s">
        <v>199</v>
      </c>
    </row>
    <row r="1961" spans="1:14">
      <c r="A1961" s="2">
        <v>1960</v>
      </c>
      <c r="B1961" s="3" t="s">
        <v>7160</v>
      </c>
      <c r="C1961" s="2" t="s">
        <v>7161</v>
      </c>
      <c r="D1961" s="2">
        <v>52</v>
      </c>
      <c r="E1961" s="2">
        <v>52</v>
      </c>
      <c r="F1961" s="2" t="s">
        <v>7162</v>
      </c>
      <c r="H1961" s="2" t="s">
        <v>45</v>
      </c>
      <c r="K1961" s="4">
        <v>19443</v>
      </c>
      <c r="M1961" s="2" t="s">
        <v>170</v>
      </c>
      <c r="N1961" s="2" t="s">
        <v>323</v>
      </c>
    </row>
    <row r="1962" spans="1:14">
      <c r="A1962" s="2">
        <v>1961</v>
      </c>
      <c r="B1962" s="3" t="s">
        <v>7163</v>
      </c>
      <c r="C1962" s="2" t="s">
        <v>7164</v>
      </c>
      <c r="D1962" s="2">
        <v>52</v>
      </c>
      <c r="E1962" s="2">
        <v>52</v>
      </c>
      <c r="F1962" s="2" t="s">
        <v>7165</v>
      </c>
      <c r="H1962" s="2" t="s">
        <v>45</v>
      </c>
      <c r="K1962" s="4">
        <v>16895</v>
      </c>
      <c r="M1962" s="2" t="s">
        <v>170</v>
      </c>
      <c r="N1962" s="2" t="s">
        <v>323</v>
      </c>
    </row>
    <row r="1963" spans="1:14">
      <c r="A1963" s="2">
        <v>1962</v>
      </c>
      <c r="B1963" s="3" t="s">
        <v>7166</v>
      </c>
      <c r="C1963" s="2" t="s">
        <v>7167</v>
      </c>
      <c r="D1963" s="2">
        <v>50</v>
      </c>
      <c r="E1963" s="2">
        <v>52</v>
      </c>
      <c r="F1963" s="2" t="s">
        <v>7167</v>
      </c>
      <c r="H1963" s="2" t="s">
        <v>17</v>
      </c>
      <c r="K1963" s="4">
        <v>23965</v>
      </c>
      <c r="M1963" s="2" t="s">
        <v>35</v>
      </c>
      <c r="N1963" s="2" t="s">
        <v>2762</v>
      </c>
    </row>
    <row r="1964" spans="1:14">
      <c r="A1964" s="2">
        <v>1963</v>
      </c>
      <c r="B1964" s="3" t="s">
        <v>7168</v>
      </c>
      <c r="C1964" s="2" t="s">
        <v>7169</v>
      </c>
      <c r="D1964" s="2">
        <v>52</v>
      </c>
      <c r="E1964" s="2">
        <v>52</v>
      </c>
      <c r="F1964" s="2" t="s">
        <v>7170</v>
      </c>
      <c r="H1964" s="2" t="s">
        <v>17</v>
      </c>
      <c r="K1964" s="4">
        <v>22033</v>
      </c>
      <c r="M1964" s="2" t="s">
        <v>35</v>
      </c>
    </row>
    <row r="1965" spans="1:14">
      <c r="A1965" s="2">
        <v>1964</v>
      </c>
      <c r="B1965" s="3" t="s">
        <v>7171</v>
      </c>
      <c r="C1965" s="2" t="s">
        <v>7172</v>
      </c>
      <c r="D1965" s="2">
        <v>52</v>
      </c>
      <c r="E1965" s="2">
        <v>52</v>
      </c>
      <c r="F1965" s="2" t="s">
        <v>7173</v>
      </c>
      <c r="H1965" s="2" t="s">
        <v>17</v>
      </c>
      <c r="K1965" s="4">
        <v>17788</v>
      </c>
      <c r="M1965" s="2" t="s">
        <v>66</v>
      </c>
      <c r="N1965" s="2" t="s">
        <v>131</v>
      </c>
    </row>
    <row r="1966" spans="1:14">
      <c r="A1966" s="2">
        <v>1965</v>
      </c>
      <c r="B1966" s="3" t="s">
        <v>7174</v>
      </c>
      <c r="C1966" s="2" t="s">
        <v>7175</v>
      </c>
      <c r="D1966" s="2">
        <v>51</v>
      </c>
      <c r="E1966" s="2">
        <v>52</v>
      </c>
      <c r="F1966" s="2" t="s">
        <v>7176</v>
      </c>
      <c r="H1966" s="2" t="s">
        <v>17</v>
      </c>
      <c r="K1966" s="4">
        <v>17555</v>
      </c>
      <c r="M1966" s="2" t="s">
        <v>30</v>
      </c>
      <c r="N1966" s="2" t="s">
        <v>2001</v>
      </c>
    </row>
    <row r="1967" spans="1:14">
      <c r="A1967" s="2">
        <v>1966</v>
      </c>
      <c r="B1967" s="3" t="s">
        <v>7177</v>
      </c>
      <c r="C1967" s="2" t="s">
        <v>7178</v>
      </c>
      <c r="D1967" s="2">
        <v>47</v>
      </c>
      <c r="E1967" s="2">
        <v>52</v>
      </c>
      <c r="F1967" s="2" t="s">
        <v>7179</v>
      </c>
      <c r="H1967" s="2" t="s">
        <v>17</v>
      </c>
      <c r="K1967" s="4">
        <v>6194</v>
      </c>
      <c r="L1967" s="4">
        <v>38578</v>
      </c>
      <c r="M1967" s="2" t="s">
        <v>85</v>
      </c>
      <c r="N1967" s="2" t="s">
        <v>7180</v>
      </c>
    </row>
    <row r="1968" spans="1:14">
      <c r="A1968" s="2">
        <v>1967</v>
      </c>
      <c r="B1968" s="3" t="s">
        <v>7181</v>
      </c>
      <c r="C1968" s="2" t="s">
        <v>7182</v>
      </c>
      <c r="D1968" s="2">
        <v>52</v>
      </c>
      <c r="E1968" s="2">
        <v>52</v>
      </c>
      <c r="F1968" s="2" t="s">
        <v>7182</v>
      </c>
      <c r="H1968" s="2" t="s">
        <v>17</v>
      </c>
      <c r="K1968" s="4">
        <v>19718</v>
      </c>
      <c r="M1968" s="2" t="s">
        <v>76</v>
      </c>
      <c r="N1968" s="2" t="s">
        <v>7183</v>
      </c>
    </row>
    <row r="1969" spans="1:14">
      <c r="A1969" s="2">
        <v>1968</v>
      </c>
      <c r="B1969" s="3" t="s">
        <v>7184</v>
      </c>
      <c r="C1969" s="2" t="s">
        <v>7185</v>
      </c>
      <c r="D1969" s="2">
        <v>52</v>
      </c>
      <c r="E1969" s="2">
        <v>52</v>
      </c>
      <c r="F1969" s="2" t="s">
        <v>7186</v>
      </c>
      <c r="H1969" s="2" t="s">
        <v>17</v>
      </c>
      <c r="K1969" s="4">
        <v>17658</v>
      </c>
      <c r="M1969" s="2" t="s">
        <v>154</v>
      </c>
      <c r="N1969" s="2" t="s">
        <v>2265</v>
      </c>
    </row>
    <row r="1970" spans="1:14">
      <c r="A1970" s="2">
        <v>1969</v>
      </c>
      <c r="B1970" s="3" t="s">
        <v>7187</v>
      </c>
      <c r="C1970" s="2" t="s">
        <v>7188</v>
      </c>
      <c r="D1970" s="2">
        <v>51</v>
      </c>
      <c r="E1970" s="2">
        <v>52</v>
      </c>
      <c r="F1970" s="2" t="s">
        <v>7189</v>
      </c>
      <c r="H1970" s="2" t="s">
        <v>45</v>
      </c>
      <c r="K1970" s="4">
        <v>20986</v>
      </c>
      <c r="M1970" s="2" t="s">
        <v>170</v>
      </c>
      <c r="N1970" s="2" t="s">
        <v>759</v>
      </c>
    </row>
    <row r="1971" spans="1:14">
      <c r="A1971" s="2">
        <v>1970</v>
      </c>
      <c r="B1971" s="3" t="s">
        <v>7190</v>
      </c>
      <c r="C1971" s="2" t="s">
        <v>7191</v>
      </c>
      <c r="D1971" s="2">
        <v>50</v>
      </c>
      <c r="E1971" s="2">
        <v>52</v>
      </c>
      <c r="F1971" s="2" t="s">
        <v>7192</v>
      </c>
      <c r="H1971" s="2" t="s">
        <v>17</v>
      </c>
      <c r="K1971" s="4">
        <v>19576</v>
      </c>
      <c r="L1971" s="4">
        <v>37789</v>
      </c>
      <c r="N1971" s="2" t="s">
        <v>7193</v>
      </c>
    </row>
    <row r="1972" spans="1:14">
      <c r="A1972" s="2">
        <v>1971</v>
      </c>
      <c r="B1972" s="3" t="s">
        <v>7194</v>
      </c>
      <c r="C1972" s="2" t="s">
        <v>7195</v>
      </c>
      <c r="D1972" s="2">
        <v>52</v>
      </c>
      <c r="E1972" s="2">
        <v>52</v>
      </c>
      <c r="F1972" s="2" t="s">
        <v>7196</v>
      </c>
      <c r="H1972" s="2" t="s">
        <v>17</v>
      </c>
      <c r="K1972" s="4">
        <v>13530</v>
      </c>
      <c r="L1972" s="4">
        <v>40881</v>
      </c>
      <c r="M1972" s="2" t="s">
        <v>140</v>
      </c>
      <c r="N1972" s="2" t="s">
        <v>5850</v>
      </c>
    </row>
    <row r="1973" spans="1:14">
      <c r="A1973" s="2">
        <v>1972</v>
      </c>
      <c r="B1973" s="3" t="s">
        <v>7197</v>
      </c>
      <c r="C1973" s="2" t="s">
        <v>7198</v>
      </c>
      <c r="D1973" s="2">
        <v>45</v>
      </c>
      <c r="E1973" s="2">
        <v>52</v>
      </c>
      <c r="F1973" s="2" t="s">
        <v>7199</v>
      </c>
      <c r="H1973" s="2" t="s">
        <v>17</v>
      </c>
      <c r="K1973" s="4">
        <v>16364</v>
      </c>
      <c r="M1973" s="2" t="s">
        <v>140</v>
      </c>
      <c r="N1973" s="2" t="s">
        <v>294</v>
      </c>
    </row>
    <row r="1974" spans="1:14">
      <c r="A1974" s="2">
        <v>1973</v>
      </c>
      <c r="B1974" s="3" t="s">
        <v>7200</v>
      </c>
      <c r="C1974" s="2" t="s">
        <v>7201</v>
      </c>
      <c r="D1974" s="2">
        <v>51</v>
      </c>
      <c r="E1974" s="2">
        <v>52</v>
      </c>
      <c r="F1974" s="2" t="s">
        <v>7202</v>
      </c>
      <c r="H1974" s="2" t="s">
        <v>17</v>
      </c>
      <c r="K1974" s="4">
        <v>19089</v>
      </c>
      <c r="M1974" s="2" t="s">
        <v>336</v>
      </c>
      <c r="N1974" s="2" t="s">
        <v>2681</v>
      </c>
    </row>
    <row r="1975" spans="1:14">
      <c r="A1975" s="2">
        <v>1974</v>
      </c>
      <c r="B1975" s="3" t="s">
        <v>7203</v>
      </c>
      <c r="C1975" s="2" t="s">
        <v>7204</v>
      </c>
      <c r="D1975" s="2">
        <v>52</v>
      </c>
      <c r="E1975" s="2">
        <v>52</v>
      </c>
      <c r="F1975" s="2" t="s">
        <v>7204</v>
      </c>
      <c r="H1975" s="2" t="s">
        <v>17</v>
      </c>
      <c r="K1975" s="4">
        <v>18461</v>
      </c>
      <c r="M1975" s="2" t="s">
        <v>47</v>
      </c>
      <c r="N1975" s="2" t="s">
        <v>6306</v>
      </c>
    </row>
    <row r="1976" spans="1:14">
      <c r="A1976" s="2">
        <v>1975</v>
      </c>
      <c r="B1976" s="3" t="s">
        <v>7205</v>
      </c>
      <c r="C1976" s="2" t="s">
        <v>7206</v>
      </c>
      <c r="D1976" s="2">
        <v>48</v>
      </c>
      <c r="E1976" s="2">
        <v>52</v>
      </c>
      <c r="F1976" s="2" t="s">
        <v>7207</v>
      </c>
      <c r="H1976" s="2" t="s">
        <v>17</v>
      </c>
      <c r="K1976" s="4">
        <v>17001</v>
      </c>
      <c r="M1976" s="2" t="s">
        <v>336</v>
      </c>
      <c r="N1976" s="2" t="s">
        <v>7208</v>
      </c>
    </row>
    <row r="1977" spans="1:14">
      <c r="A1977" s="2">
        <v>1976</v>
      </c>
      <c r="B1977" s="3" t="s">
        <v>7209</v>
      </c>
      <c r="C1977" s="2" t="s">
        <v>7210</v>
      </c>
      <c r="D1977" s="2">
        <v>40</v>
      </c>
      <c r="E1977" s="2">
        <v>52</v>
      </c>
      <c r="F1977" s="2" t="s">
        <v>7211</v>
      </c>
      <c r="H1977" s="2" t="s">
        <v>17</v>
      </c>
      <c r="K1977" s="4">
        <v>6493</v>
      </c>
      <c r="L1977" s="4">
        <v>41039</v>
      </c>
      <c r="M1977" s="2" t="s">
        <v>185</v>
      </c>
      <c r="N1977" s="2" t="s">
        <v>838</v>
      </c>
    </row>
    <row r="1978" spans="1:14">
      <c r="A1978" s="2">
        <v>1977</v>
      </c>
      <c r="B1978" s="3" t="s">
        <v>7212</v>
      </c>
      <c r="C1978" s="2" t="s">
        <v>7213</v>
      </c>
      <c r="D1978" s="2">
        <v>51</v>
      </c>
      <c r="E1978" s="2">
        <v>52</v>
      </c>
      <c r="F1978" s="2" t="s">
        <v>7214</v>
      </c>
      <c r="H1978" s="2" t="s">
        <v>17</v>
      </c>
      <c r="K1978" s="4">
        <v>23859</v>
      </c>
      <c r="M1978" s="2" t="s">
        <v>47</v>
      </c>
      <c r="N1978" s="2" t="s">
        <v>48</v>
      </c>
    </row>
    <row r="1979" spans="1:14">
      <c r="A1979" s="2">
        <v>1978</v>
      </c>
      <c r="B1979" s="3" t="s">
        <v>7215</v>
      </c>
      <c r="C1979" s="2" t="s">
        <v>7216</v>
      </c>
      <c r="D1979" s="2">
        <v>45</v>
      </c>
      <c r="E1979" s="2">
        <v>52</v>
      </c>
      <c r="F1979" s="2" t="s">
        <v>7217</v>
      </c>
      <c r="H1979" s="2" t="s">
        <v>17</v>
      </c>
      <c r="K1979" s="4">
        <v>16482</v>
      </c>
      <c r="M1979" s="2" t="s">
        <v>336</v>
      </c>
      <c r="N1979" s="2" t="s">
        <v>1883</v>
      </c>
    </row>
    <row r="1980" spans="1:14">
      <c r="A1980" s="2">
        <v>1979</v>
      </c>
      <c r="B1980" s="3" t="s">
        <v>7218</v>
      </c>
      <c r="C1980" s="2" t="s">
        <v>7219</v>
      </c>
      <c r="D1980" s="2">
        <v>52</v>
      </c>
      <c r="E1980" s="2">
        <v>52</v>
      </c>
      <c r="F1980" s="2" t="s">
        <v>7220</v>
      </c>
      <c r="H1980" s="2" t="s">
        <v>45</v>
      </c>
      <c r="K1980" s="4">
        <v>19243</v>
      </c>
      <c r="M1980" s="2" t="s">
        <v>53</v>
      </c>
      <c r="N1980" s="2" t="s">
        <v>7221</v>
      </c>
    </row>
    <row r="1981" spans="1:14">
      <c r="A1981" s="2">
        <v>1980</v>
      </c>
      <c r="B1981" s="3" t="s">
        <v>7222</v>
      </c>
      <c r="C1981" s="2" t="s">
        <v>7223</v>
      </c>
      <c r="D1981" s="2">
        <v>49</v>
      </c>
      <c r="E1981" s="2">
        <v>52</v>
      </c>
      <c r="F1981" s="2" t="s">
        <v>7224</v>
      </c>
      <c r="H1981" s="2" t="s">
        <v>17</v>
      </c>
      <c r="K1981" s="4">
        <v>17662</v>
      </c>
      <c r="L1981" s="4">
        <v>42993</v>
      </c>
      <c r="M1981" s="2" t="s">
        <v>164</v>
      </c>
      <c r="N1981" s="2" t="s">
        <v>165</v>
      </c>
    </row>
    <row r="1982" spans="1:14">
      <c r="A1982" s="2">
        <v>1981</v>
      </c>
      <c r="B1982" s="3" t="s">
        <v>7225</v>
      </c>
      <c r="C1982" s="2" t="s">
        <v>7226</v>
      </c>
      <c r="D1982" s="2">
        <v>49</v>
      </c>
      <c r="E1982" s="2">
        <v>52</v>
      </c>
      <c r="F1982" s="2" t="s">
        <v>7227</v>
      </c>
      <c r="H1982" s="2" t="s">
        <v>17</v>
      </c>
      <c r="K1982" s="4">
        <v>15169</v>
      </c>
      <c r="M1982" s="2" t="s">
        <v>40</v>
      </c>
      <c r="N1982" s="2" t="s">
        <v>1017</v>
      </c>
    </row>
    <row r="1983" spans="1:14">
      <c r="A1983" s="2">
        <v>1982</v>
      </c>
      <c r="B1983" s="3" t="s">
        <v>7228</v>
      </c>
      <c r="C1983" s="2" t="s">
        <v>7229</v>
      </c>
      <c r="D1983" s="2">
        <v>51</v>
      </c>
      <c r="E1983" s="2">
        <v>52</v>
      </c>
      <c r="F1983" s="2" t="s">
        <v>7229</v>
      </c>
      <c r="H1983" s="2" t="s">
        <v>17</v>
      </c>
      <c r="K1983" s="4">
        <v>23356</v>
      </c>
      <c r="M1983" s="2" t="s">
        <v>66</v>
      </c>
      <c r="N1983" s="2" t="s">
        <v>7230</v>
      </c>
    </row>
    <row r="1984" spans="1:14">
      <c r="A1984" s="2">
        <v>1983</v>
      </c>
      <c r="B1984" s="3" t="s">
        <v>7231</v>
      </c>
      <c r="C1984" s="2" t="s">
        <v>7232</v>
      </c>
      <c r="D1984" s="2">
        <v>51</v>
      </c>
      <c r="E1984" s="2">
        <v>52</v>
      </c>
      <c r="F1984" s="2" t="s">
        <v>7233</v>
      </c>
      <c r="H1984" s="2" t="s">
        <v>17</v>
      </c>
      <c r="K1984" s="4">
        <v>21442</v>
      </c>
      <c r="M1984" s="2" t="s">
        <v>47</v>
      </c>
      <c r="N1984" s="2" t="s">
        <v>110</v>
      </c>
    </row>
    <row r="1985" spans="1:14">
      <c r="A1985" s="2">
        <v>1984</v>
      </c>
      <c r="B1985" s="3" t="s">
        <v>7234</v>
      </c>
      <c r="C1985" s="2" t="s">
        <v>7235</v>
      </c>
      <c r="D1985" s="2">
        <v>49</v>
      </c>
      <c r="E1985" s="2">
        <v>52</v>
      </c>
      <c r="F1985" s="2" t="s">
        <v>7236</v>
      </c>
      <c r="H1985" s="2" t="s">
        <v>17</v>
      </c>
      <c r="K1985" s="4">
        <v>15935</v>
      </c>
      <c r="M1985" s="2" t="s">
        <v>35</v>
      </c>
      <c r="N1985" s="2" t="s">
        <v>7237</v>
      </c>
    </row>
    <row r="1986" spans="1:14">
      <c r="A1986" s="2">
        <v>1985</v>
      </c>
      <c r="B1986" s="3" t="s">
        <v>7238</v>
      </c>
      <c r="C1986" s="2" t="s">
        <v>7239</v>
      </c>
      <c r="D1986" s="2">
        <v>51</v>
      </c>
      <c r="E1986" s="2">
        <v>52</v>
      </c>
      <c r="F1986" s="2" t="s">
        <v>7240</v>
      </c>
      <c r="H1986" s="2" t="s">
        <v>17</v>
      </c>
      <c r="K1986" s="4">
        <v>22880</v>
      </c>
      <c r="M1986" s="2" t="s">
        <v>53</v>
      </c>
      <c r="N1986" s="2" t="s">
        <v>7241</v>
      </c>
    </row>
    <row r="1987" spans="1:14">
      <c r="A1987" s="2">
        <v>1986</v>
      </c>
      <c r="B1987" s="3" t="s">
        <v>7242</v>
      </c>
      <c r="C1987" s="2" t="s">
        <v>7243</v>
      </c>
      <c r="D1987" s="2">
        <v>52</v>
      </c>
      <c r="E1987" s="2">
        <v>52</v>
      </c>
      <c r="F1987" s="2" t="s">
        <v>7244</v>
      </c>
      <c r="H1987" s="2" t="s">
        <v>17</v>
      </c>
      <c r="K1987" s="4">
        <v>16936</v>
      </c>
      <c r="M1987" s="2" t="s">
        <v>336</v>
      </c>
      <c r="N1987" s="2" t="s">
        <v>7245</v>
      </c>
    </row>
    <row r="1988" spans="1:14">
      <c r="A1988" s="2">
        <v>1987</v>
      </c>
      <c r="B1988" s="3" t="s">
        <v>7246</v>
      </c>
      <c r="C1988" s="2" t="s">
        <v>7247</v>
      </c>
      <c r="D1988" s="2">
        <v>52</v>
      </c>
      <c r="E1988" s="2">
        <v>52</v>
      </c>
      <c r="F1988" s="2" t="s">
        <v>7248</v>
      </c>
      <c r="H1988" s="2" t="s">
        <v>17</v>
      </c>
      <c r="K1988" s="4">
        <v>17943</v>
      </c>
      <c r="M1988" s="2" t="s">
        <v>170</v>
      </c>
      <c r="N1988" s="2" t="s">
        <v>7249</v>
      </c>
    </row>
    <row r="1989" spans="1:14">
      <c r="A1989" s="2">
        <v>1988</v>
      </c>
      <c r="B1989" s="3" t="s">
        <v>7250</v>
      </c>
      <c r="C1989" s="2" t="s">
        <v>7251</v>
      </c>
      <c r="D1989" s="2">
        <v>52</v>
      </c>
      <c r="E1989" s="2">
        <v>52</v>
      </c>
      <c r="F1989" s="2" t="s">
        <v>7252</v>
      </c>
      <c r="H1989" s="2" t="s">
        <v>17</v>
      </c>
      <c r="K1989" s="4">
        <v>21315</v>
      </c>
      <c r="M1989" s="2" t="s">
        <v>140</v>
      </c>
      <c r="N1989" s="2" t="s">
        <v>294</v>
      </c>
    </row>
    <row r="1990" spans="1:14">
      <c r="A1990" s="2">
        <v>1989</v>
      </c>
      <c r="B1990" s="3" t="s">
        <v>7253</v>
      </c>
      <c r="C1990" s="2" t="s">
        <v>7254</v>
      </c>
      <c r="D1990" s="2">
        <v>51</v>
      </c>
      <c r="E1990" s="2">
        <v>52</v>
      </c>
      <c r="F1990" s="2" t="s">
        <v>7255</v>
      </c>
      <c r="H1990" s="2" t="s">
        <v>17</v>
      </c>
      <c r="K1990" s="4">
        <v>18227</v>
      </c>
      <c r="M1990" s="2" t="s">
        <v>170</v>
      </c>
      <c r="N1990" s="2" t="s">
        <v>802</v>
      </c>
    </row>
    <row r="1991" spans="1:14">
      <c r="A1991" s="2">
        <v>1990</v>
      </c>
      <c r="B1991" s="3" t="s">
        <v>7256</v>
      </c>
      <c r="C1991" s="2" t="s">
        <v>7257</v>
      </c>
      <c r="D1991" s="2">
        <v>49</v>
      </c>
      <c r="E1991" s="2">
        <v>52</v>
      </c>
      <c r="F1991" s="2" t="s">
        <v>7258</v>
      </c>
      <c r="H1991" s="2" t="s">
        <v>17</v>
      </c>
      <c r="K1991" s="4">
        <v>19063</v>
      </c>
      <c r="M1991" s="2" t="s">
        <v>47</v>
      </c>
      <c r="N1991" s="2" t="s">
        <v>48</v>
      </c>
    </row>
    <row r="1992" spans="1:14">
      <c r="A1992" s="2">
        <v>1991</v>
      </c>
      <c r="B1992" s="3" t="s">
        <v>7259</v>
      </c>
      <c r="C1992" s="2" t="s">
        <v>7260</v>
      </c>
      <c r="D1992" s="2">
        <v>51</v>
      </c>
      <c r="E1992" s="2">
        <v>52</v>
      </c>
      <c r="F1992" s="2" t="s">
        <v>7261</v>
      </c>
      <c r="H1992" s="2" t="s">
        <v>17</v>
      </c>
      <c r="K1992" s="4">
        <v>23486</v>
      </c>
      <c r="M1992" s="2" t="s">
        <v>66</v>
      </c>
      <c r="N1992" s="2" t="s">
        <v>81</v>
      </c>
    </row>
    <row r="1993" spans="1:14">
      <c r="A1993" s="2">
        <v>1992</v>
      </c>
      <c r="B1993" s="3" t="s">
        <v>7262</v>
      </c>
      <c r="C1993" s="2" t="s">
        <v>7263</v>
      </c>
      <c r="D1993" s="2">
        <v>51</v>
      </c>
      <c r="E1993" s="2">
        <v>52</v>
      </c>
      <c r="F1993" s="2" t="s">
        <v>7264</v>
      </c>
      <c r="H1993" s="2" t="s">
        <v>17</v>
      </c>
      <c r="K1993" s="4">
        <v>16618</v>
      </c>
      <c r="L1993" s="4">
        <v>38468</v>
      </c>
      <c r="M1993" s="2" t="s">
        <v>47</v>
      </c>
      <c r="N1993" s="2" t="s">
        <v>2966</v>
      </c>
    </row>
    <row r="1994" spans="1:14">
      <c r="A1994" s="2">
        <v>1993</v>
      </c>
      <c r="B1994" s="3" t="s">
        <v>7265</v>
      </c>
      <c r="C1994" s="2" t="s">
        <v>7266</v>
      </c>
      <c r="D1994" s="2">
        <v>49</v>
      </c>
      <c r="E1994" s="2">
        <v>52</v>
      </c>
      <c r="F1994" s="2" t="s">
        <v>7267</v>
      </c>
      <c r="H1994" s="2" t="s">
        <v>17</v>
      </c>
      <c r="K1994" s="4">
        <v>21520</v>
      </c>
      <c r="M1994" s="2" t="s">
        <v>185</v>
      </c>
      <c r="N1994" s="2" t="s">
        <v>186</v>
      </c>
    </row>
    <row r="1995" spans="1:14">
      <c r="A1995" s="2">
        <v>1994</v>
      </c>
      <c r="B1995" s="3" t="s">
        <v>7268</v>
      </c>
      <c r="C1995" s="2" t="s">
        <v>7269</v>
      </c>
      <c r="D1995" s="2">
        <v>48</v>
      </c>
      <c r="E1995" s="2">
        <v>52</v>
      </c>
      <c r="F1995" s="2" t="s">
        <v>7270</v>
      </c>
      <c r="H1995" s="2" t="s">
        <v>17</v>
      </c>
      <c r="K1995" s="4">
        <v>18069</v>
      </c>
      <c r="M1995" s="2" t="s">
        <v>53</v>
      </c>
      <c r="N1995" s="2" t="s">
        <v>1697</v>
      </c>
    </row>
    <row r="1996" spans="1:14">
      <c r="A1996" s="2">
        <v>1995</v>
      </c>
      <c r="B1996" s="3" t="s">
        <v>7271</v>
      </c>
      <c r="C1996" s="2" t="s">
        <v>7272</v>
      </c>
      <c r="D1996" s="2">
        <v>46</v>
      </c>
      <c r="E1996" s="2">
        <v>52</v>
      </c>
      <c r="F1996" s="2" t="s">
        <v>7273</v>
      </c>
      <c r="H1996" s="2" t="s">
        <v>17</v>
      </c>
      <c r="K1996" s="4">
        <v>17539</v>
      </c>
      <c r="M1996" s="2" t="s">
        <v>170</v>
      </c>
      <c r="N1996" s="2" t="s">
        <v>323</v>
      </c>
    </row>
    <row r="1997" spans="1:14">
      <c r="A1997" s="2">
        <v>1996</v>
      </c>
      <c r="B1997" s="3" t="s">
        <v>7274</v>
      </c>
      <c r="C1997" s="2" t="s">
        <v>7275</v>
      </c>
      <c r="D1997" s="2">
        <v>49</v>
      </c>
      <c r="E1997" s="2">
        <v>52</v>
      </c>
      <c r="F1997" s="2" t="s">
        <v>7276</v>
      </c>
      <c r="H1997" s="2" t="s">
        <v>17</v>
      </c>
      <c r="K1997" s="4">
        <v>11138</v>
      </c>
      <c r="L1997" s="4">
        <v>42993</v>
      </c>
      <c r="N1997" s="2" t="s">
        <v>7277</v>
      </c>
    </row>
    <row r="1998" spans="1:14">
      <c r="A1998" s="2">
        <v>1997</v>
      </c>
      <c r="B1998" s="3" t="s">
        <v>7278</v>
      </c>
      <c r="C1998" s="2" t="s">
        <v>7279</v>
      </c>
      <c r="D1998" s="2">
        <v>51</v>
      </c>
      <c r="E1998" s="2">
        <v>52</v>
      </c>
      <c r="F1998" s="2" t="s">
        <v>7280</v>
      </c>
      <c r="H1998" s="2" t="s">
        <v>17</v>
      </c>
      <c r="K1998" s="4">
        <v>24286</v>
      </c>
      <c r="M1998" s="2" t="s">
        <v>18</v>
      </c>
      <c r="N1998" s="2" t="s">
        <v>19</v>
      </c>
    </row>
    <row r="1999" spans="1:14">
      <c r="A1999" s="2">
        <v>1998</v>
      </c>
      <c r="B1999" s="3" t="s">
        <v>7281</v>
      </c>
      <c r="C1999" s="2" t="s">
        <v>7282</v>
      </c>
      <c r="D1999" s="2">
        <v>49</v>
      </c>
      <c r="E1999" s="2">
        <v>52</v>
      </c>
      <c r="F1999" s="2" t="s">
        <v>7283</v>
      </c>
      <c r="H1999" s="2" t="s">
        <v>17</v>
      </c>
      <c r="K1999" s="4">
        <v>11859</v>
      </c>
      <c r="M1999" s="2" t="s">
        <v>76</v>
      </c>
      <c r="N1999" s="2" t="s">
        <v>7284</v>
      </c>
    </row>
    <row r="2000" spans="1:14">
      <c r="A2000" s="2">
        <v>1999</v>
      </c>
      <c r="B2000" s="3" t="s">
        <v>7285</v>
      </c>
      <c r="C2000" s="2" t="s">
        <v>7286</v>
      </c>
      <c r="D2000" s="2">
        <v>49</v>
      </c>
      <c r="E2000" s="2">
        <v>52</v>
      </c>
      <c r="F2000" s="2" t="s">
        <v>7287</v>
      </c>
      <c r="H2000" s="2" t="s">
        <v>17</v>
      </c>
      <c r="K2000" s="4">
        <v>16030</v>
      </c>
      <c r="M2000" s="2" t="s">
        <v>85</v>
      </c>
      <c r="N2000" s="2" t="s">
        <v>3689</v>
      </c>
    </row>
    <row r="2001" spans="1:14">
      <c r="A2001" s="2">
        <v>2000</v>
      </c>
      <c r="B2001" s="3" t="s">
        <v>7288</v>
      </c>
      <c r="C2001" s="2" t="s">
        <v>7289</v>
      </c>
      <c r="D2001" s="2">
        <v>52</v>
      </c>
      <c r="E2001" s="2">
        <v>52</v>
      </c>
      <c r="F2001" s="2" t="s">
        <v>7290</v>
      </c>
      <c r="H2001" s="2" t="s">
        <v>17</v>
      </c>
      <c r="K2001" s="4">
        <v>17874</v>
      </c>
      <c r="M2001" s="2" t="s">
        <v>66</v>
      </c>
      <c r="N2001" s="2" t="s">
        <v>71</v>
      </c>
    </row>
    <row r="2002" spans="1:14">
      <c r="A2002" s="2">
        <v>2001</v>
      </c>
      <c r="B2002" s="3" t="s">
        <v>7291</v>
      </c>
      <c r="C2002" s="2" t="s">
        <v>7292</v>
      </c>
      <c r="D2002" s="2">
        <v>51</v>
      </c>
      <c r="E2002" s="2">
        <v>52</v>
      </c>
      <c r="F2002" s="2" t="s">
        <v>7293</v>
      </c>
      <c r="H2002" s="2" t="s">
        <v>17</v>
      </c>
      <c r="K2002" s="4">
        <v>20197</v>
      </c>
      <c r="M2002" s="2" t="s">
        <v>47</v>
      </c>
      <c r="N2002" s="2" t="s">
        <v>708</v>
      </c>
    </row>
    <row r="2003" spans="1:14">
      <c r="A2003" s="2">
        <v>2002</v>
      </c>
      <c r="B2003" s="3" t="s">
        <v>7294</v>
      </c>
      <c r="C2003" s="2" t="s">
        <v>7295</v>
      </c>
      <c r="D2003" s="2">
        <v>52</v>
      </c>
      <c r="E2003" s="2">
        <v>52</v>
      </c>
      <c r="F2003" s="2" t="s">
        <v>7296</v>
      </c>
      <c r="H2003" s="2" t="s">
        <v>17</v>
      </c>
      <c r="K2003" s="4">
        <v>18654</v>
      </c>
      <c r="L2003" s="4">
        <v>38208</v>
      </c>
      <c r="M2003" s="2" t="s">
        <v>164</v>
      </c>
      <c r="N2003" s="2" t="s">
        <v>165</v>
      </c>
    </row>
    <row r="2004" spans="1:14">
      <c r="A2004" s="2">
        <v>2003</v>
      </c>
      <c r="B2004" s="3" t="s">
        <v>7297</v>
      </c>
      <c r="C2004" s="2" t="s">
        <v>7298</v>
      </c>
      <c r="D2004" s="2">
        <v>51</v>
      </c>
      <c r="E2004" s="2">
        <v>52</v>
      </c>
      <c r="F2004" s="2" t="s">
        <v>7299</v>
      </c>
      <c r="H2004" s="2" t="s">
        <v>17</v>
      </c>
      <c r="K2004" s="4">
        <v>19988</v>
      </c>
      <c r="M2004" s="2" t="s">
        <v>170</v>
      </c>
      <c r="N2004" s="2" t="s">
        <v>323</v>
      </c>
    </row>
    <row r="2005" spans="1:14">
      <c r="A2005" s="2">
        <v>2004</v>
      </c>
      <c r="B2005" s="3" t="s">
        <v>7300</v>
      </c>
      <c r="C2005" s="2" t="s">
        <v>7301</v>
      </c>
      <c r="D2005" s="2">
        <v>52</v>
      </c>
      <c r="E2005" s="2">
        <v>52</v>
      </c>
      <c r="F2005" s="2" t="s">
        <v>7302</v>
      </c>
      <c r="H2005" s="2" t="s">
        <v>17</v>
      </c>
      <c r="K2005" s="4">
        <v>21588</v>
      </c>
      <c r="M2005" s="2" t="s">
        <v>170</v>
      </c>
      <c r="N2005" s="2" t="s">
        <v>309</v>
      </c>
    </row>
    <row r="2006" spans="1:14">
      <c r="A2006" s="2">
        <v>2005</v>
      </c>
      <c r="B2006" s="3" t="s">
        <v>7303</v>
      </c>
      <c r="C2006" s="2" t="s">
        <v>7304</v>
      </c>
      <c r="D2006" s="2">
        <v>51</v>
      </c>
      <c r="E2006" s="2">
        <v>52</v>
      </c>
      <c r="F2006" s="2" t="s">
        <v>7305</v>
      </c>
      <c r="H2006" s="2" t="s">
        <v>17</v>
      </c>
      <c r="K2006" s="4">
        <v>19035</v>
      </c>
      <c r="M2006" s="2" t="s">
        <v>170</v>
      </c>
      <c r="N2006" s="2" t="s">
        <v>3133</v>
      </c>
    </row>
    <row r="2007" spans="1:14">
      <c r="A2007" s="2">
        <v>2006</v>
      </c>
      <c r="B2007" s="3" t="s">
        <v>7306</v>
      </c>
      <c r="C2007" s="2" t="s">
        <v>7307</v>
      </c>
      <c r="D2007" s="2">
        <v>50</v>
      </c>
      <c r="E2007" s="2">
        <v>52</v>
      </c>
      <c r="F2007" s="2" t="s">
        <v>7308</v>
      </c>
      <c r="H2007" s="2" t="s">
        <v>17</v>
      </c>
      <c r="K2007" s="4">
        <v>14652</v>
      </c>
      <c r="M2007" s="2" t="s">
        <v>185</v>
      </c>
      <c r="N2007" s="2" t="s">
        <v>7309</v>
      </c>
    </row>
    <row r="2008" spans="1:14">
      <c r="A2008" s="2">
        <v>2007</v>
      </c>
      <c r="B2008" s="3" t="s">
        <v>7310</v>
      </c>
      <c r="C2008" s="2" t="s">
        <v>7311</v>
      </c>
      <c r="D2008" s="2">
        <v>52</v>
      </c>
      <c r="E2008" s="2">
        <v>52</v>
      </c>
      <c r="F2008" s="2" t="s">
        <v>7312</v>
      </c>
      <c r="H2008" s="2" t="s">
        <v>17</v>
      </c>
      <c r="K2008" s="4">
        <v>22253</v>
      </c>
      <c r="M2008" s="2" t="s">
        <v>192</v>
      </c>
      <c r="N2008" s="2" t="s">
        <v>7313</v>
      </c>
    </row>
    <row r="2009" spans="1:14">
      <c r="A2009" s="2">
        <v>2008</v>
      </c>
      <c r="B2009" s="3" t="s">
        <v>7314</v>
      </c>
      <c r="C2009" s="2" t="s">
        <v>7315</v>
      </c>
      <c r="D2009" s="2">
        <v>44</v>
      </c>
      <c r="E2009" s="2">
        <v>52</v>
      </c>
      <c r="F2009" s="2" t="s">
        <v>7316</v>
      </c>
      <c r="H2009" s="2" t="s">
        <v>17</v>
      </c>
      <c r="K2009" s="4">
        <v>14494</v>
      </c>
      <c r="L2009" s="4">
        <v>38698</v>
      </c>
      <c r="M2009" s="2" t="s">
        <v>85</v>
      </c>
      <c r="N2009" s="2" t="s">
        <v>86</v>
      </c>
    </row>
    <row r="2010" spans="1:14">
      <c r="A2010" s="2">
        <v>2009</v>
      </c>
      <c r="B2010" s="3" t="s">
        <v>7317</v>
      </c>
      <c r="C2010" s="2" t="s">
        <v>7318</v>
      </c>
      <c r="D2010" s="2">
        <v>50</v>
      </c>
      <c r="E2010" s="2">
        <v>52</v>
      </c>
      <c r="F2010" s="2" t="s">
        <v>7319</v>
      </c>
      <c r="H2010" s="2" t="s">
        <v>17</v>
      </c>
      <c r="K2010" s="4">
        <v>19914</v>
      </c>
      <c r="M2010" s="2" t="s">
        <v>76</v>
      </c>
      <c r="N2010" s="2" t="s">
        <v>77</v>
      </c>
    </row>
    <row r="2011" spans="1:14">
      <c r="A2011" s="2">
        <v>2010</v>
      </c>
      <c r="B2011" s="3" t="s">
        <v>7320</v>
      </c>
      <c r="C2011" s="2" t="s">
        <v>7321</v>
      </c>
      <c r="D2011" s="2">
        <v>52</v>
      </c>
      <c r="E2011" s="2">
        <v>52</v>
      </c>
      <c r="F2011" s="2" t="s">
        <v>7322</v>
      </c>
      <c r="H2011" s="2" t="s">
        <v>17</v>
      </c>
      <c r="K2011" s="4">
        <v>16475</v>
      </c>
      <c r="M2011" s="2" t="s">
        <v>192</v>
      </c>
      <c r="N2011" s="2" t="s">
        <v>3878</v>
      </c>
    </row>
    <row r="2012" spans="1:14">
      <c r="A2012" s="2">
        <v>2011</v>
      </c>
      <c r="B2012" s="3" t="s">
        <v>7323</v>
      </c>
      <c r="C2012" s="2" t="s">
        <v>7324</v>
      </c>
      <c r="D2012" s="2">
        <v>52</v>
      </c>
      <c r="E2012" s="2">
        <v>52</v>
      </c>
      <c r="F2012" s="2" t="s">
        <v>7325</v>
      </c>
      <c r="H2012" s="2" t="s">
        <v>17</v>
      </c>
      <c r="K2012" s="4">
        <v>23684</v>
      </c>
      <c r="M2012" s="2" t="s">
        <v>40</v>
      </c>
      <c r="N2012" s="2" t="s">
        <v>7326</v>
      </c>
    </row>
    <row r="2013" spans="1:14">
      <c r="A2013" s="2">
        <v>2012</v>
      </c>
      <c r="B2013" s="3" t="s">
        <v>7327</v>
      </c>
      <c r="C2013" s="2" t="s">
        <v>7328</v>
      </c>
      <c r="D2013" s="2">
        <v>48</v>
      </c>
      <c r="E2013" s="2">
        <v>52</v>
      </c>
      <c r="F2013" s="2" t="s">
        <v>7329</v>
      </c>
      <c r="H2013" s="2" t="s">
        <v>17</v>
      </c>
      <c r="K2013" s="4">
        <v>15463</v>
      </c>
      <c r="M2013" s="2" t="s">
        <v>35</v>
      </c>
      <c r="N2013" s="2" t="s">
        <v>58</v>
      </c>
    </row>
    <row r="2014" spans="1:14">
      <c r="A2014" s="2">
        <v>2013</v>
      </c>
      <c r="B2014" s="3" t="s">
        <v>7330</v>
      </c>
      <c r="C2014" s="2" t="s">
        <v>7331</v>
      </c>
      <c r="D2014" s="2">
        <v>52</v>
      </c>
      <c r="E2014" s="2">
        <v>52</v>
      </c>
      <c r="F2014" s="2" t="s">
        <v>7332</v>
      </c>
      <c r="H2014" s="2" t="s">
        <v>17</v>
      </c>
      <c r="K2014" s="4">
        <v>20246</v>
      </c>
      <c r="M2014" s="2" t="s">
        <v>35</v>
      </c>
      <c r="N2014" s="2" t="s">
        <v>238</v>
      </c>
    </row>
    <row r="2015" spans="1:14">
      <c r="A2015" s="2">
        <v>2014</v>
      </c>
      <c r="B2015" s="3" t="s">
        <v>7333</v>
      </c>
      <c r="C2015" s="2" t="s">
        <v>7334</v>
      </c>
      <c r="D2015" s="2">
        <v>47</v>
      </c>
      <c r="E2015" s="2">
        <v>52</v>
      </c>
      <c r="F2015" s="2" t="s">
        <v>7335</v>
      </c>
      <c r="H2015" s="2" t="s">
        <v>17</v>
      </c>
      <c r="K2015" s="4">
        <v>19524</v>
      </c>
      <c r="M2015" s="2" t="s">
        <v>170</v>
      </c>
      <c r="N2015" s="2" t="s">
        <v>1624</v>
      </c>
    </row>
    <row r="2016" spans="1:14">
      <c r="A2016" s="2">
        <v>2015</v>
      </c>
      <c r="B2016" s="3" t="s">
        <v>7336</v>
      </c>
      <c r="C2016" s="2" t="s">
        <v>7337</v>
      </c>
      <c r="D2016" s="2">
        <v>52</v>
      </c>
      <c r="E2016" s="2">
        <v>52</v>
      </c>
      <c r="F2016" s="2" t="s">
        <v>7338</v>
      </c>
      <c r="H2016" s="2" t="s">
        <v>17</v>
      </c>
      <c r="K2016" s="4">
        <v>20937</v>
      </c>
      <c r="L2016" s="4">
        <v>44050</v>
      </c>
      <c r="M2016" s="2" t="s">
        <v>146</v>
      </c>
      <c r="N2016" s="2" t="s">
        <v>147</v>
      </c>
    </row>
    <row r="2017" spans="1:14">
      <c r="A2017" s="2">
        <v>2016</v>
      </c>
      <c r="B2017" s="3" t="s">
        <v>7339</v>
      </c>
      <c r="C2017" s="2" t="s">
        <v>7340</v>
      </c>
      <c r="D2017" s="2">
        <v>50</v>
      </c>
      <c r="E2017" s="2">
        <v>52</v>
      </c>
      <c r="F2017" s="2" t="s">
        <v>7341</v>
      </c>
      <c r="H2017" s="2" t="s">
        <v>17</v>
      </c>
      <c r="K2017" s="4">
        <v>22764</v>
      </c>
      <c r="M2017" s="2" t="s">
        <v>40</v>
      </c>
      <c r="N2017" s="2" t="s">
        <v>7342</v>
      </c>
    </row>
    <row r="2018" spans="1:14">
      <c r="A2018" s="2">
        <v>2017</v>
      </c>
      <c r="B2018" s="3" t="s">
        <v>7343</v>
      </c>
      <c r="C2018" s="2" t="s">
        <v>7344</v>
      </c>
      <c r="D2018" s="2">
        <v>49</v>
      </c>
      <c r="E2018" s="2">
        <v>52</v>
      </c>
      <c r="F2018" s="2" t="s">
        <v>7345</v>
      </c>
      <c r="H2018" s="2" t="s">
        <v>17</v>
      </c>
      <c r="K2018" s="4">
        <v>16923</v>
      </c>
      <c r="M2018" s="2" t="s">
        <v>35</v>
      </c>
      <c r="N2018" s="2" t="s">
        <v>238</v>
      </c>
    </row>
    <row r="2019" spans="1:14">
      <c r="A2019" s="2">
        <v>2018</v>
      </c>
      <c r="B2019" s="3" t="s">
        <v>7346</v>
      </c>
      <c r="C2019" s="2" t="s">
        <v>7347</v>
      </c>
      <c r="D2019" s="2">
        <v>51</v>
      </c>
      <c r="E2019" s="2">
        <v>52</v>
      </c>
      <c r="F2019" s="2" t="s">
        <v>7348</v>
      </c>
      <c r="H2019" s="2" t="s">
        <v>17</v>
      </c>
      <c r="K2019" s="4">
        <v>17846</v>
      </c>
      <c r="M2019" s="2" t="s">
        <v>35</v>
      </c>
      <c r="N2019" s="2" t="s">
        <v>1171</v>
      </c>
    </row>
    <row r="2020" spans="1:14">
      <c r="A2020" s="2">
        <v>2019</v>
      </c>
      <c r="B2020" s="3" t="s">
        <v>7349</v>
      </c>
      <c r="C2020" s="2" t="s">
        <v>7350</v>
      </c>
      <c r="D2020" s="2">
        <v>50</v>
      </c>
      <c r="E2020" s="2">
        <v>52</v>
      </c>
      <c r="F2020" s="2" t="s">
        <v>7351</v>
      </c>
      <c r="H2020" s="2" t="s">
        <v>17</v>
      </c>
      <c r="K2020" s="4">
        <v>19398</v>
      </c>
      <c r="M2020" s="2" t="s">
        <v>85</v>
      </c>
      <c r="N2020" s="2" t="s">
        <v>2563</v>
      </c>
    </row>
    <row r="2021" spans="1:14">
      <c r="A2021" s="2">
        <v>2020</v>
      </c>
      <c r="B2021" s="3" t="s">
        <v>7352</v>
      </c>
      <c r="C2021" s="2" t="s">
        <v>7353</v>
      </c>
      <c r="D2021" s="2">
        <v>48</v>
      </c>
      <c r="E2021" s="2">
        <v>52</v>
      </c>
      <c r="F2021" s="2" t="s">
        <v>7353</v>
      </c>
      <c r="H2021" s="2" t="s">
        <v>17</v>
      </c>
      <c r="K2021" s="4">
        <v>17249</v>
      </c>
      <c r="M2021" s="2" t="s">
        <v>170</v>
      </c>
      <c r="N2021" s="2" t="s">
        <v>323</v>
      </c>
    </row>
    <row r="2022" spans="1:14">
      <c r="A2022" s="2">
        <v>2021</v>
      </c>
      <c r="B2022" s="3" t="s">
        <v>7354</v>
      </c>
      <c r="C2022" s="2" t="s">
        <v>7355</v>
      </c>
      <c r="D2022" s="2">
        <v>52</v>
      </c>
      <c r="E2022" s="2">
        <v>52</v>
      </c>
      <c r="F2022" s="2" t="s">
        <v>7356</v>
      </c>
      <c r="H2022" s="2" t="s">
        <v>17</v>
      </c>
      <c r="K2022" s="4">
        <v>22398</v>
      </c>
      <c r="M2022" s="2" t="s">
        <v>35</v>
      </c>
      <c r="N2022" s="2" t="s">
        <v>5511</v>
      </c>
    </row>
    <row r="2023" spans="1:14">
      <c r="A2023" s="2">
        <v>2022</v>
      </c>
      <c r="B2023" s="3" t="s">
        <v>7357</v>
      </c>
      <c r="C2023" s="2" t="s">
        <v>7358</v>
      </c>
      <c r="D2023" s="2">
        <v>51</v>
      </c>
      <c r="E2023" s="2">
        <v>52</v>
      </c>
      <c r="F2023" s="2" t="s">
        <v>7359</v>
      </c>
      <c r="H2023" s="2" t="s">
        <v>17</v>
      </c>
      <c r="K2023" s="4">
        <v>18376</v>
      </c>
      <c r="M2023" s="2" t="s">
        <v>35</v>
      </c>
      <c r="N2023" s="2" t="s">
        <v>858</v>
      </c>
    </row>
    <row r="2024" spans="1:14">
      <c r="A2024" s="2">
        <v>2023</v>
      </c>
      <c r="B2024" s="3" t="s">
        <v>7360</v>
      </c>
      <c r="C2024" s="2" t="s">
        <v>7361</v>
      </c>
      <c r="D2024" s="2">
        <v>49</v>
      </c>
      <c r="E2024" s="2">
        <v>52</v>
      </c>
      <c r="F2024" s="2" t="s">
        <v>7362</v>
      </c>
      <c r="H2024" s="2" t="s">
        <v>17</v>
      </c>
      <c r="K2024" s="4">
        <v>18550</v>
      </c>
      <c r="M2024" s="2" t="s">
        <v>247</v>
      </c>
      <c r="N2024" s="2" t="s">
        <v>562</v>
      </c>
    </row>
    <row r="2025" spans="1:14">
      <c r="A2025" s="2">
        <v>2024</v>
      </c>
      <c r="B2025" s="3" t="s">
        <v>7363</v>
      </c>
      <c r="C2025" s="2" t="s">
        <v>7364</v>
      </c>
      <c r="D2025" s="2">
        <v>52</v>
      </c>
      <c r="E2025" s="2">
        <v>52</v>
      </c>
      <c r="F2025" s="2" t="s">
        <v>7365</v>
      </c>
      <c r="H2025" s="2" t="s">
        <v>17</v>
      </c>
      <c r="K2025" s="4">
        <v>23429</v>
      </c>
      <c r="M2025" s="2" t="s">
        <v>47</v>
      </c>
      <c r="N2025" s="2" t="s">
        <v>5598</v>
      </c>
    </row>
    <row r="2026" spans="1:14">
      <c r="A2026" s="2">
        <v>2025</v>
      </c>
      <c r="B2026" s="3" t="s">
        <v>7366</v>
      </c>
      <c r="C2026" s="2" t="s">
        <v>7367</v>
      </c>
      <c r="D2026" s="2">
        <v>48</v>
      </c>
      <c r="E2026" s="2">
        <v>52</v>
      </c>
      <c r="F2026" s="2" t="s">
        <v>7368</v>
      </c>
      <c r="H2026" s="2" t="s">
        <v>17</v>
      </c>
      <c r="K2026" s="4">
        <v>19819</v>
      </c>
      <c r="L2026" s="4">
        <v>45169</v>
      </c>
      <c r="M2026" s="2" t="s">
        <v>185</v>
      </c>
      <c r="N2026" s="2" t="s">
        <v>3569</v>
      </c>
    </row>
    <row r="2027" spans="1:14">
      <c r="A2027" s="2">
        <v>2026</v>
      </c>
      <c r="B2027" s="3" t="s">
        <v>7369</v>
      </c>
      <c r="C2027" s="2" t="s">
        <v>7370</v>
      </c>
      <c r="D2027" s="2">
        <v>52</v>
      </c>
      <c r="E2027" s="2">
        <v>52</v>
      </c>
      <c r="F2027" s="2" t="s">
        <v>7371</v>
      </c>
      <c r="H2027" s="2" t="s">
        <v>45</v>
      </c>
      <c r="K2027" s="4">
        <v>17706</v>
      </c>
      <c r="M2027" s="2" t="s">
        <v>66</v>
      </c>
      <c r="N2027" s="2" t="s">
        <v>7372</v>
      </c>
    </row>
    <row r="2028" spans="1:14">
      <c r="A2028" s="2">
        <v>2027</v>
      </c>
      <c r="B2028" s="3" t="s">
        <v>7373</v>
      </c>
      <c r="C2028" s="2" t="s">
        <v>7374</v>
      </c>
      <c r="D2028" s="2">
        <v>50</v>
      </c>
      <c r="E2028" s="2">
        <v>52</v>
      </c>
      <c r="F2028" s="2" t="s">
        <v>7375</v>
      </c>
      <c r="H2028" s="2" t="s">
        <v>17</v>
      </c>
      <c r="K2028" s="4">
        <v>19529</v>
      </c>
      <c r="M2028" s="2" t="s">
        <v>423</v>
      </c>
      <c r="N2028" s="2" t="s">
        <v>7376</v>
      </c>
    </row>
    <row r="2029" spans="1:14">
      <c r="A2029" s="2">
        <v>2028</v>
      </c>
      <c r="B2029" s="3" t="s">
        <v>7377</v>
      </c>
      <c r="C2029" s="2" t="s">
        <v>7378</v>
      </c>
      <c r="D2029" s="2">
        <v>52</v>
      </c>
      <c r="E2029" s="2">
        <v>52</v>
      </c>
      <c r="F2029" s="2" t="s">
        <v>7379</v>
      </c>
      <c r="H2029" s="2" t="s">
        <v>17</v>
      </c>
      <c r="K2029" s="4">
        <v>18291</v>
      </c>
      <c r="M2029" s="2" t="s">
        <v>53</v>
      </c>
      <c r="N2029" s="2" t="s">
        <v>1697</v>
      </c>
    </row>
    <row r="2030" spans="1:14">
      <c r="A2030" s="2">
        <v>2029</v>
      </c>
      <c r="B2030" s="3" t="s">
        <v>7380</v>
      </c>
      <c r="C2030" s="2" t="s">
        <v>7381</v>
      </c>
      <c r="D2030" s="2">
        <v>51</v>
      </c>
      <c r="E2030" s="2">
        <v>52</v>
      </c>
      <c r="F2030" s="2" t="s">
        <v>7382</v>
      </c>
      <c r="H2030" s="2" t="s">
        <v>17</v>
      </c>
      <c r="K2030" s="4">
        <v>20173</v>
      </c>
      <c r="L2030" s="4">
        <v>37744</v>
      </c>
      <c r="M2030" s="2" t="s">
        <v>154</v>
      </c>
      <c r="N2030" s="2" t="s">
        <v>2470</v>
      </c>
    </row>
    <row r="2031" spans="1:14">
      <c r="A2031" s="2">
        <v>2030</v>
      </c>
      <c r="B2031" s="3" t="s">
        <v>7383</v>
      </c>
      <c r="C2031" s="2" t="s">
        <v>7384</v>
      </c>
      <c r="D2031" s="2">
        <v>49</v>
      </c>
      <c r="E2031" s="2">
        <v>52</v>
      </c>
      <c r="F2031" s="2" t="s">
        <v>7385</v>
      </c>
      <c r="H2031" s="2" t="s">
        <v>17</v>
      </c>
      <c r="K2031" s="4">
        <v>17494</v>
      </c>
      <c r="L2031" s="4">
        <v>41239</v>
      </c>
      <c r="M2031" s="2" t="s">
        <v>164</v>
      </c>
      <c r="N2031" s="2" t="s">
        <v>165</v>
      </c>
    </row>
    <row r="2032" spans="1:14">
      <c r="A2032" s="2">
        <v>2031</v>
      </c>
      <c r="B2032" s="3" t="s">
        <v>7386</v>
      </c>
      <c r="C2032" s="2" t="s">
        <v>7387</v>
      </c>
      <c r="D2032" s="2">
        <v>50</v>
      </c>
      <c r="E2032" s="2">
        <v>52</v>
      </c>
      <c r="F2032" s="2" t="s">
        <v>7388</v>
      </c>
      <c r="H2032" s="2" t="s">
        <v>17</v>
      </c>
      <c r="K2032" s="4">
        <v>11310</v>
      </c>
      <c r="L2032" s="4">
        <v>44027</v>
      </c>
      <c r="M2032" s="2" t="s">
        <v>198</v>
      </c>
      <c r="N2032" s="2" t="s">
        <v>7389</v>
      </c>
    </row>
    <row r="2033" spans="1:14">
      <c r="A2033" s="2">
        <v>2032</v>
      </c>
      <c r="B2033" s="3" t="s">
        <v>7390</v>
      </c>
      <c r="C2033" s="2" t="s">
        <v>7391</v>
      </c>
      <c r="D2033" s="2">
        <v>48</v>
      </c>
      <c r="E2033" s="2">
        <v>52</v>
      </c>
      <c r="F2033" s="2" t="s">
        <v>7392</v>
      </c>
      <c r="H2033" s="2" t="s">
        <v>17</v>
      </c>
      <c r="K2033" s="4">
        <v>16383</v>
      </c>
      <c r="L2033" s="4">
        <v>43459</v>
      </c>
      <c r="M2033" s="2" t="s">
        <v>170</v>
      </c>
      <c r="N2033" s="2" t="s">
        <v>171</v>
      </c>
    </row>
    <row r="2034" spans="1:14">
      <c r="A2034" s="2">
        <v>2033</v>
      </c>
      <c r="B2034" s="3" t="s">
        <v>7393</v>
      </c>
      <c r="C2034" s="2" t="s">
        <v>7394</v>
      </c>
      <c r="D2034" s="2">
        <v>52</v>
      </c>
      <c r="E2034" s="2">
        <v>52</v>
      </c>
      <c r="F2034" s="2" t="s">
        <v>7395</v>
      </c>
      <c r="H2034" s="2" t="s">
        <v>17</v>
      </c>
      <c r="K2034" s="4">
        <v>19116</v>
      </c>
      <c r="M2034" s="2" t="s">
        <v>140</v>
      </c>
      <c r="N2034" s="2" t="s">
        <v>2669</v>
      </c>
    </row>
    <row r="2035" spans="1:14">
      <c r="A2035" s="2">
        <v>2034</v>
      </c>
      <c r="B2035" s="3" t="s">
        <v>7396</v>
      </c>
      <c r="C2035" s="2" t="s">
        <v>7397</v>
      </c>
      <c r="D2035" s="2">
        <v>49</v>
      </c>
      <c r="E2035" s="2">
        <v>52</v>
      </c>
      <c r="F2035" s="2" t="s">
        <v>7398</v>
      </c>
      <c r="H2035" s="2" t="s">
        <v>45</v>
      </c>
      <c r="K2035" s="4">
        <v>19005</v>
      </c>
      <c r="M2035" s="2" t="s">
        <v>53</v>
      </c>
      <c r="N2035" s="2" t="s">
        <v>5190</v>
      </c>
    </row>
    <row r="2036" spans="1:14">
      <c r="A2036" s="2">
        <v>2035</v>
      </c>
      <c r="B2036" s="3" t="s">
        <v>7399</v>
      </c>
      <c r="C2036" s="2" t="s">
        <v>7400</v>
      </c>
      <c r="D2036" s="2">
        <v>52</v>
      </c>
      <c r="E2036" s="2">
        <v>52</v>
      </c>
      <c r="F2036" s="2" t="s">
        <v>7401</v>
      </c>
      <c r="H2036" s="2" t="s">
        <v>45</v>
      </c>
      <c r="K2036" s="4">
        <v>19493</v>
      </c>
      <c r="M2036" s="2" t="s">
        <v>662</v>
      </c>
      <c r="N2036" s="2" t="s">
        <v>663</v>
      </c>
    </row>
    <row r="2037" spans="1:14">
      <c r="A2037" s="2">
        <v>2036</v>
      </c>
      <c r="B2037" s="3" t="s">
        <v>7402</v>
      </c>
      <c r="C2037" s="2" t="s">
        <v>7403</v>
      </c>
      <c r="D2037" s="2">
        <v>52</v>
      </c>
      <c r="E2037" s="2">
        <v>52</v>
      </c>
      <c r="F2037" s="2" t="s">
        <v>7404</v>
      </c>
      <c r="H2037" s="2" t="s">
        <v>45</v>
      </c>
      <c r="K2037" s="4">
        <v>20391</v>
      </c>
      <c r="M2037" s="2" t="s">
        <v>185</v>
      </c>
      <c r="N2037" s="2" t="s">
        <v>7405</v>
      </c>
    </row>
    <row r="2038" spans="1:14">
      <c r="A2038" s="2">
        <v>2037</v>
      </c>
      <c r="B2038" s="3" t="s">
        <v>7406</v>
      </c>
      <c r="C2038" s="2" t="s">
        <v>7407</v>
      </c>
      <c r="D2038" s="2">
        <v>50</v>
      </c>
      <c r="E2038" s="2">
        <v>52</v>
      </c>
      <c r="F2038" s="2" t="s">
        <v>7408</v>
      </c>
      <c r="H2038" s="2" t="s">
        <v>45</v>
      </c>
      <c r="K2038" s="4">
        <v>21021</v>
      </c>
      <c r="M2038" s="2" t="s">
        <v>47</v>
      </c>
      <c r="N2038" s="2" t="s">
        <v>7409</v>
      </c>
    </row>
    <row r="2039" spans="1:14">
      <c r="A2039" s="2">
        <v>2038</v>
      </c>
      <c r="B2039" s="3" t="s">
        <v>7410</v>
      </c>
      <c r="C2039" s="2" t="s">
        <v>7411</v>
      </c>
      <c r="D2039" s="2">
        <v>52</v>
      </c>
      <c r="E2039" s="2">
        <v>52</v>
      </c>
      <c r="F2039" s="2" t="s">
        <v>7412</v>
      </c>
      <c r="H2039" s="2" t="s">
        <v>45</v>
      </c>
      <c r="K2039" s="4">
        <v>14916</v>
      </c>
      <c r="M2039" s="2" t="s">
        <v>53</v>
      </c>
      <c r="N2039" s="2" t="s">
        <v>686</v>
      </c>
    </row>
    <row r="2040" spans="1:14">
      <c r="A2040" s="2">
        <v>2039</v>
      </c>
      <c r="B2040" s="3" t="s">
        <v>7413</v>
      </c>
      <c r="C2040" s="2" t="s">
        <v>7414</v>
      </c>
      <c r="D2040" s="2">
        <v>52</v>
      </c>
      <c r="E2040" s="2">
        <v>52</v>
      </c>
      <c r="F2040" s="2" t="s">
        <v>7415</v>
      </c>
      <c r="H2040" s="2" t="s">
        <v>17</v>
      </c>
      <c r="K2040" s="4">
        <v>21616</v>
      </c>
      <c r="M2040" s="2" t="s">
        <v>35</v>
      </c>
      <c r="N2040" s="2" t="s">
        <v>5201</v>
      </c>
    </row>
    <row r="2041" spans="1:14">
      <c r="A2041" s="2">
        <v>2040</v>
      </c>
      <c r="B2041" s="3" t="s">
        <v>7416</v>
      </c>
      <c r="C2041" s="2" t="s">
        <v>7417</v>
      </c>
      <c r="D2041" s="2">
        <v>49</v>
      </c>
      <c r="E2041" s="2">
        <v>52</v>
      </c>
      <c r="F2041" s="2" t="s">
        <v>7418</v>
      </c>
      <c r="H2041" s="2" t="s">
        <v>17</v>
      </c>
      <c r="K2041" s="4">
        <v>19755</v>
      </c>
      <c r="M2041" s="2" t="s">
        <v>24</v>
      </c>
      <c r="N2041" s="2" t="s">
        <v>25</v>
      </c>
    </row>
    <row r="2042" spans="1:14">
      <c r="A2042" s="2">
        <v>2041</v>
      </c>
      <c r="B2042" s="3" t="s">
        <v>7419</v>
      </c>
      <c r="C2042" s="2" t="s">
        <v>7420</v>
      </c>
      <c r="D2042" s="2">
        <v>52</v>
      </c>
      <c r="E2042" s="2">
        <v>52</v>
      </c>
      <c r="F2042" s="2" t="s">
        <v>7421</v>
      </c>
      <c r="H2042" s="2" t="s">
        <v>17</v>
      </c>
      <c r="K2042" s="4">
        <v>16739</v>
      </c>
      <c r="M2042" s="2" t="s">
        <v>170</v>
      </c>
      <c r="N2042" s="2" t="s">
        <v>323</v>
      </c>
    </row>
    <row r="2043" spans="1:14">
      <c r="A2043" s="2">
        <v>2042</v>
      </c>
      <c r="B2043" s="3" t="s">
        <v>7422</v>
      </c>
      <c r="C2043" s="2" t="s">
        <v>7423</v>
      </c>
      <c r="D2043" s="2">
        <v>50</v>
      </c>
      <c r="E2043" s="2">
        <v>52</v>
      </c>
      <c r="F2043" s="2" t="s">
        <v>7424</v>
      </c>
      <c r="H2043" s="2" t="s">
        <v>17</v>
      </c>
      <c r="K2043" s="4">
        <v>15536</v>
      </c>
      <c r="M2043" s="2" t="s">
        <v>47</v>
      </c>
      <c r="N2043" s="2" t="s">
        <v>691</v>
      </c>
    </row>
    <row r="2044" spans="1:14">
      <c r="A2044" s="2">
        <v>2043</v>
      </c>
      <c r="B2044" s="3" t="s">
        <v>7425</v>
      </c>
      <c r="C2044" s="2" t="s">
        <v>7426</v>
      </c>
      <c r="D2044" s="2">
        <v>52</v>
      </c>
      <c r="E2044" s="2">
        <v>52</v>
      </c>
      <c r="F2044" s="2" t="s">
        <v>7426</v>
      </c>
      <c r="H2044" s="2" t="s">
        <v>17</v>
      </c>
      <c r="K2044" s="4">
        <v>18533</v>
      </c>
    </row>
    <row r="2045" spans="1:14">
      <c r="A2045" s="2">
        <v>2044</v>
      </c>
      <c r="B2045" s="3" t="s">
        <v>7427</v>
      </c>
      <c r="C2045" s="2" t="s">
        <v>7428</v>
      </c>
      <c r="D2045" s="2">
        <v>52</v>
      </c>
      <c r="E2045" s="2">
        <v>52</v>
      </c>
      <c r="F2045" s="2" t="s">
        <v>7429</v>
      </c>
      <c r="H2045" s="2" t="s">
        <v>17</v>
      </c>
      <c r="K2045" s="4">
        <v>21737</v>
      </c>
      <c r="M2045" s="2" t="s">
        <v>40</v>
      </c>
      <c r="N2045" s="2" t="s">
        <v>7430</v>
      </c>
    </row>
    <row r="2046" spans="1:14">
      <c r="A2046" s="2">
        <v>2045</v>
      </c>
      <c r="B2046" s="3" t="s">
        <v>7431</v>
      </c>
      <c r="C2046" s="2" t="s">
        <v>7432</v>
      </c>
      <c r="D2046" s="2">
        <v>52</v>
      </c>
      <c r="E2046" s="2">
        <v>52</v>
      </c>
      <c r="F2046" s="2" t="s">
        <v>7433</v>
      </c>
      <c r="H2046" s="2" t="s">
        <v>17</v>
      </c>
      <c r="K2046" s="4">
        <v>21742</v>
      </c>
      <c r="M2046" s="2" t="s">
        <v>154</v>
      </c>
      <c r="N2046" s="2" t="s">
        <v>2478</v>
      </c>
    </row>
    <row r="2047" spans="1:14">
      <c r="A2047" s="2">
        <v>2046</v>
      </c>
      <c r="B2047" s="3" t="s">
        <v>7434</v>
      </c>
      <c r="C2047" s="2" t="s">
        <v>7435</v>
      </c>
      <c r="D2047" s="2">
        <v>49</v>
      </c>
      <c r="E2047" s="2">
        <v>52</v>
      </c>
      <c r="F2047" s="2" t="s">
        <v>7435</v>
      </c>
      <c r="H2047" s="2" t="s">
        <v>17</v>
      </c>
      <c r="K2047" s="4">
        <v>18751</v>
      </c>
      <c r="N2047" s="2" t="s">
        <v>7436</v>
      </c>
    </row>
    <row r="2048" spans="1:14">
      <c r="A2048" s="2">
        <v>2047</v>
      </c>
      <c r="B2048" s="3" t="s">
        <v>7437</v>
      </c>
      <c r="C2048" s="2" t="s">
        <v>7438</v>
      </c>
      <c r="D2048" s="2">
        <v>47</v>
      </c>
      <c r="E2048" s="2">
        <v>52</v>
      </c>
      <c r="F2048" s="2" t="s">
        <v>7439</v>
      </c>
      <c r="H2048" s="2" t="s">
        <v>17</v>
      </c>
      <c r="K2048" s="4">
        <v>16117</v>
      </c>
      <c r="M2048" s="2" t="s">
        <v>185</v>
      </c>
      <c r="N2048" s="2" t="s">
        <v>7440</v>
      </c>
    </row>
    <row r="2049" spans="1:14">
      <c r="A2049" s="2">
        <v>2048</v>
      </c>
      <c r="B2049" s="3" t="s">
        <v>7441</v>
      </c>
      <c r="C2049" s="2" t="s">
        <v>7442</v>
      </c>
      <c r="D2049" s="2">
        <v>52</v>
      </c>
      <c r="E2049" s="2">
        <v>52</v>
      </c>
      <c r="F2049" s="2" t="s">
        <v>7442</v>
      </c>
      <c r="H2049" s="2" t="s">
        <v>17</v>
      </c>
      <c r="K2049" s="4">
        <v>14086</v>
      </c>
      <c r="L2049" s="4">
        <v>43665</v>
      </c>
      <c r="M2049" s="2" t="s">
        <v>47</v>
      </c>
      <c r="N2049" s="2" t="s">
        <v>48</v>
      </c>
    </row>
    <row r="2050" spans="1:14">
      <c r="A2050" s="2">
        <v>2049</v>
      </c>
      <c r="B2050" s="3" t="s">
        <v>7443</v>
      </c>
      <c r="C2050" s="2" t="s">
        <v>7444</v>
      </c>
      <c r="D2050" s="2">
        <v>51</v>
      </c>
      <c r="E2050" s="2">
        <v>52</v>
      </c>
      <c r="F2050" s="2" t="s">
        <v>7445</v>
      </c>
      <c r="H2050" s="2" t="s">
        <v>17</v>
      </c>
      <c r="K2050" s="4">
        <v>20737</v>
      </c>
      <c r="M2050" s="2" t="s">
        <v>170</v>
      </c>
      <c r="N2050" s="2" t="s">
        <v>323</v>
      </c>
    </row>
    <row r="2051" spans="1:14">
      <c r="A2051" s="2">
        <v>2050</v>
      </c>
      <c r="B2051" s="3" t="s">
        <v>7446</v>
      </c>
      <c r="C2051" s="2" t="s">
        <v>7447</v>
      </c>
      <c r="D2051" s="2">
        <v>52</v>
      </c>
      <c r="E2051" s="2">
        <v>52</v>
      </c>
      <c r="F2051" s="2" t="s">
        <v>7448</v>
      </c>
      <c r="H2051" s="2" t="s">
        <v>17</v>
      </c>
      <c r="K2051" s="4">
        <v>18758</v>
      </c>
      <c r="M2051" s="2" t="s">
        <v>53</v>
      </c>
      <c r="N2051" s="2" t="s">
        <v>847</v>
      </c>
    </row>
    <row r="2052" spans="1:14">
      <c r="A2052" s="2">
        <v>2051</v>
      </c>
      <c r="B2052" s="3" t="s">
        <v>7449</v>
      </c>
      <c r="C2052" s="2" t="s">
        <v>7450</v>
      </c>
      <c r="D2052" s="2">
        <v>50</v>
      </c>
      <c r="E2052" s="2">
        <v>52</v>
      </c>
      <c r="F2052" s="2" t="s">
        <v>7451</v>
      </c>
      <c r="H2052" s="2" t="s">
        <v>17</v>
      </c>
      <c r="K2052" s="4">
        <v>16739</v>
      </c>
      <c r="M2052" s="2" t="s">
        <v>66</v>
      </c>
      <c r="N2052" s="2" t="s">
        <v>7054</v>
      </c>
    </row>
    <row r="2053" spans="1:14">
      <c r="A2053" s="2">
        <v>2052</v>
      </c>
      <c r="B2053" s="3" t="s">
        <v>7452</v>
      </c>
      <c r="C2053" s="2" t="s">
        <v>7453</v>
      </c>
      <c r="D2053" s="2">
        <v>51</v>
      </c>
      <c r="E2053" s="2">
        <v>52</v>
      </c>
      <c r="F2053" s="2" t="s">
        <v>7454</v>
      </c>
      <c r="H2053" s="2" t="s">
        <v>17</v>
      </c>
      <c r="K2053" s="4">
        <v>22519</v>
      </c>
      <c r="M2053" s="2" t="s">
        <v>47</v>
      </c>
      <c r="N2053" s="2" t="s">
        <v>1723</v>
      </c>
    </row>
    <row r="2054" spans="1:14">
      <c r="A2054" s="2">
        <v>2053</v>
      </c>
      <c r="B2054" s="3" t="s">
        <v>7455</v>
      </c>
      <c r="C2054" s="2" t="s">
        <v>7456</v>
      </c>
      <c r="D2054" s="2">
        <v>51</v>
      </c>
      <c r="E2054" s="2">
        <v>52</v>
      </c>
      <c r="F2054" s="2" t="s">
        <v>7457</v>
      </c>
      <c r="H2054" s="2" t="s">
        <v>17</v>
      </c>
      <c r="K2054" s="4">
        <v>19374</v>
      </c>
      <c r="M2054" s="2" t="s">
        <v>47</v>
      </c>
      <c r="N2054" s="2" t="s">
        <v>7458</v>
      </c>
    </row>
    <row r="2055" spans="1:14">
      <c r="A2055" s="2">
        <v>2054</v>
      </c>
      <c r="B2055" s="3" t="s">
        <v>7459</v>
      </c>
      <c r="C2055" s="2" t="s">
        <v>7460</v>
      </c>
      <c r="D2055" s="2">
        <v>52</v>
      </c>
      <c r="E2055" s="2">
        <v>52</v>
      </c>
      <c r="F2055" s="2" t="s">
        <v>7461</v>
      </c>
      <c r="H2055" s="2" t="s">
        <v>17</v>
      </c>
      <c r="K2055" s="4">
        <v>12821</v>
      </c>
      <c r="L2055" s="4">
        <v>43023</v>
      </c>
      <c r="M2055" s="2" t="s">
        <v>47</v>
      </c>
      <c r="N2055" s="2" t="s">
        <v>48</v>
      </c>
    </row>
    <row r="2056" spans="1:14">
      <c r="A2056" s="2">
        <v>2055</v>
      </c>
      <c r="B2056" s="3" t="s">
        <v>7462</v>
      </c>
      <c r="C2056" s="2" t="s">
        <v>7463</v>
      </c>
      <c r="D2056" s="2">
        <v>52</v>
      </c>
      <c r="E2056" s="2">
        <v>52</v>
      </c>
      <c r="F2056" s="2" t="s">
        <v>7464</v>
      </c>
      <c r="H2056" s="2" t="s">
        <v>17</v>
      </c>
      <c r="K2056" s="4">
        <v>17106</v>
      </c>
      <c r="M2056" s="2" t="s">
        <v>185</v>
      </c>
      <c r="N2056" s="2" t="s">
        <v>7465</v>
      </c>
    </row>
    <row r="2057" spans="1:14">
      <c r="A2057" s="2">
        <v>2056</v>
      </c>
      <c r="B2057" s="3" t="s">
        <v>7466</v>
      </c>
      <c r="C2057" s="2" t="s">
        <v>7467</v>
      </c>
      <c r="D2057" s="2">
        <v>52</v>
      </c>
      <c r="E2057" s="2">
        <v>52</v>
      </c>
      <c r="F2057" s="2" t="s">
        <v>7468</v>
      </c>
      <c r="H2057" s="2" t="s">
        <v>45</v>
      </c>
      <c r="K2057" s="4">
        <v>16431</v>
      </c>
      <c r="M2057" s="2" t="s">
        <v>40</v>
      </c>
      <c r="N2057" s="2" t="s">
        <v>6175</v>
      </c>
    </row>
    <row r="2058" spans="1:14">
      <c r="A2058" s="2">
        <v>2057</v>
      </c>
      <c r="B2058" s="3" t="s">
        <v>7469</v>
      </c>
      <c r="C2058" s="2" t="s">
        <v>7470</v>
      </c>
      <c r="D2058" s="2">
        <v>52</v>
      </c>
      <c r="E2058" s="2">
        <v>52</v>
      </c>
      <c r="F2058" s="2" t="s">
        <v>7471</v>
      </c>
      <c r="H2058" s="2" t="s">
        <v>17</v>
      </c>
      <c r="K2058" s="4">
        <v>25126</v>
      </c>
      <c r="M2058" s="2" t="s">
        <v>247</v>
      </c>
      <c r="N2058" s="2" t="s">
        <v>7472</v>
      </c>
    </row>
    <row r="2059" spans="1:14">
      <c r="A2059" s="2">
        <v>2058</v>
      </c>
      <c r="B2059" s="3" t="s">
        <v>7473</v>
      </c>
      <c r="C2059" s="2" t="s">
        <v>7474</v>
      </c>
      <c r="D2059" s="2">
        <v>50</v>
      </c>
      <c r="E2059" s="2">
        <v>52</v>
      </c>
      <c r="F2059" s="2" t="s">
        <v>7475</v>
      </c>
      <c r="H2059" s="2" t="s">
        <v>45</v>
      </c>
      <c r="K2059" s="4">
        <v>16028</v>
      </c>
      <c r="M2059" s="2" t="s">
        <v>47</v>
      </c>
      <c r="N2059" s="2" t="s">
        <v>4680</v>
      </c>
    </row>
    <row r="2060" spans="1:14">
      <c r="A2060" s="2">
        <v>2059</v>
      </c>
      <c r="B2060" s="3" t="s">
        <v>7476</v>
      </c>
      <c r="C2060" s="2" t="s">
        <v>7477</v>
      </c>
      <c r="D2060" s="2">
        <v>50</v>
      </c>
      <c r="E2060" s="2">
        <v>51</v>
      </c>
      <c r="F2060" s="2" t="s">
        <v>7478</v>
      </c>
      <c r="H2060" s="2" t="s">
        <v>17</v>
      </c>
      <c r="K2060" s="4">
        <v>23831</v>
      </c>
      <c r="M2060" s="2" t="s">
        <v>91</v>
      </c>
      <c r="N2060" s="2" t="s">
        <v>677</v>
      </c>
    </row>
    <row r="2061" spans="1:14">
      <c r="A2061" s="2">
        <v>2060</v>
      </c>
      <c r="B2061" s="3" t="s">
        <v>7479</v>
      </c>
      <c r="C2061" s="2" t="s">
        <v>7480</v>
      </c>
      <c r="D2061" s="2">
        <v>50</v>
      </c>
      <c r="E2061" s="2">
        <v>51</v>
      </c>
      <c r="F2061" s="2" t="s">
        <v>7481</v>
      </c>
      <c r="H2061" s="2" t="s">
        <v>17</v>
      </c>
      <c r="K2061" s="4">
        <v>15978</v>
      </c>
      <c r="M2061" s="2" t="s">
        <v>35</v>
      </c>
      <c r="N2061" s="2" t="s">
        <v>6348</v>
      </c>
    </row>
    <row r="2062" spans="1:14">
      <c r="A2062" s="2">
        <v>2061</v>
      </c>
      <c r="B2062" s="3" t="s">
        <v>7482</v>
      </c>
      <c r="C2062" s="2" t="s">
        <v>7483</v>
      </c>
      <c r="D2062" s="2">
        <v>51</v>
      </c>
      <c r="E2062" s="2">
        <v>51</v>
      </c>
      <c r="F2062" s="2" t="s">
        <v>7484</v>
      </c>
      <c r="H2062" s="2" t="s">
        <v>17</v>
      </c>
      <c r="K2062" s="4">
        <v>16355</v>
      </c>
      <c r="M2062" s="2" t="s">
        <v>85</v>
      </c>
      <c r="N2062" s="2" t="s">
        <v>86</v>
      </c>
    </row>
    <row r="2063" spans="1:14">
      <c r="A2063" s="2">
        <v>2062</v>
      </c>
      <c r="B2063" s="3" t="s">
        <v>7485</v>
      </c>
      <c r="C2063" s="2" t="s">
        <v>7486</v>
      </c>
      <c r="D2063" s="2">
        <v>48</v>
      </c>
      <c r="E2063" s="2">
        <v>51</v>
      </c>
      <c r="F2063" s="2" t="s">
        <v>7487</v>
      </c>
      <c r="H2063" s="2" t="s">
        <v>17</v>
      </c>
      <c r="K2063" s="4">
        <v>12887</v>
      </c>
      <c r="L2063" s="4">
        <v>42746</v>
      </c>
      <c r="M2063" s="2" t="s">
        <v>66</v>
      </c>
      <c r="N2063" s="2" t="s">
        <v>3262</v>
      </c>
    </row>
    <row r="2064" spans="1:14">
      <c r="A2064" s="2">
        <v>2063</v>
      </c>
      <c r="B2064" s="3" t="s">
        <v>7488</v>
      </c>
      <c r="C2064" s="2" t="s">
        <v>7489</v>
      </c>
      <c r="D2064" s="2">
        <v>51</v>
      </c>
      <c r="E2064" s="2">
        <v>51</v>
      </c>
      <c r="F2064" s="2" t="s">
        <v>7490</v>
      </c>
      <c r="H2064" s="2" t="s">
        <v>17</v>
      </c>
      <c r="K2064" s="4">
        <v>23501</v>
      </c>
      <c r="M2064" s="2" t="s">
        <v>154</v>
      </c>
      <c r="N2064" s="2" t="s">
        <v>5982</v>
      </c>
    </row>
    <row r="2065" spans="1:14">
      <c r="A2065" s="2">
        <v>2064</v>
      </c>
      <c r="B2065" s="3" t="s">
        <v>7491</v>
      </c>
      <c r="C2065" s="2" t="s">
        <v>7492</v>
      </c>
      <c r="D2065" s="2">
        <v>50</v>
      </c>
      <c r="E2065" s="2">
        <v>51</v>
      </c>
      <c r="F2065" s="2" t="s">
        <v>7493</v>
      </c>
      <c r="H2065" s="2" t="s">
        <v>17</v>
      </c>
      <c r="K2065" s="4">
        <v>18551</v>
      </c>
      <c r="M2065" s="2" t="s">
        <v>66</v>
      </c>
      <c r="N2065" s="2" t="s">
        <v>1561</v>
      </c>
    </row>
    <row r="2066" spans="1:14">
      <c r="A2066" s="2">
        <v>2065</v>
      </c>
      <c r="B2066" s="3" t="s">
        <v>7494</v>
      </c>
      <c r="C2066" s="2" t="s">
        <v>7495</v>
      </c>
      <c r="D2066" s="2">
        <v>46</v>
      </c>
      <c r="E2066" s="2">
        <v>51</v>
      </c>
      <c r="F2066" s="2" t="s">
        <v>7496</v>
      </c>
      <c r="H2066" s="2" t="s">
        <v>17</v>
      </c>
      <c r="K2066" s="4">
        <v>15247</v>
      </c>
      <c r="L2066" s="4">
        <v>40291</v>
      </c>
      <c r="M2066" s="2" t="s">
        <v>146</v>
      </c>
      <c r="N2066" s="2" t="s">
        <v>7497</v>
      </c>
    </row>
    <row r="2067" spans="1:14">
      <c r="A2067" s="2">
        <v>2066</v>
      </c>
      <c r="B2067" s="3" t="s">
        <v>7498</v>
      </c>
      <c r="C2067" s="2" t="s">
        <v>7499</v>
      </c>
      <c r="D2067" s="2">
        <v>50</v>
      </c>
      <c r="E2067" s="2">
        <v>51</v>
      </c>
      <c r="F2067" s="2" t="s">
        <v>7500</v>
      </c>
      <c r="H2067" s="2" t="s">
        <v>45</v>
      </c>
      <c r="K2067" s="4">
        <v>19916</v>
      </c>
      <c r="M2067" s="2" t="s">
        <v>170</v>
      </c>
      <c r="N2067" s="2" t="s">
        <v>385</v>
      </c>
    </row>
    <row r="2068" spans="1:14">
      <c r="A2068" s="2">
        <v>2067</v>
      </c>
      <c r="B2068" s="3" t="s">
        <v>7501</v>
      </c>
      <c r="C2068" s="2" t="s">
        <v>7502</v>
      </c>
      <c r="D2068" s="2">
        <v>47</v>
      </c>
      <c r="E2068" s="2">
        <v>51</v>
      </c>
      <c r="F2068" s="2" t="s">
        <v>7503</v>
      </c>
      <c r="H2068" s="2" t="s">
        <v>17</v>
      </c>
      <c r="K2068" s="4">
        <v>14234</v>
      </c>
      <c r="M2068" s="2" t="s">
        <v>53</v>
      </c>
      <c r="N2068" s="2" t="s">
        <v>1697</v>
      </c>
    </row>
    <row r="2069" spans="1:14">
      <c r="A2069" s="2">
        <v>2068</v>
      </c>
      <c r="B2069" s="3" t="s">
        <v>7504</v>
      </c>
      <c r="C2069" s="2" t="s">
        <v>7505</v>
      </c>
      <c r="D2069" s="2">
        <v>49</v>
      </c>
      <c r="E2069" s="2">
        <v>51</v>
      </c>
      <c r="F2069" s="2" t="s">
        <v>7506</v>
      </c>
      <c r="H2069" s="2" t="s">
        <v>17</v>
      </c>
      <c r="K2069" s="4">
        <v>19857</v>
      </c>
      <c r="M2069" s="2" t="s">
        <v>47</v>
      </c>
      <c r="N2069" s="2" t="s">
        <v>691</v>
      </c>
    </row>
    <row r="2070" spans="1:14">
      <c r="A2070" s="2">
        <v>2069</v>
      </c>
      <c r="B2070" s="3" t="s">
        <v>7507</v>
      </c>
      <c r="C2070" s="2" t="s">
        <v>7508</v>
      </c>
      <c r="D2070" s="2">
        <v>45</v>
      </c>
      <c r="E2070" s="2">
        <v>51</v>
      </c>
      <c r="F2070" s="2" t="s">
        <v>7508</v>
      </c>
      <c r="H2070" s="2" t="s">
        <v>17</v>
      </c>
      <c r="K2070" s="4">
        <v>14895</v>
      </c>
      <c r="L2070" s="4">
        <v>39392</v>
      </c>
      <c r="M2070" s="2" t="s">
        <v>91</v>
      </c>
      <c r="N2070" s="2" t="s">
        <v>5401</v>
      </c>
    </row>
    <row r="2071" spans="1:14">
      <c r="A2071" s="2">
        <v>2070</v>
      </c>
      <c r="B2071" s="3" t="s">
        <v>7509</v>
      </c>
      <c r="C2071" s="2" t="s">
        <v>7510</v>
      </c>
      <c r="D2071" s="2">
        <v>50</v>
      </c>
      <c r="E2071" s="2">
        <v>51</v>
      </c>
      <c r="F2071" s="2" t="s">
        <v>7511</v>
      </c>
      <c r="H2071" s="2" t="s">
        <v>17</v>
      </c>
      <c r="K2071" s="4">
        <v>20874</v>
      </c>
      <c r="M2071" s="2" t="s">
        <v>76</v>
      </c>
      <c r="N2071" s="2" t="s">
        <v>77</v>
      </c>
    </row>
    <row r="2072" spans="1:14">
      <c r="A2072" s="2">
        <v>2071</v>
      </c>
      <c r="B2072" s="3" t="s">
        <v>7512</v>
      </c>
      <c r="C2072" s="2" t="s">
        <v>7513</v>
      </c>
      <c r="D2072" s="2">
        <v>50</v>
      </c>
      <c r="E2072" s="2">
        <v>51</v>
      </c>
      <c r="F2072" s="2" t="s">
        <v>7514</v>
      </c>
      <c r="H2072" s="2" t="s">
        <v>45</v>
      </c>
      <c r="K2072" s="4">
        <v>17876</v>
      </c>
      <c r="M2072" s="2" t="s">
        <v>170</v>
      </c>
      <c r="N2072" s="2" t="s">
        <v>323</v>
      </c>
    </row>
    <row r="2073" spans="1:14">
      <c r="A2073" s="2">
        <v>2072</v>
      </c>
      <c r="B2073" s="3" t="s">
        <v>7515</v>
      </c>
      <c r="C2073" s="2" t="s">
        <v>7516</v>
      </c>
      <c r="D2073" s="2">
        <v>51</v>
      </c>
      <c r="E2073" s="2">
        <v>51</v>
      </c>
      <c r="F2073" s="2" t="s">
        <v>7517</v>
      </c>
      <c r="H2073" s="2" t="s">
        <v>45</v>
      </c>
      <c r="K2073" s="4">
        <v>21473</v>
      </c>
      <c r="M2073" s="2" t="s">
        <v>66</v>
      </c>
      <c r="N2073" s="2" t="s">
        <v>730</v>
      </c>
    </row>
    <row r="2074" spans="1:14">
      <c r="A2074" s="2">
        <v>2073</v>
      </c>
      <c r="B2074" s="3" t="s">
        <v>7518</v>
      </c>
      <c r="C2074" s="2" t="s">
        <v>7519</v>
      </c>
      <c r="D2074" s="2">
        <v>49</v>
      </c>
      <c r="E2074" s="2">
        <v>51</v>
      </c>
      <c r="F2074" s="2" t="s">
        <v>7519</v>
      </c>
      <c r="H2074" s="2" t="s">
        <v>17</v>
      </c>
      <c r="K2074" s="4">
        <v>13680</v>
      </c>
      <c r="M2074" s="2" t="s">
        <v>47</v>
      </c>
      <c r="N2074" s="2" t="s">
        <v>3278</v>
      </c>
    </row>
    <row r="2075" spans="1:14">
      <c r="A2075" s="2">
        <v>2074</v>
      </c>
      <c r="B2075" s="3" t="s">
        <v>7520</v>
      </c>
      <c r="C2075" s="2" t="s">
        <v>7521</v>
      </c>
      <c r="D2075" s="2">
        <v>40</v>
      </c>
      <c r="E2075" s="2">
        <v>51</v>
      </c>
      <c r="F2075" s="2" t="s">
        <v>7521</v>
      </c>
      <c r="H2075" s="2" t="s">
        <v>17</v>
      </c>
      <c r="K2075" s="4">
        <v>9117</v>
      </c>
      <c r="L2075" s="4">
        <v>43263</v>
      </c>
      <c r="M2075" s="2" t="s">
        <v>423</v>
      </c>
      <c r="N2075" s="2" t="s">
        <v>3942</v>
      </c>
    </row>
    <row r="2076" spans="1:14">
      <c r="A2076" s="2">
        <v>2075</v>
      </c>
      <c r="B2076" s="3" t="s">
        <v>7522</v>
      </c>
      <c r="C2076" s="2" t="s">
        <v>7523</v>
      </c>
      <c r="D2076" s="2">
        <v>50</v>
      </c>
      <c r="E2076" s="2">
        <v>51</v>
      </c>
      <c r="F2076" s="2" t="s">
        <v>7524</v>
      </c>
      <c r="H2076" s="2" t="s">
        <v>17</v>
      </c>
      <c r="K2076" s="4">
        <v>17171</v>
      </c>
      <c r="M2076" s="2" t="s">
        <v>35</v>
      </c>
      <c r="N2076" s="2" t="s">
        <v>3806</v>
      </c>
    </row>
    <row r="2077" spans="1:14">
      <c r="A2077" s="2">
        <v>2076</v>
      </c>
      <c r="B2077" s="3" t="s">
        <v>7525</v>
      </c>
      <c r="C2077" s="2" t="s">
        <v>7526</v>
      </c>
      <c r="D2077" s="2">
        <v>49</v>
      </c>
      <c r="E2077" s="2">
        <v>51</v>
      </c>
      <c r="F2077" s="2" t="s">
        <v>7527</v>
      </c>
      <c r="H2077" s="2" t="s">
        <v>17</v>
      </c>
      <c r="K2077" s="4">
        <v>20398</v>
      </c>
      <c r="M2077" s="2" t="s">
        <v>198</v>
      </c>
      <c r="N2077" s="2" t="s">
        <v>199</v>
      </c>
    </row>
    <row r="2078" spans="1:14">
      <c r="A2078" s="2">
        <v>2077</v>
      </c>
      <c r="B2078" s="3" t="s">
        <v>7528</v>
      </c>
      <c r="C2078" s="2" t="s">
        <v>7529</v>
      </c>
      <c r="D2078" s="2">
        <v>50</v>
      </c>
      <c r="E2078" s="2">
        <v>51</v>
      </c>
      <c r="F2078" s="2" t="s">
        <v>7530</v>
      </c>
      <c r="H2078" s="2" t="s">
        <v>17</v>
      </c>
      <c r="K2078" s="4">
        <v>20455</v>
      </c>
      <c r="M2078" s="2" t="s">
        <v>53</v>
      </c>
      <c r="N2078" s="2" t="s">
        <v>847</v>
      </c>
    </row>
    <row r="2079" spans="1:14">
      <c r="A2079" s="2">
        <v>2078</v>
      </c>
      <c r="B2079" s="3" t="s">
        <v>7531</v>
      </c>
      <c r="C2079" s="2" t="s">
        <v>7532</v>
      </c>
      <c r="D2079" s="2">
        <v>50</v>
      </c>
      <c r="E2079" s="2">
        <v>51</v>
      </c>
      <c r="F2079" s="2" t="s">
        <v>7533</v>
      </c>
      <c r="H2079" s="2" t="s">
        <v>17</v>
      </c>
      <c r="K2079" s="4">
        <v>18880</v>
      </c>
      <c r="M2079" s="2" t="s">
        <v>122</v>
      </c>
      <c r="N2079" s="2" t="s">
        <v>7534</v>
      </c>
    </row>
    <row r="2080" spans="1:14">
      <c r="A2080" s="2">
        <v>2079</v>
      </c>
      <c r="B2080" s="3" t="s">
        <v>7535</v>
      </c>
      <c r="C2080" s="2" t="s">
        <v>7536</v>
      </c>
      <c r="D2080" s="2">
        <v>51</v>
      </c>
      <c r="E2080" s="2">
        <v>51</v>
      </c>
      <c r="F2080" s="2" t="s">
        <v>7537</v>
      </c>
      <c r="H2080" s="2" t="s">
        <v>17</v>
      </c>
      <c r="K2080" s="4">
        <v>24634</v>
      </c>
      <c r="M2080" s="2" t="s">
        <v>85</v>
      </c>
      <c r="N2080" s="2" t="s">
        <v>86</v>
      </c>
    </row>
    <row r="2081" spans="1:14">
      <c r="A2081" s="2">
        <v>2080</v>
      </c>
      <c r="B2081" s="3" t="s">
        <v>7538</v>
      </c>
      <c r="C2081" s="2" t="s">
        <v>7539</v>
      </c>
      <c r="D2081" s="2">
        <v>50</v>
      </c>
      <c r="E2081" s="2">
        <v>51</v>
      </c>
      <c r="F2081" s="2" t="s">
        <v>7539</v>
      </c>
      <c r="H2081" s="2" t="s">
        <v>17</v>
      </c>
      <c r="K2081" s="4">
        <v>19481</v>
      </c>
      <c r="M2081" s="2" t="s">
        <v>47</v>
      </c>
      <c r="N2081" s="2" t="s">
        <v>48</v>
      </c>
    </row>
    <row r="2082" spans="1:14">
      <c r="A2082" s="2">
        <v>2081</v>
      </c>
      <c r="B2082" s="3" t="s">
        <v>7540</v>
      </c>
      <c r="C2082" s="2" t="s">
        <v>7541</v>
      </c>
      <c r="D2082" s="2">
        <v>51</v>
      </c>
      <c r="E2082" s="2">
        <v>51</v>
      </c>
      <c r="F2082" s="2" t="s">
        <v>7542</v>
      </c>
      <c r="H2082" s="2" t="s">
        <v>17</v>
      </c>
      <c r="K2082" s="4">
        <v>15654</v>
      </c>
      <c r="M2082" s="2" t="s">
        <v>40</v>
      </c>
      <c r="N2082" s="2" t="s">
        <v>7543</v>
      </c>
    </row>
    <row r="2083" spans="1:14">
      <c r="A2083" s="2">
        <v>2082</v>
      </c>
      <c r="B2083" s="3" t="s">
        <v>7544</v>
      </c>
      <c r="C2083" s="2" t="s">
        <v>7545</v>
      </c>
      <c r="D2083" s="2">
        <v>50</v>
      </c>
      <c r="E2083" s="2">
        <v>51</v>
      </c>
      <c r="F2083" s="2" t="s">
        <v>7546</v>
      </c>
      <c r="H2083" s="2" t="s">
        <v>17</v>
      </c>
      <c r="K2083" s="4">
        <v>17546</v>
      </c>
      <c r="M2083" s="2" t="s">
        <v>66</v>
      </c>
      <c r="N2083" s="2" t="s">
        <v>7547</v>
      </c>
    </row>
    <row r="2084" spans="1:14">
      <c r="A2084" s="2">
        <v>2083</v>
      </c>
      <c r="B2084" s="3" t="s">
        <v>7548</v>
      </c>
      <c r="C2084" s="2" t="s">
        <v>7549</v>
      </c>
      <c r="D2084" s="2">
        <v>47</v>
      </c>
      <c r="E2084" s="2">
        <v>51</v>
      </c>
      <c r="F2084" s="2" t="s">
        <v>7550</v>
      </c>
      <c r="H2084" s="2" t="s">
        <v>17</v>
      </c>
      <c r="K2084" s="4">
        <v>16756</v>
      </c>
      <c r="M2084" s="2" t="s">
        <v>30</v>
      </c>
      <c r="N2084" s="2" t="s">
        <v>31</v>
      </c>
    </row>
    <row r="2085" spans="1:14">
      <c r="A2085" s="2">
        <v>2084</v>
      </c>
      <c r="B2085" s="3" t="s">
        <v>7551</v>
      </c>
      <c r="C2085" s="2" t="s">
        <v>7552</v>
      </c>
      <c r="D2085" s="2">
        <v>51</v>
      </c>
      <c r="E2085" s="2">
        <v>51</v>
      </c>
      <c r="F2085" s="2" t="s">
        <v>7553</v>
      </c>
      <c r="H2085" s="2" t="s">
        <v>17</v>
      </c>
      <c r="K2085" s="4">
        <v>26018</v>
      </c>
      <c r="M2085" s="2" t="s">
        <v>91</v>
      </c>
      <c r="N2085" s="2" t="s">
        <v>677</v>
      </c>
    </row>
    <row r="2086" spans="1:14">
      <c r="A2086" s="2">
        <v>2085</v>
      </c>
      <c r="B2086" s="3" t="s">
        <v>7554</v>
      </c>
      <c r="C2086" s="2" t="s">
        <v>7555</v>
      </c>
      <c r="D2086" s="2">
        <v>51</v>
      </c>
      <c r="E2086" s="2">
        <v>51</v>
      </c>
      <c r="F2086" s="2" t="s">
        <v>7556</v>
      </c>
      <c r="H2086" s="2" t="s">
        <v>17</v>
      </c>
      <c r="K2086" s="4">
        <v>22749</v>
      </c>
      <c r="M2086" s="2" t="s">
        <v>76</v>
      </c>
      <c r="N2086" s="2" t="s">
        <v>7557</v>
      </c>
    </row>
    <row r="2087" spans="1:14">
      <c r="A2087" s="2">
        <v>2086</v>
      </c>
      <c r="B2087" s="3" t="s">
        <v>7558</v>
      </c>
      <c r="C2087" s="2" t="s">
        <v>7559</v>
      </c>
      <c r="D2087" s="2">
        <v>48</v>
      </c>
      <c r="E2087" s="2">
        <v>51</v>
      </c>
      <c r="F2087" s="2" t="s">
        <v>7559</v>
      </c>
      <c r="H2087" s="2" t="s">
        <v>17</v>
      </c>
      <c r="K2087" s="4">
        <v>14857</v>
      </c>
      <c r="L2087" s="4">
        <v>45075</v>
      </c>
      <c r="M2087" s="2" t="s">
        <v>47</v>
      </c>
      <c r="N2087" s="2" t="s">
        <v>7560</v>
      </c>
    </row>
    <row r="2088" spans="1:14">
      <c r="A2088" s="2">
        <v>2087</v>
      </c>
      <c r="B2088" s="3" t="s">
        <v>7561</v>
      </c>
      <c r="C2088" s="2" t="s">
        <v>7562</v>
      </c>
      <c r="D2088" s="2">
        <v>51</v>
      </c>
      <c r="E2088" s="2">
        <v>51</v>
      </c>
      <c r="F2088" s="2" t="s">
        <v>7563</v>
      </c>
      <c r="H2088" s="2" t="s">
        <v>17</v>
      </c>
      <c r="K2088" s="4">
        <v>23387</v>
      </c>
      <c r="M2088" s="2" t="s">
        <v>341</v>
      </c>
      <c r="N2088" s="2" t="s">
        <v>342</v>
      </c>
    </row>
    <row r="2089" spans="1:14">
      <c r="A2089" s="2">
        <v>2088</v>
      </c>
      <c r="B2089" s="3" t="s">
        <v>7564</v>
      </c>
      <c r="C2089" s="2" t="s">
        <v>7565</v>
      </c>
      <c r="D2089" s="2">
        <v>51</v>
      </c>
      <c r="E2089" s="2">
        <v>51</v>
      </c>
      <c r="F2089" s="2" t="s">
        <v>7566</v>
      </c>
      <c r="H2089" s="2" t="s">
        <v>17</v>
      </c>
      <c r="K2089" s="4">
        <v>21497</v>
      </c>
      <c r="M2089" s="2" t="s">
        <v>66</v>
      </c>
      <c r="N2089" s="2" t="s">
        <v>6963</v>
      </c>
    </row>
    <row r="2090" spans="1:14">
      <c r="A2090" s="2">
        <v>2089</v>
      </c>
      <c r="B2090" s="3" t="s">
        <v>7567</v>
      </c>
      <c r="C2090" s="2" t="s">
        <v>7568</v>
      </c>
      <c r="D2090" s="2">
        <v>50</v>
      </c>
      <c r="E2090" s="2">
        <v>51</v>
      </c>
      <c r="F2090" s="2" t="s">
        <v>7569</v>
      </c>
      <c r="H2090" s="2" t="s">
        <v>17</v>
      </c>
      <c r="K2090" s="4">
        <v>16278</v>
      </c>
      <c r="M2090" s="2" t="s">
        <v>170</v>
      </c>
      <c r="N2090" s="2" t="s">
        <v>4354</v>
      </c>
    </row>
    <row r="2091" spans="1:14">
      <c r="A2091" s="2">
        <v>2090</v>
      </c>
      <c r="B2091" s="3" t="s">
        <v>7570</v>
      </c>
      <c r="C2091" s="2" t="s">
        <v>7571</v>
      </c>
      <c r="D2091" s="2">
        <v>51</v>
      </c>
      <c r="E2091" s="2">
        <v>51</v>
      </c>
      <c r="F2091" s="2" t="s">
        <v>7572</v>
      </c>
      <c r="H2091" s="2" t="s">
        <v>17</v>
      </c>
      <c r="K2091" s="4">
        <v>20973</v>
      </c>
      <c r="M2091" s="2" t="s">
        <v>571</v>
      </c>
      <c r="N2091" s="2" t="s">
        <v>7573</v>
      </c>
    </row>
    <row r="2092" spans="1:14">
      <c r="A2092" s="2">
        <v>2091</v>
      </c>
      <c r="B2092" s="3" t="s">
        <v>7574</v>
      </c>
      <c r="C2092" s="2" t="s">
        <v>7575</v>
      </c>
      <c r="D2092" s="2">
        <v>47</v>
      </c>
      <c r="E2092" s="2">
        <v>51</v>
      </c>
      <c r="F2092" s="2" t="s">
        <v>7576</v>
      </c>
      <c r="H2092" s="2" t="s">
        <v>17</v>
      </c>
      <c r="K2092" s="4">
        <v>16216</v>
      </c>
      <c r="M2092" s="2" t="s">
        <v>35</v>
      </c>
      <c r="N2092" s="2" t="s">
        <v>7577</v>
      </c>
    </row>
    <row r="2093" spans="1:14">
      <c r="A2093" s="2">
        <v>2092</v>
      </c>
      <c r="B2093" s="3" t="s">
        <v>7578</v>
      </c>
      <c r="C2093" s="2" t="s">
        <v>7579</v>
      </c>
      <c r="D2093" s="2">
        <v>51</v>
      </c>
      <c r="E2093" s="2">
        <v>51</v>
      </c>
      <c r="F2093" s="2" t="s">
        <v>7580</v>
      </c>
      <c r="H2093" s="2" t="s">
        <v>17</v>
      </c>
      <c r="K2093" s="4">
        <v>15026</v>
      </c>
      <c r="L2093" s="4">
        <v>42927</v>
      </c>
      <c r="M2093" s="2" t="s">
        <v>47</v>
      </c>
      <c r="N2093" s="2" t="s">
        <v>442</v>
      </c>
    </row>
    <row r="2094" spans="1:14">
      <c r="A2094" s="2">
        <v>2093</v>
      </c>
      <c r="B2094" s="3" t="s">
        <v>7581</v>
      </c>
      <c r="C2094" s="2" t="s">
        <v>7582</v>
      </c>
      <c r="D2094" s="2">
        <v>51</v>
      </c>
      <c r="E2094" s="2">
        <v>51</v>
      </c>
      <c r="F2094" s="2" t="s">
        <v>7583</v>
      </c>
      <c r="H2094" s="2" t="s">
        <v>17</v>
      </c>
      <c r="K2094" s="4">
        <v>23561</v>
      </c>
      <c r="M2094" s="2" t="s">
        <v>85</v>
      </c>
      <c r="N2094" s="2" t="s">
        <v>86</v>
      </c>
    </row>
    <row r="2095" spans="1:14">
      <c r="A2095" s="2">
        <v>2094</v>
      </c>
      <c r="B2095" s="3" t="s">
        <v>7584</v>
      </c>
      <c r="C2095" s="2" t="s">
        <v>7585</v>
      </c>
      <c r="D2095" s="2">
        <v>51</v>
      </c>
      <c r="E2095" s="2">
        <v>51</v>
      </c>
      <c r="F2095" s="2" t="s">
        <v>7586</v>
      </c>
      <c r="H2095" s="2" t="s">
        <v>17</v>
      </c>
      <c r="K2095" s="4">
        <v>19923</v>
      </c>
      <c r="M2095" s="2" t="s">
        <v>198</v>
      </c>
      <c r="N2095" s="2" t="s">
        <v>199</v>
      </c>
    </row>
    <row r="2096" spans="1:14">
      <c r="A2096" s="2">
        <v>2095</v>
      </c>
      <c r="B2096" s="3" t="s">
        <v>7587</v>
      </c>
      <c r="C2096" s="2" t="s">
        <v>7588</v>
      </c>
      <c r="D2096" s="2">
        <v>51</v>
      </c>
      <c r="E2096" s="2">
        <v>51</v>
      </c>
      <c r="F2096" s="2" t="s">
        <v>7589</v>
      </c>
      <c r="H2096" s="2" t="s">
        <v>17</v>
      </c>
      <c r="K2096" s="4">
        <v>14317</v>
      </c>
      <c r="L2096" s="4">
        <v>43792</v>
      </c>
      <c r="M2096" s="2" t="s">
        <v>66</v>
      </c>
      <c r="N2096" s="2" t="s">
        <v>1918</v>
      </c>
    </row>
    <row r="2097" spans="1:14">
      <c r="A2097" s="2">
        <v>2096</v>
      </c>
      <c r="B2097" s="3" t="s">
        <v>7590</v>
      </c>
      <c r="C2097" s="2" t="s">
        <v>7591</v>
      </c>
      <c r="D2097" s="2">
        <v>51</v>
      </c>
      <c r="E2097" s="2">
        <v>51</v>
      </c>
      <c r="F2097" s="2" t="s">
        <v>7592</v>
      </c>
      <c r="H2097" s="2" t="s">
        <v>17</v>
      </c>
      <c r="K2097" s="4">
        <v>18692</v>
      </c>
      <c r="M2097" s="2" t="s">
        <v>247</v>
      </c>
      <c r="N2097" s="2" t="s">
        <v>562</v>
      </c>
    </row>
    <row r="2098" spans="1:14">
      <c r="A2098" s="2">
        <v>2097</v>
      </c>
      <c r="B2098" s="3" t="s">
        <v>7593</v>
      </c>
      <c r="C2098" s="2" t="s">
        <v>7594</v>
      </c>
      <c r="D2098" s="2">
        <v>51</v>
      </c>
      <c r="E2098" s="2">
        <v>51</v>
      </c>
      <c r="F2098" s="2" t="s">
        <v>7594</v>
      </c>
      <c r="H2098" s="2" t="s">
        <v>17</v>
      </c>
      <c r="K2098" s="4">
        <v>17583</v>
      </c>
      <c r="M2098" s="2" t="s">
        <v>47</v>
      </c>
      <c r="N2098" s="2" t="s">
        <v>7595</v>
      </c>
    </row>
    <row r="2099" spans="1:14">
      <c r="A2099" s="2">
        <v>2098</v>
      </c>
      <c r="B2099" s="3" t="s">
        <v>7596</v>
      </c>
      <c r="C2099" s="2" t="s">
        <v>7597</v>
      </c>
      <c r="D2099" s="2">
        <v>51</v>
      </c>
      <c r="E2099" s="2">
        <v>51</v>
      </c>
      <c r="F2099" s="2" t="s">
        <v>7597</v>
      </c>
      <c r="H2099" s="2" t="s">
        <v>17</v>
      </c>
      <c r="K2099" s="4">
        <v>17678</v>
      </c>
      <c r="M2099" s="2" t="s">
        <v>170</v>
      </c>
      <c r="N2099" s="2" t="s">
        <v>7598</v>
      </c>
    </row>
    <row r="2100" spans="1:14">
      <c r="A2100" s="2">
        <v>2099</v>
      </c>
      <c r="B2100" s="3" t="s">
        <v>7599</v>
      </c>
      <c r="C2100" s="2" t="s">
        <v>7600</v>
      </c>
      <c r="D2100" s="2">
        <v>51</v>
      </c>
      <c r="E2100" s="2">
        <v>51</v>
      </c>
      <c r="F2100" s="2" t="s">
        <v>7601</v>
      </c>
      <c r="H2100" s="2" t="s">
        <v>17</v>
      </c>
      <c r="K2100" s="4">
        <v>20725</v>
      </c>
      <c r="L2100" s="4">
        <v>36845</v>
      </c>
      <c r="M2100" s="2" t="s">
        <v>170</v>
      </c>
      <c r="N2100" s="2" t="s">
        <v>323</v>
      </c>
    </row>
    <row r="2101" spans="1:14">
      <c r="A2101" s="2">
        <v>2100</v>
      </c>
      <c r="B2101" s="3" t="s">
        <v>7602</v>
      </c>
      <c r="C2101" s="2" t="s">
        <v>7603</v>
      </c>
      <c r="D2101" s="2">
        <v>51</v>
      </c>
      <c r="E2101" s="2">
        <v>51</v>
      </c>
      <c r="F2101" s="2" t="s">
        <v>7604</v>
      </c>
      <c r="H2101" s="2" t="s">
        <v>17</v>
      </c>
      <c r="K2101" s="4">
        <v>21210</v>
      </c>
      <c r="M2101" s="2" t="s">
        <v>85</v>
      </c>
      <c r="N2101" s="2" t="s">
        <v>86</v>
      </c>
    </row>
    <row r="2102" spans="1:14">
      <c r="A2102" s="2">
        <v>2101</v>
      </c>
      <c r="B2102" s="3" t="s">
        <v>7605</v>
      </c>
      <c r="C2102" s="2" t="s">
        <v>7606</v>
      </c>
      <c r="D2102" s="2">
        <v>45</v>
      </c>
      <c r="E2102" s="2">
        <v>51</v>
      </c>
      <c r="F2102" s="2" t="s">
        <v>7607</v>
      </c>
      <c r="H2102" s="2" t="s">
        <v>17</v>
      </c>
      <c r="K2102" s="4">
        <v>18066</v>
      </c>
      <c r="L2102" s="4">
        <v>45313</v>
      </c>
      <c r="M2102" s="2" t="s">
        <v>47</v>
      </c>
      <c r="N2102" s="2" t="s">
        <v>48</v>
      </c>
    </row>
    <row r="2103" spans="1:14">
      <c r="A2103" s="2">
        <v>2102</v>
      </c>
      <c r="B2103" s="3" t="s">
        <v>7608</v>
      </c>
      <c r="C2103" s="2" t="s">
        <v>7609</v>
      </c>
      <c r="D2103" s="2">
        <v>50</v>
      </c>
      <c r="E2103" s="2">
        <v>51</v>
      </c>
      <c r="F2103" s="2" t="s">
        <v>7610</v>
      </c>
      <c r="H2103" s="2" t="s">
        <v>17</v>
      </c>
      <c r="K2103" s="4">
        <v>13556</v>
      </c>
      <c r="L2103" s="4">
        <v>44910</v>
      </c>
      <c r="M2103" s="2" t="s">
        <v>35</v>
      </c>
      <c r="N2103" s="2" t="s">
        <v>1032</v>
      </c>
    </row>
    <row r="2104" spans="1:14">
      <c r="A2104" s="2">
        <v>2103</v>
      </c>
      <c r="B2104" s="3" t="s">
        <v>7611</v>
      </c>
      <c r="C2104" s="2" t="s">
        <v>7612</v>
      </c>
      <c r="D2104" s="2">
        <v>51</v>
      </c>
      <c r="E2104" s="2">
        <v>51</v>
      </c>
      <c r="F2104" s="2" t="s">
        <v>7613</v>
      </c>
      <c r="H2104" s="2" t="s">
        <v>17</v>
      </c>
      <c r="K2104" s="4">
        <v>17109</v>
      </c>
      <c r="M2104" s="2" t="s">
        <v>164</v>
      </c>
      <c r="N2104" s="2" t="s">
        <v>7614</v>
      </c>
    </row>
    <row r="2105" spans="1:14">
      <c r="A2105" s="2">
        <v>2104</v>
      </c>
      <c r="B2105" s="3" t="s">
        <v>7615</v>
      </c>
      <c r="C2105" s="2" t="s">
        <v>7616</v>
      </c>
      <c r="D2105" s="2">
        <v>51</v>
      </c>
      <c r="E2105" s="2">
        <v>51</v>
      </c>
      <c r="F2105" s="2" t="s">
        <v>7617</v>
      </c>
      <c r="H2105" s="2" t="s">
        <v>17</v>
      </c>
      <c r="K2105" s="4">
        <v>18482</v>
      </c>
      <c r="M2105" s="2" t="s">
        <v>170</v>
      </c>
      <c r="N2105" s="2" t="s">
        <v>323</v>
      </c>
    </row>
    <row r="2106" spans="1:14">
      <c r="A2106" s="2">
        <v>2105</v>
      </c>
      <c r="B2106" s="3" t="s">
        <v>7618</v>
      </c>
      <c r="C2106" s="2" t="s">
        <v>7619</v>
      </c>
      <c r="D2106" s="2">
        <v>46</v>
      </c>
      <c r="E2106" s="2">
        <v>51</v>
      </c>
      <c r="F2106" s="2" t="s">
        <v>7619</v>
      </c>
      <c r="H2106" s="2" t="s">
        <v>17</v>
      </c>
      <c r="K2106" s="4">
        <v>13579</v>
      </c>
      <c r="L2106" s="4">
        <v>42084</v>
      </c>
      <c r="M2106" s="2" t="s">
        <v>146</v>
      </c>
    </row>
    <row r="2107" spans="1:14">
      <c r="A2107" s="2">
        <v>2106</v>
      </c>
      <c r="B2107" s="3" t="s">
        <v>7620</v>
      </c>
      <c r="C2107" s="2" t="s">
        <v>7621</v>
      </c>
      <c r="D2107" s="2">
        <v>51</v>
      </c>
      <c r="E2107" s="2">
        <v>51</v>
      </c>
      <c r="F2107" s="2" t="s">
        <v>7622</v>
      </c>
      <c r="H2107" s="2" t="s">
        <v>17</v>
      </c>
      <c r="K2107" s="4">
        <v>20211</v>
      </c>
      <c r="M2107" s="2" t="s">
        <v>198</v>
      </c>
      <c r="N2107" s="2" t="s">
        <v>6121</v>
      </c>
    </row>
    <row r="2108" spans="1:14">
      <c r="A2108" s="2">
        <v>2107</v>
      </c>
      <c r="B2108" s="3" t="s">
        <v>7623</v>
      </c>
      <c r="C2108" s="2" t="s">
        <v>7624</v>
      </c>
      <c r="D2108" s="2">
        <v>50</v>
      </c>
      <c r="E2108" s="2">
        <v>51</v>
      </c>
      <c r="F2108" s="2" t="s">
        <v>7625</v>
      </c>
      <c r="H2108" s="2" t="s">
        <v>45</v>
      </c>
      <c r="K2108" s="4">
        <v>15070</v>
      </c>
      <c r="L2108" s="4">
        <v>45177</v>
      </c>
      <c r="M2108" s="2" t="s">
        <v>122</v>
      </c>
      <c r="N2108" s="2" t="s">
        <v>7626</v>
      </c>
    </row>
    <row r="2109" spans="1:14">
      <c r="A2109" s="2">
        <v>2108</v>
      </c>
      <c r="B2109" s="3" t="s">
        <v>7627</v>
      </c>
      <c r="C2109" s="2" t="s">
        <v>7628</v>
      </c>
      <c r="D2109" s="2">
        <v>51</v>
      </c>
      <c r="E2109" s="2">
        <v>51</v>
      </c>
      <c r="F2109" s="2" t="s">
        <v>7629</v>
      </c>
      <c r="H2109" s="2" t="s">
        <v>17</v>
      </c>
      <c r="K2109" s="4">
        <v>20706</v>
      </c>
      <c r="M2109" s="2" t="s">
        <v>247</v>
      </c>
      <c r="N2109" s="2" t="s">
        <v>562</v>
      </c>
    </row>
    <row r="2110" spans="1:14">
      <c r="A2110" s="2">
        <v>2109</v>
      </c>
      <c r="B2110" s="3" t="s">
        <v>7630</v>
      </c>
      <c r="C2110" s="2" t="s">
        <v>7631</v>
      </c>
      <c r="D2110" s="2">
        <v>50</v>
      </c>
      <c r="E2110" s="2">
        <v>51</v>
      </c>
      <c r="F2110" s="2" t="s">
        <v>7631</v>
      </c>
      <c r="H2110" s="2" t="s">
        <v>17</v>
      </c>
      <c r="K2110" s="4">
        <v>14852</v>
      </c>
      <c r="M2110" s="2" t="s">
        <v>76</v>
      </c>
      <c r="N2110" s="2" t="s">
        <v>5598</v>
      </c>
    </row>
    <row r="2111" spans="1:14">
      <c r="A2111" s="2">
        <v>2110</v>
      </c>
      <c r="B2111" s="3" t="s">
        <v>7632</v>
      </c>
      <c r="C2111" s="2" t="s">
        <v>7633</v>
      </c>
      <c r="D2111" s="2">
        <v>51</v>
      </c>
      <c r="E2111" s="2">
        <v>51</v>
      </c>
      <c r="F2111" s="2" t="s">
        <v>7633</v>
      </c>
      <c r="H2111" s="2" t="s">
        <v>17</v>
      </c>
      <c r="K2111" s="4">
        <v>18235</v>
      </c>
      <c r="M2111" s="2" t="s">
        <v>170</v>
      </c>
      <c r="N2111" s="2" t="s">
        <v>323</v>
      </c>
    </row>
    <row r="2112" spans="1:14">
      <c r="A2112" s="2">
        <v>2111</v>
      </c>
      <c r="B2112" s="3" t="s">
        <v>7634</v>
      </c>
      <c r="C2112" s="2" t="s">
        <v>7635</v>
      </c>
      <c r="D2112" s="2">
        <v>48</v>
      </c>
      <c r="E2112" s="2">
        <v>51</v>
      </c>
      <c r="F2112" s="2" t="s">
        <v>7636</v>
      </c>
      <c r="H2112" s="2" t="s">
        <v>17</v>
      </c>
      <c r="K2112" s="4">
        <v>18197</v>
      </c>
      <c r="M2112" s="2" t="s">
        <v>40</v>
      </c>
      <c r="N2112" s="2" t="s">
        <v>41</v>
      </c>
    </row>
    <row r="2113" spans="1:14">
      <c r="A2113" s="2">
        <v>2112</v>
      </c>
      <c r="B2113" s="3" t="s">
        <v>7637</v>
      </c>
      <c r="C2113" s="2" t="s">
        <v>7638</v>
      </c>
      <c r="D2113" s="2">
        <v>49</v>
      </c>
      <c r="E2113" s="2">
        <v>51</v>
      </c>
      <c r="F2113" s="2" t="s">
        <v>7639</v>
      </c>
      <c r="H2113" s="2" t="s">
        <v>17</v>
      </c>
      <c r="K2113" s="4">
        <v>19241</v>
      </c>
      <c r="M2113" s="2" t="s">
        <v>76</v>
      </c>
      <c r="N2113" s="2" t="s">
        <v>519</v>
      </c>
    </row>
    <row r="2114" spans="1:14">
      <c r="A2114" s="2">
        <v>2113</v>
      </c>
      <c r="B2114" s="3" t="s">
        <v>7640</v>
      </c>
      <c r="C2114" s="2" t="s">
        <v>7641</v>
      </c>
      <c r="D2114" s="2">
        <v>48</v>
      </c>
      <c r="E2114" s="2">
        <v>51</v>
      </c>
      <c r="F2114" s="2" t="s">
        <v>7642</v>
      </c>
      <c r="H2114" s="2" t="s">
        <v>17</v>
      </c>
      <c r="K2114" s="4">
        <v>9801</v>
      </c>
      <c r="L2114" s="4">
        <v>41391</v>
      </c>
      <c r="M2114" s="2" t="s">
        <v>35</v>
      </c>
      <c r="N2114" s="2" t="s">
        <v>3929</v>
      </c>
    </row>
    <row r="2115" spans="1:14">
      <c r="A2115" s="2">
        <v>2114</v>
      </c>
      <c r="B2115" s="3" t="s">
        <v>7643</v>
      </c>
      <c r="C2115" s="2" t="s">
        <v>7644</v>
      </c>
      <c r="D2115" s="2">
        <v>50</v>
      </c>
      <c r="E2115" s="2">
        <v>51</v>
      </c>
      <c r="F2115" s="2" t="s">
        <v>7645</v>
      </c>
      <c r="H2115" s="2" t="s">
        <v>17</v>
      </c>
      <c r="K2115" s="4">
        <v>15003</v>
      </c>
      <c r="M2115" s="2" t="s">
        <v>66</v>
      </c>
      <c r="N2115" s="2" t="s">
        <v>7646</v>
      </c>
    </row>
    <row r="2116" spans="1:14">
      <c r="A2116" s="2">
        <v>2115</v>
      </c>
      <c r="B2116" s="3" t="s">
        <v>7647</v>
      </c>
      <c r="C2116" s="2" t="s">
        <v>7648</v>
      </c>
      <c r="D2116" s="2">
        <v>51</v>
      </c>
      <c r="E2116" s="2">
        <v>51</v>
      </c>
      <c r="F2116" s="2" t="s">
        <v>7648</v>
      </c>
      <c r="H2116" s="2" t="s">
        <v>17</v>
      </c>
      <c r="K2116" s="4">
        <v>20153</v>
      </c>
      <c r="M2116" s="2" t="s">
        <v>47</v>
      </c>
      <c r="N2116" s="2" t="s">
        <v>48</v>
      </c>
    </row>
    <row r="2117" spans="1:14">
      <c r="A2117" s="2">
        <v>2116</v>
      </c>
      <c r="B2117" s="3" t="s">
        <v>7649</v>
      </c>
      <c r="C2117" s="2" t="s">
        <v>7650</v>
      </c>
      <c r="D2117" s="2">
        <v>51</v>
      </c>
      <c r="E2117" s="2">
        <v>51</v>
      </c>
      <c r="F2117" s="2" t="s">
        <v>7651</v>
      </c>
      <c r="H2117" s="2" t="s">
        <v>17</v>
      </c>
      <c r="K2117" s="4">
        <v>18391</v>
      </c>
      <c r="M2117" s="2" t="s">
        <v>423</v>
      </c>
      <c r="N2117" s="2" t="s">
        <v>7652</v>
      </c>
    </row>
    <row r="2118" spans="1:14">
      <c r="A2118" s="2">
        <v>2117</v>
      </c>
      <c r="B2118" s="3" t="s">
        <v>7653</v>
      </c>
      <c r="C2118" s="2" t="s">
        <v>7654</v>
      </c>
      <c r="D2118" s="2">
        <v>47</v>
      </c>
      <c r="E2118" s="2">
        <v>51</v>
      </c>
      <c r="F2118" s="2" t="s">
        <v>7655</v>
      </c>
      <c r="H2118" s="2" t="s">
        <v>17</v>
      </c>
      <c r="K2118" s="4">
        <v>16030</v>
      </c>
      <c r="L2118" s="4">
        <v>39553</v>
      </c>
      <c r="M2118" s="2" t="s">
        <v>40</v>
      </c>
      <c r="N2118" s="2" t="s">
        <v>492</v>
      </c>
    </row>
    <row r="2119" spans="1:14">
      <c r="A2119" s="2">
        <v>2118</v>
      </c>
      <c r="B2119" s="3" t="s">
        <v>7656</v>
      </c>
      <c r="C2119" s="2" t="s">
        <v>7657</v>
      </c>
      <c r="D2119" s="2">
        <v>50</v>
      </c>
      <c r="E2119" s="2">
        <v>51</v>
      </c>
      <c r="F2119" s="2" t="s">
        <v>7658</v>
      </c>
      <c r="H2119" s="2" t="s">
        <v>45</v>
      </c>
      <c r="K2119" s="4">
        <v>13264</v>
      </c>
      <c r="M2119" s="2" t="s">
        <v>66</v>
      </c>
      <c r="N2119" s="2" t="s">
        <v>1069</v>
      </c>
    </row>
    <row r="2120" spans="1:14">
      <c r="A2120" s="2">
        <v>2119</v>
      </c>
      <c r="B2120" s="3" t="s">
        <v>7659</v>
      </c>
      <c r="C2120" s="2" t="s">
        <v>7660</v>
      </c>
      <c r="D2120" s="2">
        <v>50</v>
      </c>
      <c r="E2120" s="2">
        <v>51</v>
      </c>
      <c r="F2120" s="2" t="s">
        <v>7661</v>
      </c>
      <c r="H2120" s="2" t="s">
        <v>17</v>
      </c>
      <c r="K2120" s="4">
        <v>17699</v>
      </c>
      <c r="L2120" s="4">
        <v>43695</v>
      </c>
      <c r="M2120" s="2" t="s">
        <v>40</v>
      </c>
      <c r="N2120" s="2" t="s">
        <v>1839</v>
      </c>
    </row>
    <row r="2121" spans="1:14">
      <c r="A2121" s="2">
        <v>2120</v>
      </c>
      <c r="B2121" s="3" t="s">
        <v>7662</v>
      </c>
      <c r="C2121" s="2" t="s">
        <v>7663</v>
      </c>
      <c r="D2121" s="2">
        <v>51</v>
      </c>
      <c r="E2121" s="2">
        <v>51</v>
      </c>
      <c r="F2121" s="2" t="s">
        <v>7664</v>
      </c>
      <c r="H2121" s="2" t="s">
        <v>17</v>
      </c>
      <c r="K2121" s="4">
        <v>18051</v>
      </c>
      <c r="M2121" s="2" t="s">
        <v>35</v>
      </c>
      <c r="N2121" s="2" t="s">
        <v>2736</v>
      </c>
    </row>
    <row r="2122" spans="1:14">
      <c r="A2122" s="2">
        <v>2121</v>
      </c>
      <c r="B2122" s="3" t="s">
        <v>7665</v>
      </c>
      <c r="C2122" s="2" t="s">
        <v>7666</v>
      </c>
      <c r="D2122" s="2">
        <v>49</v>
      </c>
      <c r="E2122" s="2">
        <v>51</v>
      </c>
      <c r="F2122" s="2" t="s">
        <v>7667</v>
      </c>
      <c r="H2122" s="2" t="s">
        <v>17</v>
      </c>
      <c r="K2122" s="4">
        <v>15188</v>
      </c>
      <c r="M2122" s="2" t="s">
        <v>30</v>
      </c>
      <c r="N2122" s="2" t="s">
        <v>7668</v>
      </c>
    </row>
    <row r="2123" spans="1:14">
      <c r="A2123" s="2">
        <v>2122</v>
      </c>
      <c r="B2123" s="3" t="s">
        <v>7669</v>
      </c>
      <c r="C2123" s="2" t="s">
        <v>7670</v>
      </c>
      <c r="D2123" s="2">
        <v>50</v>
      </c>
      <c r="E2123" s="2">
        <v>51</v>
      </c>
      <c r="F2123" s="2" t="s">
        <v>7671</v>
      </c>
      <c r="H2123" s="2" t="s">
        <v>17</v>
      </c>
      <c r="K2123" s="4">
        <v>16230</v>
      </c>
      <c r="L2123" s="4">
        <v>43536</v>
      </c>
      <c r="M2123" s="2" t="s">
        <v>170</v>
      </c>
      <c r="N2123" s="2" t="s">
        <v>323</v>
      </c>
    </row>
    <row r="2124" spans="1:14">
      <c r="A2124" s="2">
        <v>2123</v>
      </c>
      <c r="B2124" s="3" t="s">
        <v>7672</v>
      </c>
      <c r="C2124" s="2" t="s">
        <v>7673</v>
      </c>
      <c r="D2124" s="2">
        <v>48</v>
      </c>
      <c r="E2124" s="2">
        <v>51</v>
      </c>
      <c r="F2124" s="2" t="s">
        <v>7674</v>
      </c>
      <c r="H2124" s="2" t="s">
        <v>17</v>
      </c>
      <c r="K2124" s="4">
        <v>23172</v>
      </c>
      <c r="M2124" s="2" t="s">
        <v>47</v>
      </c>
      <c r="N2124" s="2" t="s">
        <v>7675</v>
      </c>
    </row>
    <row r="2125" spans="1:14">
      <c r="A2125" s="2">
        <v>2124</v>
      </c>
      <c r="B2125" s="3" t="s">
        <v>7676</v>
      </c>
      <c r="C2125" s="2" t="s">
        <v>7677</v>
      </c>
      <c r="D2125" s="2">
        <v>50</v>
      </c>
      <c r="E2125" s="2">
        <v>51</v>
      </c>
      <c r="F2125" s="2" t="s">
        <v>7678</v>
      </c>
      <c r="H2125" s="2" t="s">
        <v>17</v>
      </c>
      <c r="K2125" s="4">
        <v>16108</v>
      </c>
      <c r="M2125" s="2" t="s">
        <v>66</v>
      </c>
      <c r="N2125" s="2" t="s">
        <v>567</v>
      </c>
    </row>
    <row r="2126" spans="1:14">
      <c r="A2126" s="2">
        <v>2125</v>
      </c>
      <c r="B2126" s="3" t="s">
        <v>7679</v>
      </c>
      <c r="C2126" s="2" t="s">
        <v>7680</v>
      </c>
      <c r="D2126" s="2">
        <v>50</v>
      </c>
      <c r="E2126" s="2">
        <v>51</v>
      </c>
      <c r="F2126" s="2" t="s">
        <v>7681</v>
      </c>
      <c r="H2126" s="2" t="s">
        <v>17</v>
      </c>
      <c r="K2126" s="4">
        <v>15401</v>
      </c>
      <c r="M2126" s="2" t="s">
        <v>47</v>
      </c>
      <c r="N2126" s="2" t="s">
        <v>5798</v>
      </c>
    </row>
    <row r="2127" spans="1:14">
      <c r="A2127" s="2">
        <v>2126</v>
      </c>
      <c r="B2127" s="3" t="s">
        <v>7682</v>
      </c>
      <c r="C2127" s="2" t="s">
        <v>7683</v>
      </c>
      <c r="D2127" s="2">
        <v>49</v>
      </c>
      <c r="E2127" s="2">
        <v>51</v>
      </c>
      <c r="F2127" s="2" t="s">
        <v>7684</v>
      </c>
      <c r="H2127" s="2" t="s">
        <v>17</v>
      </c>
      <c r="K2127" s="4">
        <v>19745</v>
      </c>
      <c r="M2127" s="2" t="s">
        <v>66</v>
      </c>
      <c r="N2127" s="2" t="s">
        <v>3640</v>
      </c>
    </row>
    <row r="2128" spans="1:14">
      <c r="A2128" s="2">
        <v>2127</v>
      </c>
      <c r="B2128" s="3" t="s">
        <v>7685</v>
      </c>
      <c r="C2128" s="2" t="s">
        <v>7686</v>
      </c>
      <c r="D2128" s="2">
        <v>49</v>
      </c>
      <c r="E2128" s="2">
        <v>51</v>
      </c>
      <c r="F2128" s="2" t="s">
        <v>7687</v>
      </c>
      <c r="H2128" s="2" t="s">
        <v>17</v>
      </c>
      <c r="K2128" s="4">
        <v>19970</v>
      </c>
      <c r="M2128" s="2" t="s">
        <v>66</v>
      </c>
      <c r="N2128" s="2" t="s">
        <v>7688</v>
      </c>
    </row>
    <row r="2129" spans="1:14">
      <c r="A2129" s="2">
        <v>2128</v>
      </c>
      <c r="B2129" s="3" t="s">
        <v>7689</v>
      </c>
      <c r="C2129" s="2" t="s">
        <v>7690</v>
      </c>
      <c r="D2129" s="2">
        <v>49</v>
      </c>
      <c r="E2129" s="2">
        <v>51</v>
      </c>
      <c r="F2129" s="2" t="s">
        <v>7691</v>
      </c>
      <c r="H2129" s="2" t="s">
        <v>17</v>
      </c>
      <c r="K2129" s="4">
        <v>18576</v>
      </c>
      <c r="M2129" s="2" t="s">
        <v>154</v>
      </c>
      <c r="N2129" s="2" t="s">
        <v>208</v>
      </c>
    </row>
    <row r="2130" spans="1:14">
      <c r="A2130" s="2">
        <v>2129</v>
      </c>
      <c r="B2130" s="3" t="s">
        <v>7692</v>
      </c>
      <c r="C2130" s="2" t="s">
        <v>7693</v>
      </c>
      <c r="D2130" s="2">
        <v>49</v>
      </c>
      <c r="E2130" s="2">
        <v>51</v>
      </c>
      <c r="F2130" s="2" t="s">
        <v>7694</v>
      </c>
      <c r="H2130" s="2" t="s">
        <v>17</v>
      </c>
      <c r="K2130" s="4">
        <v>18809</v>
      </c>
      <c r="L2130" s="4">
        <v>37115</v>
      </c>
      <c r="M2130" s="2" t="s">
        <v>341</v>
      </c>
      <c r="N2130" s="2" t="s">
        <v>342</v>
      </c>
    </row>
    <row r="2131" spans="1:14">
      <c r="A2131" s="2">
        <v>2130</v>
      </c>
      <c r="B2131" s="3" t="s">
        <v>7695</v>
      </c>
      <c r="C2131" s="2" t="s">
        <v>7696</v>
      </c>
      <c r="D2131" s="2">
        <v>48</v>
      </c>
      <c r="E2131" s="2">
        <v>51</v>
      </c>
      <c r="F2131" s="2" t="s">
        <v>7697</v>
      </c>
      <c r="H2131" s="2" t="s">
        <v>17</v>
      </c>
      <c r="K2131" s="4">
        <v>18063</v>
      </c>
      <c r="M2131" s="2" t="s">
        <v>185</v>
      </c>
      <c r="N2131" s="2" t="s">
        <v>7698</v>
      </c>
    </row>
    <row r="2132" spans="1:14">
      <c r="A2132" s="2">
        <v>2131</v>
      </c>
      <c r="B2132" s="3" t="s">
        <v>7699</v>
      </c>
      <c r="C2132" s="2" t="s">
        <v>7700</v>
      </c>
      <c r="D2132" s="2">
        <v>49</v>
      </c>
      <c r="E2132" s="2">
        <v>51</v>
      </c>
      <c r="F2132" s="2" t="s">
        <v>7701</v>
      </c>
      <c r="H2132" s="2" t="s">
        <v>17</v>
      </c>
      <c r="K2132" s="4">
        <v>14026</v>
      </c>
      <c r="L2132" s="4">
        <v>43014</v>
      </c>
      <c r="M2132" s="2" t="s">
        <v>47</v>
      </c>
      <c r="N2132" s="2" t="s">
        <v>7702</v>
      </c>
    </row>
    <row r="2133" spans="1:14">
      <c r="A2133" s="2">
        <v>2132</v>
      </c>
      <c r="B2133" s="3" t="s">
        <v>7703</v>
      </c>
      <c r="C2133" s="2" t="s">
        <v>7704</v>
      </c>
      <c r="D2133" s="2">
        <v>51</v>
      </c>
      <c r="E2133" s="2">
        <v>51</v>
      </c>
      <c r="F2133" s="2" t="s">
        <v>7705</v>
      </c>
      <c r="H2133" s="2" t="s">
        <v>17</v>
      </c>
      <c r="K2133" s="4">
        <v>19914</v>
      </c>
      <c r="M2133" s="2" t="s">
        <v>185</v>
      </c>
      <c r="N2133" s="2" t="s">
        <v>5622</v>
      </c>
    </row>
    <row r="2134" spans="1:14">
      <c r="A2134" s="2">
        <v>2133</v>
      </c>
      <c r="B2134" s="3" t="s">
        <v>7706</v>
      </c>
      <c r="C2134" s="2" t="s">
        <v>7707</v>
      </c>
      <c r="D2134" s="2">
        <v>51</v>
      </c>
      <c r="E2134" s="2">
        <v>51</v>
      </c>
      <c r="F2134" s="2" t="s">
        <v>7708</v>
      </c>
      <c r="H2134" s="2" t="s">
        <v>17</v>
      </c>
      <c r="K2134" s="4">
        <v>15986</v>
      </c>
      <c r="L2134" s="4">
        <v>40225</v>
      </c>
      <c r="M2134" s="2" t="s">
        <v>35</v>
      </c>
      <c r="N2134" s="2" t="s">
        <v>7709</v>
      </c>
    </row>
    <row r="2135" spans="1:14">
      <c r="A2135" s="2">
        <v>2134</v>
      </c>
      <c r="B2135" s="3" t="s">
        <v>7710</v>
      </c>
      <c r="C2135" s="2" t="s">
        <v>7711</v>
      </c>
      <c r="D2135" s="2">
        <v>41</v>
      </c>
      <c r="E2135" s="2">
        <v>51</v>
      </c>
      <c r="F2135" s="2" t="s">
        <v>7712</v>
      </c>
      <c r="H2135" s="2" t="s">
        <v>17</v>
      </c>
      <c r="K2135" s="4">
        <v>6040</v>
      </c>
      <c r="L2135" s="4">
        <v>36357</v>
      </c>
      <c r="M2135" s="2" t="s">
        <v>47</v>
      </c>
      <c r="N2135" s="2" t="s">
        <v>48</v>
      </c>
    </row>
    <row r="2136" spans="1:14">
      <c r="A2136" s="2">
        <v>2135</v>
      </c>
      <c r="B2136" s="3" t="s">
        <v>7713</v>
      </c>
      <c r="C2136" s="2" t="s">
        <v>7714</v>
      </c>
      <c r="D2136" s="2">
        <v>48</v>
      </c>
      <c r="E2136" s="2">
        <v>51</v>
      </c>
      <c r="F2136" s="2" t="s">
        <v>7715</v>
      </c>
      <c r="H2136" s="2" t="s">
        <v>17</v>
      </c>
      <c r="K2136" s="4">
        <v>9755</v>
      </c>
      <c r="L2136" s="4">
        <v>39341</v>
      </c>
      <c r="M2136" s="2" t="s">
        <v>35</v>
      </c>
      <c r="N2136" s="2" t="s">
        <v>7716</v>
      </c>
    </row>
    <row r="2137" spans="1:14">
      <c r="A2137" s="2">
        <v>2136</v>
      </c>
      <c r="B2137" s="3" t="s">
        <v>7717</v>
      </c>
      <c r="C2137" s="2" t="s">
        <v>7718</v>
      </c>
      <c r="D2137" s="2">
        <v>51</v>
      </c>
      <c r="E2137" s="2">
        <v>51</v>
      </c>
      <c r="F2137" s="2" t="s">
        <v>7719</v>
      </c>
      <c r="H2137" s="2" t="s">
        <v>17</v>
      </c>
      <c r="K2137" s="4">
        <v>23394</v>
      </c>
      <c r="M2137" s="2" t="s">
        <v>53</v>
      </c>
      <c r="N2137" s="2" t="s">
        <v>3933</v>
      </c>
    </row>
    <row r="2138" spans="1:14">
      <c r="A2138" s="2">
        <v>2137</v>
      </c>
      <c r="B2138" s="3" t="s">
        <v>7720</v>
      </c>
      <c r="C2138" s="2" t="s">
        <v>7721</v>
      </c>
      <c r="D2138" s="2">
        <v>49</v>
      </c>
      <c r="E2138" s="2">
        <v>51</v>
      </c>
      <c r="F2138" s="2" t="s">
        <v>7722</v>
      </c>
      <c r="H2138" s="2" t="s">
        <v>17</v>
      </c>
      <c r="K2138" s="4">
        <v>18165</v>
      </c>
      <c r="M2138" s="2" t="s">
        <v>66</v>
      </c>
      <c r="N2138" s="2" t="s">
        <v>730</v>
      </c>
    </row>
    <row r="2139" spans="1:14">
      <c r="A2139" s="2">
        <v>2138</v>
      </c>
      <c r="B2139" s="3" t="s">
        <v>7723</v>
      </c>
      <c r="C2139" s="2" t="s">
        <v>7724</v>
      </c>
      <c r="D2139" s="2">
        <v>51</v>
      </c>
      <c r="E2139" s="2">
        <v>51</v>
      </c>
      <c r="F2139" s="2" t="s">
        <v>7725</v>
      </c>
      <c r="H2139" s="2" t="s">
        <v>17</v>
      </c>
      <c r="K2139" s="4">
        <v>25211</v>
      </c>
      <c r="M2139" s="2" t="s">
        <v>140</v>
      </c>
      <c r="N2139" s="2" t="s">
        <v>294</v>
      </c>
    </row>
    <row r="2140" spans="1:14">
      <c r="A2140" s="2">
        <v>2139</v>
      </c>
      <c r="B2140" s="3" t="s">
        <v>7726</v>
      </c>
      <c r="C2140" s="2" t="s">
        <v>7727</v>
      </c>
      <c r="D2140" s="2">
        <v>51</v>
      </c>
      <c r="E2140" s="2">
        <v>51</v>
      </c>
      <c r="F2140" s="2" t="s">
        <v>7727</v>
      </c>
      <c r="H2140" s="2" t="s">
        <v>17</v>
      </c>
      <c r="K2140" s="4">
        <v>19731</v>
      </c>
      <c r="M2140" s="2" t="s">
        <v>66</v>
      </c>
      <c r="N2140" s="2" t="s">
        <v>7728</v>
      </c>
    </row>
    <row r="2141" spans="1:14">
      <c r="A2141" s="2">
        <v>2140</v>
      </c>
      <c r="B2141" s="3" t="s">
        <v>7729</v>
      </c>
      <c r="C2141" s="2" t="s">
        <v>7730</v>
      </c>
      <c r="D2141" s="2">
        <v>51</v>
      </c>
      <c r="E2141" s="2">
        <v>51</v>
      </c>
      <c r="F2141" s="2" t="s">
        <v>7731</v>
      </c>
      <c r="H2141" s="2" t="s">
        <v>17</v>
      </c>
      <c r="K2141" s="4">
        <v>22921</v>
      </c>
      <c r="M2141" s="2" t="s">
        <v>35</v>
      </c>
      <c r="N2141" s="2" t="s">
        <v>58</v>
      </c>
    </row>
    <row r="2142" spans="1:14">
      <c r="A2142" s="2">
        <v>2141</v>
      </c>
      <c r="B2142" s="3" t="s">
        <v>7732</v>
      </c>
      <c r="C2142" s="2" t="s">
        <v>7733</v>
      </c>
      <c r="D2142" s="2">
        <v>51</v>
      </c>
      <c r="E2142" s="2">
        <v>51</v>
      </c>
      <c r="F2142" s="2" t="s">
        <v>7734</v>
      </c>
      <c r="H2142" s="2" t="s">
        <v>17</v>
      </c>
      <c r="K2142" s="4">
        <v>19170</v>
      </c>
      <c r="L2142" s="4">
        <v>44307</v>
      </c>
      <c r="M2142" s="2" t="s">
        <v>140</v>
      </c>
      <c r="N2142" s="2" t="s">
        <v>294</v>
      </c>
    </row>
    <row r="2143" spans="1:14">
      <c r="A2143" s="2">
        <v>2142</v>
      </c>
      <c r="B2143" s="3" t="s">
        <v>7735</v>
      </c>
      <c r="C2143" s="2" t="s">
        <v>7736</v>
      </c>
      <c r="D2143" s="2">
        <v>51</v>
      </c>
      <c r="E2143" s="2">
        <v>51</v>
      </c>
      <c r="F2143" s="2" t="s">
        <v>7737</v>
      </c>
      <c r="H2143" s="2" t="s">
        <v>17</v>
      </c>
      <c r="K2143" s="4">
        <v>17075</v>
      </c>
      <c r="M2143" s="2" t="s">
        <v>24</v>
      </c>
      <c r="N2143" s="2" t="s">
        <v>7738</v>
      </c>
    </row>
    <row r="2144" spans="1:14">
      <c r="A2144" s="2">
        <v>2143</v>
      </c>
      <c r="B2144" s="3" t="s">
        <v>7739</v>
      </c>
      <c r="C2144" s="2" t="s">
        <v>7740</v>
      </c>
      <c r="D2144" s="2">
        <v>47</v>
      </c>
      <c r="E2144" s="2">
        <v>51</v>
      </c>
      <c r="F2144" s="2" t="s">
        <v>7741</v>
      </c>
      <c r="H2144" s="2" t="s">
        <v>17</v>
      </c>
      <c r="K2144" s="4">
        <v>14525</v>
      </c>
      <c r="L2144" s="4">
        <v>44279</v>
      </c>
      <c r="M2144" s="2" t="s">
        <v>40</v>
      </c>
    </row>
    <row r="2145" spans="1:14">
      <c r="A2145" s="2">
        <v>2144</v>
      </c>
      <c r="B2145" s="3" t="s">
        <v>7742</v>
      </c>
      <c r="C2145" s="2" t="s">
        <v>7743</v>
      </c>
      <c r="D2145" s="2">
        <v>48</v>
      </c>
      <c r="E2145" s="2">
        <v>51</v>
      </c>
      <c r="F2145" s="2" t="s">
        <v>7744</v>
      </c>
      <c r="H2145" s="2" t="s">
        <v>17</v>
      </c>
      <c r="K2145" s="4">
        <v>14474</v>
      </c>
      <c r="M2145" s="2" t="s">
        <v>35</v>
      </c>
      <c r="N2145" s="2" t="s">
        <v>672</v>
      </c>
    </row>
    <row r="2146" spans="1:14">
      <c r="A2146" s="2">
        <v>2145</v>
      </c>
      <c r="B2146" s="3" t="s">
        <v>7745</v>
      </c>
      <c r="C2146" s="2" t="s">
        <v>7746</v>
      </c>
      <c r="D2146" s="2">
        <v>51</v>
      </c>
      <c r="E2146" s="2">
        <v>51</v>
      </c>
      <c r="F2146" s="2" t="s">
        <v>7747</v>
      </c>
      <c r="H2146" s="2" t="s">
        <v>17</v>
      </c>
      <c r="K2146" s="4">
        <v>19010</v>
      </c>
      <c r="M2146" s="2" t="s">
        <v>247</v>
      </c>
      <c r="N2146" s="2" t="s">
        <v>886</v>
      </c>
    </row>
    <row r="2147" spans="1:14">
      <c r="A2147" s="2">
        <v>2146</v>
      </c>
      <c r="B2147" s="3" t="s">
        <v>7748</v>
      </c>
      <c r="C2147" s="2" t="s">
        <v>7749</v>
      </c>
      <c r="D2147" s="2">
        <v>49</v>
      </c>
      <c r="E2147" s="2">
        <v>51</v>
      </c>
      <c r="F2147" s="2" t="s">
        <v>7750</v>
      </c>
      <c r="H2147" s="2" t="s">
        <v>17</v>
      </c>
      <c r="K2147" s="4">
        <v>19164</v>
      </c>
      <c r="M2147" s="2" t="s">
        <v>423</v>
      </c>
      <c r="N2147" s="2" t="s">
        <v>7751</v>
      </c>
    </row>
    <row r="2148" spans="1:14">
      <c r="A2148" s="2">
        <v>2147</v>
      </c>
      <c r="B2148" s="3" t="s">
        <v>7752</v>
      </c>
      <c r="C2148" s="2" t="s">
        <v>7753</v>
      </c>
      <c r="D2148" s="2">
        <v>51</v>
      </c>
      <c r="E2148" s="2">
        <v>51</v>
      </c>
      <c r="F2148" s="2" t="s">
        <v>7754</v>
      </c>
      <c r="H2148" s="2" t="s">
        <v>17</v>
      </c>
      <c r="K2148" s="4">
        <v>15655</v>
      </c>
      <c r="M2148" s="2" t="s">
        <v>170</v>
      </c>
      <c r="N2148" s="2" t="s">
        <v>7755</v>
      </c>
    </row>
    <row r="2149" spans="1:14">
      <c r="A2149" s="2">
        <v>2148</v>
      </c>
      <c r="B2149" s="3" t="s">
        <v>7756</v>
      </c>
      <c r="C2149" s="2" t="s">
        <v>7757</v>
      </c>
      <c r="D2149" s="2">
        <v>51</v>
      </c>
      <c r="E2149" s="2">
        <v>51</v>
      </c>
      <c r="F2149" s="2" t="s">
        <v>7758</v>
      </c>
      <c r="H2149" s="2" t="s">
        <v>17</v>
      </c>
      <c r="K2149" s="4">
        <v>26257</v>
      </c>
      <c r="M2149" s="2" t="s">
        <v>53</v>
      </c>
      <c r="N2149" s="2" t="s">
        <v>847</v>
      </c>
    </row>
    <row r="2150" spans="1:14">
      <c r="A2150" s="2">
        <v>2149</v>
      </c>
      <c r="B2150" s="3" t="s">
        <v>7759</v>
      </c>
      <c r="C2150" s="2" t="s">
        <v>7760</v>
      </c>
      <c r="D2150" s="2">
        <v>51</v>
      </c>
      <c r="E2150" s="2">
        <v>51</v>
      </c>
      <c r="F2150" s="2" t="s">
        <v>7761</v>
      </c>
      <c r="H2150" s="2" t="s">
        <v>17</v>
      </c>
      <c r="K2150" s="4">
        <v>16791</v>
      </c>
      <c r="L2150" s="4">
        <v>37498</v>
      </c>
      <c r="M2150" s="2" t="s">
        <v>247</v>
      </c>
      <c r="N2150" s="2" t="s">
        <v>562</v>
      </c>
    </row>
    <row r="2151" spans="1:14">
      <c r="A2151" s="2">
        <v>2150</v>
      </c>
      <c r="B2151" s="3" t="s">
        <v>7762</v>
      </c>
      <c r="C2151" s="2" t="s">
        <v>7763</v>
      </c>
      <c r="D2151" s="2">
        <v>49</v>
      </c>
      <c r="E2151" s="2">
        <v>51</v>
      </c>
      <c r="F2151" s="2" t="s">
        <v>7764</v>
      </c>
      <c r="H2151" s="2" t="s">
        <v>17</v>
      </c>
      <c r="K2151" s="4">
        <v>14701</v>
      </c>
      <c r="M2151" s="2" t="s">
        <v>66</v>
      </c>
      <c r="N2151" s="2" t="s">
        <v>1147</v>
      </c>
    </row>
    <row r="2152" spans="1:14">
      <c r="A2152" s="2">
        <v>2151</v>
      </c>
      <c r="B2152" s="3" t="s">
        <v>7765</v>
      </c>
      <c r="C2152" s="2" t="s">
        <v>7766</v>
      </c>
      <c r="D2152" s="2">
        <v>50</v>
      </c>
      <c r="E2152" s="2">
        <v>51</v>
      </c>
      <c r="F2152" s="2" t="s">
        <v>7767</v>
      </c>
      <c r="H2152" s="2" t="s">
        <v>17</v>
      </c>
      <c r="K2152" s="4">
        <v>21104</v>
      </c>
      <c r="M2152" s="2" t="s">
        <v>192</v>
      </c>
      <c r="N2152" s="2" t="s">
        <v>193</v>
      </c>
    </row>
    <row r="2153" spans="1:14">
      <c r="A2153" s="2">
        <v>2152</v>
      </c>
      <c r="B2153" s="3" t="s">
        <v>7768</v>
      </c>
      <c r="C2153" s="2" t="s">
        <v>7769</v>
      </c>
      <c r="D2153" s="2">
        <v>50</v>
      </c>
      <c r="E2153" s="2">
        <v>51</v>
      </c>
      <c r="F2153" s="2" t="s">
        <v>7770</v>
      </c>
      <c r="H2153" s="2" t="s">
        <v>17</v>
      </c>
      <c r="K2153" s="4">
        <v>17364</v>
      </c>
      <c r="M2153" s="2" t="s">
        <v>47</v>
      </c>
      <c r="N2153" s="2" t="s">
        <v>48</v>
      </c>
    </row>
    <row r="2154" spans="1:14">
      <c r="A2154" s="2">
        <v>2153</v>
      </c>
      <c r="B2154" s="3" t="s">
        <v>7771</v>
      </c>
      <c r="C2154" s="2" t="s">
        <v>7772</v>
      </c>
      <c r="D2154" s="2">
        <v>47</v>
      </c>
      <c r="E2154" s="2">
        <v>51</v>
      </c>
      <c r="F2154" s="2" t="s">
        <v>7772</v>
      </c>
      <c r="H2154" s="2" t="s">
        <v>17</v>
      </c>
      <c r="K2154" s="4">
        <v>12200</v>
      </c>
      <c r="L2154" s="4">
        <v>36842</v>
      </c>
      <c r="M2154" s="2" t="s">
        <v>40</v>
      </c>
      <c r="N2154" s="2" t="s">
        <v>7773</v>
      </c>
    </row>
    <row r="2155" spans="1:14">
      <c r="A2155" s="2">
        <v>2154</v>
      </c>
      <c r="B2155" s="3" t="s">
        <v>7774</v>
      </c>
      <c r="C2155" s="2" t="s">
        <v>7775</v>
      </c>
      <c r="D2155" s="2">
        <v>49</v>
      </c>
      <c r="E2155" s="2">
        <v>51</v>
      </c>
      <c r="F2155" s="2" t="s">
        <v>7775</v>
      </c>
      <c r="H2155" s="2" t="s">
        <v>17</v>
      </c>
      <c r="K2155" s="4">
        <v>18703</v>
      </c>
      <c r="M2155" s="2" t="s">
        <v>170</v>
      </c>
      <c r="N2155" s="2" t="s">
        <v>323</v>
      </c>
    </row>
    <row r="2156" spans="1:14">
      <c r="A2156" s="2">
        <v>2155</v>
      </c>
      <c r="B2156" s="3" t="s">
        <v>7776</v>
      </c>
      <c r="C2156" s="2" t="s">
        <v>7777</v>
      </c>
      <c r="D2156" s="2">
        <v>50</v>
      </c>
      <c r="E2156" s="2">
        <v>51</v>
      </c>
      <c r="F2156" s="2" t="s">
        <v>7778</v>
      </c>
      <c r="H2156" s="2" t="s">
        <v>17</v>
      </c>
      <c r="K2156" s="4">
        <v>14621</v>
      </c>
      <c r="M2156" s="2" t="s">
        <v>66</v>
      </c>
      <c r="N2156" s="2" t="s">
        <v>3534</v>
      </c>
    </row>
    <row r="2157" spans="1:14">
      <c r="A2157" s="2">
        <v>2156</v>
      </c>
      <c r="B2157" s="3" t="s">
        <v>7779</v>
      </c>
      <c r="C2157" s="2" t="s">
        <v>7780</v>
      </c>
      <c r="D2157" s="2">
        <v>51</v>
      </c>
      <c r="E2157" s="2">
        <v>51</v>
      </c>
      <c r="F2157" s="2" t="s">
        <v>7781</v>
      </c>
      <c r="H2157" s="2" t="s">
        <v>17</v>
      </c>
      <c r="K2157" s="4">
        <v>20667</v>
      </c>
      <c r="N2157" s="2" t="s">
        <v>7782</v>
      </c>
    </row>
    <row r="2158" spans="1:14">
      <c r="A2158" s="2">
        <v>2157</v>
      </c>
      <c r="B2158" s="3" t="s">
        <v>7783</v>
      </c>
      <c r="C2158" s="2" t="s">
        <v>7784</v>
      </c>
      <c r="D2158" s="2">
        <v>51</v>
      </c>
      <c r="E2158" s="2">
        <v>51</v>
      </c>
      <c r="F2158" s="2" t="s">
        <v>7785</v>
      </c>
      <c r="H2158" s="2" t="s">
        <v>17</v>
      </c>
      <c r="K2158" s="4">
        <v>11405</v>
      </c>
      <c r="M2158" s="2" t="s">
        <v>35</v>
      </c>
      <c r="N2158" s="2" t="s">
        <v>7786</v>
      </c>
    </row>
    <row r="2159" spans="1:14">
      <c r="A2159" s="2">
        <v>2158</v>
      </c>
      <c r="B2159" s="3" t="s">
        <v>7787</v>
      </c>
      <c r="C2159" s="2" t="s">
        <v>7788</v>
      </c>
      <c r="D2159" s="2">
        <v>49</v>
      </c>
      <c r="E2159" s="2">
        <v>51</v>
      </c>
      <c r="F2159" s="2" t="s">
        <v>7789</v>
      </c>
      <c r="H2159" s="2" t="s">
        <v>17</v>
      </c>
      <c r="K2159" s="4">
        <v>18947</v>
      </c>
      <c r="M2159" s="2" t="s">
        <v>198</v>
      </c>
      <c r="N2159" s="2" t="s">
        <v>199</v>
      </c>
    </row>
    <row r="2160" spans="1:14">
      <c r="A2160" s="2">
        <v>2159</v>
      </c>
      <c r="B2160" s="3" t="s">
        <v>7790</v>
      </c>
      <c r="C2160" s="2" t="s">
        <v>7791</v>
      </c>
      <c r="D2160" s="2">
        <v>50</v>
      </c>
      <c r="E2160" s="2">
        <v>51</v>
      </c>
      <c r="F2160" s="2" t="s">
        <v>7792</v>
      </c>
      <c r="H2160" s="2" t="s">
        <v>17</v>
      </c>
      <c r="K2160" s="4">
        <v>20527</v>
      </c>
      <c r="M2160" s="2" t="s">
        <v>192</v>
      </c>
      <c r="N2160" s="2" t="s">
        <v>3992</v>
      </c>
    </row>
    <row r="2161" spans="1:14">
      <c r="A2161" s="2">
        <v>2160</v>
      </c>
      <c r="B2161" s="3" t="s">
        <v>7793</v>
      </c>
      <c r="C2161" s="2" t="s">
        <v>7794</v>
      </c>
      <c r="D2161" s="2">
        <v>50</v>
      </c>
      <c r="E2161" s="2">
        <v>51</v>
      </c>
      <c r="F2161" s="2" t="s">
        <v>7795</v>
      </c>
      <c r="H2161" s="2" t="s">
        <v>17</v>
      </c>
      <c r="K2161" s="4">
        <v>15838</v>
      </c>
      <c r="L2161" s="4">
        <v>39033</v>
      </c>
      <c r="M2161" s="2" t="s">
        <v>192</v>
      </c>
      <c r="N2161" s="2" t="s">
        <v>7796</v>
      </c>
    </row>
    <row r="2162" spans="1:14">
      <c r="A2162" s="2">
        <v>2161</v>
      </c>
      <c r="B2162" s="3" t="s">
        <v>7797</v>
      </c>
      <c r="C2162" s="2" t="s">
        <v>7798</v>
      </c>
      <c r="D2162" s="2">
        <v>49</v>
      </c>
      <c r="E2162" s="2">
        <v>51</v>
      </c>
      <c r="F2162" s="2" t="s">
        <v>7799</v>
      </c>
      <c r="H2162" s="2" t="s">
        <v>17</v>
      </c>
      <c r="K2162" s="4">
        <v>18298</v>
      </c>
      <c r="M2162" s="2" t="s">
        <v>140</v>
      </c>
      <c r="N2162" s="2" t="s">
        <v>294</v>
      </c>
    </row>
    <row r="2163" spans="1:14">
      <c r="A2163" s="2">
        <v>2162</v>
      </c>
      <c r="B2163" s="3" t="s">
        <v>7800</v>
      </c>
      <c r="C2163" s="2" t="s">
        <v>7801</v>
      </c>
      <c r="D2163" s="2">
        <v>49</v>
      </c>
      <c r="E2163" s="2">
        <v>51</v>
      </c>
      <c r="F2163" s="2" t="s">
        <v>7802</v>
      </c>
      <c r="H2163" s="2" t="s">
        <v>17</v>
      </c>
      <c r="K2163" s="4">
        <v>14050</v>
      </c>
      <c r="M2163" s="2" t="s">
        <v>76</v>
      </c>
      <c r="N2163" s="2" t="s">
        <v>7803</v>
      </c>
    </row>
    <row r="2164" spans="1:14">
      <c r="A2164" s="2">
        <v>2163</v>
      </c>
      <c r="B2164" s="3" t="s">
        <v>7804</v>
      </c>
      <c r="C2164" s="2" t="s">
        <v>7805</v>
      </c>
      <c r="D2164" s="2">
        <v>50</v>
      </c>
      <c r="E2164" s="2">
        <v>51</v>
      </c>
      <c r="F2164" s="2" t="s">
        <v>7806</v>
      </c>
      <c r="H2164" s="2" t="s">
        <v>17</v>
      </c>
      <c r="K2164" s="4">
        <v>19900</v>
      </c>
      <c r="L2164" s="4">
        <v>41626</v>
      </c>
      <c r="M2164" s="2" t="s">
        <v>53</v>
      </c>
      <c r="N2164" s="2" t="s">
        <v>7807</v>
      </c>
    </row>
    <row r="2165" spans="1:14">
      <c r="A2165" s="2">
        <v>2164</v>
      </c>
      <c r="B2165" s="3" t="s">
        <v>7808</v>
      </c>
      <c r="C2165" s="2" t="s">
        <v>7809</v>
      </c>
      <c r="D2165" s="2">
        <v>51</v>
      </c>
      <c r="E2165" s="2">
        <v>51</v>
      </c>
      <c r="F2165" s="2" t="s">
        <v>7810</v>
      </c>
      <c r="H2165" s="2" t="s">
        <v>17</v>
      </c>
      <c r="K2165" s="4">
        <v>15120</v>
      </c>
      <c r="L2165" s="4">
        <v>40768</v>
      </c>
      <c r="M2165" s="2" t="s">
        <v>170</v>
      </c>
      <c r="N2165" s="2" t="s">
        <v>171</v>
      </c>
    </row>
    <row r="2166" spans="1:14">
      <c r="A2166" s="2">
        <v>2165</v>
      </c>
      <c r="B2166" s="3" t="s">
        <v>7811</v>
      </c>
      <c r="C2166" s="2" t="s">
        <v>7812</v>
      </c>
      <c r="D2166" s="2">
        <v>51</v>
      </c>
      <c r="E2166" s="2">
        <v>51</v>
      </c>
      <c r="F2166" s="2" t="s">
        <v>7813</v>
      </c>
      <c r="H2166" s="2" t="s">
        <v>17</v>
      </c>
      <c r="K2166" s="4">
        <v>20152</v>
      </c>
      <c r="M2166" s="2" t="s">
        <v>198</v>
      </c>
      <c r="N2166" s="2" t="s">
        <v>7814</v>
      </c>
    </row>
    <row r="2167" spans="1:14">
      <c r="A2167" s="2">
        <v>2166</v>
      </c>
      <c r="B2167" s="3" t="s">
        <v>7815</v>
      </c>
      <c r="C2167" s="2" t="s">
        <v>7816</v>
      </c>
      <c r="D2167" s="2">
        <v>51</v>
      </c>
      <c r="E2167" s="2">
        <v>51</v>
      </c>
      <c r="F2167" s="2" t="s">
        <v>7817</v>
      </c>
      <c r="H2167" s="2" t="s">
        <v>17</v>
      </c>
      <c r="K2167" s="4">
        <v>11569</v>
      </c>
      <c r="L2167" s="4">
        <v>38357</v>
      </c>
      <c r="M2167" s="2" t="s">
        <v>164</v>
      </c>
      <c r="N2167" s="2" t="s">
        <v>5982</v>
      </c>
    </row>
    <row r="2168" spans="1:14">
      <c r="A2168" s="2">
        <v>2167</v>
      </c>
      <c r="B2168" s="3" t="s">
        <v>7818</v>
      </c>
      <c r="C2168" s="2" t="s">
        <v>7819</v>
      </c>
      <c r="D2168" s="2">
        <v>50</v>
      </c>
      <c r="E2168" s="2">
        <v>51</v>
      </c>
      <c r="F2168" s="2" t="s">
        <v>7820</v>
      </c>
      <c r="H2168" s="2" t="s">
        <v>17</v>
      </c>
      <c r="K2168" s="4">
        <v>16026</v>
      </c>
      <c r="M2168" s="2" t="s">
        <v>170</v>
      </c>
      <c r="N2168" s="2" t="s">
        <v>323</v>
      </c>
    </row>
    <row r="2169" spans="1:14">
      <c r="A2169" s="2">
        <v>2168</v>
      </c>
      <c r="B2169" s="3" t="s">
        <v>7821</v>
      </c>
      <c r="C2169" s="2" t="s">
        <v>7822</v>
      </c>
      <c r="D2169" s="2">
        <v>51</v>
      </c>
      <c r="E2169" s="2">
        <v>51</v>
      </c>
      <c r="F2169" s="2" t="s">
        <v>7823</v>
      </c>
      <c r="H2169" s="2" t="s">
        <v>17</v>
      </c>
      <c r="K2169" s="4">
        <v>23929</v>
      </c>
      <c r="M2169" s="2" t="s">
        <v>85</v>
      </c>
      <c r="N2169" s="2" t="s">
        <v>7824</v>
      </c>
    </row>
    <row r="2170" spans="1:14">
      <c r="A2170" s="2">
        <v>2169</v>
      </c>
      <c r="B2170" s="3" t="s">
        <v>7825</v>
      </c>
      <c r="C2170" s="2" t="s">
        <v>7826</v>
      </c>
      <c r="D2170" s="2">
        <v>51</v>
      </c>
      <c r="E2170" s="2">
        <v>51</v>
      </c>
      <c r="F2170" s="2" t="s">
        <v>7827</v>
      </c>
      <c r="H2170" s="2" t="s">
        <v>17</v>
      </c>
      <c r="K2170" s="4">
        <v>19810</v>
      </c>
      <c r="M2170" s="2" t="s">
        <v>185</v>
      </c>
      <c r="N2170" s="2" t="s">
        <v>838</v>
      </c>
    </row>
    <row r="2171" spans="1:14">
      <c r="A2171" s="2">
        <v>2170</v>
      </c>
      <c r="B2171" s="3" t="s">
        <v>7828</v>
      </c>
      <c r="C2171" s="2" t="s">
        <v>7829</v>
      </c>
      <c r="D2171" s="2">
        <v>48</v>
      </c>
      <c r="E2171" s="2">
        <v>51</v>
      </c>
      <c r="F2171" s="2" t="s">
        <v>7830</v>
      </c>
      <c r="H2171" s="2" t="s">
        <v>17</v>
      </c>
      <c r="K2171" s="4">
        <v>15905</v>
      </c>
      <c r="L2171" s="4">
        <v>43139</v>
      </c>
      <c r="M2171" s="2" t="s">
        <v>47</v>
      </c>
      <c r="N2171" s="2" t="s">
        <v>1538</v>
      </c>
    </row>
    <row r="2172" spans="1:14">
      <c r="A2172" s="2">
        <v>2171</v>
      </c>
      <c r="B2172" s="3" t="s">
        <v>7831</v>
      </c>
      <c r="C2172" s="2" t="s">
        <v>7832</v>
      </c>
      <c r="D2172" s="2">
        <v>51</v>
      </c>
      <c r="E2172" s="2">
        <v>51</v>
      </c>
      <c r="F2172" s="2" t="s">
        <v>7833</v>
      </c>
      <c r="H2172" s="2" t="s">
        <v>17</v>
      </c>
      <c r="K2172" s="4">
        <v>21977</v>
      </c>
      <c r="M2172" s="2" t="s">
        <v>192</v>
      </c>
      <c r="N2172" s="2" t="s">
        <v>193</v>
      </c>
    </row>
    <row r="2173" spans="1:14">
      <c r="A2173" s="2">
        <v>2172</v>
      </c>
      <c r="B2173" s="3" t="s">
        <v>7834</v>
      </c>
      <c r="C2173" s="2" t="s">
        <v>7835</v>
      </c>
      <c r="D2173" s="2">
        <v>46</v>
      </c>
      <c r="E2173" s="2">
        <v>51</v>
      </c>
      <c r="F2173" s="2" t="s">
        <v>7836</v>
      </c>
      <c r="H2173" s="2" t="s">
        <v>17</v>
      </c>
      <c r="K2173" s="4">
        <v>11083</v>
      </c>
      <c r="M2173" s="2" t="s">
        <v>341</v>
      </c>
      <c r="N2173" s="2" t="s">
        <v>7837</v>
      </c>
    </row>
    <row r="2174" spans="1:14">
      <c r="A2174" s="2">
        <v>2173</v>
      </c>
      <c r="B2174" s="3" t="s">
        <v>7838</v>
      </c>
      <c r="C2174" s="2" t="s">
        <v>7839</v>
      </c>
      <c r="D2174" s="2">
        <v>50</v>
      </c>
      <c r="E2174" s="2">
        <v>51</v>
      </c>
      <c r="F2174" s="2" t="s">
        <v>7840</v>
      </c>
      <c r="H2174" s="2" t="s">
        <v>17</v>
      </c>
      <c r="K2174" s="4">
        <v>16414</v>
      </c>
      <c r="L2174" s="4">
        <v>44715</v>
      </c>
      <c r="M2174" s="2" t="s">
        <v>47</v>
      </c>
      <c r="N2174" s="2" t="s">
        <v>48</v>
      </c>
    </row>
    <row r="2175" spans="1:14">
      <c r="A2175" s="2">
        <v>2174</v>
      </c>
      <c r="B2175" s="3" t="s">
        <v>7841</v>
      </c>
      <c r="C2175" s="2" t="s">
        <v>7842</v>
      </c>
      <c r="D2175" s="2">
        <v>49</v>
      </c>
      <c r="E2175" s="2">
        <v>51</v>
      </c>
      <c r="F2175" s="2" t="s">
        <v>7843</v>
      </c>
      <c r="H2175" s="2" t="s">
        <v>17</v>
      </c>
      <c r="K2175" s="4">
        <v>17777</v>
      </c>
      <c r="M2175" s="2" t="s">
        <v>170</v>
      </c>
      <c r="N2175" s="2" t="s">
        <v>1873</v>
      </c>
    </row>
    <row r="2176" spans="1:14">
      <c r="A2176" s="2">
        <v>2175</v>
      </c>
      <c r="B2176" s="3" t="s">
        <v>7844</v>
      </c>
      <c r="C2176" s="2" t="s">
        <v>7845</v>
      </c>
      <c r="D2176" s="2">
        <v>47</v>
      </c>
      <c r="E2176" s="2">
        <v>51</v>
      </c>
      <c r="F2176" s="2" t="s">
        <v>7846</v>
      </c>
      <c r="H2176" s="2" t="s">
        <v>17</v>
      </c>
      <c r="K2176" s="4">
        <v>12118</v>
      </c>
      <c r="L2176" s="4">
        <v>43378</v>
      </c>
      <c r="N2176" s="2" t="s">
        <v>7847</v>
      </c>
    </row>
    <row r="2177" spans="1:14">
      <c r="A2177" s="2">
        <v>2176</v>
      </c>
      <c r="B2177" s="3" t="s">
        <v>7848</v>
      </c>
      <c r="C2177" s="2" t="s">
        <v>7849</v>
      </c>
      <c r="D2177" s="2">
        <v>49</v>
      </c>
      <c r="E2177" s="2">
        <v>51</v>
      </c>
      <c r="F2177" s="2" t="s">
        <v>7850</v>
      </c>
      <c r="H2177" s="2" t="s">
        <v>17</v>
      </c>
      <c r="K2177" s="4">
        <v>13218</v>
      </c>
      <c r="L2177" s="4">
        <v>43206</v>
      </c>
      <c r="M2177" s="2" t="s">
        <v>76</v>
      </c>
      <c r="N2177" s="2" t="s">
        <v>7284</v>
      </c>
    </row>
    <row r="2178" spans="1:14">
      <c r="A2178" s="2">
        <v>2177</v>
      </c>
      <c r="B2178" s="3" t="s">
        <v>7851</v>
      </c>
      <c r="C2178" s="2" t="s">
        <v>7852</v>
      </c>
      <c r="D2178" s="2">
        <v>50</v>
      </c>
      <c r="E2178" s="2">
        <v>51</v>
      </c>
      <c r="F2178" s="2" t="s">
        <v>7852</v>
      </c>
      <c r="H2178" s="2" t="s">
        <v>17</v>
      </c>
      <c r="K2178" s="4">
        <v>16829</v>
      </c>
      <c r="M2178" s="2" t="s">
        <v>47</v>
      </c>
      <c r="N2178" s="2" t="s">
        <v>6522</v>
      </c>
    </row>
    <row r="2179" spans="1:14">
      <c r="A2179" s="2">
        <v>2178</v>
      </c>
      <c r="B2179" s="3" t="s">
        <v>7853</v>
      </c>
      <c r="C2179" s="2" t="s">
        <v>7854</v>
      </c>
      <c r="D2179" s="2">
        <v>51</v>
      </c>
      <c r="E2179" s="2">
        <v>51</v>
      </c>
      <c r="F2179" s="2" t="s">
        <v>7855</v>
      </c>
      <c r="H2179" s="2" t="s">
        <v>17</v>
      </c>
      <c r="K2179" s="4">
        <v>17760</v>
      </c>
      <c r="M2179" s="2" t="s">
        <v>18</v>
      </c>
      <c r="N2179" s="2" t="s">
        <v>19</v>
      </c>
    </row>
    <row r="2180" spans="1:14">
      <c r="A2180" s="2">
        <v>2179</v>
      </c>
      <c r="B2180" s="3" t="s">
        <v>7856</v>
      </c>
      <c r="C2180" s="2" t="s">
        <v>7857</v>
      </c>
      <c r="D2180" s="2">
        <v>50</v>
      </c>
      <c r="E2180" s="2">
        <v>51</v>
      </c>
      <c r="F2180" s="2" t="s">
        <v>7858</v>
      </c>
      <c r="H2180" s="2" t="s">
        <v>17</v>
      </c>
      <c r="K2180" s="4">
        <v>17071</v>
      </c>
      <c r="M2180" s="2" t="s">
        <v>30</v>
      </c>
      <c r="N2180" s="2" t="s">
        <v>31</v>
      </c>
    </row>
    <row r="2181" spans="1:14">
      <c r="A2181" s="2">
        <v>2180</v>
      </c>
      <c r="B2181" s="3" t="s">
        <v>7859</v>
      </c>
      <c r="C2181" s="2" t="s">
        <v>7860</v>
      </c>
      <c r="D2181" s="2">
        <v>49</v>
      </c>
      <c r="E2181" s="2">
        <v>51</v>
      </c>
      <c r="F2181" s="2" t="s">
        <v>7861</v>
      </c>
      <c r="H2181" s="2" t="s">
        <v>17</v>
      </c>
      <c r="K2181" s="4">
        <v>9481</v>
      </c>
      <c r="L2181" s="4">
        <v>42029</v>
      </c>
      <c r="M2181" s="2" t="s">
        <v>35</v>
      </c>
      <c r="N2181" s="2" t="s">
        <v>7862</v>
      </c>
    </row>
    <row r="2182" spans="1:14">
      <c r="A2182" s="2">
        <v>2181</v>
      </c>
      <c r="B2182" s="3" t="s">
        <v>7863</v>
      </c>
      <c r="C2182" s="2" t="s">
        <v>7864</v>
      </c>
      <c r="D2182" s="2">
        <v>51</v>
      </c>
      <c r="E2182" s="2">
        <v>51</v>
      </c>
      <c r="F2182" s="2" t="s">
        <v>7865</v>
      </c>
      <c r="H2182" s="2" t="s">
        <v>17</v>
      </c>
      <c r="K2182" s="4">
        <v>16179</v>
      </c>
      <c r="M2182" s="2" t="s">
        <v>47</v>
      </c>
      <c r="N2182" s="2" t="s">
        <v>7866</v>
      </c>
    </row>
    <row r="2183" spans="1:14">
      <c r="A2183" s="2">
        <v>2182</v>
      </c>
      <c r="B2183" s="3" t="s">
        <v>7867</v>
      </c>
      <c r="C2183" s="2" t="s">
        <v>7868</v>
      </c>
      <c r="D2183" s="2">
        <v>51</v>
      </c>
      <c r="E2183" s="2">
        <v>51</v>
      </c>
      <c r="F2183" s="2" t="s">
        <v>7869</v>
      </c>
      <c r="H2183" s="2" t="s">
        <v>17</v>
      </c>
      <c r="K2183" s="4">
        <v>18827</v>
      </c>
      <c r="M2183" s="2" t="s">
        <v>40</v>
      </c>
      <c r="N2183" s="2" t="s">
        <v>7870</v>
      </c>
    </row>
    <row r="2184" spans="1:14">
      <c r="A2184" s="2">
        <v>2183</v>
      </c>
      <c r="B2184" s="3" t="s">
        <v>7871</v>
      </c>
      <c r="C2184" s="2" t="s">
        <v>7872</v>
      </c>
      <c r="D2184" s="2">
        <v>49</v>
      </c>
      <c r="E2184" s="2">
        <v>51</v>
      </c>
      <c r="F2184" s="2" t="s">
        <v>7873</v>
      </c>
      <c r="H2184" s="2" t="s">
        <v>17</v>
      </c>
      <c r="K2184" s="4">
        <v>19419</v>
      </c>
      <c r="M2184" s="2" t="s">
        <v>76</v>
      </c>
      <c r="N2184" s="2" t="s">
        <v>368</v>
      </c>
    </row>
    <row r="2185" spans="1:14">
      <c r="A2185" s="2">
        <v>2184</v>
      </c>
      <c r="B2185" s="3" t="s">
        <v>7874</v>
      </c>
      <c r="C2185" s="2" t="s">
        <v>7875</v>
      </c>
      <c r="D2185" s="2">
        <v>51</v>
      </c>
      <c r="E2185" s="2">
        <v>51</v>
      </c>
      <c r="F2185" s="2" t="s">
        <v>7876</v>
      </c>
      <c r="H2185" s="2" t="s">
        <v>17</v>
      </c>
      <c r="K2185" s="4">
        <v>17196</v>
      </c>
      <c r="M2185" s="2" t="s">
        <v>53</v>
      </c>
      <c r="N2185" s="2" t="s">
        <v>847</v>
      </c>
    </row>
    <row r="2186" spans="1:14">
      <c r="A2186" s="2">
        <v>2185</v>
      </c>
      <c r="B2186" s="3" t="s">
        <v>7877</v>
      </c>
      <c r="C2186" s="2" t="s">
        <v>7878</v>
      </c>
      <c r="D2186" s="2">
        <v>51</v>
      </c>
      <c r="E2186" s="2">
        <v>51</v>
      </c>
      <c r="F2186" s="2" t="s">
        <v>7879</v>
      </c>
      <c r="H2186" s="2" t="s">
        <v>17</v>
      </c>
      <c r="K2186" s="4">
        <v>22524</v>
      </c>
      <c r="M2186" s="2" t="s">
        <v>423</v>
      </c>
      <c r="N2186" s="2" t="s">
        <v>7880</v>
      </c>
    </row>
    <row r="2187" spans="1:14">
      <c r="A2187" s="2">
        <v>2186</v>
      </c>
      <c r="B2187" s="3" t="s">
        <v>7881</v>
      </c>
      <c r="C2187" s="2" t="s">
        <v>7882</v>
      </c>
      <c r="D2187" s="2">
        <v>51</v>
      </c>
      <c r="E2187" s="2">
        <v>51</v>
      </c>
      <c r="F2187" s="2" t="s">
        <v>7883</v>
      </c>
      <c r="H2187" s="2" t="s">
        <v>17</v>
      </c>
      <c r="K2187" s="4">
        <v>12655</v>
      </c>
      <c r="L2187" s="4">
        <v>41751</v>
      </c>
      <c r="M2187" s="2" t="s">
        <v>47</v>
      </c>
      <c r="N2187" s="2" t="s">
        <v>7884</v>
      </c>
    </row>
    <row r="2188" spans="1:14">
      <c r="A2188" s="2">
        <v>2187</v>
      </c>
      <c r="B2188" s="3" t="s">
        <v>7885</v>
      </c>
      <c r="C2188" s="2" t="s">
        <v>7886</v>
      </c>
      <c r="D2188" s="2">
        <v>49</v>
      </c>
      <c r="E2188" s="2">
        <v>51</v>
      </c>
      <c r="F2188" s="2" t="s">
        <v>7887</v>
      </c>
      <c r="H2188" s="2" t="s">
        <v>17</v>
      </c>
      <c r="K2188" s="4">
        <v>16677</v>
      </c>
      <c r="M2188" s="2" t="s">
        <v>336</v>
      </c>
      <c r="N2188" s="2" t="s">
        <v>2681</v>
      </c>
    </row>
    <row r="2189" spans="1:14">
      <c r="A2189" s="2">
        <v>2188</v>
      </c>
      <c r="B2189" s="3" t="s">
        <v>7888</v>
      </c>
      <c r="C2189" s="2" t="s">
        <v>7889</v>
      </c>
      <c r="D2189" s="2">
        <v>50</v>
      </c>
      <c r="E2189" s="2">
        <v>51</v>
      </c>
      <c r="F2189" s="2" t="s">
        <v>7890</v>
      </c>
      <c r="H2189" s="2" t="s">
        <v>17</v>
      </c>
      <c r="K2189" s="4">
        <v>22404</v>
      </c>
      <c r="M2189" s="2" t="s">
        <v>47</v>
      </c>
      <c r="N2189" s="2" t="s">
        <v>442</v>
      </c>
    </row>
    <row r="2190" spans="1:14">
      <c r="A2190" s="2">
        <v>2189</v>
      </c>
      <c r="B2190" s="3" t="s">
        <v>7891</v>
      </c>
      <c r="C2190" s="2" t="s">
        <v>7892</v>
      </c>
      <c r="D2190" s="2">
        <v>45</v>
      </c>
      <c r="E2190" s="2">
        <v>51</v>
      </c>
      <c r="F2190" s="2" t="s">
        <v>7893</v>
      </c>
      <c r="H2190" s="2" t="s">
        <v>17</v>
      </c>
      <c r="K2190" s="4">
        <v>18250</v>
      </c>
      <c r="M2190" s="2" t="s">
        <v>40</v>
      </c>
      <c r="N2190" s="2" t="s">
        <v>4572</v>
      </c>
    </row>
    <row r="2191" spans="1:14">
      <c r="A2191" s="2">
        <v>2190</v>
      </c>
      <c r="B2191" s="3" t="s">
        <v>7894</v>
      </c>
      <c r="C2191" s="2" t="s">
        <v>7895</v>
      </c>
      <c r="D2191" s="2">
        <v>50</v>
      </c>
      <c r="E2191" s="2">
        <v>51</v>
      </c>
      <c r="F2191" s="2" t="s">
        <v>7896</v>
      </c>
      <c r="H2191" s="2" t="s">
        <v>45</v>
      </c>
      <c r="K2191" s="4">
        <v>13712</v>
      </c>
      <c r="M2191" s="2" t="s">
        <v>47</v>
      </c>
      <c r="N2191" s="2" t="s">
        <v>442</v>
      </c>
    </row>
    <row r="2192" spans="1:14">
      <c r="A2192" s="2">
        <v>2191</v>
      </c>
      <c r="B2192" s="3" t="s">
        <v>7897</v>
      </c>
      <c r="C2192" s="2" t="s">
        <v>7898</v>
      </c>
      <c r="D2192" s="2">
        <v>48</v>
      </c>
      <c r="E2192" s="2">
        <v>51</v>
      </c>
      <c r="F2192" s="2" t="s">
        <v>7899</v>
      </c>
      <c r="H2192" s="2" t="s">
        <v>45</v>
      </c>
      <c r="K2192" s="4">
        <v>16360</v>
      </c>
      <c r="M2192" s="2" t="s">
        <v>53</v>
      </c>
      <c r="N2192" s="2" t="s">
        <v>6819</v>
      </c>
    </row>
    <row r="2193" spans="1:14">
      <c r="A2193" s="2">
        <v>2192</v>
      </c>
      <c r="B2193" s="3" t="s">
        <v>7900</v>
      </c>
      <c r="C2193" s="2" t="s">
        <v>7901</v>
      </c>
      <c r="D2193" s="2">
        <v>50</v>
      </c>
      <c r="E2193" s="2">
        <v>51</v>
      </c>
      <c r="F2193" s="2" t="s">
        <v>7902</v>
      </c>
      <c r="H2193" s="2" t="s">
        <v>17</v>
      </c>
      <c r="K2193" s="4">
        <v>19416</v>
      </c>
      <c r="M2193" s="2" t="s">
        <v>85</v>
      </c>
      <c r="N2193" s="2" t="s">
        <v>960</v>
      </c>
    </row>
    <row r="2194" spans="1:14">
      <c r="A2194" s="2">
        <v>2193</v>
      </c>
      <c r="B2194" s="3" t="s">
        <v>7903</v>
      </c>
      <c r="C2194" s="2" t="s">
        <v>7904</v>
      </c>
      <c r="D2194" s="2">
        <v>51</v>
      </c>
      <c r="E2194" s="2">
        <v>51</v>
      </c>
      <c r="F2194" s="2" t="s">
        <v>7905</v>
      </c>
      <c r="H2194" s="2" t="s">
        <v>17</v>
      </c>
      <c r="K2194" s="4">
        <v>23421</v>
      </c>
      <c r="M2194" s="2" t="s">
        <v>170</v>
      </c>
      <c r="N2194" s="2" t="s">
        <v>323</v>
      </c>
    </row>
    <row r="2195" spans="1:14">
      <c r="A2195" s="2">
        <v>2194</v>
      </c>
      <c r="B2195" s="3" t="s">
        <v>7906</v>
      </c>
      <c r="C2195" s="2" t="s">
        <v>7907</v>
      </c>
      <c r="D2195" s="2">
        <v>50</v>
      </c>
      <c r="E2195" s="2">
        <v>51</v>
      </c>
      <c r="F2195" s="2" t="s">
        <v>7908</v>
      </c>
      <c r="H2195" s="2" t="s">
        <v>17</v>
      </c>
      <c r="K2195" s="4">
        <v>17422</v>
      </c>
      <c r="M2195" s="2" t="s">
        <v>192</v>
      </c>
      <c r="N2195" s="2" t="s">
        <v>1736</v>
      </c>
    </row>
    <row r="2196" spans="1:14">
      <c r="A2196" s="2">
        <v>2195</v>
      </c>
      <c r="B2196" s="3" t="s">
        <v>7909</v>
      </c>
      <c r="C2196" s="2" t="s">
        <v>7910</v>
      </c>
      <c r="D2196" s="2">
        <v>50</v>
      </c>
      <c r="E2196" s="2">
        <v>51</v>
      </c>
      <c r="F2196" s="2" t="s">
        <v>7911</v>
      </c>
      <c r="H2196" s="2" t="s">
        <v>17</v>
      </c>
      <c r="K2196" s="4">
        <v>22280</v>
      </c>
      <c r="M2196" s="2" t="s">
        <v>66</v>
      </c>
      <c r="N2196" s="2" t="s">
        <v>7912</v>
      </c>
    </row>
    <row r="2197" spans="1:14">
      <c r="A2197" s="2">
        <v>2196</v>
      </c>
      <c r="B2197" s="3" t="s">
        <v>7913</v>
      </c>
      <c r="C2197" s="2" t="s">
        <v>7914</v>
      </c>
      <c r="D2197" s="2">
        <v>49</v>
      </c>
      <c r="E2197" s="2">
        <v>51</v>
      </c>
      <c r="F2197" s="2" t="s">
        <v>7915</v>
      </c>
      <c r="H2197" s="2" t="s">
        <v>17</v>
      </c>
      <c r="K2197" s="4">
        <v>10252</v>
      </c>
      <c r="L2197" s="4">
        <v>45784</v>
      </c>
      <c r="M2197" s="2" t="s">
        <v>40</v>
      </c>
      <c r="N2197" s="2" t="s">
        <v>4572</v>
      </c>
    </row>
    <row r="2198" spans="1:14">
      <c r="A2198" s="2">
        <v>2197</v>
      </c>
      <c r="B2198" s="3" t="s">
        <v>7916</v>
      </c>
      <c r="C2198" s="2" t="s">
        <v>7917</v>
      </c>
      <c r="D2198" s="2">
        <v>51</v>
      </c>
      <c r="E2198" s="2">
        <v>51</v>
      </c>
      <c r="F2198" s="2" t="s">
        <v>7918</v>
      </c>
      <c r="H2198" s="2" t="s">
        <v>17</v>
      </c>
      <c r="K2198" s="4">
        <v>19830</v>
      </c>
      <c r="M2198" s="2" t="s">
        <v>170</v>
      </c>
      <c r="N2198" s="2" t="s">
        <v>816</v>
      </c>
    </row>
    <row r="2199" spans="1:14">
      <c r="A2199" s="2">
        <v>2198</v>
      </c>
      <c r="B2199" s="3" t="s">
        <v>7919</v>
      </c>
      <c r="C2199" s="2" t="s">
        <v>7920</v>
      </c>
      <c r="D2199" s="2">
        <v>48</v>
      </c>
      <c r="E2199" s="2">
        <v>51</v>
      </c>
      <c r="F2199" s="2" t="s">
        <v>7921</v>
      </c>
      <c r="H2199" s="2" t="s">
        <v>17</v>
      </c>
      <c r="K2199" s="4">
        <v>16790</v>
      </c>
      <c r="M2199" s="2" t="s">
        <v>170</v>
      </c>
      <c r="N2199" s="2" t="s">
        <v>323</v>
      </c>
    </row>
    <row r="2200" spans="1:14">
      <c r="A2200" s="2">
        <v>2199</v>
      </c>
      <c r="B2200" s="3" t="s">
        <v>7922</v>
      </c>
      <c r="C2200" s="2" t="s">
        <v>7923</v>
      </c>
      <c r="D2200" s="2">
        <v>51</v>
      </c>
      <c r="E2200" s="2">
        <v>51</v>
      </c>
      <c r="F2200" s="2" t="s">
        <v>7924</v>
      </c>
      <c r="H2200" s="2" t="s">
        <v>17</v>
      </c>
      <c r="K2200" s="4">
        <v>21109</v>
      </c>
      <c r="M2200" s="2" t="s">
        <v>40</v>
      </c>
      <c r="N2200" s="2" t="s">
        <v>6040</v>
      </c>
    </row>
    <row r="2201" spans="1:14">
      <c r="A2201" s="2">
        <v>2200</v>
      </c>
      <c r="B2201" s="3" t="s">
        <v>7925</v>
      </c>
      <c r="C2201" s="2" t="s">
        <v>7926</v>
      </c>
      <c r="D2201" s="2">
        <v>46</v>
      </c>
      <c r="E2201" s="2">
        <v>51</v>
      </c>
      <c r="F2201" s="2" t="s">
        <v>7927</v>
      </c>
      <c r="H2201" s="2" t="s">
        <v>17</v>
      </c>
      <c r="K2201" s="4">
        <v>11351</v>
      </c>
      <c r="L2201" s="4">
        <v>41051</v>
      </c>
      <c r="M2201" s="2" t="s">
        <v>47</v>
      </c>
      <c r="N2201" s="2" t="s">
        <v>7928</v>
      </c>
    </row>
    <row r="2202" spans="1:14">
      <c r="A2202" s="2">
        <v>2201</v>
      </c>
      <c r="B2202" s="3" t="s">
        <v>7929</v>
      </c>
      <c r="C2202" s="2" t="s">
        <v>7930</v>
      </c>
      <c r="D2202" s="2">
        <v>48</v>
      </c>
      <c r="E2202" s="2">
        <v>51</v>
      </c>
      <c r="F2202" s="2" t="s">
        <v>7931</v>
      </c>
      <c r="H2202" s="2" t="s">
        <v>17</v>
      </c>
      <c r="K2202" s="4">
        <v>15464</v>
      </c>
      <c r="M2202" s="2" t="s">
        <v>40</v>
      </c>
      <c r="N2202" s="2" t="s">
        <v>41</v>
      </c>
    </row>
    <row r="2203" spans="1:14">
      <c r="A2203" s="2">
        <v>2202</v>
      </c>
      <c r="B2203" s="3" t="s">
        <v>7932</v>
      </c>
      <c r="C2203" s="2" t="s">
        <v>7933</v>
      </c>
      <c r="D2203" s="2">
        <v>51</v>
      </c>
      <c r="E2203" s="2">
        <v>51</v>
      </c>
      <c r="F2203" s="2" t="s">
        <v>7934</v>
      </c>
      <c r="H2203" s="2" t="s">
        <v>17</v>
      </c>
      <c r="K2203" s="4">
        <v>20796</v>
      </c>
      <c r="M2203" s="2" t="s">
        <v>341</v>
      </c>
      <c r="N2203" s="2" t="s">
        <v>834</v>
      </c>
    </row>
    <row r="2204" spans="1:14">
      <c r="A2204" s="2">
        <v>2203</v>
      </c>
      <c r="B2204" s="3" t="s">
        <v>7935</v>
      </c>
      <c r="C2204" s="2" t="s">
        <v>7936</v>
      </c>
      <c r="D2204" s="2">
        <v>50</v>
      </c>
      <c r="E2204" s="2">
        <v>51</v>
      </c>
      <c r="F2204" s="2" t="s">
        <v>7937</v>
      </c>
      <c r="H2204" s="2" t="s">
        <v>17</v>
      </c>
      <c r="K2204" s="4">
        <v>21986</v>
      </c>
      <c r="L2204" s="4">
        <v>41610</v>
      </c>
      <c r="M2204" s="2" t="s">
        <v>91</v>
      </c>
      <c r="N2204" s="2" t="s">
        <v>975</v>
      </c>
    </row>
    <row r="2205" spans="1:14">
      <c r="A2205" s="2">
        <v>2204</v>
      </c>
      <c r="B2205" s="3" t="s">
        <v>7938</v>
      </c>
      <c r="C2205" s="2" t="s">
        <v>7939</v>
      </c>
      <c r="D2205" s="2">
        <v>50</v>
      </c>
      <c r="E2205" s="2">
        <v>51</v>
      </c>
      <c r="F2205" s="2" t="s">
        <v>7940</v>
      </c>
      <c r="H2205" s="2" t="s">
        <v>17</v>
      </c>
      <c r="K2205" s="4">
        <v>16890</v>
      </c>
      <c r="M2205" s="2" t="s">
        <v>47</v>
      </c>
      <c r="N2205" s="2" t="s">
        <v>7941</v>
      </c>
    </row>
    <row r="2206" spans="1:14">
      <c r="A2206" s="2">
        <v>2205</v>
      </c>
      <c r="B2206" s="3" t="s">
        <v>7942</v>
      </c>
      <c r="C2206" s="2" t="s">
        <v>7943</v>
      </c>
      <c r="D2206" s="2">
        <v>51</v>
      </c>
      <c r="E2206" s="2">
        <v>51</v>
      </c>
      <c r="F2206" s="2" t="s">
        <v>7944</v>
      </c>
      <c r="H2206" s="2" t="s">
        <v>17</v>
      </c>
      <c r="K2206" s="4">
        <v>22738</v>
      </c>
      <c r="L2206" s="4">
        <v>44820</v>
      </c>
      <c r="M2206" s="2" t="s">
        <v>247</v>
      </c>
      <c r="N2206" s="2" t="s">
        <v>886</v>
      </c>
    </row>
    <row r="2207" spans="1:14">
      <c r="A2207" s="2">
        <v>2206</v>
      </c>
      <c r="B2207" s="3" t="s">
        <v>7945</v>
      </c>
      <c r="C2207" s="2" t="s">
        <v>7946</v>
      </c>
      <c r="D2207" s="2">
        <v>51</v>
      </c>
      <c r="E2207" s="2">
        <v>51</v>
      </c>
      <c r="F2207" s="2" t="s">
        <v>7947</v>
      </c>
      <c r="H2207" s="2" t="s">
        <v>17</v>
      </c>
      <c r="K2207" s="4">
        <v>16672</v>
      </c>
      <c r="M2207" s="2" t="s">
        <v>47</v>
      </c>
      <c r="N2207" s="2" t="s">
        <v>48</v>
      </c>
    </row>
    <row r="2208" spans="1:14">
      <c r="A2208" s="2">
        <v>2207</v>
      </c>
      <c r="B2208" s="3" t="s">
        <v>7948</v>
      </c>
      <c r="C2208" s="2" t="s">
        <v>7949</v>
      </c>
      <c r="D2208" s="2">
        <v>51</v>
      </c>
      <c r="E2208" s="2">
        <v>51</v>
      </c>
      <c r="F2208" s="2" t="s">
        <v>7950</v>
      </c>
      <c r="H2208" s="2" t="s">
        <v>17</v>
      </c>
      <c r="K2208" s="4">
        <v>22144</v>
      </c>
      <c r="M2208" s="2" t="s">
        <v>66</v>
      </c>
      <c r="N2208" s="2" t="s">
        <v>71</v>
      </c>
    </row>
    <row r="2209" spans="1:14">
      <c r="A2209" s="2">
        <v>2208</v>
      </c>
      <c r="B2209" s="3" t="s">
        <v>7951</v>
      </c>
      <c r="C2209" s="2" t="s">
        <v>7952</v>
      </c>
      <c r="D2209" s="2">
        <v>48</v>
      </c>
      <c r="E2209" s="2">
        <v>51</v>
      </c>
      <c r="F2209" s="2" t="s">
        <v>7953</v>
      </c>
      <c r="H2209" s="2" t="s">
        <v>45</v>
      </c>
      <c r="K2209" s="4">
        <v>16298</v>
      </c>
      <c r="M2209" s="2" t="s">
        <v>53</v>
      </c>
      <c r="N2209" s="2" t="s">
        <v>6601</v>
      </c>
    </row>
    <row r="2210" spans="1:14">
      <c r="A2210" s="2">
        <v>2209</v>
      </c>
      <c r="B2210" s="3" t="s">
        <v>7954</v>
      </c>
      <c r="C2210" s="2" t="s">
        <v>7955</v>
      </c>
      <c r="D2210" s="2">
        <v>50</v>
      </c>
      <c r="E2210" s="2">
        <v>51</v>
      </c>
      <c r="F2210" s="2" t="s">
        <v>7956</v>
      </c>
      <c r="H2210" s="2" t="s">
        <v>45</v>
      </c>
      <c r="K2210" s="4">
        <v>18444</v>
      </c>
      <c r="M2210" s="2" t="s">
        <v>35</v>
      </c>
      <c r="N2210" s="2" t="s">
        <v>58</v>
      </c>
    </row>
    <row r="2211" spans="1:14">
      <c r="A2211" s="2">
        <v>2210</v>
      </c>
      <c r="B2211" s="3" t="s">
        <v>7957</v>
      </c>
      <c r="C2211" s="2" t="s">
        <v>7958</v>
      </c>
      <c r="D2211" s="2">
        <v>49</v>
      </c>
      <c r="E2211" s="2">
        <v>51</v>
      </c>
      <c r="F2211" s="2" t="s">
        <v>7959</v>
      </c>
      <c r="H2211" s="2" t="s">
        <v>45</v>
      </c>
      <c r="K2211" s="4">
        <v>15208</v>
      </c>
      <c r="M2211" s="2" t="s">
        <v>85</v>
      </c>
      <c r="N2211" s="2" t="s">
        <v>7960</v>
      </c>
    </row>
    <row r="2212" spans="1:14">
      <c r="A2212" s="2">
        <v>2211</v>
      </c>
      <c r="B2212" s="3" t="s">
        <v>7961</v>
      </c>
      <c r="C2212" s="2" t="s">
        <v>7962</v>
      </c>
      <c r="D2212" s="2">
        <v>50</v>
      </c>
      <c r="E2212" s="2">
        <v>51</v>
      </c>
      <c r="F2212" s="2" t="s">
        <v>7963</v>
      </c>
      <c r="H2212" s="2" t="s">
        <v>45</v>
      </c>
      <c r="K2212" s="4">
        <v>17339</v>
      </c>
      <c r="M2212" s="2" t="s">
        <v>341</v>
      </c>
      <c r="N2212" s="2" t="s">
        <v>6601</v>
      </c>
    </row>
    <row r="2213" spans="1:14">
      <c r="A2213" s="2">
        <v>2212</v>
      </c>
      <c r="B2213" s="3" t="s">
        <v>7964</v>
      </c>
      <c r="C2213" s="2" t="s">
        <v>7965</v>
      </c>
      <c r="D2213" s="2">
        <v>51</v>
      </c>
      <c r="E2213" s="2">
        <v>51</v>
      </c>
      <c r="F2213" s="2" t="s">
        <v>7966</v>
      </c>
      <c r="H2213" s="2" t="s">
        <v>17</v>
      </c>
      <c r="K2213" s="4">
        <v>19877</v>
      </c>
      <c r="M2213" s="2" t="s">
        <v>170</v>
      </c>
      <c r="N2213" s="2" t="s">
        <v>323</v>
      </c>
    </row>
    <row r="2214" spans="1:14">
      <c r="A2214" s="2">
        <v>2213</v>
      </c>
      <c r="B2214" s="3" t="s">
        <v>7967</v>
      </c>
      <c r="C2214" s="2" t="s">
        <v>7968</v>
      </c>
      <c r="D2214" s="2">
        <v>43</v>
      </c>
      <c r="E2214" s="2">
        <v>51</v>
      </c>
      <c r="F2214" s="2" t="s">
        <v>7969</v>
      </c>
      <c r="H2214" s="2" t="s">
        <v>17</v>
      </c>
      <c r="K2214" s="4">
        <v>14699</v>
      </c>
      <c r="L2214" s="4">
        <v>42858</v>
      </c>
      <c r="M2214" s="2" t="s">
        <v>198</v>
      </c>
      <c r="N2214" s="2" t="s">
        <v>3464</v>
      </c>
    </row>
    <row r="2215" spans="1:14">
      <c r="A2215" s="2">
        <v>2214</v>
      </c>
      <c r="B2215" s="3" t="s">
        <v>7970</v>
      </c>
      <c r="C2215" s="2" t="s">
        <v>7971</v>
      </c>
      <c r="D2215" s="2">
        <v>48</v>
      </c>
      <c r="E2215" s="2">
        <v>51</v>
      </c>
      <c r="F2215" s="2" t="s">
        <v>7972</v>
      </c>
      <c r="H2215" s="2" t="s">
        <v>17</v>
      </c>
      <c r="K2215" s="4">
        <v>14989</v>
      </c>
      <c r="M2215" s="2" t="s">
        <v>247</v>
      </c>
      <c r="N2215" s="2" t="s">
        <v>886</v>
      </c>
    </row>
    <row r="2216" spans="1:14">
      <c r="A2216" s="2">
        <v>2215</v>
      </c>
      <c r="B2216" s="3" t="s">
        <v>7973</v>
      </c>
      <c r="C2216" s="2" t="s">
        <v>7974</v>
      </c>
      <c r="D2216" s="2">
        <v>46</v>
      </c>
      <c r="E2216" s="2">
        <v>51</v>
      </c>
      <c r="F2216" s="2" t="s">
        <v>7975</v>
      </c>
      <c r="H2216" s="2" t="s">
        <v>17</v>
      </c>
      <c r="K2216" s="4">
        <v>13585</v>
      </c>
      <c r="L2216" s="4">
        <v>45610</v>
      </c>
      <c r="M2216" s="2" t="s">
        <v>192</v>
      </c>
      <c r="N2216" s="2" t="s">
        <v>3113</v>
      </c>
    </row>
    <row r="2217" spans="1:14">
      <c r="A2217" s="2">
        <v>2216</v>
      </c>
      <c r="B2217" s="3" t="s">
        <v>7976</v>
      </c>
      <c r="C2217" s="2" t="s">
        <v>7977</v>
      </c>
      <c r="D2217" s="2">
        <v>50</v>
      </c>
      <c r="E2217" s="2">
        <v>51</v>
      </c>
      <c r="F2217" s="2" t="s">
        <v>7978</v>
      </c>
      <c r="H2217" s="2" t="s">
        <v>17</v>
      </c>
      <c r="K2217" s="4">
        <v>14226</v>
      </c>
      <c r="M2217" s="2" t="s">
        <v>170</v>
      </c>
      <c r="N2217" s="2" t="s">
        <v>323</v>
      </c>
    </row>
    <row r="2218" spans="1:14">
      <c r="A2218" s="2">
        <v>2217</v>
      </c>
      <c r="B2218" s="3" t="s">
        <v>7979</v>
      </c>
      <c r="C2218" s="2" t="s">
        <v>7980</v>
      </c>
      <c r="D2218" s="2">
        <v>51</v>
      </c>
      <c r="E2218" s="2">
        <v>51</v>
      </c>
      <c r="F2218" s="2" t="s">
        <v>7980</v>
      </c>
      <c r="H2218" s="2" t="s">
        <v>17</v>
      </c>
      <c r="K2218" s="4">
        <v>13469</v>
      </c>
      <c r="L2218" s="4">
        <v>45379</v>
      </c>
      <c r="M2218" s="2" t="s">
        <v>154</v>
      </c>
      <c r="N2218" s="2" t="s">
        <v>5397</v>
      </c>
    </row>
    <row r="2219" spans="1:14">
      <c r="A2219" s="2">
        <v>2218</v>
      </c>
      <c r="B2219" s="3" t="s">
        <v>7981</v>
      </c>
      <c r="C2219" s="2" t="s">
        <v>7982</v>
      </c>
      <c r="D2219" s="2">
        <v>51</v>
      </c>
      <c r="E2219" s="2">
        <v>51</v>
      </c>
      <c r="F2219" s="2" t="s">
        <v>7983</v>
      </c>
      <c r="H2219" s="2" t="s">
        <v>17</v>
      </c>
      <c r="K2219" s="4">
        <v>14313</v>
      </c>
      <c r="L2219" s="4">
        <v>44682</v>
      </c>
      <c r="M2219" s="2" t="s">
        <v>47</v>
      </c>
      <c r="N2219" s="2" t="s">
        <v>48</v>
      </c>
    </row>
    <row r="2220" spans="1:14">
      <c r="A2220" s="2">
        <v>2219</v>
      </c>
      <c r="B2220" s="3" t="s">
        <v>7984</v>
      </c>
      <c r="C2220" s="2" t="s">
        <v>7985</v>
      </c>
      <c r="D2220" s="2">
        <v>50</v>
      </c>
      <c r="E2220" s="2">
        <v>51</v>
      </c>
      <c r="F2220" s="2" t="s">
        <v>7985</v>
      </c>
      <c r="H2220" s="2" t="s">
        <v>17</v>
      </c>
      <c r="K2220" s="4">
        <v>15028</v>
      </c>
      <c r="L2220" s="4">
        <v>43557</v>
      </c>
      <c r="M2220" s="2" t="s">
        <v>47</v>
      </c>
      <c r="N2220" s="2" t="s">
        <v>7986</v>
      </c>
    </row>
    <row r="2221" spans="1:14">
      <c r="A2221" s="2">
        <v>2220</v>
      </c>
      <c r="B2221" s="3" t="s">
        <v>7987</v>
      </c>
      <c r="C2221" s="2" t="s">
        <v>7988</v>
      </c>
      <c r="D2221" s="2">
        <v>50</v>
      </c>
      <c r="E2221" s="2">
        <v>51</v>
      </c>
      <c r="F2221" s="2" t="s">
        <v>7989</v>
      </c>
      <c r="H2221" s="2" t="s">
        <v>45</v>
      </c>
      <c r="K2221" s="4">
        <v>20539</v>
      </c>
      <c r="M2221" s="2" t="s">
        <v>53</v>
      </c>
      <c r="N2221" s="2" t="s">
        <v>1697</v>
      </c>
    </row>
    <row r="2222" spans="1:14">
      <c r="A2222" s="2">
        <v>2221</v>
      </c>
      <c r="B2222" s="3" t="s">
        <v>7990</v>
      </c>
      <c r="C2222" s="2" t="s">
        <v>7991</v>
      </c>
      <c r="D2222" s="2">
        <v>51</v>
      </c>
      <c r="E2222" s="2">
        <v>51</v>
      </c>
      <c r="F2222" s="2" t="s">
        <v>7992</v>
      </c>
      <c r="H2222" s="2" t="s">
        <v>17</v>
      </c>
      <c r="K2222" s="4">
        <v>21739</v>
      </c>
      <c r="M2222" s="2" t="s">
        <v>47</v>
      </c>
      <c r="N2222" s="2" t="s">
        <v>48</v>
      </c>
    </row>
    <row r="2223" spans="1:14">
      <c r="A2223" s="2">
        <v>2222</v>
      </c>
      <c r="B2223" s="3" t="s">
        <v>7993</v>
      </c>
      <c r="C2223" s="2" t="s">
        <v>7994</v>
      </c>
      <c r="D2223" s="2">
        <v>50</v>
      </c>
      <c r="E2223" s="2">
        <v>51</v>
      </c>
      <c r="F2223" s="2" t="s">
        <v>7995</v>
      </c>
      <c r="H2223" s="2" t="s">
        <v>17</v>
      </c>
      <c r="K2223" s="4">
        <v>21618</v>
      </c>
      <c r="M2223" s="2" t="s">
        <v>66</v>
      </c>
      <c r="N2223" s="2" t="s">
        <v>3640</v>
      </c>
    </row>
    <row r="2224" spans="1:14">
      <c r="A2224" s="2">
        <v>2223</v>
      </c>
      <c r="B2224" s="3" t="s">
        <v>7996</v>
      </c>
      <c r="C2224" s="2" t="s">
        <v>7997</v>
      </c>
      <c r="D2224" s="2">
        <v>45</v>
      </c>
      <c r="E2224" s="2">
        <v>51</v>
      </c>
      <c r="F2224" s="2" t="s">
        <v>7997</v>
      </c>
      <c r="H2224" s="2" t="s">
        <v>17</v>
      </c>
      <c r="K2224" s="4">
        <v>14004</v>
      </c>
      <c r="L2224" s="4">
        <v>37298</v>
      </c>
      <c r="M2224" s="2" t="s">
        <v>66</v>
      </c>
      <c r="N2224" s="2" t="s">
        <v>1069</v>
      </c>
    </row>
    <row r="2225" spans="1:14">
      <c r="A2225" s="2">
        <v>2224</v>
      </c>
      <c r="B2225" s="3" t="s">
        <v>7998</v>
      </c>
      <c r="C2225" s="2" t="s">
        <v>7999</v>
      </c>
      <c r="D2225" s="2">
        <v>50</v>
      </c>
      <c r="E2225" s="2">
        <v>51</v>
      </c>
      <c r="F2225" s="2" t="s">
        <v>7999</v>
      </c>
      <c r="H2225" s="2" t="s">
        <v>17</v>
      </c>
      <c r="K2225" s="4">
        <v>14707</v>
      </c>
      <c r="L2225" s="4">
        <v>44787</v>
      </c>
      <c r="M2225" s="2" t="s">
        <v>85</v>
      </c>
      <c r="N2225" s="2" t="s">
        <v>86</v>
      </c>
    </row>
    <row r="2226" spans="1:14">
      <c r="A2226" s="2">
        <v>2225</v>
      </c>
      <c r="B2226" s="3" t="s">
        <v>8000</v>
      </c>
      <c r="C2226" s="2" t="s">
        <v>8001</v>
      </c>
      <c r="D2226" s="2">
        <v>51</v>
      </c>
      <c r="E2226" s="2">
        <v>51</v>
      </c>
      <c r="F2226" s="2" t="s">
        <v>8002</v>
      </c>
      <c r="H2226" s="2" t="s">
        <v>17</v>
      </c>
      <c r="K2226" s="4">
        <v>15797</v>
      </c>
      <c r="M2226" s="2" t="s">
        <v>40</v>
      </c>
      <c r="N2226" s="2" t="s">
        <v>496</v>
      </c>
    </row>
    <row r="2227" spans="1:14">
      <c r="A2227" s="2">
        <v>2226</v>
      </c>
      <c r="B2227" s="3" t="s">
        <v>8003</v>
      </c>
      <c r="C2227" s="2" t="s">
        <v>8004</v>
      </c>
      <c r="D2227" s="2">
        <v>51</v>
      </c>
      <c r="E2227" s="2">
        <v>51</v>
      </c>
      <c r="F2227" s="2" t="s">
        <v>8005</v>
      </c>
      <c r="H2227" s="2" t="s">
        <v>17</v>
      </c>
      <c r="K2227" s="4">
        <v>19945</v>
      </c>
      <c r="M2227" s="2" t="s">
        <v>336</v>
      </c>
      <c r="N2227" s="2" t="s">
        <v>8006</v>
      </c>
    </row>
    <row r="2228" spans="1:14">
      <c r="A2228" s="2">
        <v>2227</v>
      </c>
      <c r="B2228" s="3" t="s">
        <v>8007</v>
      </c>
      <c r="C2228" s="2" t="s">
        <v>8008</v>
      </c>
      <c r="D2228" s="2">
        <v>51</v>
      </c>
      <c r="E2228" s="2">
        <v>51</v>
      </c>
      <c r="F2228" s="2" t="s">
        <v>8009</v>
      </c>
      <c r="H2228" s="2" t="s">
        <v>17</v>
      </c>
      <c r="K2228" s="4">
        <v>12215</v>
      </c>
      <c r="L2228" s="4">
        <v>37939</v>
      </c>
      <c r="M2228" s="2" t="s">
        <v>35</v>
      </c>
      <c r="N2228" s="2" t="s">
        <v>8010</v>
      </c>
    </row>
    <row r="2229" spans="1:14">
      <c r="A2229" s="2">
        <v>2228</v>
      </c>
      <c r="B2229" s="3" t="s">
        <v>8011</v>
      </c>
      <c r="C2229" s="2" t="s">
        <v>8012</v>
      </c>
      <c r="D2229" s="2">
        <v>50</v>
      </c>
      <c r="E2229" s="2">
        <v>51</v>
      </c>
      <c r="F2229" s="2" t="s">
        <v>8013</v>
      </c>
      <c r="H2229" s="2" t="s">
        <v>17</v>
      </c>
      <c r="K2229" s="4">
        <v>21089</v>
      </c>
      <c r="M2229" s="2" t="s">
        <v>35</v>
      </c>
      <c r="N2229" s="2" t="s">
        <v>8014</v>
      </c>
    </row>
    <row r="2230" spans="1:14">
      <c r="A2230" s="2">
        <v>2229</v>
      </c>
      <c r="B2230" s="3" t="s">
        <v>8015</v>
      </c>
      <c r="C2230" s="2" t="s">
        <v>8016</v>
      </c>
      <c r="D2230" s="2">
        <v>48</v>
      </c>
      <c r="E2230" s="2">
        <v>51</v>
      </c>
      <c r="F2230" s="2" t="s">
        <v>8017</v>
      </c>
      <c r="H2230" s="2" t="s">
        <v>17</v>
      </c>
      <c r="K2230" s="4">
        <v>17906</v>
      </c>
      <c r="M2230" s="2" t="s">
        <v>47</v>
      </c>
      <c r="N2230" s="2" t="s">
        <v>4137</v>
      </c>
    </row>
    <row r="2231" spans="1:14">
      <c r="A2231" s="2">
        <v>2230</v>
      </c>
      <c r="B2231" s="3" t="s">
        <v>8018</v>
      </c>
      <c r="C2231" s="2" t="s">
        <v>8019</v>
      </c>
      <c r="D2231" s="2">
        <v>50</v>
      </c>
      <c r="E2231" s="2">
        <v>51</v>
      </c>
      <c r="F2231" s="2" t="s">
        <v>8019</v>
      </c>
      <c r="H2231" s="2" t="s">
        <v>17</v>
      </c>
      <c r="K2231" s="4">
        <v>13651</v>
      </c>
      <c r="L2231" s="4">
        <v>39336</v>
      </c>
      <c r="M2231" s="2" t="s">
        <v>47</v>
      </c>
      <c r="N2231" s="2" t="s">
        <v>8020</v>
      </c>
    </row>
    <row r="2232" spans="1:14">
      <c r="A2232" s="2">
        <v>2231</v>
      </c>
      <c r="B2232" s="3" t="s">
        <v>8021</v>
      </c>
      <c r="C2232" s="2" t="s">
        <v>8022</v>
      </c>
      <c r="D2232" s="2">
        <v>50</v>
      </c>
      <c r="E2232" s="2">
        <v>51</v>
      </c>
      <c r="F2232" s="2" t="s">
        <v>8023</v>
      </c>
      <c r="H2232" s="2" t="s">
        <v>17</v>
      </c>
      <c r="K2232" s="4">
        <v>14594</v>
      </c>
      <c r="L2232" s="4">
        <v>43513</v>
      </c>
      <c r="M2232" s="2" t="s">
        <v>66</v>
      </c>
      <c r="N2232" s="2" t="s">
        <v>364</v>
      </c>
    </row>
    <row r="2233" spans="1:14">
      <c r="A2233" s="2">
        <v>2232</v>
      </c>
      <c r="B2233" s="3" t="s">
        <v>8024</v>
      </c>
      <c r="C2233" s="2" t="s">
        <v>8025</v>
      </c>
      <c r="D2233" s="2">
        <v>51</v>
      </c>
      <c r="E2233" s="2">
        <v>51</v>
      </c>
      <c r="F2233" s="2" t="s">
        <v>8026</v>
      </c>
      <c r="H2233" s="2" t="s">
        <v>17</v>
      </c>
      <c r="K2233" s="4">
        <v>17082</v>
      </c>
      <c r="M2233" s="2" t="s">
        <v>40</v>
      </c>
      <c r="N2233" s="2" t="s">
        <v>41</v>
      </c>
    </row>
    <row r="2234" spans="1:14">
      <c r="A2234" s="2">
        <v>2233</v>
      </c>
      <c r="B2234" s="3" t="s">
        <v>8027</v>
      </c>
      <c r="C2234" s="2" t="s">
        <v>8028</v>
      </c>
      <c r="D2234" s="2">
        <v>49</v>
      </c>
      <c r="E2234" s="2">
        <v>51</v>
      </c>
      <c r="F2234" s="2" t="s">
        <v>8029</v>
      </c>
      <c r="H2234" s="2" t="s">
        <v>17</v>
      </c>
      <c r="K2234" s="4">
        <v>18456</v>
      </c>
      <c r="M2234" s="2" t="s">
        <v>170</v>
      </c>
      <c r="N2234" s="2" t="s">
        <v>323</v>
      </c>
    </row>
    <row r="2235" spans="1:14">
      <c r="A2235" s="2">
        <v>2234</v>
      </c>
      <c r="B2235" s="3" t="s">
        <v>8030</v>
      </c>
      <c r="C2235" s="2" t="s">
        <v>7260</v>
      </c>
      <c r="D2235" s="2">
        <v>50</v>
      </c>
      <c r="E2235" s="2">
        <v>51</v>
      </c>
      <c r="F2235" s="2" t="s">
        <v>8031</v>
      </c>
      <c r="H2235" s="2" t="s">
        <v>17</v>
      </c>
      <c r="K2235" s="4">
        <v>15839</v>
      </c>
      <c r="M2235" s="2" t="s">
        <v>66</v>
      </c>
      <c r="N2235" s="2" t="s">
        <v>3262</v>
      </c>
    </row>
    <row r="2236" spans="1:14">
      <c r="A2236" s="2">
        <v>2235</v>
      </c>
      <c r="B2236" s="3" t="s">
        <v>8032</v>
      </c>
      <c r="C2236" s="2" t="s">
        <v>8033</v>
      </c>
      <c r="D2236" s="2">
        <v>51</v>
      </c>
      <c r="E2236" s="2">
        <v>51</v>
      </c>
      <c r="F2236" s="2" t="s">
        <v>8034</v>
      </c>
      <c r="H2236" s="2" t="s">
        <v>17</v>
      </c>
      <c r="K2236" s="4">
        <v>22087</v>
      </c>
      <c r="M2236" s="2" t="s">
        <v>170</v>
      </c>
      <c r="N2236" s="2" t="s">
        <v>8035</v>
      </c>
    </row>
    <row r="2237" spans="1:14">
      <c r="A2237" s="2">
        <v>2236</v>
      </c>
      <c r="B2237" s="3" t="s">
        <v>8036</v>
      </c>
      <c r="C2237" s="2" t="s">
        <v>8037</v>
      </c>
      <c r="D2237" s="2">
        <v>48</v>
      </c>
      <c r="E2237" s="2">
        <v>51</v>
      </c>
      <c r="F2237" s="2" t="s">
        <v>8038</v>
      </c>
      <c r="H2237" s="2" t="s">
        <v>17</v>
      </c>
      <c r="K2237" s="4">
        <v>20523</v>
      </c>
      <c r="M2237" s="2" t="s">
        <v>122</v>
      </c>
      <c r="N2237" s="2" t="s">
        <v>5190</v>
      </c>
    </row>
    <row r="2238" spans="1:14">
      <c r="A2238" s="2">
        <v>2237</v>
      </c>
      <c r="B2238" s="3" t="s">
        <v>8039</v>
      </c>
      <c r="C2238" s="2" t="s">
        <v>8040</v>
      </c>
      <c r="D2238" s="2">
        <v>49</v>
      </c>
      <c r="E2238" s="2">
        <v>51</v>
      </c>
      <c r="F2238" s="2" t="s">
        <v>8041</v>
      </c>
      <c r="H2238" s="2" t="s">
        <v>17</v>
      </c>
      <c r="K2238" s="4">
        <v>18307</v>
      </c>
      <c r="M2238" s="2" t="s">
        <v>35</v>
      </c>
      <c r="N2238" s="2" t="s">
        <v>3929</v>
      </c>
    </row>
    <row r="2239" spans="1:14">
      <c r="A2239" s="2">
        <v>2238</v>
      </c>
      <c r="B2239" s="3" t="s">
        <v>8042</v>
      </c>
      <c r="C2239" s="2" t="s">
        <v>8043</v>
      </c>
      <c r="D2239" s="2">
        <v>48</v>
      </c>
      <c r="E2239" s="2">
        <v>51</v>
      </c>
      <c r="F2239" s="2" t="s">
        <v>8044</v>
      </c>
      <c r="H2239" s="2" t="s">
        <v>17</v>
      </c>
      <c r="K2239" s="4">
        <v>18337</v>
      </c>
      <c r="M2239" s="2" t="s">
        <v>66</v>
      </c>
      <c r="N2239" s="2" t="s">
        <v>730</v>
      </c>
    </row>
    <row r="2240" spans="1:14">
      <c r="A2240" s="2">
        <v>2239</v>
      </c>
      <c r="B2240" s="3" t="s">
        <v>8045</v>
      </c>
      <c r="C2240" s="2" t="s">
        <v>8046</v>
      </c>
      <c r="D2240" s="2">
        <v>51</v>
      </c>
      <c r="E2240" s="2">
        <v>51</v>
      </c>
      <c r="F2240" s="2" t="s">
        <v>8047</v>
      </c>
      <c r="H2240" s="2" t="s">
        <v>17</v>
      </c>
      <c r="K2240" s="4">
        <v>22347</v>
      </c>
      <c r="M2240" s="2" t="s">
        <v>40</v>
      </c>
      <c r="N2240" s="2" t="s">
        <v>1781</v>
      </c>
    </row>
    <row r="2241" spans="1:14">
      <c r="A2241" s="2">
        <v>2240</v>
      </c>
      <c r="B2241" s="3" t="s">
        <v>8048</v>
      </c>
      <c r="C2241" s="2" t="s">
        <v>8049</v>
      </c>
      <c r="D2241" s="2">
        <v>51</v>
      </c>
      <c r="E2241" s="2">
        <v>51</v>
      </c>
      <c r="F2241" s="2" t="s">
        <v>8050</v>
      </c>
      <c r="H2241" s="2" t="s">
        <v>17</v>
      </c>
      <c r="K2241" s="4">
        <v>20476</v>
      </c>
      <c r="M2241" s="2" t="s">
        <v>423</v>
      </c>
      <c r="N2241" s="2" t="s">
        <v>3005</v>
      </c>
    </row>
    <row r="2242" spans="1:14">
      <c r="A2242" s="2">
        <v>2241</v>
      </c>
      <c r="B2242" s="3" t="s">
        <v>8051</v>
      </c>
      <c r="C2242" s="2" t="s">
        <v>8052</v>
      </c>
      <c r="D2242" s="2">
        <v>51</v>
      </c>
      <c r="E2242" s="2">
        <v>51</v>
      </c>
      <c r="F2242" s="2" t="s">
        <v>8052</v>
      </c>
      <c r="H2242" s="2" t="s">
        <v>17</v>
      </c>
      <c r="K2242" s="4">
        <v>21526</v>
      </c>
      <c r="M2242" s="2" t="s">
        <v>35</v>
      </c>
      <c r="N2242" s="2" t="s">
        <v>1369</v>
      </c>
    </row>
    <row r="2243" spans="1:14">
      <c r="A2243" s="2">
        <v>2242</v>
      </c>
      <c r="B2243" s="3" t="s">
        <v>8053</v>
      </c>
      <c r="C2243" s="2" t="s">
        <v>8054</v>
      </c>
      <c r="D2243" s="2">
        <v>46</v>
      </c>
      <c r="E2243" s="2">
        <v>51</v>
      </c>
      <c r="F2243" s="2" t="s">
        <v>8055</v>
      </c>
      <c r="H2243" s="2" t="s">
        <v>17</v>
      </c>
      <c r="K2243" s="4">
        <v>17350</v>
      </c>
      <c r="M2243" s="2" t="s">
        <v>35</v>
      </c>
      <c r="N2243" s="2" t="s">
        <v>58</v>
      </c>
    </row>
    <row r="2244" spans="1:14">
      <c r="A2244" s="2">
        <v>2243</v>
      </c>
      <c r="B2244" s="3" t="s">
        <v>8056</v>
      </c>
      <c r="C2244" s="2" t="s">
        <v>8057</v>
      </c>
      <c r="D2244" s="2">
        <v>50</v>
      </c>
      <c r="E2244" s="2">
        <v>51</v>
      </c>
      <c r="F2244" s="2" t="s">
        <v>8058</v>
      </c>
      <c r="H2244" s="2" t="s">
        <v>17</v>
      </c>
      <c r="K2244" s="4">
        <v>19334</v>
      </c>
      <c r="M2244" s="2" t="s">
        <v>85</v>
      </c>
      <c r="N2244" s="2" t="s">
        <v>8059</v>
      </c>
    </row>
    <row r="2245" spans="1:14">
      <c r="A2245" s="2">
        <v>2244</v>
      </c>
      <c r="B2245" s="3" t="s">
        <v>8060</v>
      </c>
      <c r="C2245" s="2" t="s">
        <v>8061</v>
      </c>
      <c r="D2245" s="2">
        <v>44</v>
      </c>
      <c r="E2245" s="2">
        <v>51</v>
      </c>
      <c r="F2245" s="2" t="s">
        <v>8062</v>
      </c>
      <c r="H2245" s="2" t="s">
        <v>17</v>
      </c>
      <c r="K2245" s="4">
        <v>11844</v>
      </c>
      <c r="L2245" s="4">
        <v>42061</v>
      </c>
    </row>
    <row r="2246" spans="1:14">
      <c r="A2246" s="2">
        <v>2245</v>
      </c>
      <c r="B2246" s="3" t="s">
        <v>8063</v>
      </c>
      <c r="C2246" s="2" t="s">
        <v>8064</v>
      </c>
      <c r="D2246" s="2">
        <v>51</v>
      </c>
      <c r="E2246" s="2">
        <v>51</v>
      </c>
      <c r="F2246" s="2" t="s">
        <v>8065</v>
      </c>
      <c r="H2246" s="2" t="s">
        <v>17</v>
      </c>
      <c r="K2246" s="4">
        <v>20531</v>
      </c>
      <c r="M2246" s="2" t="s">
        <v>154</v>
      </c>
      <c r="N2246" s="2" t="s">
        <v>208</v>
      </c>
    </row>
    <row r="2247" spans="1:14">
      <c r="A2247" s="2">
        <v>2246</v>
      </c>
      <c r="B2247" s="3" t="s">
        <v>8066</v>
      </c>
      <c r="C2247" s="2" t="s">
        <v>8067</v>
      </c>
      <c r="D2247" s="2">
        <v>50</v>
      </c>
      <c r="E2247" s="2">
        <v>51</v>
      </c>
      <c r="F2247" s="2" t="s">
        <v>8068</v>
      </c>
      <c r="H2247" s="2" t="s">
        <v>17</v>
      </c>
      <c r="K2247" s="4">
        <v>20148</v>
      </c>
      <c r="M2247" s="2" t="s">
        <v>423</v>
      </c>
      <c r="N2247" s="2" t="s">
        <v>456</v>
      </c>
    </row>
    <row r="2248" spans="1:14">
      <c r="A2248" s="2">
        <v>2247</v>
      </c>
      <c r="B2248" s="3" t="s">
        <v>8069</v>
      </c>
      <c r="C2248" s="2" t="s">
        <v>8070</v>
      </c>
      <c r="D2248" s="2">
        <v>51</v>
      </c>
      <c r="E2248" s="2">
        <v>51</v>
      </c>
      <c r="F2248" s="2" t="s">
        <v>8071</v>
      </c>
      <c r="H2248" s="2" t="s">
        <v>17</v>
      </c>
      <c r="K2248" s="4">
        <v>22436</v>
      </c>
      <c r="M2248" s="2" t="s">
        <v>122</v>
      </c>
      <c r="N2248" s="2" t="s">
        <v>253</v>
      </c>
    </row>
    <row r="2249" spans="1:14">
      <c r="A2249" s="2">
        <v>2248</v>
      </c>
      <c r="B2249" s="3" t="s">
        <v>8072</v>
      </c>
      <c r="C2249" s="2" t="s">
        <v>8073</v>
      </c>
      <c r="D2249" s="2">
        <v>51</v>
      </c>
      <c r="E2249" s="2">
        <v>51</v>
      </c>
      <c r="F2249" s="2" t="s">
        <v>8074</v>
      </c>
      <c r="H2249" s="2" t="s">
        <v>17</v>
      </c>
      <c r="K2249" s="4">
        <v>19970</v>
      </c>
      <c r="M2249" s="2" t="s">
        <v>146</v>
      </c>
      <c r="N2249" s="2" t="s">
        <v>147</v>
      </c>
    </row>
    <row r="2250" spans="1:14">
      <c r="A2250" s="2">
        <v>2249</v>
      </c>
      <c r="B2250" s="3" t="s">
        <v>8075</v>
      </c>
      <c r="C2250" s="2" t="s">
        <v>8076</v>
      </c>
      <c r="D2250" s="2">
        <v>51</v>
      </c>
      <c r="E2250" s="2">
        <v>51</v>
      </c>
      <c r="F2250" s="2" t="s">
        <v>8077</v>
      </c>
      <c r="H2250" s="2" t="s">
        <v>17</v>
      </c>
      <c r="K2250" s="4">
        <v>18685</v>
      </c>
      <c r="M2250" s="2" t="s">
        <v>423</v>
      </c>
      <c r="N2250" s="2" t="s">
        <v>1134</v>
      </c>
    </row>
    <row r="2251" spans="1:14">
      <c r="A2251" s="2">
        <v>2250</v>
      </c>
      <c r="B2251" s="3" t="s">
        <v>8078</v>
      </c>
      <c r="C2251" s="2" t="s">
        <v>8079</v>
      </c>
      <c r="D2251" s="2">
        <v>47</v>
      </c>
      <c r="E2251" s="2">
        <v>51</v>
      </c>
      <c r="F2251" s="2" t="s">
        <v>8080</v>
      </c>
      <c r="H2251" s="2" t="s">
        <v>17</v>
      </c>
      <c r="K2251" s="4">
        <v>16271</v>
      </c>
      <c r="M2251" s="2" t="s">
        <v>423</v>
      </c>
      <c r="N2251" s="2" t="s">
        <v>1264</v>
      </c>
    </row>
    <row r="2252" spans="1:14">
      <c r="A2252" s="2">
        <v>2251</v>
      </c>
      <c r="B2252" s="3" t="s">
        <v>8081</v>
      </c>
      <c r="C2252" s="2" t="s">
        <v>8082</v>
      </c>
      <c r="D2252" s="2">
        <v>51</v>
      </c>
      <c r="E2252" s="2">
        <v>51</v>
      </c>
      <c r="F2252" s="2" t="s">
        <v>8083</v>
      </c>
      <c r="H2252" s="2" t="s">
        <v>17</v>
      </c>
      <c r="K2252" s="4">
        <v>23967</v>
      </c>
      <c r="M2252" s="2" t="s">
        <v>40</v>
      </c>
      <c r="N2252" s="2" t="s">
        <v>8084</v>
      </c>
    </row>
    <row r="2253" spans="1:14">
      <c r="A2253" s="2">
        <v>2252</v>
      </c>
      <c r="B2253" s="3" t="s">
        <v>8085</v>
      </c>
      <c r="C2253" s="2" t="s">
        <v>8086</v>
      </c>
      <c r="D2253" s="2">
        <v>51</v>
      </c>
      <c r="E2253" s="2">
        <v>51</v>
      </c>
      <c r="F2253" s="2" t="s">
        <v>8087</v>
      </c>
      <c r="H2253" s="2" t="s">
        <v>17</v>
      </c>
      <c r="K2253" s="4">
        <v>23240</v>
      </c>
      <c r="M2253" s="2" t="s">
        <v>192</v>
      </c>
      <c r="N2253" s="2" t="s">
        <v>3675</v>
      </c>
    </row>
    <row r="2254" spans="1:14">
      <c r="A2254" s="2">
        <v>2253</v>
      </c>
      <c r="B2254" s="3" t="s">
        <v>8088</v>
      </c>
      <c r="C2254" s="2" t="s">
        <v>8089</v>
      </c>
      <c r="D2254" s="2">
        <v>51</v>
      </c>
      <c r="E2254" s="2">
        <v>51</v>
      </c>
      <c r="F2254" s="2" t="s">
        <v>8090</v>
      </c>
      <c r="H2254" s="2" t="s">
        <v>17</v>
      </c>
      <c r="K2254" s="4">
        <v>16035</v>
      </c>
      <c r="M2254" s="2" t="s">
        <v>198</v>
      </c>
      <c r="N2254" s="2" t="s">
        <v>199</v>
      </c>
    </row>
    <row r="2255" spans="1:14">
      <c r="A2255" s="2">
        <v>2254</v>
      </c>
      <c r="B2255" s="3" t="s">
        <v>8091</v>
      </c>
      <c r="C2255" s="2" t="s">
        <v>8092</v>
      </c>
      <c r="D2255" s="2">
        <v>51</v>
      </c>
      <c r="E2255" s="2">
        <v>51</v>
      </c>
      <c r="F2255" s="2" t="s">
        <v>8093</v>
      </c>
      <c r="H2255" s="2" t="s">
        <v>17</v>
      </c>
      <c r="K2255" s="4">
        <v>21358</v>
      </c>
      <c r="L2255" s="4">
        <v>44113</v>
      </c>
      <c r="M2255" s="2" t="s">
        <v>122</v>
      </c>
      <c r="N2255" s="2" t="s">
        <v>123</v>
      </c>
    </row>
    <row r="2256" spans="1:14">
      <c r="A2256" s="2">
        <v>2255</v>
      </c>
      <c r="B2256" s="3" t="s">
        <v>8094</v>
      </c>
      <c r="C2256" s="2" t="s">
        <v>8095</v>
      </c>
      <c r="D2256" s="2">
        <v>50</v>
      </c>
      <c r="E2256" s="2">
        <v>51</v>
      </c>
      <c r="F2256" s="2" t="s">
        <v>8096</v>
      </c>
      <c r="H2256" s="2" t="s">
        <v>17</v>
      </c>
      <c r="K2256" s="4">
        <v>20066</v>
      </c>
      <c r="M2256" s="2" t="s">
        <v>662</v>
      </c>
      <c r="N2256" s="2" t="s">
        <v>663</v>
      </c>
    </row>
    <row r="2257" spans="1:14">
      <c r="A2257" s="2">
        <v>2256</v>
      </c>
      <c r="B2257" s="3" t="s">
        <v>8097</v>
      </c>
      <c r="C2257" s="2" t="s">
        <v>8098</v>
      </c>
      <c r="D2257" s="2">
        <v>51</v>
      </c>
      <c r="E2257" s="2">
        <v>51</v>
      </c>
      <c r="F2257" s="2" t="s">
        <v>8098</v>
      </c>
      <c r="H2257" s="2" t="s">
        <v>17</v>
      </c>
      <c r="K2257" s="4">
        <v>19232</v>
      </c>
      <c r="M2257" s="2" t="s">
        <v>66</v>
      </c>
      <c r="N2257" s="2" t="s">
        <v>8099</v>
      </c>
    </row>
    <row r="2258" spans="1:14">
      <c r="A2258" s="2">
        <v>2257</v>
      </c>
      <c r="B2258" s="3" t="s">
        <v>8100</v>
      </c>
      <c r="C2258" s="2" t="s">
        <v>8101</v>
      </c>
      <c r="D2258" s="2">
        <v>51</v>
      </c>
      <c r="E2258" s="2">
        <v>51</v>
      </c>
      <c r="F2258" s="2" t="s">
        <v>8102</v>
      </c>
      <c r="H2258" s="2" t="s">
        <v>17</v>
      </c>
      <c r="K2258" s="4">
        <v>19151</v>
      </c>
      <c r="M2258" s="2" t="s">
        <v>140</v>
      </c>
      <c r="N2258" s="2" t="s">
        <v>8103</v>
      </c>
    </row>
    <row r="2259" spans="1:14">
      <c r="A2259" s="2">
        <v>2258</v>
      </c>
      <c r="B2259" s="3" t="s">
        <v>8104</v>
      </c>
      <c r="C2259" s="2" t="s">
        <v>8105</v>
      </c>
      <c r="D2259" s="2">
        <v>49</v>
      </c>
      <c r="E2259" s="2">
        <v>51</v>
      </c>
      <c r="F2259" s="2" t="s">
        <v>8105</v>
      </c>
      <c r="H2259" s="2" t="s">
        <v>17</v>
      </c>
      <c r="K2259" s="4">
        <v>14847</v>
      </c>
      <c r="L2259" s="4">
        <v>42136</v>
      </c>
      <c r="M2259" s="2" t="s">
        <v>192</v>
      </c>
      <c r="N2259" s="2" t="s">
        <v>7313</v>
      </c>
    </row>
    <row r="2260" spans="1:14">
      <c r="A2260" s="2">
        <v>2259</v>
      </c>
      <c r="B2260" s="3" t="s">
        <v>8106</v>
      </c>
      <c r="C2260" s="2" t="s">
        <v>8107</v>
      </c>
      <c r="D2260" s="2">
        <v>50</v>
      </c>
      <c r="E2260" s="2">
        <v>51</v>
      </c>
      <c r="F2260" s="2" t="s">
        <v>8108</v>
      </c>
      <c r="H2260" s="2" t="s">
        <v>17</v>
      </c>
      <c r="K2260" s="4">
        <v>17258</v>
      </c>
      <c r="M2260" s="2" t="s">
        <v>170</v>
      </c>
      <c r="N2260" s="2" t="s">
        <v>323</v>
      </c>
    </row>
    <row r="2261" spans="1:14">
      <c r="A2261" s="2">
        <v>2260</v>
      </c>
      <c r="B2261" s="3" t="s">
        <v>8109</v>
      </c>
      <c r="C2261" s="2" t="s">
        <v>8110</v>
      </c>
      <c r="D2261" s="2">
        <v>43</v>
      </c>
      <c r="E2261" s="2">
        <v>51</v>
      </c>
      <c r="F2261" s="2" t="s">
        <v>8110</v>
      </c>
      <c r="H2261" s="2" t="s">
        <v>17</v>
      </c>
      <c r="K2261" s="4">
        <v>15585</v>
      </c>
      <c r="M2261" s="2" t="s">
        <v>170</v>
      </c>
      <c r="N2261" s="2" t="s">
        <v>323</v>
      </c>
    </row>
    <row r="2262" spans="1:14">
      <c r="A2262" s="2">
        <v>2261</v>
      </c>
      <c r="B2262" s="3" t="s">
        <v>8111</v>
      </c>
      <c r="C2262" s="2" t="s">
        <v>8112</v>
      </c>
      <c r="D2262" s="2">
        <v>51</v>
      </c>
      <c r="E2262" s="2">
        <v>51</v>
      </c>
      <c r="F2262" s="2" t="s">
        <v>8112</v>
      </c>
      <c r="H2262" s="2" t="s">
        <v>17</v>
      </c>
      <c r="K2262" s="4">
        <v>19340</v>
      </c>
      <c r="M2262" s="2" t="s">
        <v>47</v>
      </c>
      <c r="N2262" s="2" t="s">
        <v>1181</v>
      </c>
    </row>
    <row r="2263" spans="1:14">
      <c r="A2263" s="2">
        <v>2262</v>
      </c>
      <c r="B2263" s="3" t="s">
        <v>8113</v>
      </c>
      <c r="C2263" s="2" t="s">
        <v>8114</v>
      </c>
      <c r="D2263" s="2">
        <v>50</v>
      </c>
      <c r="E2263" s="2">
        <v>51</v>
      </c>
      <c r="F2263" s="2" t="s">
        <v>8115</v>
      </c>
      <c r="H2263" s="2" t="s">
        <v>17</v>
      </c>
      <c r="K2263" s="4">
        <v>18109</v>
      </c>
      <c r="M2263" s="2" t="s">
        <v>662</v>
      </c>
      <c r="N2263" s="2" t="s">
        <v>663</v>
      </c>
    </row>
    <row r="2264" spans="1:14">
      <c r="A2264" s="2">
        <v>2263</v>
      </c>
      <c r="B2264" s="3" t="s">
        <v>8116</v>
      </c>
      <c r="C2264" s="2" t="s">
        <v>8117</v>
      </c>
      <c r="D2264" s="2">
        <v>51</v>
      </c>
      <c r="E2264" s="2">
        <v>51</v>
      </c>
      <c r="F2264" s="2" t="s">
        <v>8118</v>
      </c>
      <c r="H2264" s="2" t="s">
        <v>17</v>
      </c>
      <c r="K2264" s="4">
        <v>17786</v>
      </c>
      <c r="M2264" s="2" t="s">
        <v>336</v>
      </c>
      <c r="N2264" s="2" t="s">
        <v>8119</v>
      </c>
    </row>
    <row r="2265" spans="1:14">
      <c r="A2265" s="2">
        <v>2264</v>
      </c>
      <c r="B2265" s="3" t="s">
        <v>8120</v>
      </c>
      <c r="C2265" s="2" t="s">
        <v>8121</v>
      </c>
      <c r="D2265" s="2">
        <v>51</v>
      </c>
      <c r="E2265" s="2">
        <v>51</v>
      </c>
      <c r="F2265" s="2" t="s">
        <v>8122</v>
      </c>
      <c r="H2265" s="2" t="s">
        <v>17</v>
      </c>
      <c r="K2265" s="4">
        <v>16557</v>
      </c>
      <c r="M2265" s="2" t="s">
        <v>47</v>
      </c>
      <c r="N2265" s="2" t="s">
        <v>48</v>
      </c>
    </row>
    <row r="2266" spans="1:14">
      <c r="A2266" s="2">
        <v>2265</v>
      </c>
      <c r="B2266" s="3" t="s">
        <v>8123</v>
      </c>
      <c r="C2266" s="2" t="s">
        <v>8124</v>
      </c>
      <c r="D2266" s="2">
        <v>45</v>
      </c>
      <c r="E2266" s="2">
        <v>51</v>
      </c>
      <c r="F2266" s="2" t="s">
        <v>8125</v>
      </c>
      <c r="H2266" s="2" t="s">
        <v>17</v>
      </c>
      <c r="K2266" s="4">
        <v>12081</v>
      </c>
      <c r="L2266" s="4">
        <v>41321</v>
      </c>
      <c r="M2266" s="2" t="s">
        <v>154</v>
      </c>
      <c r="N2266" s="2" t="s">
        <v>747</v>
      </c>
    </row>
    <row r="2267" spans="1:14">
      <c r="A2267" s="2">
        <v>2266</v>
      </c>
      <c r="B2267" s="3" t="s">
        <v>8126</v>
      </c>
      <c r="C2267" s="2" t="s">
        <v>8127</v>
      </c>
      <c r="D2267" s="2">
        <v>48</v>
      </c>
      <c r="E2267" s="2">
        <v>51</v>
      </c>
      <c r="F2267" s="2" t="s">
        <v>8128</v>
      </c>
      <c r="H2267" s="2" t="s">
        <v>17</v>
      </c>
      <c r="K2267" s="4">
        <v>18170</v>
      </c>
      <c r="M2267" s="2" t="s">
        <v>35</v>
      </c>
      <c r="N2267" s="2" t="s">
        <v>58</v>
      </c>
    </row>
    <row r="2268" spans="1:14">
      <c r="A2268" s="2">
        <v>2267</v>
      </c>
      <c r="B2268" s="3" t="s">
        <v>8129</v>
      </c>
      <c r="C2268" s="2" t="s">
        <v>8130</v>
      </c>
      <c r="D2268" s="2">
        <v>51</v>
      </c>
      <c r="E2268" s="2">
        <v>51</v>
      </c>
      <c r="F2268" s="2" t="s">
        <v>8131</v>
      </c>
      <c r="H2268" s="2" t="s">
        <v>17</v>
      </c>
      <c r="K2268" s="4">
        <v>15071</v>
      </c>
      <c r="M2268" s="2" t="s">
        <v>40</v>
      </c>
      <c r="N2268" s="2" t="s">
        <v>8132</v>
      </c>
    </row>
    <row r="2269" spans="1:14">
      <c r="A2269" s="2">
        <v>2268</v>
      </c>
      <c r="B2269" s="3" t="s">
        <v>8133</v>
      </c>
      <c r="C2269" s="2" t="s">
        <v>8134</v>
      </c>
      <c r="D2269" s="2">
        <v>49</v>
      </c>
      <c r="E2269" s="2">
        <v>51</v>
      </c>
      <c r="F2269" s="2" t="s">
        <v>8135</v>
      </c>
      <c r="H2269" s="2" t="s">
        <v>17</v>
      </c>
      <c r="K2269" s="4">
        <v>15983</v>
      </c>
      <c r="L2269" s="4">
        <v>44600</v>
      </c>
      <c r="M2269" s="2" t="s">
        <v>170</v>
      </c>
      <c r="N2269" s="2" t="s">
        <v>323</v>
      </c>
    </row>
    <row r="2270" spans="1:14">
      <c r="A2270" s="2">
        <v>2269</v>
      </c>
      <c r="B2270" s="3" t="s">
        <v>8136</v>
      </c>
      <c r="C2270" s="2" t="s">
        <v>8137</v>
      </c>
      <c r="D2270" s="2">
        <v>51</v>
      </c>
      <c r="E2270" s="2">
        <v>51</v>
      </c>
      <c r="F2270" s="2" t="s">
        <v>8138</v>
      </c>
      <c r="H2270" s="2" t="s">
        <v>17</v>
      </c>
      <c r="K2270" s="4">
        <v>19033</v>
      </c>
      <c r="M2270" s="2" t="s">
        <v>47</v>
      </c>
      <c r="N2270" s="2" t="s">
        <v>8139</v>
      </c>
    </row>
    <row r="2271" spans="1:14">
      <c r="A2271" s="2">
        <v>2270</v>
      </c>
      <c r="B2271" s="3" t="s">
        <v>8140</v>
      </c>
      <c r="C2271" s="2" t="s">
        <v>8141</v>
      </c>
      <c r="D2271" s="2">
        <v>51</v>
      </c>
      <c r="E2271" s="2">
        <v>51</v>
      </c>
      <c r="F2271" s="2" t="s">
        <v>8142</v>
      </c>
      <c r="H2271" s="2" t="s">
        <v>17</v>
      </c>
      <c r="K2271" s="4">
        <v>20764</v>
      </c>
      <c r="M2271" s="2" t="s">
        <v>85</v>
      </c>
      <c r="N2271" s="2" t="s">
        <v>86</v>
      </c>
    </row>
    <row r="2272" spans="1:14">
      <c r="A2272" s="2">
        <v>2271</v>
      </c>
      <c r="B2272" s="3" t="s">
        <v>8143</v>
      </c>
      <c r="C2272" s="2" t="s">
        <v>4657</v>
      </c>
      <c r="D2272" s="2">
        <v>51</v>
      </c>
      <c r="E2272" s="2">
        <v>51</v>
      </c>
      <c r="F2272" s="2" t="s">
        <v>8144</v>
      </c>
      <c r="H2272" s="2" t="s">
        <v>17</v>
      </c>
      <c r="K2272" s="4">
        <v>27259</v>
      </c>
      <c r="M2272" s="2" t="s">
        <v>91</v>
      </c>
      <c r="N2272" s="2" t="s">
        <v>984</v>
      </c>
    </row>
    <row r="2273" spans="1:14">
      <c r="A2273" s="2">
        <v>2272</v>
      </c>
      <c r="B2273" s="3" t="s">
        <v>8145</v>
      </c>
      <c r="C2273" s="2" t="s">
        <v>8146</v>
      </c>
      <c r="D2273" s="2">
        <v>44</v>
      </c>
      <c r="E2273" s="2">
        <v>51</v>
      </c>
      <c r="F2273" s="2" t="s">
        <v>8147</v>
      </c>
      <c r="H2273" s="2" t="s">
        <v>17</v>
      </c>
      <c r="K2273" s="4">
        <v>10982</v>
      </c>
      <c r="L2273" s="4">
        <v>36993</v>
      </c>
      <c r="M2273" s="2" t="s">
        <v>66</v>
      </c>
      <c r="N2273" s="2" t="s">
        <v>4195</v>
      </c>
    </row>
    <row r="2274" spans="1:14">
      <c r="A2274" s="2">
        <v>2273</v>
      </c>
      <c r="B2274" s="3" t="s">
        <v>8148</v>
      </c>
      <c r="C2274" s="2" t="s">
        <v>8149</v>
      </c>
      <c r="D2274" s="2">
        <v>50</v>
      </c>
      <c r="E2274" s="2">
        <v>51</v>
      </c>
      <c r="F2274" s="2" t="s">
        <v>8150</v>
      </c>
      <c r="H2274" s="2" t="s">
        <v>17</v>
      </c>
      <c r="K2274" s="4">
        <v>20771</v>
      </c>
      <c r="M2274" s="2" t="s">
        <v>146</v>
      </c>
      <c r="N2274" s="2" t="s">
        <v>147</v>
      </c>
    </row>
    <row r="2275" spans="1:14">
      <c r="A2275" s="2">
        <v>2274</v>
      </c>
      <c r="B2275" s="3" t="s">
        <v>8151</v>
      </c>
      <c r="C2275" s="2" t="s">
        <v>8152</v>
      </c>
      <c r="D2275" s="2">
        <v>51</v>
      </c>
      <c r="E2275" s="2">
        <v>51</v>
      </c>
      <c r="F2275" s="2" t="s">
        <v>8153</v>
      </c>
      <c r="H2275" s="2" t="s">
        <v>45</v>
      </c>
      <c r="K2275" s="4">
        <v>23020</v>
      </c>
      <c r="M2275" s="2" t="s">
        <v>91</v>
      </c>
      <c r="N2275" s="2" t="s">
        <v>92</v>
      </c>
    </row>
    <row r="2276" spans="1:14">
      <c r="A2276" s="2">
        <v>2275</v>
      </c>
      <c r="B2276" s="3" t="s">
        <v>8154</v>
      </c>
      <c r="C2276" s="2" t="s">
        <v>8155</v>
      </c>
      <c r="D2276" s="2">
        <v>46</v>
      </c>
      <c r="E2276" s="2">
        <v>51</v>
      </c>
      <c r="F2276" s="2" t="s">
        <v>8156</v>
      </c>
      <c r="H2276" s="2" t="s">
        <v>17</v>
      </c>
      <c r="K2276" s="4">
        <v>16169</v>
      </c>
      <c r="L2276" s="4">
        <v>44185</v>
      </c>
      <c r="M2276" s="2" t="s">
        <v>66</v>
      </c>
      <c r="N2276" s="2" t="s">
        <v>1201</v>
      </c>
    </row>
    <row r="2277" spans="1:14">
      <c r="A2277" s="2">
        <v>2276</v>
      </c>
      <c r="B2277" s="3" t="s">
        <v>8157</v>
      </c>
      <c r="C2277" s="2" t="s">
        <v>8158</v>
      </c>
      <c r="D2277" s="2">
        <v>49</v>
      </c>
      <c r="E2277" s="2">
        <v>51</v>
      </c>
      <c r="F2277" s="2" t="s">
        <v>8159</v>
      </c>
      <c r="H2277" s="2" t="s">
        <v>17</v>
      </c>
      <c r="K2277" s="4">
        <v>14805</v>
      </c>
      <c r="L2277" s="4">
        <v>44594</v>
      </c>
      <c r="M2277" s="2" t="s">
        <v>35</v>
      </c>
      <c r="N2277" s="2" t="s">
        <v>8160</v>
      </c>
    </row>
    <row r="2278" spans="1:14">
      <c r="A2278" s="2">
        <v>2277</v>
      </c>
      <c r="B2278" s="3" t="s">
        <v>8161</v>
      </c>
      <c r="C2278" s="2" t="s">
        <v>8162</v>
      </c>
      <c r="D2278" s="2">
        <v>48</v>
      </c>
      <c r="E2278" s="2">
        <v>51</v>
      </c>
      <c r="F2278" s="2" t="s">
        <v>8163</v>
      </c>
      <c r="H2278" s="2" t="s">
        <v>17</v>
      </c>
      <c r="K2278" s="4">
        <v>15195</v>
      </c>
      <c r="M2278" s="2" t="s">
        <v>85</v>
      </c>
      <c r="N2278" s="2" t="s">
        <v>8164</v>
      </c>
    </row>
    <row r="2279" spans="1:14">
      <c r="A2279" s="2">
        <v>2278</v>
      </c>
      <c r="B2279" s="3" t="s">
        <v>8165</v>
      </c>
      <c r="C2279" s="2" t="s">
        <v>8166</v>
      </c>
      <c r="D2279" s="2">
        <v>50</v>
      </c>
      <c r="E2279" s="2">
        <v>51</v>
      </c>
      <c r="F2279" s="2" t="s">
        <v>8167</v>
      </c>
      <c r="H2279" s="2" t="s">
        <v>17</v>
      </c>
      <c r="K2279" s="4">
        <v>24473</v>
      </c>
      <c r="M2279" s="2" t="s">
        <v>122</v>
      </c>
      <c r="N2279" s="2" t="s">
        <v>8168</v>
      </c>
    </row>
    <row r="2280" spans="1:14">
      <c r="A2280" s="2">
        <v>2279</v>
      </c>
      <c r="B2280" s="3" t="s">
        <v>8169</v>
      </c>
      <c r="C2280" s="2" t="s">
        <v>8170</v>
      </c>
      <c r="D2280" s="2">
        <v>50</v>
      </c>
      <c r="E2280" s="2">
        <v>51</v>
      </c>
      <c r="F2280" s="2" t="s">
        <v>8171</v>
      </c>
      <c r="H2280" s="2" t="s">
        <v>17</v>
      </c>
      <c r="K2280" s="4">
        <v>13815</v>
      </c>
      <c r="L2280" s="4">
        <v>39304</v>
      </c>
      <c r="M2280" s="2" t="s">
        <v>40</v>
      </c>
      <c r="N2280" s="2" t="s">
        <v>8172</v>
      </c>
    </row>
    <row r="2281" spans="1:14">
      <c r="A2281" s="2">
        <v>2280</v>
      </c>
      <c r="B2281" s="3" t="s">
        <v>8173</v>
      </c>
      <c r="C2281" s="2" t="s">
        <v>8174</v>
      </c>
      <c r="D2281" s="2">
        <v>50</v>
      </c>
      <c r="E2281" s="2">
        <v>51</v>
      </c>
      <c r="F2281" s="2" t="s">
        <v>8175</v>
      </c>
      <c r="H2281" s="2" t="s">
        <v>17</v>
      </c>
      <c r="K2281" s="4">
        <v>21070</v>
      </c>
      <c r="M2281" s="2" t="s">
        <v>66</v>
      </c>
      <c r="N2281" s="2" t="s">
        <v>1069</v>
      </c>
    </row>
    <row r="2282" spans="1:14">
      <c r="A2282" s="2">
        <v>2281</v>
      </c>
      <c r="B2282" s="3" t="s">
        <v>8176</v>
      </c>
      <c r="C2282" s="2" t="s">
        <v>8177</v>
      </c>
      <c r="D2282" s="2">
        <v>51</v>
      </c>
      <c r="E2282" s="2">
        <v>51</v>
      </c>
      <c r="F2282" s="2" t="s">
        <v>8178</v>
      </c>
      <c r="H2282" s="2" t="s">
        <v>17</v>
      </c>
      <c r="K2282" s="4">
        <v>19495</v>
      </c>
      <c r="L2282" s="4">
        <v>37645</v>
      </c>
      <c r="M2282" s="2" t="s">
        <v>85</v>
      </c>
      <c r="N2282" s="2" t="s">
        <v>7241</v>
      </c>
    </row>
    <row r="2283" spans="1:14">
      <c r="A2283" s="2">
        <v>2282</v>
      </c>
      <c r="B2283" s="3" t="s">
        <v>8179</v>
      </c>
      <c r="C2283" s="2" t="s">
        <v>8180</v>
      </c>
      <c r="D2283" s="2">
        <v>49</v>
      </c>
      <c r="E2283" s="2">
        <v>51</v>
      </c>
      <c r="F2283" s="2" t="s">
        <v>8180</v>
      </c>
      <c r="H2283" s="2" t="s">
        <v>17</v>
      </c>
      <c r="K2283" s="4">
        <v>20241</v>
      </c>
      <c r="M2283" s="2" t="s">
        <v>66</v>
      </c>
      <c r="N2283" s="2" t="s">
        <v>8181</v>
      </c>
    </row>
    <row r="2284" spans="1:14">
      <c r="A2284" s="2">
        <v>2283</v>
      </c>
      <c r="B2284" s="3" t="s">
        <v>8182</v>
      </c>
      <c r="C2284" s="2" t="s">
        <v>8183</v>
      </c>
      <c r="D2284" s="2">
        <v>50</v>
      </c>
      <c r="E2284" s="2">
        <v>51</v>
      </c>
      <c r="F2284" s="2" t="s">
        <v>8183</v>
      </c>
      <c r="H2284" s="2" t="s">
        <v>17</v>
      </c>
      <c r="K2284" s="4">
        <v>16476</v>
      </c>
      <c r="M2284" s="2" t="s">
        <v>154</v>
      </c>
      <c r="N2284" s="2" t="s">
        <v>8184</v>
      </c>
    </row>
    <row r="2285" spans="1:14">
      <c r="A2285" s="2">
        <v>2284</v>
      </c>
      <c r="B2285" s="3" t="s">
        <v>8185</v>
      </c>
      <c r="C2285" s="2" t="s">
        <v>8186</v>
      </c>
      <c r="D2285" s="2">
        <v>50</v>
      </c>
      <c r="E2285" s="2">
        <v>51</v>
      </c>
      <c r="F2285" s="2" t="s">
        <v>8186</v>
      </c>
      <c r="H2285" s="2" t="s">
        <v>17</v>
      </c>
      <c r="K2285" s="4">
        <v>22398</v>
      </c>
      <c r="M2285" s="2" t="s">
        <v>423</v>
      </c>
      <c r="N2285" s="2" t="s">
        <v>3981</v>
      </c>
    </row>
    <row r="2286" spans="1:14">
      <c r="A2286" s="2">
        <v>2285</v>
      </c>
      <c r="B2286" s="3" t="s">
        <v>8187</v>
      </c>
      <c r="C2286" s="2" t="s">
        <v>8188</v>
      </c>
      <c r="D2286" s="2">
        <v>51</v>
      </c>
      <c r="E2286" s="2">
        <v>51</v>
      </c>
      <c r="F2286" s="2" t="s">
        <v>8189</v>
      </c>
      <c r="H2286" s="2" t="s">
        <v>17</v>
      </c>
      <c r="K2286" s="4">
        <v>20699</v>
      </c>
      <c r="M2286" s="2" t="s">
        <v>423</v>
      </c>
      <c r="N2286" s="2" t="s">
        <v>1264</v>
      </c>
    </row>
    <row r="2287" spans="1:14">
      <c r="A2287" s="2">
        <v>2286</v>
      </c>
      <c r="B2287" s="3" t="s">
        <v>8190</v>
      </c>
      <c r="C2287" s="2" t="s">
        <v>8191</v>
      </c>
      <c r="D2287" s="2">
        <v>48</v>
      </c>
      <c r="E2287" s="2">
        <v>51</v>
      </c>
      <c r="F2287" s="2" t="s">
        <v>8192</v>
      </c>
      <c r="H2287" s="2" t="s">
        <v>17</v>
      </c>
      <c r="K2287" s="4">
        <v>15395</v>
      </c>
      <c r="M2287" s="2" t="s">
        <v>35</v>
      </c>
      <c r="N2287" s="2" t="s">
        <v>1776</v>
      </c>
    </row>
    <row r="2288" spans="1:14">
      <c r="A2288" s="2">
        <v>2287</v>
      </c>
      <c r="B2288" s="3" t="s">
        <v>8193</v>
      </c>
      <c r="C2288" s="2" t="s">
        <v>8194</v>
      </c>
      <c r="D2288" s="2">
        <v>51</v>
      </c>
      <c r="E2288" s="2">
        <v>51</v>
      </c>
      <c r="F2288" s="2" t="s">
        <v>8195</v>
      </c>
      <c r="H2288" s="2" t="s">
        <v>17</v>
      </c>
      <c r="K2288" s="4">
        <v>14550</v>
      </c>
      <c r="M2288" s="2" t="s">
        <v>336</v>
      </c>
      <c r="N2288" s="2" t="s">
        <v>1364</v>
      </c>
    </row>
    <row r="2289" spans="1:14">
      <c r="A2289" s="2">
        <v>2288</v>
      </c>
      <c r="B2289" s="3" t="s">
        <v>8196</v>
      </c>
      <c r="C2289" s="2" t="s">
        <v>8197</v>
      </c>
      <c r="D2289" s="2">
        <v>49</v>
      </c>
      <c r="E2289" s="2">
        <v>51</v>
      </c>
      <c r="F2289" s="2" t="s">
        <v>8198</v>
      </c>
      <c r="H2289" s="2" t="s">
        <v>17</v>
      </c>
      <c r="K2289" s="4">
        <v>15733</v>
      </c>
      <c r="M2289" s="2" t="s">
        <v>47</v>
      </c>
      <c r="N2289" s="2" t="s">
        <v>48</v>
      </c>
    </row>
    <row r="2290" spans="1:14">
      <c r="A2290" s="2">
        <v>2289</v>
      </c>
      <c r="B2290" s="3" t="s">
        <v>8199</v>
      </c>
      <c r="C2290" s="2" t="s">
        <v>8200</v>
      </c>
      <c r="D2290" s="2">
        <v>50</v>
      </c>
      <c r="E2290" s="2">
        <v>51</v>
      </c>
      <c r="F2290" s="2" t="s">
        <v>8201</v>
      </c>
      <c r="H2290" s="2" t="s">
        <v>17</v>
      </c>
      <c r="K2290" s="4">
        <v>20267</v>
      </c>
      <c r="M2290" s="2" t="s">
        <v>47</v>
      </c>
      <c r="N2290" s="2" t="s">
        <v>48</v>
      </c>
    </row>
    <row r="2291" spans="1:14">
      <c r="A2291" s="2">
        <v>2290</v>
      </c>
      <c r="B2291" s="3" t="s">
        <v>8202</v>
      </c>
      <c r="C2291" s="2" t="s">
        <v>8203</v>
      </c>
      <c r="D2291" s="2">
        <v>41</v>
      </c>
      <c r="E2291" s="2">
        <v>51</v>
      </c>
      <c r="F2291" s="2" t="s">
        <v>8204</v>
      </c>
      <c r="H2291" s="2" t="s">
        <v>17</v>
      </c>
      <c r="K2291" s="4">
        <v>9791</v>
      </c>
      <c r="L2291" s="4">
        <v>43273</v>
      </c>
      <c r="M2291" s="2" t="s">
        <v>40</v>
      </c>
      <c r="N2291" s="2" t="s">
        <v>8205</v>
      </c>
    </row>
    <row r="2292" spans="1:14">
      <c r="A2292" s="2">
        <v>2291</v>
      </c>
      <c r="B2292" s="3" t="s">
        <v>8206</v>
      </c>
      <c r="C2292" s="2" t="s">
        <v>8207</v>
      </c>
      <c r="D2292" s="2">
        <v>51</v>
      </c>
      <c r="E2292" s="2">
        <v>51</v>
      </c>
      <c r="F2292" s="2" t="s">
        <v>8208</v>
      </c>
      <c r="H2292" s="2" t="s">
        <v>17</v>
      </c>
      <c r="K2292" s="4">
        <v>16261</v>
      </c>
      <c r="L2292" s="4">
        <v>39999</v>
      </c>
      <c r="M2292" s="2" t="s">
        <v>66</v>
      </c>
      <c r="N2292" s="2" t="s">
        <v>1665</v>
      </c>
    </row>
    <row r="2293" spans="1:14">
      <c r="A2293" s="2">
        <v>2292</v>
      </c>
      <c r="B2293" s="3" t="s">
        <v>8209</v>
      </c>
      <c r="C2293" s="2" t="s">
        <v>8210</v>
      </c>
      <c r="D2293" s="2">
        <v>51</v>
      </c>
      <c r="E2293" s="2">
        <v>51</v>
      </c>
      <c r="F2293" s="2" t="s">
        <v>8211</v>
      </c>
      <c r="H2293" s="2" t="s">
        <v>17</v>
      </c>
      <c r="K2293" s="4">
        <v>15669</v>
      </c>
      <c r="M2293" s="2" t="s">
        <v>35</v>
      </c>
      <c r="N2293" s="2" t="s">
        <v>8212</v>
      </c>
    </row>
    <row r="2294" spans="1:14">
      <c r="A2294" s="2">
        <v>2293</v>
      </c>
      <c r="B2294" s="3" t="s">
        <v>8213</v>
      </c>
      <c r="C2294" s="2" t="s">
        <v>8214</v>
      </c>
      <c r="D2294" s="2">
        <v>51</v>
      </c>
      <c r="E2294" s="2">
        <v>51</v>
      </c>
      <c r="F2294" s="2" t="s">
        <v>8215</v>
      </c>
      <c r="H2294" s="2" t="s">
        <v>17</v>
      </c>
      <c r="K2294" s="4">
        <v>18609</v>
      </c>
      <c r="M2294" s="2" t="s">
        <v>170</v>
      </c>
      <c r="N2294" s="2" t="s">
        <v>2533</v>
      </c>
    </row>
    <row r="2295" spans="1:14">
      <c r="A2295" s="2">
        <v>2294</v>
      </c>
      <c r="B2295" s="3" t="s">
        <v>8216</v>
      </c>
      <c r="C2295" s="2" t="s">
        <v>8217</v>
      </c>
      <c r="D2295" s="2">
        <v>51</v>
      </c>
      <c r="E2295" s="2">
        <v>51</v>
      </c>
      <c r="F2295" s="2" t="s">
        <v>8218</v>
      </c>
      <c r="H2295" s="2" t="s">
        <v>17</v>
      </c>
      <c r="K2295" s="4">
        <v>22710</v>
      </c>
      <c r="M2295" s="2" t="s">
        <v>140</v>
      </c>
      <c r="N2295" s="2" t="s">
        <v>141</v>
      </c>
    </row>
    <row r="2296" spans="1:14">
      <c r="A2296" s="2">
        <v>2295</v>
      </c>
      <c r="B2296" s="3" t="s">
        <v>8219</v>
      </c>
      <c r="C2296" s="2" t="s">
        <v>8220</v>
      </c>
      <c r="D2296" s="2">
        <v>49</v>
      </c>
      <c r="E2296" s="2">
        <v>51</v>
      </c>
      <c r="F2296" s="2" t="s">
        <v>8220</v>
      </c>
      <c r="H2296" s="2" t="s">
        <v>17</v>
      </c>
      <c r="K2296" s="4">
        <v>14291</v>
      </c>
      <c r="M2296" s="2" t="s">
        <v>423</v>
      </c>
      <c r="N2296" s="2" t="s">
        <v>4842</v>
      </c>
    </row>
    <row r="2297" spans="1:14">
      <c r="A2297" s="2">
        <v>2296</v>
      </c>
      <c r="B2297" s="3" t="s">
        <v>8221</v>
      </c>
      <c r="C2297" s="2" t="s">
        <v>8222</v>
      </c>
      <c r="D2297" s="2">
        <v>50</v>
      </c>
      <c r="E2297" s="2">
        <v>51</v>
      </c>
      <c r="F2297" s="2" t="s">
        <v>8223</v>
      </c>
      <c r="H2297" s="2" t="s">
        <v>17</v>
      </c>
      <c r="K2297" s="4">
        <v>17242</v>
      </c>
      <c r="M2297" s="2" t="s">
        <v>53</v>
      </c>
      <c r="N2297" s="2" t="s">
        <v>686</v>
      </c>
    </row>
    <row r="2298" spans="1:14">
      <c r="A2298" s="2">
        <v>2297</v>
      </c>
      <c r="B2298" s="3" t="s">
        <v>8224</v>
      </c>
      <c r="C2298" s="2" t="s">
        <v>8225</v>
      </c>
      <c r="D2298" s="2">
        <v>49</v>
      </c>
      <c r="E2298" s="2">
        <v>51</v>
      </c>
      <c r="F2298" s="2" t="s">
        <v>8226</v>
      </c>
      <c r="H2298" s="2" t="s">
        <v>17</v>
      </c>
      <c r="K2298" s="4">
        <v>13803</v>
      </c>
      <c r="L2298" s="4">
        <v>41218</v>
      </c>
      <c r="M2298" s="2" t="s">
        <v>35</v>
      </c>
      <c r="N2298" s="2" t="s">
        <v>722</v>
      </c>
    </row>
    <row r="2299" spans="1:14">
      <c r="A2299" s="2">
        <v>2298</v>
      </c>
      <c r="B2299" s="3" t="s">
        <v>8227</v>
      </c>
      <c r="C2299" s="2" t="s">
        <v>8228</v>
      </c>
      <c r="D2299" s="2">
        <v>51</v>
      </c>
      <c r="E2299" s="2">
        <v>51</v>
      </c>
      <c r="F2299" s="2" t="s">
        <v>8229</v>
      </c>
      <c r="H2299" s="2" t="s">
        <v>17</v>
      </c>
      <c r="K2299" s="4">
        <v>21358</v>
      </c>
      <c r="M2299" s="2" t="s">
        <v>40</v>
      </c>
      <c r="N2299" s="2" t="s">
        <v>41</v>
      </c>
    </row>
    <row r="2300" spans="1:14">
      <c r="A2300" s="2">
        <v>2299</v>
      </c>
      <c r="B2300" s="3" t="s">
        <v>8230</v>
      </c>
      <c r="C2300" s="2" t="s">
        <v>8231</v>
      </c>
      <c r="D2300" s="2">
        <v>49</v>
      </c>
      <c r="E2300" s="2">
        <v>51</v>
      </c>
      <c r="F2300" s="2" t="s">
        <v>8231</v>
      </c>
      <c r="H2300" s="2" t="s">
        <v>17</v>
      </c>
      <c r="K2300" s="4">
        <v>11682</v>
      </c>
      <c r="L2300" s="4">
        <v>44712</v>
      </c>
      <c r="M2300" s="2" t="s">
        <v>35</v>
      </c>
      <c r="N2300" s="2" t="s">
        <v>608</v>
      </c>
    </row>
    <row r="2301" spans="1:14">
      <c r="A2301" s="2">
        <v>2300</v>
      </c>
      <c r="B2301" s="3" t="s">
        <v>8232</v>
      </c>
      <c r="C2301" s="2" t="s">
        <v>8233</v>
      </c>
      <c r="D2301" s="2">
        <v>48</v>
      </c>
      <c r="E2301" s="2">
        <v>51</v>
      </c>
      <c r="F2301" s="2" t="s">
        <v>8234</v>
      </c>
      <c r="H2301" s="2" t="s">
        <v>17</v>
      </c>
      <c r="K2301" s="4">
        <v>21287</v>
      </c>
      <c r="L2301" s="4">
        <v>42641</v>
      </c>
      <c r="M2301" s="2" t="s">
        <v>53</v>
      </c>
      <c r="N2301" s="2" t="s">
        <v>4926</v>
      </c>
    </row>
    <row r="2302" spans="1:14">
      <c r="A2302" s="2">
        <v>2301</v>
      </c>
      <c r="B2302" s="3" t="s">
        <v>8235</v>
      </c>
      <c r="C2302" s="2" t="s">
        <v>8236</v>
      </c>
      <c r="D2302" s="2">
        <v>51</v>
      </c>
      <c r="E2302" s="2">
        <v>51</v>
      </c>
      <c r="F2302" s="2" t="s">
        <v>8237</v>
      </c>
      <c r="H2302" s="2" t="s">
        <v>17</v>
      </c>
      <c r="K2302" s="4">
        <v>13838</v>
      </c>
      <c r="L2302" s="4">
        <v>43478</v>
      </c>
      <c r="M2302" s="2" t="s">
        <v>198</v>
      </c>
      <c r="N2302" s="2" t="s">
        <v>199</v>
      </c>
    </row>
    <row r="2303" spans="1:14">
      <c r="A2303" s="2">
        <v>2302</v>
      </c>
      <c r="B2303" s="3" t="s">
        <v>8238</v>
      </c>
      <c r="C2303" s="2" t="s">
        <v>8239</v>
      </c>
      <c r="D2303" s="2">
        <v>51</v>
      </c>
      <c r="E2303" s="2">
        <v>51</v>
      </c>
      <c r="F2303" s="2" t="s">
        <v>8240</v>
      </c>
      <c r="H2303" s="2" t="s">
        <v>17</v>
      </c>
      <c r="K2303" s="4">
        <v>20873</v>
      </c>
      <c r="M2303" s="2" t="s">
        <v>35</v>
      </c>
      <c r="N2303" s="2" t="s">
        <v>8241</v>
      </c>
    </row>
    <row r="2304" spans="1:14">
      <c r="A2304" s="2">
        <v>2303</v>
      </c>
      <c r="B2304" s="3" t="s">
        <v>8242</v>
      </c>
      <c r="C2304" s="2" t="s">
        <v>8243</v>
      </c>
      <c r="D2304" s="2">
        <v>49</v>
      </c>
      <c r="E2304" s="2">
        <v>51</v>
      </c>
      <c r="F2304" s="2" t="s">
        <v>8244</v>
      </c>
      <c r="H2304" s="2" t="s">
        <v>45</v>
      </c>
      <c r="K2304" s="4">
        <v>16564</v>
      </c>
      <c r="M2304" s="2" t="s">
        <v>170</v>
      </c>
      <c r="N2304" s="2" t="s">
        <v>323</v>
      </c>
    </row>
    <row r="2305" spans="1:14">
      <c r="A2305" s="2">
        <v>2304</v>
      </c>
      <c r="B2305" s="3" t="s">
        <v>8245</v>
      </c>
      <c r="C2305" s="2" t="s">
        <v>8246</v>
      </c>
      <c r="D2305" s="2">
        <v>49</v>
      </c>
      <c r="E2305" s="2">
        <v>50</v>
      </c>
      <c r="F2305" s="2" t="s">
        <v>8247</v>
      </c>
      <c r="H2305" s="2" t="s">
        <v>45</v>
      </c>
      <c r="K2305" s="4">
        <v>14961</v>
      </c>
      <c r="L2305" s="4">
        <v>43244</v>
      </c>
      <c r="M2305" s="2" t="s">
        <v>247</v>
      </c>
      <c r="N2305" s="2" t="s">
        <v>2414</v>
      </c>
    </row>
    <row r="2306" spans="1:14">
      <c r="A2306" s="2">
        <v>2305</v>
      </c>
      <c r="B2306" s="3" t="s">
        <v>8248</v>
      </c>
      <c r="C2306" s="2" t="s">
        <v>8249</v>
      </c>
      <c r="D2306" s="2">
        <v>50</v>
      </c>
      <c r="E2306" s="2">
        <v>50</v>
      </c>
      <c r="F2306" s="2" t="s">
        <v>8250</v>
      </c>
      <c r="H2306" s="2" t="s">
        <v>17</v>
      </c>
      <c r="K2306" s="4">
        <v>20009</v>
      </c>
      <c r="M2306" s="2" t="s">
        <v>192</v>
      </c>
      <c r="N2306" s="2" t="s">
        <v>577</v>
      </c>
    </row>
    <row r="2307" spans="1:14">
      <c r="A2307" s="2">
        <v>2306</v>
      </c>
      <c r="B2307" s="3" t="s">
        <v>8251</v>
      </c>
      <c r="C2307" s="2" t="s">
        <v>8252</v>
      </c>
      <c r="D2307" s="2">
        <v>50</v>
      </c>
      <c r="E2307" s="2">
        <v>50</v>
      </c>
      <c r="F2307" s="2" t="s">
        <v>8253</v>
      </c>
      <c r="H2307" s="2" t="s">
        <v>17</v>
      </c>
      <c r="K2307" s="4">
        <v>15545</v>
      </c>
      <c r="M2307" s="2" t="s">
        <v>198</v>
      </c>
      <c r="N2307" s="2" t="s">
        <v>1186</v>
      </c>
    </row>
    <row r="2308" spans="1:14">
      <c r="A2308" s="2">
        <v>2307</v>
      </c>
      <c r="B2308" s="3" t="s">
        <v>8254</v>
      </c>
      <c r="C2308" s="2" t="s">
        <v>8255</v>
      </c>
      <c r="D2308" s="2">
        <v>43</v>
      </c>
      <c r="E2308" s="2">
        <v>50</v>
      </c>
      <c r="F2308" s="2" t="s">
        <v>8255</v>
      </c>
      <c r="H2308" s="2" t="s">
        <v>17</v>
      </c>
      <c r="K2308" s="4">
        <v>10762</v>
      </c>
      <c r="L2308" s="4">
        <v>41679</v>
      </c>
      <c r="M2308" s="2" t="s">
        <v>47</v>
      </c>
      <c r="N2308" s="2" t="s">
        <v>48</v>
      </c>
    </row>
    <row r="2309" spans="1:14">
      <c r="A2309" s="2">
        <v>2308</v>
      </c>
      <c r="B2309" s="3" t="s">
        <v>8256</v>
      </c>
      <c r="C2309" s="2" t="s">
        <v>8257</v>
      </c>
      <c r="D2309" s="2">
        <v>48</v>
      </c>
      <c r="E2309" s="2">
        <v>50</v>
      </c>
      <c r="F2309" s="2" t="s">
        <v>8258</v>
      </c>
      <c r="H2309" s="2" t="s">
        <v>17</v>
      </c>
      <c r="K2309" s="4">
        <v>13388</v>
      </c>
      <c r="M2309" s="2" t="s">
        <v>66</v>
      </c>
      <c r="N2309" s="2" t="s">
        <v>3787</v>
      </c>
    </row>
    <row r="2310" spans="1:14">
      <c r="A2310" s="2">
        <v>2309</v>
      </c>
      <c r="B2310" s="3" t="s">
        <v>8259</v>
      </c>
      <c r="C2310" s="2" t="s">
        <v>8260</v>
      </c>
      <c r="D2310" s="2">
        <v>47</v>
      </c>
      <c r="E2310" s="2">
        <v>50</v>
      </c>
      <c r="F2310" s="2" t="s">
        <v>8261</v>
      </c>
      <c r="H2310" s="2" t="s">
        <v>17</v>
      </c>
      <c r="K2310" s="4">
        <v>11419</v>
      </c>
      <c r="L2310" s="4">
        <v>44279</v>
      </c>
      <c r="M2310" s="2" t="s">
        <v>85</v>
      </c>
      <c r="N2310" s="2" t="s">
        <v>86</v>
      </c>
    </row>
    <row r="2311" spans="1:14">
      <c r="A2311" s="2">
        <v>2310</v>
      </c>
      <c r="B2311" s="3" t="s">
        <v>8262</v>
      </c>
      <c r="C2311" s="2" t="s">
        <v>8263</v>
      </c>
      <c r="D2311" s="2">
        <v>47</v>
      </c>
      <c r="E2311" s="2">
        <v>50</v>
      </c>
      <c r="F2311" s="2" t="s">
        <v>8264</v>
      </c>
      <c r="H2311" s="2" t="s">
        <v>17</v>
      </c>
      <c r="K2311" s="4">
        <v>13452</v>
      </c>
      <c r="L2311" s="4">
        <v>44289</v>
      </c>
      <c r="M2311" s="2" t="s">
        <v>35</v>
      </c>
      <c r="N2311" s="2" t="s">
        <v>5693</v>
      </c>
    </row>
    <row r="2312" spans="1:14">
      <c r="A2312" s="2">
        <v>2311</v>
      </c>
      <c r="B2312" s="3" t="s">
        <v>8265</v>
      </c>
      <c r="C2312" s="2" t="s">
        <v>8266</v>
      </c>
      <c r="D2312" s="2">
        <v>49</v>
      </c>
      <c r="E2312" s="2">
        <v>50</v>
      </c>
      <c r="F2312" s="2" t="s">
        <v>8267</v>
      </c>
      <c r="H2312" s="2" t="s">
        <v>17</v>
      </c>
      <c r="K2312" s="4">
        <v>14466</v>
      </c>
      <c r="M2312" s="2" t="s">
        <v>40</v>
      </c>
      <c r="N2312" s="2" t="s">
        <v>2125</v>
      </c>
    </row>
    <row r="2313" spans="1:14">
      <c r="A2313" s="2">
        <v>2312</v>
      </c>
      <c r="B2313" s="3" t="s">
        <v>8268</v>
      </c>
      <c r="C2313" s="2" t="s">
        <v>8269</v>
      </c>
      <c r="D2313" s="2">
        <v>50</v>
      </c>
      <c r="E2313" s="2">
        <v>50</v>
      </c>
      <c r="F2313" s="2" t="s">
        <v>8270</v>
      </c>
      <c r="H2313" s="2" t="s">
        <v>17</v>
      </c>
      <c r="K2313" s="4">
        <v>12596</v>
      </c>
      <c r="L2313" s="4">
        <v>39494</v>
      </c>
      <c r="M2313" s="2" t="s">
        <v>47</v>
      </c>
      <c r="N2313" s="2" t="s">
        <v>1315</v>
      </c>
    </row>
    <row r="2314" spans="1:14">
      <c r="A2314" s="2">
        <v>2313</v>
      </c>
      <c r="B2314" s="3" t="s">
        <v>8271</v>
      </c>
      <c r="C2314" s="2" t="s">
        <v>8272</v>
      </c>
      <c r="D2314" s="2">
        <v>41</v>
      </c>
      <c r="E2314" s="2">
        <v>50</v>
      </c>
      <c r="F2314" s="2" t="s">
        <v>8273</v>
      </c>
      <c r="H2314" s="2" t="s">
        <v>17</v>
      </c>
      <c r="K2314" s="4">
        <v>10694</v>
      </c>
      <c r="M2314" s="2" t="s">
        <v>30</v>
      </c>
      <c r="N2314" s="2" t="s">
        <v>4896</v>
      </c>
    </row>
    <row r="2315" spans="1:14">
      <c r="A2315" s="2">
        <v>2314</v>
      </c>
      <c r="B2315" s="3" t="s">
        <v>8274</v>
      </c>
      <c r="C2315" s="2" t="s">
        <v>8275</v>
      </c>
      <c r="D2315" s="2">
        <v>49</v>
      </c>
      <c r="E2315" s="2">
        <v>50</v>
      </c>
      <c r="F2315" s="2" t="s">
        <v>8276</v>
      </c>
      <c r="H2315" s="2" t="s">
        <v>17</v>
      </c>
      <c r="K2315" s="4">
        <v>20795</v>
      </c>
      <c r="M2315" s="2" t="s">
        <v>198</v>
      </c>
      <c r="N2315" s="2" t="s">
        <v>199</v>
      </c>
    </row>
    <row r="2316" spans="1:14">
      <c r="A2316" s="2">
        <v>2315</v>
      </c>
      <c r="B2316" s="3" t="s">
        <v>8277</v>
      </c>
      <c r="C2316" s="2" t="s">
        <v>8278</v>
      </c>
      <c r="D2316" s="2">
        <v>45</v>
      </c>
      <c r="E2316" s="2">
        <v>50</v>
      </c>
      <c r="F2316" s="2" t="s">
        <v>8279</v>
      </c>
      <c r="H2316" s="2" t="s">
        <v>17</v>
      </c>
      <c r="K2316" s="4">
        <v>12554</v>
      </c>
      <c r="L2316" s="4">
        <v>36534</v>
      </c>
      <c r="M2316" s="2" t="s">
        <v>170</v>
      </c>
      <c r="N2316" s="2" t="s">
        <v>323</v>
      </c>
    </row>
    <row r="2317" spans="1:14">
      <c r="A2317" s="2">
        <v>2316</v>
      </c>
      <c r="B2317" s="3" t="s">
        <v>8280</v>
      </c>
      <c r="C2317" s="2" t="s">
        <v>8281</v>
      </c>
      <c r="D2317" s="2">
        <v>50</v>
      </c>
      <c r="E2317" s="2">
        <v>50</v>
      </c>
      <c r="F2317" s="2" t="s">
        <v>8282</v>
      </c>
      <c r="H2317" s="2" t="s">
        <v>45</v>
      </c>
      <c r="K2317" s="4">
        <v>19190</v>
      </c>
      <c r="M2317" s="2" t="s">
        <v>571</v>
      </c>
      <c r="N2317" s="2" t="s">
        <v>5307</v>
      </c>
    </row>
    <row r="2318" spans="1:14">
      <c r="A2318" s="2">
        <v>2317</v>
      </c>
      <c r="B2318" s="3" t="s">
        <v>8283</v>
      </c>
      <c r="C2318" s="2" t="s">
        <v>8284</v>
      </c>
      <c r="D2318" s="2">
        <v>42</v>
      </c>
      <c r="E2318" s="2">
        <v>50</v>
      </c>
      <c r="F2318" s="2" t="s">
        <v>8285</v>
      </c>
      <c r="H2318" s="2" t="s">
        <v>17</v>
      </c>
      <c r="K2318" s="4">
        <v>7819</v>
      </c>
      <c r="L2318" s="4">
        <v>34989</v>
      </c>
      <c r="M2318" s="2" t="s">
        <v>170</v>
      </c>
      <c r="N2318" s="2" t="s">
        <v>171</v>
      </c>
    </row>
    <row r="2319" spans="1:14">
      <c r="A2319" s="2">
        <v>2318</v>
      </c>
      <c r="B2319" s="3" t="s">
        <v>8286</v>
      </c>
      <c r="C2319" s="2" t="s">
        <v>8287</v>
      </c>
      <c r="D2319" s="2">
        <v>50</v>
      </c>
      <c r="E2319" s="2">
        <v>50</v>
      </c>
      <c r="F2319" s="2" t="s">
        <v>8288</v>
      </c>
      <c r="H2319" s="2" t="s">
        <v>45</v>
      </c>
      <c r="K2319" s="4">
        <v>21177</v>
      </c>
      <c r="M2319" s="2" t="s">
        <v>164</v>
      </c>
      <c r="N2319" s="2" t="s">
        <v>165</v>
      </c>
    </row>
    <row r="2320" spans="1:14">
      <c r="A2320" s="2">
        <v>2319</v>
      </c>
      <c r="B2320" s="3" t="s">
        <v>8289</v>
      </c>
      <c r="C2320" s="2" t="s">
        <v>8290</v>
      </c>
      <c r="D2320" s="2">
        <v>50</v>
      </c>
      <c r="E2320" s="2">
        <v>50</v>
      </c>
      <c r="F2320" s="2" t="s">
        <v>8291</v>
      </c>
      <c r="H2320" s="2" t="s">
        <v>17</v>
      </c>
      <c r="K2320" s="4">
        <v>17716</v>
      </c>
      <c r="N2320" s="2" t="s">
        <v>8292</v>
      </c>
    </row>
    <row r="2321" spans="1:14">
      <c r="A2321" s="2">
        <v>2320</v>
      </c>
      <c r="B2321" s="3" t="s">
        <v>8293</v>
      </c>
      <c r="C2321" s="2" t="s">
        <v>8294</v>
      </c>
      <c r="D2321" s="2">
        <v>50</v>
      </c>
      <c r="E2321" s="2">
        <v>50</v>
      </c>
      <c r="F2321" s="2" t="s">
        <v>8295</v>
      </c>
      <c r="H2321" s="2" t="s">
        <v>17</v>
      </c>
      <c r="K2321" s="4">
        <v>21198</v>
      </c>
      <c r="M2321" s="2" t="s">
        <v>35</v>
      </c>
      <c r="N2321" s="2" t="s">
        <v>3602</v>
      </c>
    </row>
    <row r="2322" spans="1:14">
      <c r="A2322" s="2">
        <v>2321</v>
      </c>
      <c r="B2322" s="3" t="s">
        <v>8296</v>
      </c>
      <c r="C2322" s="2" t="s">
        <v>8297</v>
      </c>
      <c r="D2322" s="2">
        <v>50</v>
      </c>
      <c r="E2322" s="2">
        <v>50</v>
      </c>
      <c r="F2322" s="2" t="s">
        <v>8298</v>
      </c>
      <c r="H2322" s="2" t="s">
        <v>17</v>
      </c>
      <c r="K2322" s="4">
        <v>14225</v>
      </c>
      <c r="M2322" s="2" t="s">
        <v>164</v>
      </c>
      <c r="N2322" s="2" t="s">
        <v>165</v>
      </c>
    </row>
    <row r="2323" spans="1:14">
      <c r="A2323" s="2">
        <v>2322</v>
      </c>
      <c r="B2323" s="3" t="s">
        <v>8299</v>
      </c>
      <c r="C2323" s="2" t="s">
        <v>8300</v>
      </c>
      <c r="D2323" s="2">
        <v>49</v>
      </c>
      <c r="E2323" s="2">
        <v>50</v>
      </c>
      <c r="F2323" s="2" t="s">
        <v>8301</v>
      </c>
      <c r="H2323" s="2" t="s">
        <v>17</v>
      </c>
      <c r="K2323" s="4">
        <v>16011</v>
      </c>
      <c r="M2323" s="2" t="s">
        <v>85</v>
      </c>
      <c r="N2323" s="2" t="s">
        <v>2120</v>
      </c>
    </row>
    <row r="2324" spans="1:14">
      <c r="A2324" s="2">
        <v>2323</v>
      </c>
      <c r="B2324" s="3" t="s">
        <v>8302</v>
      </c>
      <c r="C2324" s="2" t="s">
        <v>8303</v>
      </c>
      <c r="D2324" s="2">
        <v>50</v>
      </c>
      <c r="E2324" s="2">
        <v>50</v>
      </c>
      <c r="F2324" s="2" t="s">
        <v>8304</v>
      </c>
      <c r="H2324" s="2" t="s">
        <v>17</v>
      </c>
      <c r="K2324" s="4">
        <v>17553</v>
      </c>
      <c r="L2324" s="4">
        <v>44870</v>
      </c>
      <c r="M2324" s="2" t="s">
        <v>66</v>
      </c>
      <c r="N2324" s="2" t="s">
        <v>8305</v>
      </c>
    </row>
    <row r="2325" spans="1:14">
      <c r="A2325" s="2">
        <v>2324</v>
      </c>
      <c r="B2325" s="3" t="s">
        <v>8306</v>
      </c>
      <c r="C2325" s="2" t="s">
        <v>8307</v>
      </c>
      <c r="D2325" s="2">
        <v>49</v>
      </c>
      <c r="E2325" s="2">
        <v>50</v>
      </c>
      <c r="F2325" s="2" t="s">
        <v>8308</v>
      </c>
      <c r="H2325" s="2" t="s">
        <v>17</v>
      </c>
      <c r="K2325" s="4">
        <v>17544</v>
      </c>
      <c r="M2325" s="2" t="s">
        <v>35</v>
      </c>
      <c r="N2325" s="2" t="s">
        <v>8309</v>
      </c>
    </row>
    <row r="2326" spans="1:14">
      <c r="A2326" s="2">
        <v>2325</v>
      </c>
      <c r="B2326" s="3" t="s">
        <v>8310</v>
      </c>
      <c r="C2326" s="2" t="s">
        <v>8311</v>
      </c>
      <c r="D2326" s="2">
        <v>45</v>
      </c>
      <c r="E2326" s="2">
        <v>50</v>
      </c>
      <c r="F2326" s="2" t="s">
        <v>8312</v>
      </c>
      <c r="H2326" s="2" t="s">
        <v>17</v>
      </c>
      <c r="K2326" s="4">
        <v>10744</v>
      </c>
      <c r="L2326" s="4">
        <v>44756</v>
      </c>
      <c r="M2326" s="2" t="s">
        <v>76</v>
      </c>
      <c r="N2326" s="2" t="s">
        <v>8313</v>
      </c>
    </row>
    <row r="2327" spans="1:14">
      <c r="A2327" s="2">
        <v>2326</v>
      </c>
      <c r="B2327" s="3" t="s">
        <v>8314</v>
      </c>
      <c r="C2327" s="2" t="s">
        <v>8315</v>
      </c>
      <c r="D2327" s="2">
        <v>43</v>
      </c>
      <c r="E2327" s="2">
        <v>50</v>
      </c>
      <c r="F2327" s="2" t="s">
        <v>8316</v>
      </c>
      <c r="H2327" s="2" t="s">
        <v>17</v>
      </c>
      <c r="K2327" s="4">
        <v>8616</v>
      </c>
      <c r="L2327" s="4">
        <v>40816</v>
      </c>
      <c r="M2327" s="2" t="s">
        <v>154</v>
      </c>
      <c r="N2327" s="2" t="s">
        <v>8317</v>
      </c>
    </row>
    <row r="2328" spans="1:14">
      <c r="A2328" s="2">
        <v>2327</v>
      </c>
      <c r="B2328" s="3" t="s">
        <v>8318</v>
      </c>
      <c r="C2328" s="2" t="s">
        <v>8319</v>
      </c>
      <c r="D2328" s="2">
        <v>50</v>
      </c>
      <c r="E2328" s="2">
        <v>50</v>
      </c>
      <c r="F2328" s="2" t="s">
        <v>8320</v>
      </c>
      <c r="H2328" s="2" t="s">
        <v>17</v>
      </c>
      <c r="K2328" s="4">
        <v>10512</v>
      </c>
      <c r="L2328" s="4">
        <v>44362</v>
      </c>
      <c r="M2328" s="2" t="s">
        <v>140</v>
      </c>
      <c r="N2328" s="2" t="s">
        <v>141</v>
      </c>
    </row>
    <row r="2329" spans="1:14">
      <c r="A2329" s="2">
        <v>2328</v>
      </c>
      <c r="B2329" s="3" t="s">
        <v>8321</v>
      </c>
      <c r="C2329" s="2" t="s">
        <v>8322</v>
      </c>
      <c r="D2329" s="2">
        <v>49</v>
      </c>
      <c r="E2329" s="2">
        <v>50</v>
      </c>
      <c r="F2329" s="2" t="s">
        <v>8323</v>
      </c>
      <c r="H2329" s="2" t="s">
        <v>17</v>
      </c>
      <c r="K2329" s="4">
        <v>14848</v>
      </c>
      <c r="L2329" s="4">
        <v>43144</v>
      </c>
      <c r="M2329" s="2" t="s">
        <v>35</v>
      </c>
      <c r="N2329" s="2" t="s">
        <v>8324</v>
      </c>
    </row>
    <row r="2330" spans="1:14">
      <c r="A2330" s="2">
        <v>2329</v>
      </c>
      <c r="B2330" s="3" t="s">
        <v>8325</v>
      </c>
      <c r="C2330" s="2" t="s">
        <v>8326</v>
      </c>
      <c r="D2330" s="2">
        <v>43</v>
      </c>
      <c r="E2330" s="2">
        <v>50</v>
      </c>
      <c r="F2330" s="2" t="s">
        <v>8327</v>
      </c>
      <c r="H2330" s="2" t="s">
        <v>17</v>
      </c>
      <c r="K2330" s="4">
        <v>7989</v>
      </c>
      <c r="L2330" s="4">
        <v>44417</v>
      </c>
      <c r="M2330" s="2" t="s">
        <v>53</v>
      </c>
      <c r="N2330" s="2" t="s">
        <v>8328</v>
      </c>
    </row>
    <row r="2331" spans="1:14">
      <c r="A2331" s="2">
        <v>2330</v>
      </c>
      <c r="B2331" s="3" t="s">
        <v>8329</v>
      </c>
      <c r="C2331" s="2" t="s">
        <v>8330</v>
      </c>
      <c r="D2331" s="2">
        <v>47</v>
      </c>
      <c r="E2331" s="2">
        <v>50</v>
      </c>
      <c r="F2331" s="2" t="s">
        <v>8330</v>
      </c>
      <c r="H2331" s="2" t="s">
        <v>17</v>
      </c>
      <c r="K2331" s="4">
        <v>15087</v>
      </c>
      <c r="M2331" s="2" t="s">
        <v>53</v>
      </c>
      <c r="N2331" s="2" t="s">
        <v>4926</v>
      </c>
    </row>
    <row r="2332" spans="1:14">
      <c r="A2332" s="2">
        <v>2331</v>
      </c>
      <c r="B2332" s="3" t="s">
        <v>8331</v>
      </c>
      <c r="C2332" s="2" t="s">
        <v>8332</v>
      </c>
      <c r="D2332" s="2">
        <v>49</v>
      </c>
      <c r="E2332" s="2">
        <v>50</v>
      </c>
      <c r="F2332" s="2" t="s">
        <v>8333</v>
      </c>
      <c r="H2332" s="2" t="s">
        <v>17</v>
      </c>
      <c r="K2332" s="4">
        <v>21858</v>
      </c>
      <c r="M2332" s="2" t="s">
        <v>341</v>
      </c>
      <c r="N2332" s="2" t="s">
        <v>8334</v>
      </c>
    </row>
    <row r="2333" spans="1:14">
      <c r="A2333" s="2">
        <v>2332</v>
      </c>
      <c r="B2333" s="3" t="s">
        <v>8335</v>
      </c>
      <c r="C2333" s="2" t="s">
        <v>8336</v>
      </c>
      <c r="D2333" s="2">
        <v>50</v>
      </c>
      <c r="E2333" s="2">
        <v>50</v>
      </c>
      <c r="F2333" s="2" t="s">
        <v>8337</v>
      </c>
      <c r="H2333" s="2" t="s">
        <v>17</v>
      </c>
      <c r="K2333" s="4">
        <v>15682</v>
      </c>
      <c r="M2333" s="2" t="s">
        <v>336</v>
      </c>
      <c r="N2333" s="2" t="s">
        <v>1883</v>
      </c>
    </row>
    <row r="2334" spans="1:14">
      <c r="A2334" s="2">
        <v>2333</v>
      </c>
      <c r="B2334" s="3" t="s">
        <v>8338</v>
      </c>
      <c r="C2334" s="2" t="s">
        <v>8339</v>
      </c>
      <c r="D2334" s="2">
        <v>49</v>
      </c>
      <c r="E2334" s="2">
        <v>50</v>
      </c>
      <c r="F2334" s="2" t="s">
        <v>8340</v>
      </c>
      <c r="H2334" s="2" t="s">
        <v>17</v>
      </c>
      <c r="K2334" s="4">
        <v>13533</v>
      </c>
      <c r="L2334" s="4">
        <v>42905</v>
      </c>
      <c r="M2334" s="2" t="s">
        <v>47</v>
      </c>
      <c r="N2334" s="2" t="s">
        <v>48</v>
      </c>
    </row>
    <row r="2335" spans="1:14">
      <c r="A2335" s="2">
        <v>2334</v>
      </c>
      <c r="B2335" s="3" t="s">
        <v>8341</v>
      </c>
      <c r="C2335" s="2" t="s">
        <v>8342</v>
      </c>
      <c r="D2335" s="2">
        <v>49</v>
      </c>
      <c r="E2335" s="2">
        <v>50</v>
      </c>
      <c r="F2335" s="2" t="s">
        <v>8343</v>
      </c>
      <c r="H2335" s="2" t="s">
        <v>17</v>
      </c>
      <c r="K2335" s="4">
        <v>12593</v>
      </c>
      <c r="M2335" s="2" t="s">
        <v>35</v>
      </c>
      <c r="N2335" s="2" t="s">
        <v>3885</v>
      </c>
    </row>
    <row r="2336" spans="1:14">
      <c r="A2336" s="2">
        <v>2335</v>
      </c>
      <c r="B2336" s="3" t="s">
        <v>8344</v>
      </c>
      <c r="C2336" s="2" t="s">
        <v>8345</v>
      </c>
      <c r="D2336" s="2">
        <v>50</v>
      </c>
      <c r="E2336" s="2">
        <v>50</v>
      </c>
      <c r="F2336" s="2" t="s">
        <v>8346</v>
      </c>
      <c r="H2336" s="2" t="s">
        <v>17</v>
      </c>
      <c r="K2336" s="4">
        <v>15904</v>
      </c>
      <c r="L2336" s="4">
        <v>37903</v>
      </c>
      <c r="M2336" s="2" t="s">
        <v>164</v>
      </c>
      <c r="N2336" s="2" t="s">
        <v>1223</v>
      </c>
    </row>
    <row r="2337" spans="1:14">
      <c r="A2337" s="2">
        <v>2336</v>
      </c>
      <c r="B2337" s="3" t="s">
        <v>8347</v>
      </c>
      <c r="C2337" s="2" t="s">
        <v>8348</v>
      </c>
      <c r="D2337" s="2">
        <v>50</v>
      </c>
      <c r="E2337" s="2">
        <v>50</v>
      </c>
      <c r="F2337" s="2" t="s">
        <v>8349</v>
      </c>
      <c r="H2337" s="2" t="s">
        <v>17</v>
      </c>
      <c r="K2337" s="4">
        <v>20655</v>
      </c>
      <c r="M2337" s="2" t="s">
        <v>40</v>
      </c>
      <c r="N2337" s="2" t="s">
        <v>8350</v>
      </c>
    </row>
    <row r="2338" spans="1:14">
      <c r="A2338" s="2">
        <v>2337</v>
      </c>
      <c r="B2338" s="3" t="s">
        <v>8351</v>
      </c>
      <c r="C2338" s="2" t="s">
        <v>8352</v>
      </c>
      <c r="D2338" s="2">
        <v>48</v>
      </c>
      <c r="E2338" s="2">
        <v>50</v>
      </c>
      <c r="F2338" s="2" t="s">
        <v>8353</v>
      </c>
      <c r="H2338" s="2" t="s">
        <v>17</v>
      </c>
      <c r="K2338" s="4">
        <v>19355</v>
      </c>
      <c r="M2338" s="2" t="s">
        <v>91</v>
      </c>
      <c r="N2338" s="2" t="s">
        <v>677</v>
      </c>
    </row>
    <row r="2339" spans="1:14">
      <c r="A2339" s="2">
        <v>2338</v>
      </c>
      <c r="B2339" s="3" t="s">
        <v>8354</v>
      </c>
      <c r="C2339" s="2" t="s">
        <v>8355</v>
      </c>
      <c r="D2339" s="2">
        <v>48</v>
      </c>
      <c r="E2339" s="2">
        <v>50</v>
      </c>
      <c r="F2339" s="2" t="s">
        <v>8356</v>
      </c>
      <c r="H2339" s="2" t="s">
        <v>17</v>
      </c>
      <c r="K2339" s="4">
        <v>10382</v>
      </c>
      <c r="L2339" s="4">
        <v>44609</v>
      </c>
      <c r="M2339" s="2" t="s">
        <v>170</v>
      </c>
      <c r="N2339" s="2" t="s">
        <v>323</v>
      </c>
    </row>
    <row r="2340" spans="1:14">
      <c r="A2340" s="2">
        <v>2339</v>
      </c>
      <c r="B2340" s="3" t="s">
        <v>8357</v>
      </c>
      <c r="C2340" s="2" t="s">
        <v>8358</v>
      </c>
      <c r="D2340" s="2">
        <v>50</v>
      </c>
      <c r="E2340" s="2">
        <v>50</v>
      </c>
      <c r="F2340" s="2" t="s">
        <v>8359</v>
      </c>
      <c r="H2340" s="2" t="s">
        <v>17</v>
      </c>
      <c r="K2340" s="4">
        <v>22308</v>
      </c>
      <c r="M2340" s="2" t="s">
        <v>247</v>
      </c>
      <c r="N2340" s="2" t="s">
        <v>8360</v>
      </c>
    </row>
    <row r="2341" spans="1:14">
      <c r="A2341" s="2">
        <v>2340</v>
      </c>
      <c r="B2341" s="3" t="s">
        <v>8361</v>
      </c>
      <c r="C2341" s="2" t="s">
        <v>5938</v>
      </c>
      <c r="D2341" s="2">
        <v>46</v>
      </c>
      <c r="E2341" s="2">
        <v>50</v>
      </c>
      <c r="F2341" s="2" t="s">
        <v>8362</v>
      </c>
      <c r="H2341" s="2" t="s">
        <v>17</v>
      </c>
      <c r="K2341" s="4">
        <v>16797</v>
      </c>
      <c r="L2341" s="4">
        <v>36151</v>
      </c>
      <c r="M2341" s="2" t="s">
        <v>336</v>
      </c>
      <c r="N2341" s="2" t="s">
        <v>1883</v>
      </c>
    </row>
    <row r="2342" spans="1:14">
      <c r="A2342" s="2">
        <v>2341</v>
      </c>
      <c r="B2342" s="3" t="s">
        <v>8363</v>
      </c>
      <c r="C2342" s="2" t="s">
        <v>8364</v>
      </c>
      <c r="D2342" s="2">
        <v>49</v>
      </c>
      <c r="E2342" s="2">
        <v>50</v>
      </c>
      <c r="F2342" s="2" t="s">
        <v>8365</v>
      </c>
      <c r="H2342" s="2" t="s">
        <v>17</v>
      </c>
      <c r="K2342" s="4">
        <v>16898</v>
      </c>
      <c r="M2342" s="2" t="s">
        <v>170</v>
      </c>
    </row>
    <row r="2343" spans="1:14">
      <c r="A2343" s="2">
        <v>2342</v>
      </c>
      <c r="B2343" s="3" t="s">
        <v>8366</v>
      </c>
      <c r="C2343" s="2" t="s">
        <v>8367</v>
      </c>
      <c r="D2343" s="2">
        <v>50</v>
      </c>
      <c r="E2343" s="2">
        <v>50</v>
      </c>
      <c r="F2343" s="2" t="s">
        <v>8368</v>
      </c>
      <c r="H2343" s="2" t="s">
        <v>17</v>
      </c>
      <c r="K2343" s="4">
        <v>19112</v>
      </c>
      <c r="L2343" s="4">
        <v>43511</v>
      </c>
      <c r="M2343" s="2" t="s">
        <v>47</v>
      </c>
      <c r="N2343" s="2" t="s">
        <v>48</v>
      </c>
    </row>
    <row r="2344" spans="1:14">
      <c r="A2344" s="2">
        <v>2343</v>
      </c>
      <c r="B2344" s="3" t="s">
        <v>8369</v>
      </c>
      <c r="C2344" s="2" t="s">
        <v>8370</v>
      </c>
      <c r="D2344" s="2">
        <v>49</v>
      </c>
      <c r="E2344" s="2">
        <v>50</v>
      </c>
      <c r="F2344" s="2" t="s">
        <v>8371</v>
      </c>
      <c r="H2344" s="2" t="s">
        <v>17</v>
      </c>
      <c r="K2344" s="4">
        <v>20656</v>
      </c>
      <c r="M2344" s="2" t="s">
        <v>571</v>
      </c>
      <c r="N2344" s="2" t="s">
        <v>5307</v>
      </c>
    </row>
    <row r="2345" spans="1:14">
      <c r="A2345" s="2">
        <v>2344</v>
      </c>
      <c r="B2345" s="3" t="s">
        <v>8372</v>
      </c>
      <c r="C2345" s="2" t="s">
        <v>8373</v>
      </c>
      <c r="D2345" s="2">
        <v>48</v>
      </c>
      <c r="E2345" s="2">
        <v>50</v>
      </c>
      <c r="F2345" s="2" t="s">
        <v>8374</v>
      </c>
      <c r="H2345" s="2" t="s">
        <v>17</v>
      </c>
      <c r="K2345" s="4">
        <v>18323</v>
      </c>
      <c r="M2345" s="2" t="s">
        <v>66</v>
      </c>
      <c r="N2345" s="2" t="s">
        <v>8375</v>
      </c>
    </row>
    <row r="2346" spans="1:14">
      <c r="A2346" s="2">
        <v>2345</v>
      </c>
      <c r="B2346" s="3" t="s">
        <v>8376</v>
      </c>
      <c r="C2346" s="2" t="s">
        <v>8377</v>
      </c>
      <c r="D2346" s="2">
        <v>50</v>
      </c>
      <c r="E2346" s="2">
        <v>50</v>
      </c>
      <c r="F2346" s="2" t="s">
        <v>8378</v>
      </c>
      <c r="H2346" s="2" t="s">
        <v>17</v>
      </c>
      <c r="K2346" s="4">
        <v>17017</v>
      </c>
      <c r="M2346" s="2" t="s">
        <v>30</v>
      </c>
      <c r="N2346" s="2" t="s">
        <v>8379</v>
      </c>
    </row>
    <row r="2347" spans="1:14">
      <c r="A2347" s="2">
        <v>2346</v>
      </c>
      <c r="B2347" s="3" t="s">
        <v>8380</v>
      </c>
      <c r="C2347" s="2" t="s">
        <v>4949</v>
      </c>
      <c r="D2347" s="2">
        <v>50</v>
      </c>
      <c r="E2347" s="2">
        <v>50</v>
      </c>
      <c r="F2347" s="2" t="s">
        <v>8381</v>
      </c>
      <c r="H2347" s="2" t="s">
        <v>17</v>
      </c>
      <c r="K2347" s="4">
        <v>19232</v>
      </c>
      <c r="M2347" s="2" t="s">
        <v>91</v>
      </c>
      <c r="N2347" s="2" t="s">
        <v>677</v>
      </c>
    </row>
    <row r="2348" spans="1:14">
      <c r="A2348" s="2">
        <v>2347</v>
      </c>
      <c r="B2348" s="3" t="s">
        <v>8382</v>
      </c>
      <c r="C2348" s="2" t="s">
        <v>8383</v>
      </c>
      <c r="D2348" s="2">
        <v>50</v>
      </c>
      <c r="E2348" s="2">
        <v>50</v>
      </c>
      <c r="F2348" s="2" t="s">
        <v>8384</v>
      </c>
      <c r="H2348" s="2" t="s">
        <v>17</v>
      </c>
      <c r="K2348" s="4">
        <v>19054</v>
      </c>
      <c r="M2348" s="2" t="s">
        <v>53</v>
      </c>
      <c r="N2348" s="2" t="s">
        <v>434</v>
      </c>
    </row>
    <row r="2349" spans="1:14">
      <c r="A2349" s="2">
        <v>2348</v>
      </c>
      <c r="B2349" s="3" t="s">
        <v>8385</v>
      </c>
      <c r="C2349" s="2" t="s">
        <v>8386</v>
      </c>
      <c r="D2349" s="2">
        <v>46</v>
      </c>
      <c r="E2349" s="2">
        <v>50</v>
      </c>
      <c r="F2349" s="2" t="s">
        <v>8387</v>
      </c>
      <c r="H2349" s="2" t="s">
        <v>17</v>
      </c>
      <c r="K2349" s="4">
        <v>14662</v>
      </c>
      <c r="L2349" s="4">
        <v>45537</v>
      </c>
      <c r="M2349" s="2" t="s">
        <v>47</v>
      </c>
      <c r="N2349" s="2" t="s">
        <v>8388</v>
      </c>
    </row>
    <row r="2350" spans="1:14">
      <c r="A2350" s="2">
        <v>2349</v>
      </c>
      <c r="B2350" s="3" t="s">
        <v>8389</v>
      </c>
      <c r="C2350" s="2" t="s">
        <v>8390</v>
      </c>
      <c r="D2350" s="2">
        <v>48</v>
      </c>
      <c r="E2350" s="2">
        <v>50</v>
      </c>
      <c r="F2350" s="2" t="s">
        <v>8391</v>
      </c>
      <c r="H2350" s="2" t="s">
        <v>17</v>
      </c>
      <c r="K2350" s="4">
        <v>23106</v>
      </c>
      <c r="M2350" s="2" t="s">
        <v>76</v>
      </c>
      <c r="N2350" s="2" t="s">
        <v>77</v>
      </c>
    </row>
    <row r="2351" spans="1:14">
      <c r="A2351" s="2">
        <v>2350</v>
      </c>
      <c r="B2351" s="3" t="s">
        <v>8392</v>
      </c>
      <c r="C2351" s="2" t="s">
        <v>8393</v>
      </c>
      <c r="D2351" s="2">
        <v>50</v>
      </c>
      <c r="E2351" s="2">
        <v>50</v>
      </c>
      <c r="F2351" s="2" t="s">
        <v>8394</v>
      </c>
      <c r="H2351" s="2" t="s">
        <v>45</v>
      </c>
      <c r="K2351" s="4">
        <v>18125</v>
      </c>
      <c r="L2351" s="4">
        <v>36145</v>
      </c>
      <c r="M2351" s="2" t="s">
        <v>146</v>
      </c>
      <c r="N2351" s="2" t="s">
        <v>8395</v>
      </c>
    </row>
    <row r="2352" spans="1:14">
      <c r="A2352" s="2">
        <v>2351</v>
      </c>
      <c r="B2352" s="3" t="s">
        <v>8396</v>
      </c>
      <c r="C2352" s="2" t="s">
        <v>8397</v>
      </c>
      <c r="D2352" s="2">
        <v>49</v>
      </c>
      <c r="E2352" s="2">
        <v>50</v>
      </c>
      <c r="F2352" s="2" t="s">
        <v>8398</v>
      </c>
      <c r="H2352" s="2" t="s">
        <v>45</v>
      </c>
      <c r="K2352" s="4">
        <v>21456</v>
      </c>
      <c r="M2352" s="2" t="s">
        <v>164</v>
      </c>
      <c r="N2352" s="2" t="s">
        <v>165</v>
      </c>
    </row>
    <row r="2353" spans="1:14">
      <c r="A2353" s="2">
        <v>2352</v>
      </c>
      <c r="B2353" s="3" t="s">
        <v>8399</v>
      </c>
      <c r="C2353" s="2" t="s">
        <v>8400</v>
      </c>
      <c r="D2353" s="2">
        <v>50</v>
      </c>
      <c r="E2353" s="2">
        <v>50</v>
      </c>
      <c r="F2353" s="2" t="s">
        <v>8401</v>
      </c>
      <c r="H2353" s="2" t="s">
        <v>17</v>
      </c>
      <c r="K2353" s="4">
        <v>18734</v>
      </c>
      <c r="L2353" s="4">
        <v>37275</v>
      </c>
      <c r="M2353" s="2" t="s">
        <v>47</v>
      </c>
      <c r="N2353" s="2" t="s">
        <v>5598</v>
      </c>
    </row>
    <row r="2354" spans="1:14">
      <c r="A2354" s="2">
        <v>2353</v>
      </c>
      <c r="B2354" s="3" t="s">
        <v>8402</v>
      </c>
      <c r="C2354" s="2" t="s">
        <v>8403</v>
      </c>
      <c r="D2354" s="2">
        <v>50</v>
      </c>
      <c r="E2354" s="2">
        <v>50</v>
      </c>
      <c r="F2354" s="2" t="s">
        <v>8404</v>
      </c>
      <c r="H2354" s="2" t="s">
        <v>17</v>
      </c>
      <c r="K2354" s="4">
        <v>21558</v>
      </c>
      <c r="L2354" s="4">
        <v>45111</v>
      </c>
      <c r="M2354" s="2" t="s">
        <v>35</v>
      </c>
      <c r="N2354" s="2" t="s">
        <v>8405</v>
      </c>
    </row>
    <row r="2355" spans="1:14">
      <c r="A2355" s="2">
        <v>2354</v>
      </c>
      <c r="B2355" s="3" t="s">
        <v>8406</v>
      </c>
      <c r="C2355" s="2" t="s">
        <v>8407</v>
      </c>
      <c r="D2355" s="2">
        <v>49</v>
      </c>
      <c r="E2355" s="2">
        <v>50</v>
      </c>
      <c r="F2355" s="2" t="s">
        <v>8408</v>
      </c>
      <c r="H2355" s="2" t="s">
        <v>17</v>
      </c>
      <c r="K2355" s="4">
        <v>19975</v>
      </c>
      <c r="M2355" s="2" t="s">
        <v>185</v>
      </c>
      <c r="N2355" s="2" t="s">
        <v>8409</v>
      </c>
    </row>
    <row r="2356" spans="1:14">
      <c r="A2356" s="2">
        <v>2355</v>
      </c>
      <c r="B2356" s="3" t="s">
        <v>8410</v>
      </c>
      <c r="C2356" s="2" t="s">
        <v>8411</v>
      </c>
      <c r="D2356" s="2">
        <v>49</v>
      </c>
      <c r="E2356" s="2">
        <v>50</v>
      </c>
      <c r="F2356" s="2" t="s">
        <v>8412</v>
      </c>
      <c r="H2356" s="2" t="s">
        <v>45</v>
      </c>
      <c r="K2356" s="4">
        <v>15589</v>
      </c>
      <c r="M2356" s="2" t="s">
        <v>47</v>
      </c>
      <c r="N2356" s="2" t="s">
        <v>48</v>
      </c>
    </row>
    <row r="2357" spans="1:14">
      <c r="A2357" s="2">
        <v>2356</v>
      </c>
      <c r="B2357" s="3" t="s">
        <v>8413</v>
      </c>
      <c r="C2357" s="2" t="s">
        <v>8414</v>
      </c>
      <c r="D2357" s="2">
        <v>50</v>
      </c>
      <c r="E2357" s="2">
        <v>50</v>
      </c>
      <c r="F2357" s="2" t="s">
        <v>8414</v>
      </c>
      <c r="H2357" s="2" t="s">
        <v>17</v>
      </c>
      <c r="K2357" s="4">
        <v>16720</v>
      </c>
      <c r="L2357" s="4">
        <v>45808</v>
      </c>
      <c r="M2357" s="2" t="s">
        <v>336</v>
      </c>
      <c r="N2357" s="2" t="s">
        <v>337</v>
      </c>
    </row>
    <row r="2358" spans="1:14">
      <c r="A2358" s="2">
        <v>2357</v>
      </c>
      <c r="B2358" s="3" t="s">
        <v>8415</v>
      </c>
      <c r="C2358" s="2" t="s">
        <v>8416</v>
      </c>
      <c r="D2358" s="2">
        <v>50</v>
      </c>
      <c r="E2358" s="2">
        <v>50</v>
      </c>
      <c r="F2358" s="2" t="s">
        <v>8417</v>
      </c>
      <c r="H2358" s="2" t="s">
        <v>17</v>
      </c>
      <c r="K2358" s="4">
        <v>18148</v>
      </c>
      <c r="M2358" s="2" t="s">
        <v>30</v>
      </c>
      <c r="N2358" s="2" t="s">
        <v>31</v>
      </c>
    </row>
    <row r="2359" spans="1:14">
      <c r="A2359" s="2">
        <v>2358</v>
      </c>
      <c r="B2359" s="3" t="s">
        <v>8418</v>
      </c>
      <c r="C2359" s="2" t="s">
        <v>8419</v>
      </c>
      <c r="D2359" s="2">
        <v>50</v>
      </c>
      <c r="E2359" s="2">
        <v>50</v>
      </c>
      <c r="F2359" s="2" t="s">
        <v>8420</v>
      </c>
      <c r="H2359" s="2" t="s">
        <v>17</v>
      </c>
      <c r="K2359" s="4">
        <v>20340</v>
      </c>
      <c r="M2359" s="2" t="s">
        <v>76</v>
      </c>
      <c r="N2359" s="2" t="s">
        <v>77</v>
      </c>
    </row>
    <row r="2360" spans="1:14">
      <c r="A2360" s="2">
        <v>2359</v>
      </c>
      <c r="B2360" s="3" t="s">
        <v>8421</v>
      </c>
      <c r="C2360" s="2" t="s">
        <v>8422</v>
      </c>
      <c r="D2360" s="2">
        <v>50</v>
      </c>
      <c r="E2360" s="2">
        <v>50</v>
      </c>
      <c r="F2360" s="2" t="s">
        <v>8423</v>
      </c>
      <c r="H2360" s="2" t="s">
        <v>45</v>
      </c>
      <c r="K2360" s="4">
        <v>18185</v>
      </c>
      <c r="M2360" s="2" t="s">
        <v>185</v>
      </c>
      <c r="N2360" s="2" t="s">
        <v>838</v>
      </c>
    </row>
    <row r="2361" spans="1:14">
      <c r="A2361" s="2">
        <v>2360</v>
      </c>
      <c r="B2361" s="3" t="s">
        <v>8424</v>
      </c>
      <c r="C2361" s="2" t="s">
        <v>8425</v>
      </c>
      <c r="D2361" s="2">
        <v>48</v>
      </c>
      <c r="E2361" s="2">
        <v>50</v>
      </c>
      <c r="F2361" s="2" t="s">
        <v>8426</v>
      </c>
      <c r="H2361" s="2" t="s">
        <v>17</v>
      </c>
      <c r="K2361" s="4">
        <v>18834</v>
      </c>
      <c r="L2361" s="4">
        <v>36061</v>
      </c>
      <c r="M2361" s="2" t="s">
        <v>185</v>
      </c>
      <c r="N2361" s="2" t="s">
        <v>8409</v>
      </c>
    </row>
    <row r="2362" spans="1:14">
      <c r="A2362" s="2">
        <v>2361</v>
      </c>
      <c r="B2362" s="3" t="s">
        <v>8427</v>
      </c>
      <c r="C2362" s="2" t="s">
        <v>8428</v>
      </c>
      <c r="D2362" s="2">
        <v>49</v>
      </c>
      <c r="E2362" s="2">
        <v>50</v>
      </c>
      <c r="F2362" s="2" t="s">
        <v>8429</v>
      </c>
      <c r="H2362" s="2" t="s">
        <v>17</v>
      </c>
      <c r="K2362" s="4">
        <v>12037</v>
      </c>
      <c r="L2362" s="4">
        <v>40856</v>
      </c>
      <c r="M2362" s="2" t="s">
        <v>66</v>
      </c>
      <c r="N2362" s="2" t="s">
        <v>5822</v>
      </c>
    </row>
    <row r="2363" spans="1:14">
      <c r="A2363" s="2">
        <v>2362</v>
      </c>
      <c r="B2363" s="3" t="s">
        <v>8430</v>
      </c>
      <c r="C2363" s="2" t="s">
        <v>8431</v>
      </c>
      <c r="D2363" s="2">
        <v>49</v>
      </c>
      <c r="E2363" s="2">
        <v>50</v>
      </c>
      <c r="F2363" s="2" t="s">
        <v>8432</v>
      </c>
      <c r="H2363" s="2" t="s">
        <v>17</v>
      </c>
      <c r="K2363" s="4">
        <v>17695</v>
      </c>
      <c r="M2363" s="2" t="s">
        <v>66</v>
      </c>
      <c r="N2363" s="2" t="s">
        <v>3043</v>
      </c>
    </row>
    <row r="2364" spans="1:14">
      <c r="A2364" s="2">
        <v>2363</v>
      </c>
      <c r="B2364" s="3" t="s">
        <v>8433</v>
      </c>
      <c r="C2364" s="2" t="s">
        <v>8434</v>
      </c>
      <c r="D2364" s="2">
        <v>50</v>
      </c>
      <c r="E2364" s="2">
        <v>50</v>
      </c>
      <c r="F2364" s="2" t="s">
        <v>8435</v>
      </c>
      <c r="H2364" s="2" t="s">
        <v>17</v>
      </c>
      <c r="K2364" s="4">
        <v>19580</v>
      </c>
      <c r="M2364" s="2" t="s">
        <v>66</v>
      </c>
      <c r="N2364" s="2" t="s">
        <v>751</v>
      </c>
    </row>
    <row r="2365" spans="1:14">
      <c r="A2365" s="2">
        <v>2364</v>
      </c>
      <c r="B2365" s="3" t="s">
        <v>8436</v>
      </c>
      <c r="C2365" s="2" t="s">
        <v>8437</v>
      </c>
      <c r="D2365" s="2">
        <v>50</v>
      </c>
      <c r="E2365" s="2">
        <v>50</v>
      </c>
      <c r="F2365" s="2" t="s">
        <v>8438</v>
      </c>
      <c r="H2365" s="2" t="s">
        <v>17</v>
      </c>
      <c r="K2365" s="4">
        <v>13725</v>
      </c>
      <c r="L2365" s="4">
        <v>40725</v>
      </c>
      <c r="M2365" s="2" t="s">
        <v>47</v>
      </c>
      <c r="N2365" s="2" t="s">
        <v>3765</v>
      </c>
    </row>
    <row r="2366" spans="1:14">
      <c r="A2366" s="2">
        <v>2365</v>
      </c>
      <c r="B2366" s="3" t="s">
        <v>8439</v>
      </c>
      <c r="C2366" s="2" t="s">
        <v>8440</v>
      </c>
      <c r="D2366" s="2">
        <v>47</v>
      </c>
      <c r="E2366" s="2">
        <v>50</v>
      </c>
      <c r="F2366" s="2" t="s">
        <v>8441</v>
      </c>
      <c r="H2366" s="2" t="s">
        <v>17</v>
      </c>
      <c r="K2366" s="4">
        <v>16823</v>
      </c>
      <c r="M2366" s="2" t="s">
        <v>40</v>
      </c>
      <c r="N2366" s="2" t="s">
        <v>41</v>
      </c>
    </row>
    <row r="2367" spans="1:14">
      <c r="A2367" s="2">
        <v>2366</v>
      </c>
      <c r="B2367" s="3" t="s">
        <v>8442</v>
      </c>
      <c r="C2367" s="2" t="s">
        <v>8443</v>
      </c>
      <c r="D2367" s="2">
        <v>49</v>
      </c>
      <c r="E2367" s="2">
        <v>50</v>
      </c>
      <c r="F2367" s="2" t="s">
        <v>8444</v>
      </c>
      <c r="H2367" s="2" t="s">
        <v>17</v>
      </c>
      <c r="K2367" s="4">
        <v>18027</v>
      </c>
      <c r="M2367" s="2" t="s">
        <v>40</v>
      </c>
      <c r="N2367" s="2" t="s">
        <v>41</v>
      </c>
    </row>
    <row r="2368" spans="1:14">
      <c r="A2368" s="2">
        <v>2367</v>
      </c>
      <c r="B2368" s="3" t="s">
        <v>8445</v>
      </c>
      <c r="C2368" s="2" t="s">
        <v>8446</v>
      </c>
      <c r="D2368" s="2">
        <v>50</v>
      </c>
      <c r="E2368" s="2">
        <v>50</v>
      </c>
      <c r="F2368" s="2" t="s">
        <v>8447</v>
      </c>
      <c r="H2368" s="2" t="s">
        <v>17</v>
      </c>
      <c r="K2368" s="4">
        <v>18907</v>
      </c>
      <c r="M2368" s="2" t="s">
        <v>85</v>
      </c>
      <c r="N2368" s="2" t="s">
        <v>86</v>
      </c>
    </row>
    <row r="2369" spans="1:14">
      <c r="A2369" s="2">
        <v>2368</v>
      </c>
      <c r="B2369" s="3" t="s">
        <v>8448</v>
      </c>
      <c r="C2369" s="2" t="s">
        <v>8449</v>
      </c>
      <c r="D2369" s="2">
        <v>50</v>
      </c>
      <c r="E2369" s="2">
        <v>50</v>
      </c>
      <c r="F2369" s="2" t="s">
        <v>8450</v>
      </c>
      <c r="H2369" s="2" t="s">
        <v>17</v>
      </c>
      <c r="K2369" s="4">
        <v>16760</v>
      </c>
      <c r="M2369" s="2" t="s">
        <v>35</v>
      </c>
      <c r="N2369" s="2" t="s">
        <v>8451</v>
      </c>
    </row>
    <row r="2370" spans="1:14">
      <c r="A2370" s="2">
        <v>2369</v>
      </c>
      <c r="B2370" s="3" t="s">
        <v>8452</v>
      </c>
      <c r="C2370" s="2" t="s">
        <v>8453</v>
      </c>
      <c r="D2370" s="2">
        <v>50</v>
      </c>
      <c r="E2370" s="2">
        <v>50</v>
      </c>
      <c r="F2370" s="2" t="s">
        <v>8454</v>
      </c>
      <c r="H2370" s="2" t="s">
        <v>17</v>
      </c>
      <c r="K2370" s="4">
        <v>18024</v>
      </c>
      <c r="M2370" s="2" t="s">
        <v>47</v>
      </c>
      <c r="N2370" s="2" t="s">
        <v>8455</v>
      </c>
    </row>
    <row r="2371" spans="1:14">
      <c r="A2371" s="2">
        <v>2370</v>
      </c>
      <c r="B2371" s="3" t="s">
        <v>8456</v>
      </c>
      <c r="C2371" s="2" t="s">
        <v>8457</v>
      </c>
      <c r="D2371" s="2">
        <v>49</v>
      </c>
      <c r="E2371" s="2">
        <v>50</v>
      </c>
      <c r="F2371" s="2" t="s">
        <v>8458</v>
      </c>
      <c r="H2371" s="2" t="s">
        <v>17</v>
      </c>
      <c r="K2371" s="4">
        <v>15528</v>
      </c>
      <c r="L2371" s="4">
        <v>35549</v>
      </c>
      <c r="M2371" s="2" t="s">
        <v>170</v>
      </c>
      <c r="N2371" s="2" t="s">
        <v>323</v>
      </c>
    </row>
    <row r="2372" spans="1:14">
      <c r="A2372" s="2">
        <v>2371</v>
      </c>
      <c r="B2372" s="3" t="s">
        <v>8459</v>
      </c>
      <c r="C2372" s="2" t="s">
        <v>8460</v>
      </c>
      <c r="D2372" s="2">
        <v>50</v>
      </c>
      <c r="E2372" s="2">
        <v>50</v>
      </c>
      <c r="F2372" s="2" t="s">
        <v>8461</v>
      </c>
      <c r="H2372" s="2" t="s">
        <v>17</v>
      </c>
      <c r="K2372" s="4">
        <v>15124</v>
      </c>
      <c r="L2372" s="4">
        <v>35326</v>
      </c>
      <c r="M2372" s="2" t="s">
        <v>47</v>
      </c>
      <c r="N2372" s="2" t="s">
        <v>3707</v>
      </c>
    </row>
    <row r="2373" spans="1:14">
      <c r="A2373" s="2">
        <v>2372</v>
      </c>
      <c r="B2373" s="3" t="s">
        <v>8462</v>
      </c>
      <c r="C2373" s="2" t="s">
        <v>8463</v>
      </c>
      <c r="D2373" s="2">
        <v>49</v>
      </c>
      <c r="E2373" s="2">
        <v>50</v>
      </c>
      <c r="F2373" s="2" t="s">
        <v>8464</v>
      </c>
      <c r="H2373" s="2" t="s">
        <v>17</v>
      </c>
      <c r="K2373" s="4">
        <v>11426</v>
      </c>
      <c r="M2373" s="2" t="s">
        <v>341</v>
      </c>
      <c r="N2373" s="2" t="s">
        <v>834</v>
      </c>
    </row>
    <row r="2374" spans="1:14">
      <c r="A2374" s="2">
        <v>2373</v>
      </c>
      <c r="B2374" s="3" t="s">
        <v>8465</v>
      </c>
      <c r="C2374" s="2" t="s">
        <v>8466</v>
      </c>
      <c r="D2374" s="2">
        <v>50</v>
      </c>
      <c r="E2374" s="2">
        <v>50</v>
      </c>
      <c r="F2374" s="2" t="s">
        <v>8467</v>
      </c>
      <c r="H2374" s="2" t="s">
        <v>17</v>
      </c>
      <c r="K2374" s="4">
        <v>25975</v>
      </c>
      <c r="M2374" s="2" t="s">
        <v>53</v>
      </c>
      <c r="N2374" s="2" t="s">
        <v>847</v>
      </c>
    </row>
    <row r="2375" spans="1:14">
      <c r="A2375" s="2">
        <v>2374</v>
      </c>
      <c r="B2375" s="3" t="s">
        <v>8468</v>
      </c>
      <c r="C2375" s="2" t="s">
        <v>8469</v>
      </c>
      <c r="D2375" s="2">
        <v>50</v>
      </c>
      <c r="E2375" s="2">
        <v>50</v>
      </c>
      <c r="F2375" s="2" t="s">
        <v>8470</v>
      </c>
      <c r="H2375" s="2" t="s">
        <v>17</v>
      </c>
      <c r="K2375" s="4">
        <v>15868</v>
      </c>
      <c r="M2375" s="2" t="s">
        <v>247</v>
      </c>
      <c r="N2375" s="2" t="s">
        <v>886</v>
      </c>
    </row>
    <row r="2376" spans="1:14">
      <c r="A2376" s="2">
        <v>2375</v>
      </c>
      <c r="B2376" s="3" t="s">
        <v>8471</v>
      </c>
      <c r="C2376" s="2" t="s">
        <v>8472</v>
      </c>
      <c r="D2376" s="2">
        <v>50</v>
      </c>
      <c r="E2376" s="2">
        <v>50</v>
      </c>
      <c r="F2376" s="2" t="s">
        <v>8473</v>
      </c>
      <c r="H2376" s="2" t="s">
        <v>17</v>
      </c>
      <c r="K2376" s="4">
        <v>13270</v>
      </c>
      <c r="M2376" s="2" t="s">
        <v>170</v>
      </c>
      <c r="N2376" s="2" t="s">
        <v>323</v>
      </c>
    </row>
    <row r="2377" spans="1:14">
      <c r="A2377" s="2">
        <v>2376</v>
      </c>
      <c r="B2377" s="3" t="s">
        <v>8474</v>
      </c>
      <c r="C2377" s="2" t="s">
        <v>8475</v>
      </c>
      <c r="D2377" s="2">
        <v>48</v>
      </c>
      <c r="E2377" s="2">
        <v>50</v>
      </c>
      <c r="F2377" s="2" t="s">
        <v>8476</v>
      </c>
      <c r="H2377" s="2" t="s">
        <v>17</v>
      </c>
      <c r="K2377" s="4">
        <v>20779</v>
      </c>
      <c r="M2377" s="2" t="s">
        <v>24</v>
      </c>
      <c r="N2377" s="2" t="s">
        <v>25</v>
      </c>
    </row>
    <row r="2378" spans="1:14">
      <c r="A2378" s="2">
        <v>2377</v>
      </c>
      <c r="B2378" s="3" t="s">
        <v>8477</v>
      </c>
      <c r="C2378" s="2" t="s">
        <v>8478</v>
      </c>
      <c r="D2378" s="2">
        <v>49</v>
      </c>
      <c r="E2378" s="2">
        <v>50</v>
      </c>
      <c r="F2378" s="2" t="s">
        <v>8479</v>
      </c>
      <c r="H2378" s="2" t="s">
        <v>45</v>
      </c>
      <c r="K2378" s="4">
        <v>17605</v>
      </c>
      <c r="M2378" s="2" t="s">
        <v>192</v>
      </c>
      <c r="N2378" s="2" t="s">
        <v>8480</v>
      </c>
    </row>
    <row r="2379" spans="1:14">
      <c r="A2379" s="2">
        <v>2378</v>
      </c>
      <c r="B2379" s="3" t="s">
        <v>8481</v>
      </c>
      <c r="C2379" s="2" t="s">
        <v>8482</v>
      </c>
      <c r="D2379" s="2">
        <v>50</v>
      </c>
      <c r="E2379" s="2">
        <v>50</v>
      </c>
      <c r="F2379" s="2" t="s">
        <v>8483</v>
      </c>
      <c r="H2379" s="2" t="s">
        <v>17</v>
      </c>
      <c r="K2379" s="4">
        <v>15059</v>
      </c>
      <c r="L2379" s="4">
        <v>42280</v>
      </c>
      <c r="M2379" s="2" t="s">
        <v>53</v>
      </c>
      <c r="N2379" s="2" t="s">
        <v>847</v>
      </c>
    </row>
    <row r="2380" spans="1:14">
      <c r="A2380" s="2">
        <v>2379</v>
      </c>
      <c r="B2380" s="3" t="s">
        <v>8484</v>
      </c>
      <c r="C2380" s="2" t="s">
        <v>8485</v>
      </c>
      <c r="D2380" s="2">
        <v>48</v>
      </c>
      <c r="E2380" s="2">
        <v>50</v>
      </c>
      <c r="F2380" s="2" t="s">
        <v>8486</v>
      </c>
      <c r="H2380" s="2" t="s">
        <v>17</v>
      </c>
      <c r="K2380" s="4">
        <v>20223</v>
      </c>
      <c r="M2380" s="2" t="s">
        <v>47</v>
      </c>
      <c r="N2380" s="2" t="s">
        <v>48</v>
      </c>
    </row>
    <row r="2381" spans="1:14">
      <c r="A2381" s="2">
        <v>2380</v>
      </c>
      <c r="B2381" s="3" t="s">
        <v>8487</v>
      </c>
      <c r="C2381" s="2" t="s">
        <v>8488</v>
      </c>
      <c r="D2381" s="2">
        <v>50</v>
      </c>
      <c r="E2381" s="2">
        <v>50</v>
      </c>
      <c r="F2381" s="2" t="s">
        <v>8489</v>
      </c>
      <c r="H2381" s="2" t="s">
        <v>17</v>
      </c>
      <c r="K2381" s="4">
        <v>19266</v>
      </c>
      <c r="M2381" s="2" t="s">
        <v>47</v>
      </c>
      <c r="N2381" s="2" t="s">
        <v>110</v>
      </c>
    </row>
    <row r="2382" spans="1:14">
      <c r="A2382" s="2">
        <v>2381</v>
      </c>
      <c r="B2382" s="3" t="s">
        <v>8490</v>
      </c>
      <c r="C2382" s="2" t="s">
        <v>8491</v>
      </c>
      <c r="D2382" s="2">
        <v>48</v>
      </c>
      <c r="E2382" s="2">
        <v>50</v>
      </c>
      <c r="F2382" s="2" t="s">
        <v>8492</v>
      </c>
      <c r="H2382" s="2" t="s">
        <v>17</v>
      </c>
      <c r="K2382" s="4">
        <v>18007</v>
      </c>
      <c r="M2382" s="2" t="s">
        <v>140</v>
      </c>
      <c r="N2382" s="2" t="s">
        <v>8493</v>
      </c>
    </row>
    <row r="2383" spans="1:14">
      <c r="A2383" s="2">
        <v>2382</v>
      </c>
      <c r="B2383" s="3" t="s">
        <v>8494</v>
      </c>
      <c r="C2383" s="2" t="s">
        <v>8495</v>
      </c>
      <c r="D2383" s="2">
        <v>47</v>
      </c>
      <c r="E2383" s="2">
        <v>50</v>
      </c>
      <c r="F2383" s="2" t="s">
        <v>8496</v>
      </c>
      <c r="H2383" s="2" t="s">
        <v>17</v>
      </c>
      <c r="K2383" s="4">
        <v>14426</v>
      </c>
      <c r="L2383" s="4">
        <v>44766</v>
      </c>
      <c r="M2383" s="2" t="s">
        <v>40</v>
      </c>
      <c r="N2383" s="2" t="s">
        <v>1017</v>
      </c>
    </row>
    <row r="2384" spans="1:14">
      <c r="A2384" s="2">
        <v>2383</v>
      </c>
      <c r="B2384" s="3" t="s">
        <v>8497</v>
      </c>
      <c r="C2384" s="2" t="s">
        <v>8498</v>
      </c>
      <c r="D2384" s="2">
        <v>44</v>
      </c>
      <c r="E2384" s="2">
        <v>50</v>
      </c>
      <c r="F2384" s="2" t="s">
        <v>8499</v>
      </c>
      <c r="H2384" s="2" t="s">
        <v>17</v>
      </c>
      <c r="K2384" s="4">
        <v>14161</v>
      </c>
      <c r="L2384" s="4">
        <v>41319</v>
      </c>
      <c r="M2384" s="2" t="s">
        <v>198</v>
      </c>
      <c r="N2384" s="2" t="s">
        <v>199</v>
      </c>
    </row>
    <row r="2385" spans="1:14">
      <c r="A2385" s="2">
        <v>2384</v>
      </c>
      <c r="B2385" s="3" t="s">
        <v>8500</v>
      </c>
      <c r="C2385" s="2" t="s">
        <v>8501</v>
      </c>
      <c r="D2385" s="2">
        <v>50</v>
      </c>
      <c r="E2385" s="2">
        <v>50</v>
      </c>
      <c r="F2385" s="2" t="s">
        <v>8502</v>
      </c>
      <c r="H2385" s="2" t="s">
        <v>17</v>
      </c>
      <c r="K2385" s="4">
        <v>18180</v>
      </c>
      <c r="M2385" s="2" t="s">
        <v>154</v>
      </c>
      <c r="N2385" s="2" t="s">
        <v>2265</v>
      </c>
    </row>
    <row r="2386" spans="1:14">
      <c r="A2386" s="2">
        <v>2385</v>
      </c>
      <c r="B2386" s="3" t="s">
        <v>8503</v>
      </c>
      <c r="C2386" s="2" t="s">
        <v>4045</v>
      </c>
      <c r="D2386" s="2">
        <v>50</v>
      </c>
      <c r="E2386" s="2">
        <v>50</v>
      </c>
      <c r="F2386" s="2" t="s">
        <v>8504</v>
      </c>
      <c r="H2386" s="2" t="s">
        <v>17</v>
      </c>
      <c r="K2386" s="4">
        <v>19010</v>
      </c>
      <c r="M2386" s="2" t="s">
        <v>146</v>
      </c>
      <c r="N2386" s="2" t="s">
        <v>8505</v>
      </c>
    </row>
    <row r="2387" spans="1:14">
      <c r="A2387" s="2">
        <v>2386</v>
      </c>
      <c r="B2387" s="3" t="s">
        <v>8506</v>
      </c>
      <c r="C2387" s="2" t="s">
        <v>8507</v>
      </c>
      <c r="D2387" s="2">
        <v>48</v>
      </c>
      <c r="E2387" s="2">
        <v>50</v>
      </c>
      <c r="F2387" s="2" t="s">
        <v>8508</v>
      </c>
      <c r="H2387" s="2" t="s">
        <v>17</v>
      </c>
      <c r="K2387" s="4">
        <v>16089</v>
      </c>
      <c r="M2387" s="2" t="s">
        <v>85</v>
      </c>
      <c r="N2387" s="2" t="s">
        <v>86</v>
      </c>
    </row>
    <row r="2388" spans="1:14">
      <c r="A2388" s="2">
        <v>2387</v>
      </c>
      <c r="B2388" s="3" t="s">
        <v>8509</v>
      </c>
      <c r="C2388" s="2" t="s">
        <v>8510</v>
      </c>
      <c r="D2388" s="2">
        <v>48</v>
      </c>
      <c r="E2388" s="2">
        <v>50</v>
      </c>
      <c r="F2388" s="2" t="s">
        <v>8511</v>
      </c>
      <c r="H2388" s="2" t="s">
        <v>17</v>
      </c>
      <c r="K2388" s="4">
        <v>11721</v>
      </c>
      <c r="L2388" s="4">
        <v>41143</v>
      </c>
      <c r="M2388" s="2" t="s">
        <v>170</v>
      </c>
      <c r="N2388" s="2" t="s">
        <v>171</v>
      </c>
    </row>
    <row r="2389" spans="1:14">
      <c r="A2389" s="2">
        <v>2388</v>
      </c>
      <c r="B2389" s="3" t="s">
        <v>8512</v>
      </c>
      <c r="C2389" s="2" t="s">
        <v>8513</v>
      </c>
      <c r="D2389" s="2">
        <v>48</v>
      </c>
      <c r="E2389" s="2">
        <v>50</v>
      </c>
      <c r="F2389" s="2" t="s">
        <v>8514</v>
      </c>
      <c r="H2389" s="2" t="s">
        <v>17</v>
      </c>
      <c r="K2389" s="4">
        <v>14630</v>
      </c>
      <c r="L2389" s="4">
        <v>38796</v>
      </c>
      <c r="M2389" s="2" t="s">
        <v>85</v>
      </c>
      <c r="N2389" s="2" t="s">
        <v>221</v>
      </c>
    </row>
    <row r="2390" spans="1:14">
      <c r="A2390" s="2">
        <v>2389</v>
      </c>
      <c r="B2390" s="3" t="s">
        <v>8515</v>
      </c>
      <c r="C2390" s="2" t="s">
        <v>8516</v>
      </c>
      <c r="D2390" s="2">
        <v>50</v>
      </c>
      <c r="E2390" s="2">
        <v>50</v>
      </c>
      <c r="F2390" s="2" t="s">
        <v>8517</v>
      </c>
      <c r="H2390" s="2" t="s">
        <v>17</v>
      </c>
      <c r="K2390" s="4">
        <v>12814</v>
      </c>
      <c r="M2390" s="2" t="s">
        <v>35</v>
      </c>
      <c r="N2390" s="2" t="s">
        <v>2310</v>
      </c>
    </row>
    <row r="2391" spans="1:14">
      <c r="A2391" s="2">
        <v>2390</v>
      </c>
      <c r="B2391" s="3" t="s">
        <v>8518</v>
      </c>
      <c r="C2391" s="2" t="s">
        <v>8519</v>
      </c>
      <c r="D2391" s="2">
        <v>50</v>
      </c>
      <c r="E2391" s="2">
        <v>50</v>
      </c>
      <c r="F2391" s="2" t="s">
        <v>8520</v>
      </c>
      <c r="H2391" s="2" t="s">
        <v>17</v>
      </c>
      <c r="K2391" s="4">
        <v>17516</v>
      </c>
      <c r="M2391" s="2" t="s">
        <v>164</v>
      </c>
      <c r="N2391" s="2" t="s">
        <v>1223</v>
      </c>
    </row>
    <row r="2392" spans="1:14">
      <c r="A2392" s="2">
        <v>2391</v>
      </c>
      <c r="B2392" s="3" t="s">
        <v>8521</v>
      </c>
      <c r="C2392" s="2" t="s">
        <v>8522</v>
      </c>
      <c r="D2392" s="2">
        <v>50</v>
      </c>
      <c r="E2392" s="2">
        <v>50</v>
      </c>
      <c r="F2392" s="2" t="s">
        <v>8523</v>
      </c>
      <c r="H2392" s="2" t="s">
        <v>17</v>
      </c>
      <c r="K2392" s="4">
        <v>16661</v>
      </c>
      <c r="M2392" s="2" t="s">
        <v>35</v>
      </c>
      <c r="N2392" s="2" t="s">
        <v>8524</v>
      </c>
    </row>
    <row r="2393" spans="1:14">
      <c r="A2393" s="2">
        <v>2392</v>
      </c>
      <c r="B2393" s="3" t="s">
        <v>8525</v>
      </c>
      <c r="C2393" s="2" t="s">
        <v>8526</v>
      </c>
      <c r="D2393" s="2">
        <v>50</v>
      </c>
      <c r="E2393" s="2">
        <v>50</v>
      </c>
      <c r="F2393" s="2" t="s">
        <v>8527</v>
      </c>
      <c r="H2393" s="2" t="s">
        <v>17</v>
      </c>
      <c r="K2393" s="4">
        <v>18075</v>
      </c>
      <c r="M2393" s="2" t="s">
        <v>76</v>
      </c>
      <c r="N2393" s="2" t="s">
        <v>8528</v>
      </c>
    </row>
    <row r="2394" spans="1:14">
      <c r="A2394" s="2">
        <v>2393</v>
      </c>
      <c r="B2394" s="3" t="s">
        <v>8529</v>
      </c>
      <c r="C2394" s="2" t="s">
        <v>8530</v>
      </c>
      <c r="D2394" s="2">
        <v>48</v>
      </c>
      <c r="E2394" s="2">
        <v>50</v>
      </c>
      <c r="F2394" s="2" t="s">
        <v>8531</v>
      </c>
      <c r="H2394" s="2" t="s">
        <v>17</v>
      </c>
      <c r="K2394" s="4">
        <v>18430</v>
      </c>
      <c r="M2394" s="2" t="s">
        <v>185</v>
      </c>
      <c r="N2394" s="2" t="s">
        <v>838</v>
      </c>
    </row>
    <row r="2395" spans="1:14">
      <c r="A2395" s="2">
        <v>2394</v>
      </c>
      <c r="B2395" s="3" t="s">
        <v>8532</v>
      </c>
      <c r="C2395" s="2" t="s">
        <v>8533</v>
      </c>
      <c r="D2395" s="2">
        <v>49</v>
      </c>
      <c r="E2395" s="2">
        <v>50</v>
      </c>
      <c r="F2395" s="2" t="s">
        <v>8534</v>
      </c>
      <c r="H2395" s="2" t="s">
        <v>17</v>
      </c>
      <c r="K2395" s="4">
        <v>8222</v>
      </c>
      <c r="L2395" s="4">
        <v>43312</v>
      </c>
      <c r="M2395" s="2" t="s">
        <v>47</v>
      </c>
      <c r="N2395" s="2" t="s">
        <v>1718</v>
      </c>
    </row>
    <row r="2396" spans="1:14">
      <c r="A2396" s="2">
        <v>2395</v>
      </c>
      <c r="B2396" s="3" t="s">
        <v>8535</v>
      </c>
      <c r="C2396" s="2" t="s">
        <v>8536</v>
      </c>
      <c r="D2396" s="2">
        <v>48</v>
      </c>
      <c r="E2396" s="2">
        <v>50</v>
      </c>
      <c r="F2396" s="2" t="s">
        <v>8537</v>
      </c>
      <c r="H2396" s="2" t="s">
        <v>17</v>
      </c>
      <c r="K2396" s="4">
        <v>10676</v>
      </c>
      <c r="L2396" s="4">
        <v>44600</v>
      </c>
      <c r="M2396" s="2" t="s">
        <v>47</v>
      </c>
      <c r="N2396" s="2" t="s">
        <v>4066</v>
      </c>
    </row>
    <row r="2397" spans="1:14">
      <c r="A2397" s="2">
        <v>2396</v>
      </c>
      <c r="B2397" s="3" t="s">
        <v>8538</v>
      </c>
      <c r="C2397" s="2" t="s">
        <v>8539</v>
      </c>
      <c r="D2397" s="2">
        <v>49</v>
      </c>
      <c r="E2397" s="2">
        <v>50</v>
      </c>
      <c r="F2397" s="2" t="s">
        <v>8540</v>
      </c>
      <c r="H2397" s="2" t="s">
        <v>17</v>
      </c>
      <c r="K2397" s="4">
        <v>18395</v>
      </c>
      <c r="M2397" s="2" t="s">
        <v>164</v>
      </c>
      <c r="N2397" s="2" t="s">
        <v>165</v>
      </c>
    </row>
    <row r="2398" spans="1:14">
      <c r="A2398" s="2">
        <v>2397</v>
      </c>
      <c r="B2398" s="3" t="s">
        <v>8541</v>
      </c>
      <c r="C2398" s="2" t="s">
        <v>8542</v>
      </c>
      <c r="D2398" s="2">
        <v>49</v>
      </c>
      <c r="E2398" s="2">
        <v>50</v>
      </c>
      <c r="F2398" s="2" t="s">
        <v>8543</v>
      </c>
      <c r="H2398" s="2" t="s">
        <v>17</v>
      </c>
      <c r="K2398" s="4">
        <v>17757</v>
      </c>
      <c r="L2398" s="4">
        <v>35485</v>
      </c>
      <c r="M2398" s="2" t="s">
        <v>154</v>
      </c>
      <c r="N2398" s="2" t="s">
        <v>346</v>
      </c>
    </row>
    <row r="2399" spans="1:14">
      <c r="A2399" s="2">
        <v>2398</v>
      </c>
      <c r="B2399" s="3" t="s">
        <v>8544</v>
      </c>
      <c r="C2399" s="2" t="s">
        <v>8545</v>
      </c>
      <c r="D2399" s="2">
        <v>50</v>
      </c>
      <c r="E2399" s="2">
        <v>50</v>
      </c>
      <c r="F2399" s="2" t="s">
        <v>8546</v>
      </c>
      <c r="H2399" s="2" t="s">
        <v>17</v>
      </c>
      <c r="K2399" s="4">
        <v>6674</v>
      </c>
      <c r="L2399" s="4">
        <v>38457</v>
      </c>
      <c r="M2399" s="2" t="s">
        <v>66</v>
      </c>
      <c r="N2399" s="2" t="s">
        <v>1021</v>
      </c>
    </row>
    <row r="2400" spans="1:14">
      <c r="A2400" s="2">
        <v>2399</v>
      </c>
      <c r="B2400" s="3" t="s">
        <v>8547</v>
      </c>
      <c r="C2400" s="2" t="s">
        <v>8548</v>
      </c>
      <c r="D2400" s="2">
        <v>46</v>
      </c>
      <c r="E2400" s="2">
        <v>50</v>
      </c>
      <c r="F2400" s="2" t="s">
        <v>8549</v>
      </c>
      <c r="H2400" s="2" t="s">
        <v>17</v>
      </c>
      <c r="K2400" s="4">
        <v>10048</v>
      </c>
      <c r="L2400" s="4">
        <v>42554</v>
      </c>
      <c r="M2400" s="2" t="s">
        <v>35</v>
      </c>
      <c r="N2400" s="2" t="s">
        <v>2466</v>
      </c>
    </row>
    <row r="2401" spans="1:14">
      <c r="A2401" s="2">
        <v>2400</v>
      </c>
      <c r="B2401" s="3" t="s">
        <v>8550</v>
      </c>
      <c r="C2401" s="2" t="s">
        <v>8551</v>
      </c>
      <c r="D2401" s="2">
        <v>50</v>
      </c>
      <c r="E2401" s="2">
        <v>50</v>
      </c>
      <c r="F2401" s="2" t="s">
        <v>8552</v>
      </c>
      <c r="H2401" s="2" t="s">
        <v>17</v>
      </c>
      <c r="K2401" s="4">
        <v>21008</v>
      </c>
      <c r="M2401" s="2" t="s">
        <v>47</v>
      </c>
      <c r="N2401" s="2" t="s">
        <v>442</v>
      </c>
    </row>
    <row r="2402" spans="1:14">
      <c r="A2402" s="2">
        <v>2401</v>
      </c>
      <c r="B2402" s="3" t="s">
        <v>8553</v>
      </c>
      <c r="C2402" s="2" t="s">
        <v>8554</v>
      </c>
      <c r="D2402" s="2">
        <v>50</v>
      </c>
      <c r="E2402" s="2">
        <v>50</v>
      </c>
      <c r="F2402" s="2" t="s">
        <v>8554</v>
      </c>
      <c r="H2402" s="2" t="s">
        <v>17</v>
      </c>
      <c r="K2402" s="4">
        <v>20857</v>
      </c>
      <c r="M2402" s="2" t="s">
        <v>423</v>
      </c>
      <c r="N2402" s="2" t="s">
        <v>8555</v>
      </c>
    </row>
    <row r="2403" spans="1:14">
      <c r="A2403" s="2">
        <v>2402</v>
      </c>
      <c r="B2403" s="3" t="s">
        <v>8556</v>
      </c>
      <c r="C2403" s="2" t="s">
        <v>8557</v>
      </c>
      <c r="D2403" s="2">
        <v>42</v>
      </c>
      <c r="E2403" s="2">
        <v>50</v>
      </c>
      <c r="F2403" s="2" t="s">
        <v>8558</v>
      </c>
      <c r="H2403" s="2" t="s">
        <v>17</v>
      </c>
      <c r="K2403" s="4">
        <v>11400</v>
      </c>
      <c r="L2403" s="4">
        <v>44136</v>
      </c>
      <c r="M2403" s="2" t="s">
        <v>35</v>
      </c>
      <c r="N2403" s="2" t="s">
        <v>58</v>
      </c>
    </row>
    <row r="2404" spans="1:14">
      <c r="A2404" s="2">
        <v>2403</v>
      </c>
      <c r="B2404" s="3" t="s">
        <v>8559</v>
      </c>
      <c r="C2404" s="2" t="s">
        <v>8560</v>
      </c>
      <c r="D2404" s="2">
        <v>49</v>
      </c>
      <c r="E2404" s="2">
        <v>50</v>
      </c>
      <c r="F2404" s="2" t="s">
        <v>8561</v>
      </c>
      <c r="H2404" s="2" t="s">
        <v>17</v>
      </c>
      <c r="K2404" s="4">
        <v>11104</v>
      </c>
      <c r="L2404" s="4">
        <v>44709</v>
      </c>
      <c r="M2404" s="2" t="s">
        <v>76</v>
      </c>
      <c r="N2404" s="2" t="s">
        <v>6506</v>
      </c>
    </row>
    <row r="2405" spans="1:14">
      <c r="A2405" s="2">
        <v>2404</v>
      </c>
      <c r="B2405" s="3" t="s">
        <v>8562</v>
      </c>
      <c r="C2405" s="2" t="s">
        <v>8563</v>
      </c>
      <c r="D2405" s="2">
        <v>48</v>
      </c>
      <c r="E2405" s="2">
        <v>50</v>
      </c>
      <c r="F2405" s="2" t="s">
        <v>8564</v>
      </c>
      <c r="H2405" s="2" t="s">
        <v>17</v>
      </c>
      <c r="K2405" s="4">
        <v>11749</v>
      </c>
      <c r="L2405" s="4">
        <v>35611</v>
      </c>
      <c r="M2405" s="2" t="s">
        <v>66</v>
      </c>
      <c r="N2405" s="2" t="s">
        <v>8565</v>
      </c>
    </row>
    <row r="2406" spans="1:14">
      <c r="A2406" s="2">
        <v>2405</v>
      </c>
      <c r="B2406" s="3" t="s">
        <v>8566</v>
      </c>
      <c r="C2406" s="2" t="s">
        <v>8567</v>
      </c>
      <c r="D2406" s="2">
        <v>50</v>
      </c>
      <c r="E2406" s="2">
        <v>50</v>
      </c>
      <c r="F2406" s="2" t="s">
        <v>8568</v>
      </c>
      <c r="H2406" s="2" t="s">
        <v>17</v>
      </c>
      <c r="K2406" s="4">
        <v>16676</v>
      </c>
      <c r="L2406" s="4">
        <v>44426</v>
      </c>
      <c r="M2406" s="2" t="s">
        <v>122</v>
      </c>
      <c r="N2406" s="2" t="s">
        <v>7534</v>
      </c>
    </row>
    <row r="2407" spans="1:14">
      <c r="A2407" s="2">
        <v>2406</v>
      </c>
      <c r="B2407" s="3" t="s">
        <v>8569</v>
      </c>
      <c r="C2407" s="2" t="s">
        <v>8570</v>
      </c>
      <c r="D2407" s="2">
        <v>49</v>
      </c>
      <c r="E2407" s="2">
        <v>50</v>
      </c>
      <c r="F2407" s="2" t="s">
        <v>8571</v>
      </c>
      <c r="H2407" s="2" t="s">
        <v>17</v>
      </c>
      <c r="K2407" s="4">
        <v>17342</v>
      </c>
      <c r="L2407" s="4">
        <v>34906</v>
      </c>
      <c r="M2407" s="2" t="s">
        <v>85</v>
      </c>
      <c r="N2407" s="2" t="s">
        <v>86</v>
      </c>
    </row>
    <row r="2408" spans="1:14">
      <c r="A2408" s="2">
        <v>2407</v>
      </c>
      <c r="B2408" s="3" t="s">
        <v>8572</v>
      </c>
      <c r="C2408" s="2" t="s">
        <v>8573</v>
      </c>
      <c r="D2408" s="2">
        <v>50</v>
      </c>
      <c r="E2408" s="2">
        <v>50</v>
      </c>
      <c r="F2408" s="2" t="s">
        <v>8574</v>
      </c>
      <c r="H2408" s="2" t="s">
        <v>17</v>
      </c>
      <c r="K2408" s="4">
        <v>13331</v>
      </c>
      <c r="L2408" s="4">
        <v>43289</v>
      </c>
      <c r="M2408" s="2" t="s">
        <v>35</v>
      </c>
      <c r="N2408" s="2" t="s">
        <v>8575</v>
      </c>
    </row>
    <row r="2409" spans="1:14">
      <c r="A2409" s="2">
        <v>2408</v>
      </c>
      <c r="B2409" s="3" t="s">
        <v>8576</v>
      </c>
      <c r="C2409" s="2" t="s">
        <v>8577</v>
      </c>
      <c r="D2409" s="2">
        <v>46</v>
      </c>
      <c r="E2409" s="2">
        <v>50</v>
      </c>
      <c r="F2409" s="2" t="s">
        <v>8578</v>
      </c>
      <c r="H2409" s="2" t="s">
        <v>17</v>
      </c>
      <c r="K2409" s="4">
        <v>12384</v>
      </c>
      <c r="M2409" s="2" t="s">
        <v>66</v>
      </c>
      <c r="N2409" s="2" t="s">
        <v>71</v>
      </c>
    </row>
    <row r="2410" spans="1:14">
      <c r="A2410" s="2">
        <v>2409</v>
      </c>
      <c r="B2410" s="3" t="s">
        <v>8579</v>
      </c>
      <c r="C2410" s="2" t="s">
        <v>8580</v>
      </c>
      <c r="D2410" s="2">
        <v>49</v>
      </c>
      <c r="E2410" s="2">
        <v>50</v>
      </c>
      <c r="F2410" s="2" t="s">
        <v>8581</v>
      </c>
      <c r="H2410" s="2" t="s">
        <v>17</v>
      </c>
      <c r="K2410" s="4">
        <v>9589</v>
      </c>
      <c r="L2410" s="4">
        <v>40158</v>
      </c>
      <c r="M2410" s="2" t="s">
        <v>170</v>
      </c>
      <c r="N2410" s="2" t="s">
        <v>323</v>
      </c>
    </row>
    <row r="2411" spans="1:14">
      <c r="A2411" s="2">
        <v>2410</v>
      </c>
      <c r="B2411" s="3" t="s">
        <v>8582</v>
      </c>
      <c r="C2411" s="2" t="s">
        <v>8583</v>
      </c>
      <c r="D2411" s="2">
        <v>47</v>
      </c>
      <c r="E2411" s="2">
        <v>50</v>
      </c>
      <c r="F2411" s="2" t="s">
        <v>8584</v>
      </c>
      <c r="H2411" s="2" t="s">
        <v>17</v>
      </c>
      <c r="K2411" s="4">
        <v>16029</v>
      </c>
      <c r="M2411" s="2" t="s">
        <v>185</v>
      </c>
      <c r="N2411" s="2" t="s">
        <v>838</v>
      </c>
    </row>
    <row r="2412" spans="1:14">
      <c r="A2412" s="2">
        <v>2411</v>
      </c>
      <c r="B2412" s="3" t="s">
        <v>8585</v>
      </c>
      <c r="C2412" s="2" t="s">
        <v>8586</v>
      </c>
      <c r="D2412" s="2">
        <v>50</v>
      </c>
      <c r="E2412" s="2">
        <v>50</v>
      </c>
      <c r="F2412" s="2" t="s">
        <v>8587</v>
      </c>
      <c r="H2412" s="2" t="s">
        <v>45</v>
      </c>
      <c r="K2412" s="4">
        <v>20990</v>
      </c>
      <c r="M2412" s="2" t="s">
        <v>35</v>
      </c>
      <c r="N2412" s="2" t="s">
        <v>8588</v>
      </c>
    </row>
    <row r="2413" spans="1:14">
      <c r="A2413" s="2">
        <v>2412</v>
      </c>
      <c r="B2413" s="3" t="s">
        <v>8589</v>
      </c>
      <c r="C2413" s="2" t="s">
        <v>8590</v>
      </c>
      <c r="D2413" s="2">
        <v>46</v>
      </c>
      <c r="E2413" s="2">
        <v>50</v>
      </c>
      <c r="F2413" s="2" t="s">
        <v>8591</v>
      </c>
      <c r="H2413" s="2" t="s">
        <v>17</v>
      </c>
      <c r="K2413" s="4">
        <v>13058</v>
      </c>
      <c r="M2413" s="2" t="s">
        <v>185</v>
      </c>
      <c r="N2413" s="2" t="s">
        <v>3569</v>
      </c>
    </row>
    <row r="2414" spans="1:14">
      <c r="A2414" s="2">
        <v>2413</v>
      </c>
      <c r="B2414" s="3" t="s">
        <v>8592</v>
      </c>
      <c r="C2414" s="2" t="s">
        <v>8593</v>
      </c>
      <c r="D2414" s="2">
        <v>49</v>
      </c>
      <c r="E2414" s="2">
        <v>50</v>
      </c>
      <c r="F2414" s="2" t="s">
        <v>8594</v>
      </c>
      <c r="H2414" s="2" t="s">
        <v>17</v>
      </c>
      <c r="K2414" s="4">
        <v>10208</v>
      </c>
      <c r="L2414" s="4">
        <v>44609</v>
      </c>
      <c r="M2414" s="2" t="s">
        <v>66</v>
      </c>
      <c r="N2414" s="2" t="s">
        <v>71</v>
      </c>
    </row>
    <row r="2415" spans="1:14">
      <c r="A2415" s="2">
        <v>2414</v>
      </c>
      <c r="B2415" s="3" t="s">
        <v>8595</v>
      </c>
      <c r="C2415" s="2" t="s">
        <v>8596</v>
      </c>
      <c r="D2415" s="2">
        <v>46</v>
      </c>
      <c r="E2415" s="2">
        <v>50</v>
      </c>
      <c r="F2415" s="2" t="s">
        <v>8597</v>
      </c>
      <c r="H2415" s="2" t="s">
        <v>17</v>
      </c>
      <c r="K2415" s="4">
        <v>15538</v>
      </c>
      <c r="L2415" s="4">
        <v>41648</v>
      </c>
      <c r="M2415" s="2" t="s">
        <v>198</v>
      </c>
      <c r="N2415" s="2" t="s">
        <v>199</v>
      </c>
    </row>
    <row r="2416" spans="1:14">
      <c r="A2416" s="2">
        <v>2415</v>
      </c>
      <c r="B2416" s="3" t="s">
        <v>8598</v>
      </c>
      <c r="C2416" s="2" t="s">
        <v>8599</v>
      </c>
      <c r="D2416" s="2">
        <v>50</v>
      </c>
      <c r="E2416" s="2">
        <v>50</v>
      </c>
      <c r="F2416" s="2" t="s">
        <v>8600</v>
      </c>
      <c r="H2416" s="2" t="s">
        <v>17</v>
      </c>
      <c r="K2416" s="4">
        <v>21188</v>
      </c>
      <c r="M2416" s="2" t="s">
        <v>154</v>
      </c>
      <c r="N2416" s="2" t="s">
        <v>8601</v>
      </c>
    </row>
    <row r="2417" spans="1:14">
      <c r="A2417" s="2">
        <v>2416</v>
      </c>
      <c r="B2417" s="3" t="s">
        <v>8602</v>
      </c>
      <c r="C2417" s="2" t="s">
        <v>8603</v>
      </c>
      <c r="D2417" s="2">
        <v>48</v>
      </c>
      <c r="E2417" s="2">
        <v>50</v>
      </c>
      <c r="F2417" s="2" t="s">
        <v>8604</v>
      </c>
      <c r="H2417" s="2" t="s">
        <v>17</v>
      </c>
      <c r="K2417" s="4">
        <v>15284</v>
      </c>
      <c r="L2417" s="4">
        <v>45352</v>
      </c>
      <c r="M2417" s="2" t="s">
        <v>47</v>
      </c>
      <c r="N2417" s="2" t="s">
        <v>8605</v>
      </c>
    </row>
    <row r="2418" spans="1:14">
      <c r="A2418" s="2">
        <v>2417</v>
      </c>
      <c r="B2418" s="3" t="s">
        <v>8606</v>
      </c>
      <c r="C2418" s="2" t="s">
        <v>8607</v>
      </c>
      <c r="D2418" s="2">
        <v>49</v>
      </c>
      <c r="E2418" s="2">
        <v>50</v>
      </c>
      <c r="F2418" s="2" t="s">
        <v>8608</v>
      </c>
      <c r="H2418" s="2" t="s">
        <v>17</v>
      </c>
      <c r="K2418" s="4">
        <v>20399</v>
      </c>
      <c r="L2418" s="4">
        <v>43945</v>
      </c>
      <c r="M2418" s="2" t="s">
        <v>47</v>
      </c>
      <c r="N2418" s="2" t="s">
        <v>48</v>
      </c>
    </row>
    <row r="2419" spans="1:14">
      <c r="A2419" s="2">
        <v>2418</v>
      </c>
      <c r="B2419" s="3" t="s">
        <v>8609</v>
      </c>
      <c r="C2419" s="2" t="s">
        <v>8610</v>
      </c>
      <c r="D2419" s="2">
        <v>48</v>
      </c>
      <c r="E2419" s="2">
        <v>50</v>
      </c>
      <c r="F2419" s="2" t="s">
        <v>8611</v>
      </c>
      <c r="H2419" s="2" t="s">
        <v>17</v>
      </c>
      <c r="K2419" s="4">
        <v>15756</v>
      </c>
      <c r="L2419" s="4">
        <v>35732</v>
      </c>
      <c r="M2419" s="2" t="s">
        <v>40</v>
      </c>
      <c r="N2419" s="2" t="s">
        <v>7326</v>
      </c>
    </row>
    <row r="2420" spans="1:14">
      <c r="A2420" s="2">
        <v>2419</v>
      </c>
      <c r="B2420" s="3" t="s">
        <v>8612</v>
      </c>
      <c r="C2420" s="2" t="s">
        <v>8613</v>
      </c>
      <c r="D2420" s="2">
        <v>49</v>
      </c>
      <c r="E2420" s="2">
        <v>50</v>
      </c>
      <c r="F2420" s="2" t="s">
        <v>8614</v>
      </c>
      <c r="H2420" s="2" t="s">
        <v>17</v>
      </c>
      <c r="K2420" s="4">
        <v>18855</v>
      </c>
      <c r="M2420" s="2" t="s">
        <v>30</v>
      </c>
      <c r="N2420" s="2" t="s">
        <v>31</v>
      </c>
    </row>
    <row r="2421" spans="1:14">
      <c r="A2421" s="2">
        <v>2420</v>
      </c>
      <c r="B2421" s="3" t="s">
        <v>8615</v>
      </c>
      <c r="C2421" s="2" t="s">
        <v>8616</v>
      </c>
      <c r="D2421" s="2">
        <v>48</v>
      </c>
      <c r="E2421" s="2">
        <v>50</v>
      </c>
      <c r="F2421" s="2" t="s">
        <v>8617</v>
      </c>
      <c r="H2421" s="2" t="s">
        <v>17</v>
      </c>
      <c r="K2421" s="4">
        <v>16698</v>
      </c>
      <c r="L2421" s="4">
        <v>37401</v>
      </c>
      <c r="M2421" s="2" t="s">
        <v>40</v>
      </c>
      <c r="N2421" s="2" t="s">
        <v>7024</v>
      </c>
    </row>
    <row r="2422" spans="1:14">
      <c r="A2422" s="2">
        <v>2421</v>
      </c>
      <c r="B2422" s="3" t="s">
        <v>8618</v>
      </c>
      <c r="C2422" s="2" t="s">
        <v>8619</v>
      </c>
      <c r="D2422" s="2">
        <v>50</v>
      </c>
      <c r="E2422" s="2">
        <v>50</v>
      </c>
      <c r="F2422" s="2" t="s">
        <v>8620</v>
      </c>
      <c r="H2422" s="2" t="s">
        <v>17</v>
      </c>
      <c r="K2422" s="4">
        <v>20167</v>
      </c>
      <c r="M2422" s="2" t="s">
        <v>192</v>
      </c>
      <c r="N2422" s="2" t="s">
        <v>3113</v>
      </c>
    </row>
    <row r="2423" spans="1:14">
      <c r="A2423" s="2">
        <v>2422</v>
      </c>
      <c r="B2423" s="3" t="s">
        <v>8621</v>
      </c>
      <c r="C2423" s="2" t="s">
        <v>8622</v>
      </c>
      <c r="D2423" s="2">
        <v>50</v>
      </c>
      <c r="E2423" s="2">
        <v>50</v>
      </c>
      <c r="F2423" s="2" t="s">
        <v>8623</v>
      </c>
      <c r="H2423" s="2" t="s">
        <v>17</v>
      </c>
      <c r="K2423" s="4">
        <v>16815</v>
      </c>
      <c r="M2423" s="2" t="s">
        <v>76</v>
      </c>
      <c r="N2423" s="2" t="s">
        <v>8624</v>
      </c>
    </row>
    <row r="2424" spans="1:14">
      <c r="A2424" s="2">
        <v>2423</v>
      </c>
      <c r="B2424" s="3" t="s">
        <v>8625</v>
      </c>
      <c r="C2424" s="2" t="s">
        <v>8626</v>
      </c>
      <c r="D2424" s="2">
        <v>50</v>
      </c>
      <c r="E2424" s="2">
        <v>50</v>
      </c>
      <c r="F2424" s="2" t="s">
        <v>8627</v>
      </c>
      <c r="H2424" s="2" t="s">
        <v>17</v>
      </c>
      <c r="K2424" s="4">
        <v>17151</v>
      </c>
      <c r="M2424" s="2" t="s">
        <v>198</v>
      </c>
      <c r="N2424" s="2" t="s">
        <v>1040</v>
      </c>
    </row>
    <row r="2425" spans="1:14">
      <c r="A2425" s="2">
        <v>2424</v>
      </c>
      <c r="B2425" s="3" t="s">
        <v>8628</v>
      </c>
      <c r="C2425" s="2" t="s">
        <v>8629</v>
      </c>
      <c r="D2425" s="2">
        <v>50</v>
      </c>
      <c r="E2425" s="2">
        <v>50</v>
      </c>
      <c r="F2425" s="2" t="s">
        <v>8630</v>
      </c>
      <c r="H2425" s="2" t="s">
        <v>17</v>
      </c>
      <c r="K2425" s="4">
        <v>15856</v>
      </c>
      <c r="L2425" s="4">
        <v>35793</v>
      </c>
      <c r="M2425" s="2" t="s">
        <v>170</v>
      </c>
      <c r="N2425" s="2" t="s">
        <v>323</v>
      </c>
    </row>
    <row r="2426" spans="1:14">
      <c r="A2426" s="2">
        <v>2425</v>
      </c>
      <c r="B2426" s="3" t="s">
        <v>8631</v>
      </c>
      <c r="C2426" s="2" t="s">
        <v>8632</v>
      </c>
      <c r="D2426" s="2">
        <v>48</v>
      </c>
      <c r="E2426" s="2">
        <v>50</v>
      </c>
      <c r="F2426" s="2" t="s">
        <v>8633</v>
      </c>
      <c r="H2426" s="2" t="s">
        <v>17</v>
      </c>
      <c r="K2426" s="4">
        <v>16735</v>
      </c>
      <c r="M2426" s="2" t="s">
        <v>85</v>
      </c>
      <c r="N2426" s="2" t="s">
        <v>1868</v>
      </c>
    </row>
    <row r="2427" spans="1:14">
      <c r="A2427" s="2">
        <v>2426</v>
      </c>
      <c r="B2427" s="3" t="s">
        <v>8634</v>
      </c>
      <c r="C2427" s="2" t="s">
        <v>8635</v>
      </c>
      <c r="D2427" s="2">
        <v>45</v>
      </c>
      <c r="E2427" s="2">
        <v>50</v>
      </c>
      <c r="F2427" s="2" t="s">
        <v>8636</v>
      </c>
      <c r="H2427" s="2" t="s">
        <v>17</v>
      </c>
      <c r="K2427" s="4">
        <v>13019</v>
      </c>
      <c r="L2427" s="4">
        <v>43899</v>
      </c>
      <c r="M2427" s="2" t="s">
        <v>146</v>
      </c>
      <c r="N2427" s="2" t="s">
        <v>8637</v>
      </c>
    </row>
    <row r="2428" spans="1:14">
      <c r="A2428" s="2">
        <v>2427</v>
      </c>
      <c r="B2428" s="3" t="s">
        <v>8638</v>
      </c>
      <c r="C2428" s="2" t="s">
        <v>8639</v>
      </c>
      <c r="D2428" s="2">
        <v>50</v>
      </c>
      <c r="E2428" s="2">
        <v>50</v>
      </c>
      <c r="F2428" s="2" t="s">
        <v>8640</v>
      </c>
      <c r="H2428" s="2" t="s">
        <v>17</v>
      </c>
      <c r="K2428" s="4">
        <v>16880</v>
      </c>
      <c r="M2428" s="2" t="s">
        <v>35</v>
      </c>
      <c r="N2428" s="2" t="s">
        <v>58</v>
      </c>
    </row>
    <row r="2429" spans="1:14">
      <c r="A2429" s="2">
        <v>2428</v>
      </c>
      <c r="B2429" s="3" t="s">
        <v>8641</v>
      </c>
      <c r="C2429" s="2" t="s">
        <v>8642</v>
      </c>
      <c r="D2429" s="2">
        <v>50</v>
      </c>
      <c r="E2429" s="2">
        <v>50</v>
      </c>
      <c r="F2429" s="2" t="s">
        <v>8643</v>
      </c>
      <c r="H2429" s="2" t="s">
        <v>17</v>
      </c>
      <c r="K2429" s="4">
        <v>19942</v>
      </c>
      <c r="M2429" s="2" t="s">
        <v>423</v>
      </c>
      <c r="N2429" s="2" t="s">
        <v>8644</v>
      </c>
    </row>
    <row r="2430" spans="1:14">
      <c r="A2430" s="2">
        <v>2429</v>
      </c>
      <c r="B2430" s="3" t="s">
        <v>8645</v>
      </c>
      <c r="C2430" s="2" t="s">
        <v>8646</v>
      </c>
      <c r="D2430" s="2">
        <v>47</v>
      </c>
      <c r="E2430" s="2">
        <v>50</v>
      </c>
      <c r="F2430" s="2" t="s">
        <v>8647</v>
      </c>
      <c r="H2430" s="2" t="s">
        <v>17</v>
      </c>
      <c r="K2430" s="4">
        <v>16394</v>
      </c>
      <c r="M2430" s="2" t="s">
        <v>198</v>
      </c>
      <c r="N2430" s="2" t="s">
        <v>199</v>
      </c>
    </row>
    <row r="2431" spans="1:14">
      <c r="A2431" s="2">
        <v>2430</v>
      </c>
      <c r="B2431" s="3" t="s">
        <v>8648</v>
      </c>
      <c r="C2431" s="2" t="s">
        <v>8649</v>
      </c>
      <c r="D2431" s="2">
        <v>45</v>
      </c>
      <c r="E2431" s="2">
        <v>50</v>
      </c>
      <c r="F2431" s="2" t="s">
        <v>8650</v>
      </c>
      <c r="H2431" s="2" t="s">
        <v>17</v>
      </c>
      <c r="K2431" s="4">
        <v>13049</v>
      </c>
      <c r="L2431" s="4">
        <v>45430</v>
      </c>
      <c r="M2431" s="2" t="s">
        <v>170</v>
      </c>
      <c r="N2431" s="2" t="s">
        <v>385</v>
      </c>
    </row>
    <row r="2432" spans="1:14">
      <c r="A2432" s="2">
        <v>2431</v>
      </c>
      <c r="B2432" s="3" t="s">
        <v>8651</v>
      </c>
      <c r="C2432" s="2" t="s">
        <v>8652</v>
      </c>
      <c r="D2432" s="2">
        <v>50</v>
      </c>
      <c r="E2432" s="2">
        <v>50</v>
      </c>
      <c r="F2432" s="2" t="s">
        <v>8653</v>
      </c>
      <c r="H2432" s="2" t="s">
        <v>17</v>
      </c>
      <c r="K2432" s="4">
        <v>16835</v>
      </c>
      <c r="M2432" s="2" t="s">
        <v>40</v>
      </c>
      <c r="N2432" s="2" t="s">
        <v>41</v>
      </c>
    </row>
    <row r="2433" spans="1:14">
      <c r="A2433" s="2">
        <v>2432</v>
      </c>
      <c r="B2433" s="3" t="s">
        <v>8654</v>
      </c>
      <c r="C2433" s="2" t="s">
        <v>8655</v>
      </c>
      <c r="D2433" s="2">
        <v>50</v>
      </c>
      <c r="E2433" s="2">
        <v>50</v>
      </c>
      <c r="F2433" s="2" t="s">
        <v>8656</v>
      </c>
      <c r="H2433" s="2" t="s">
        <v>17</v>
      </c>
      <c r="K2433" s="4">
        <v>19626</v>
      </c>
      <c r="M2433" s="2" t="s">
        <v>53</v>
      </c>
    </row>
    <row r="2434" spans="1:14">
      <c r="A2434" s="2">
        <v>2433</v>
      </c>
      <c r="B2434" s="3" t="s">
        <v>8657</v>
      </c>
      <c r="C2434" s="2" t="s">
        <v>8658</v>
      </c>
      <c r="D2434" s="2">
        <v>50</v>
      </c>
      <c r="E2434" s="2">
        <v>50</v>
      </c>
      <c r="F2434" s="2" t="s">
        <v>8659</v>
      </c>
      <c r="H2434" s="2" t="s">
        <v>17</v>
      </c>
      <c r="K2434" s="4">
        <v>20405</v>
      </c>
      <c r="M2434" s="2" t="s">
        <v>47</v>
      </c>
      <c r="N2434" s="2" t="s">
        <v>1656</v>
      </c>
    </row>
    <row r="2435" spans="1:14">
      <c r="A2435" s="2">
        <v>2434</v>
      </c>
      <c r="B2435" s="3" t="s">
        <v>8660</v>
      </c>
      <c r="C2435" s="2" t="s">
        <v>8661</v>
      </c>
      <c r="D2435" s="2">
        <v>48</v>
      </c>
      <c r="E2435" s="2">
        <v>50</v>
      </c>
      <c r="F2435" s="2" t="s">
        <v>8662</v>
      </c>
      <c r="H2435" s="2" t="s">
        <v>17</v>
      </c>
      <c r="K2435" s="4">
        <v>14792</v>
      </c>
      <c r="M2435" s="2" t="s">
        <v>47</v>
      </c>
      <c r="N2435" s="2" t="s">
        <v>691</v>
      </c>
    </row>
    <row r="2436" spans="1:14">
      <c r="A2436" s="2">
        <v>2435</v>
      </c>
      <c r="B2436" s="3" t="s">
        <v>8663</v>
      </c>
      <c r="C2436" s="2" t="s">
        <v>8664</v>
      </c>
      <c r="D2436" s="2">
        <v>49</v>
      </c>
      <c r="E2436" s="2">
        <v>50</v>
      </c>
      <c r="F2436" s="2" t="s">
        <v>8665</v>
      </c>
      <c r="H2436" s="2" t="s">
        <v>17</v>
      </c>
      <c r="K2436" s="4">
        <v>13993</v>
      </c>
      <c r="L2436" s="4">
        <v>44036</v>
      </c>
      <c r="M2436" s="2" t="s">
        <v>170</v>
      </c>
      <c r="N2436" s="2" t="s">
        <v>802</v>
      </c>
    </row>
    <row r="2437" spans="1:14">
      <c r="A2437" s="2">
        <v>2436</v>
      </c>
      <c r="B2437" s="3" t="s">
        <v>8666</v>
      </c>
      <c r="C2437" s="2" t="s">
        <v>8667</v>
      </c>
      <c r="D2437" s="2">
        <v>50</v>
      </c>
      <c r="E2437" s="2">
        <v>50</v>
      </c>
      <c r="F2437" s="2" t="s">
        <v>8668</v>
      </c>
      <c r="H2437" s="2" t="s">
        <v>17</v>
      </c>
      <c r="K2437" s="4">
        <v>19974</v>
      </c>
      <c r="M2437" s="2" t="s">
        <v>66</v>
      </c>
      <c r="N2437" s="2" t="s">
        <v>8669</v>
      </c>
    </row>
    <row r="2438" spans="1:14">
      <c r="A2438" s="2">
        <v>2437</v>
      </c>
      <c r="B2438" s="3" t="s">
        <v>8670</v>
      </c>
      <c r="C2438" s="2" t="s">
        <v>8671</v>
      </c>
      <c r="D2438" s="2">
        <v>46</v>
      </c>
      <c r="E2438" s="2">
        <v>50</v>
      </c>
      <c r="F2438" s="2" t="s">
        <v>8672</v>
      </c>
      <c r="H2438" s="2" t="s">
        <v>17</v>
      </c>
      <c r="K2438" s="4">
        <v>15368</v>
      </c>
      <c r="L2438" s="4">
        <v>41462</v>
      </c>
      <c r="M2438" s="2" t="s">
        <v>35</v>
      </c>
      <c r="N2438" s="2" t="s">
        <v>58</v>
      </c>
    </row>
    <row r="2439" spans="1:14">
      <c r="A2439" s="2">
        <v>2438</v>
      </c>
      <c r="B2439" s="3" t="s">
        <v>8673</v>
      </c>
      <c r="C2439" s="2" t="s">
        <v>8674</v>
      </c>
      <c r="D2439" s="2">
        <v>50</v>
      </c>
      <c r="E2439" s="2">
        <v>50</v>
      </c>
      <c r="F2439" s="2" t="s">
        <v>8675</v>
      </c>
      <c r="H2439" s="2" t="s">
        <v>17</v>
      </c>
      <c r="K2439" s="4">
        <v>14691</v>
      </c>
      <c r="M2439" s="2" t="s">
        <v>35</v>
      </c>
      <c r="N2439" s="2" t="s">
        <v>58</v>
      </c>
    </row>
    <row r="2440" spans="1:14">
      <c r="A2440" s="2">
        <v>2439</v>
      </c>
      <c r="B2440" s="3" t="s">
        <v>8676</v>
      </c>
      <c r="C2440" s="2" t="s">
        <v>8677</v>
      </c>
      <c r="D2440" s="2">
        <v>48</v>
      </c>
      <c r="E2440" s="2">
        <v>50</v>
      </c>
      <c r="F2440" s="2" t="s">
        <v>8678</v>
      </c>
      <c r="H2440" s="2" t="s">
        <v>17</v>
      </c>
      <c r="K2440" s="4">
        <v>20164</v>
      </c>
      <c r="L2440" s="4">
        <v>35906</v>
      </c>
      <c r="M2440" s="2" t="s">
        <v>40</v>
      </c>
      <c r="N2440" s="2" t="s">
        <v>41</v>
      </c>
    </row>
    <row r="2441" spans="1:14">
      <c r="A2441" s="2">
        <v>2440</v>
      </c>
      <c r="B2441" s="3" t="s">
        <v>8679</v>
      </c>
      <c r="C2441" s="2" t="s">
        <v>8680</v>
      </c>
      <c r="D2441" s="2">
        <v>48</v>
      </c>
      <c r="E2441" s="2">
        <v>50</v>
      </c>
      <c r="F2441" s="2" t="s">
        <v>8681</v>
      </c>
      <c r="H2441" s="2" t="s">
        <v>17</v>
      </c>
      <c r="K2441" s="4">
        <v>12423</v>
      </c>
      <c r="M2441" s="2" t="s">
        <v>85</v>
      </c>
      <c r="N2441" s="2" t="s">
        <v>86</v>
      </c>
    </row>
    <row r="2442" spans="1:14">
      <c r="A2442" s="2">
        <v>2441</v>
      </c>
      <c r="B2442" s="3" t="s">
        <v>8682</v>
      </c>
      <c r="C2442" s="2" t="s">
        <v>8683</v>
      </c>
      <c r="D2442" s="2">
        <v>50</v>
      </c>
      <c r="E2442" s="2">
        <v>50</v>
      </c>
      <c r="F2442" s="2" t="s">
        <v>8684</v>
      </c>
      <c r="H2442" s="2" t="s">
        <v>17</v>
      </c>
      <c r="K2442" s="4">
        <v>17882</v>
      </c>
      <c r="L2442" s="4">
        <v>38575</v>
      </c>
      <c r="M2442" s="2" t="s">
        <v>40</v>
      </c>
      <c r="N2442" s="2" t="s">
        <v>41</v>
      </c>
    </row>
    <row r="2443" spans="1:14">
      <c r="A2443" s="2">
        <v>2442</v>
      </c>
      <c r="B2443" s="3" t="s">
        <v>8685</v>
      </c>
      <c r="C2443" s="2" t="s">
        <v>8686</v>
      </c>
      <c r="D2443" s="2">
        <v>50</v>
      </c>
      <c r="E2443" s="2">
        <v>50</v>
      </c>
      <c r="F2443" s="2" t="s">
        <v>8687</v>
      </c>
      <c r="H2443" s="2" t="s">
        <v>17</v>
      </c>
      <c r="K2443" s="4">
        <v>7912</v>
      </c>
      <c r="L2443" s="4">
        <v>43526</v>
      </c>
      <c r="M2443" s="2" t="s">
        <v>192</v>
      </c>
      <c r="N2443" s="2" t="s">
        <v>193</v>
      </c>
    </row>
    <row r="2444" spans="1:14">
      <c r="A2444" s="2">
        <v>2443</v>
      </c>
      <c r="B2444" s="3" t="s">
        <v>8688</v>
      </c>
      <c r="C2444" s="2" t="s">
        <v>8689</v>
      </c>
      <c r="D2444" s="2">
        <v>48</v>
      </c>
      <c r="E2444" s="2">
        <v>50</v>
      </c>
      <c r="F2444" s="2" t="s">
        <v>8690</v>
      </c>
      <c r="H2444" s="2" t="s">
        <v>17</v>
      </c>
      <c r="K2444" s="4">
        <v>18391</v>
      </c>
      <c r="L2444" s="4">
        <v>41530</v>
      </c>
      <c r="M2444" s="2" t="s">
        <v>47</v>
      </c>
    </row>
    <row r="2445" spans="1:14">
      <c r="A2445" s="2">
        <v>2444</v>
      </c>
      <c r="B2445" s="3" t="s">
        <v>8691</v>
      </c>
      <c r="C2445" s="2" t="s">
        <v>8692</v>
      </c>
      <c r="D2445" s="2">
        <v>45</v>
      </c>
      <c r="E2445" s="2">
        <v>50</v>
      </c>
      <c r="F2445" s="2" t="s">
        <v>8693</v>
      </c>
      <c r="H2445" s="2" t="s">
        <v>17</v>
      </c>
      <c r="K2445" s="4">
        <v>14666</v>
      </c>
      <c r="L2445" s="4">
        <v>42134</v>
      </c>
      <c r="M2445" s="2" t="s">
        <v>423</v>
      </c>
      <c r="N2445" s="2" t="s">
        <v>1264</v>
      </c>
    </row>
    <row r="2446" spans="1:14">
      <c r="A2446" s="2">
        <v>2445</v>
      </c>
      <c r="B2446" s="3" t="s">
        <v>8694</v>
      </c>
      <c r="C2446" s="2" t="s">
        <v>8695</v>
      </c>
      <c r="D2446" s="2">
        <v>49</v>
      </c>
      <c r="E2446" s="2">
        <v>50</v>
      </c>
      <c r="F2446" s="2" t="s">
        <v>8696</v>
      </c>
      <c r="H2446" s="2" t="s">
        <v>17</v>
      </c>
      <c r="K2446" s="4">
        <v>12121</v>
      </c>
      <c r="M2446" s="2" t="s">
        <v>47</v>
      </c>
      <c r="N2446" s="2" t="s">
        <v>5099</v>
      </c>
    </row>
    <row r="2447" spans="1:14">
      <c r="A2447" s="2">
        <v>2446</v>
      </c>
      <c r="B2447" s="3" t="s">
        <v>8697</v>
      </c>
      <c r="C2447" s="2" t="s">
        <v>8698</v>
      </c>
      <c r="D2447" s="2">
        <v>45</v>
      </c>
      <c r="E2447" s="2">
        <v>50</v>
      </c>
      <c r="F2447" s="2" t="s">
        <v>8699</v>
      </c>
      <c r="H2447" s="2" t="s">
        <v>17</v>
      </c>
      <c r="K2447" s="4">
        <v>13936</v>
      </c>
      <c r="L2447" s="4">
        <v>44453</v>
      </c>
      <c r="M2447" s="2" t="s">
        <v>185</v>
      </c>
      <c r="N2447" s="2" t="s">
        <v>5602</v>
      </c>
    </row>
    <row r="2448" spans="1:14">
      <c r="A2448" s="2">
        <v>2447</v>
      </c>
      <c r="B2448" s="3" t="s">
        <v>8700</v>
      </c>
      <c r="C2448" s="2" t="s">
        <v>8701</v>
      </c>
      <c r="D2448" s="2">
        <v>48</v>
      </c>
      <c r="E2448" s="2">
        <v>50</v>
      </c>
      <c r="F2448" s="2" t="s">
        <v>8702</v>
      </c>
      <c r="H2448" s="2" t="s">
        <v>45</v>
      </c>
      <c r="K2448" s="4">
        <v>18136</v>
      </c>
      <c r="M2448" s="2" t="s">
        <v>66</v>
      </c>
      <c r="N2448" s="2" t="s">
        <v>71</v>
      </c>
    </row>
    <row r="2449" spans="1:14">
      <c r="A2449" s="2">
        <v>2448</v>
      </c>
      <c r="B2449" s="3" t="s">
        <v>8703</v>
      </c>
      <c r="C2449" s="2" t="s">
        <v>8704</v>
      </c>
      <c r="D2449" s="2">
        <v>50</v>
      </c>
      <c r="E2449" s="2">
        <v>50</v>
      </c>
      <c r="F2449" s="2" t="s">
        <v>8705</v>
      </c>
      <c r="H2449" s="2" t="s">
        <v>45</v>
      </c>
      <c r="K2449" s="4">
        <v>23306</v>
      </c>
      <c r="M2449" s="2" t="s">
        <v>185</v>
      </c>
      <c r="N2449" s="2" t="s">
        <v>838</v>
      </c>
    </row>
    <row r="2450" spans="1:14">
      <c r="A2450" s="2">
        <v>2449</v>
      </c>
      <c r="B2450" s="3" t="s">
        <v>8706</v>
      </c>
      <c r="C2450" s="2" t="s">
        <v>8707</v>
      </c>
      <c r="D2450" s="2">
        <v>50</v>
      </c>
      <c r="E2450" s="2">
        <v>50</v>
      </c>
      <c r="F2450" s="2" t="s">
        <v>8708</v>
      </c>
      <c r="H2450" s="2" t="s">
        <v>17</v>
      </c>
      <c r="K2450" s="4">
        <v>23077</v>
      </c>
      <c r="M2450" s="2" t="s">
        <v>53</v>
      </c>
      <c r="N2450" s="2" t="s">
        <v>8709</v>
      </c>
    </row>
    <row r="2451" spans="1:14">
      <c r="A2451" s="2">
        <v>2450</v>
      </c>
      <c r="B2451" s="3" t="s">
        <v>8710</v>
      </c>
      <c r="C2451" s="2" t="s">
        <v>8711</v>
      </c>
      <c r="D2451" s="2">
        <v>50</v>
      </c>
      <c r="E2451" s="2">
        <v>50</v>
      </c>
      <c r="F2451" s="2" t="s">
        <v>8712</v>
      </c>
      <c r="H2451" s="2" t="s">
        <v>17</v>
      </c>
      <c r="K2451" s="4">
        <v>22581</v>
      </c>
      <c r="M2451" s="2" t="s">
        <v>47</v>
      </c>
      <c r="N2451" s="2" t="s">
        <v>3372</v>
      </c>
    </row>
    <row r="2452" spans="1:14">
      <c r="A2452" s="2">
        <v>2451</v>
      </c>
      <c r="B2452" s="3" t="s">
        <v>8713</v>
      </c>
      <c r="C2452" s="2" t="s">
        <v>8714</v>
      </c>
      <c r="D2452" s="2">
        <v>50</v>
      </c>
      <c r="E2452" s="2">
        <v>50</v>
      </c>
      <c r="F2452" s="2" t="s">
        <v>8715</v>
      </c>
      <c r="H2452" s="2" t="s">
        <v>45</v>
      </c>
      <c r="K2452" s="4">
        <v>11072</v>
      </c>
      <c r="L2452" s="4">
        <v>45451</v>
      </c>
      <c r="N2452" s="2" t="s">
        <v>7847</v>
      </c>
    </row>
    <row r="2453" spans="1:14">
      <c r="A2453" s="2">
        <v>2452</v>
      </c>
      <c r="B2453" s="3" t="s">
        <v>8716</v>
      </c>
      <c r="C2453" s="2" t="s">
        <v>8717</v>
      </c>
      <c r="D2453" s="2">
        <v>49</v>
      </c>
      <c r="E2453" s="2">
        <v>50</v>
      </c>
      <c r="F2453" s="2" t="s">
        <v>8718</v>
      </c>
      <c r="H2453" s="2" t="s">
        <v>45</v>
      </c>
      <c r="K2453" s="4">
        <v>11554</v>
      </c>
      <c r="M2453" s="2" t="s">
        <v>53</v>
      </c>
      <c r="N2453" s="2" t="s">
        <v>8328</v>
      </c>
    </row>
    <row r="2454" spans="1:14">
      <c r="A2454" s="2">
        <v>2453</v>
      </c>
      <c r="B2454" s="3" t="s">
        <v>8719</v>
      </c>
      <c r="C2454" s="2" t="s">
        <v>8720</v>
      </c>
      <c r="D2454" s="2">
        <v>49</v>
      </c>
      <c r="E2454" s="2">
        <v>50</v>
      </c>
      <c r="F2454" s="2" t="s">
        <v>8721</v>
      </c>
      <c r="H2454" s="2" t="s">
        <v>45</v>
      </c>
      <c r="K2454" s="4">
        <v>18916</v>
      </c>
      <c r="M2454" s="2" t="s">
        <v>341</v>
      </c>
      <c r="N2454" s="2" t="s">
        <v>342</v>
      </c>
    </row>
    <row r="2455" spans="1:14">
      <c r="A2455" s="2">
        <v>2454</v>
      </c>
      <c r="B2455" s="3" t="s">
        <v>8722</v>
      </c>
      <c r="C2455" s="2" t="s">
        <v>8723</v>
      </c>
      <c r="D2455" s="2">
        <v>50</v>
      </c>
      <c r="E2455" s="2">
        <v>50</v>
      </c>
      <c r="F2455" s="2" t="s">
        <v>8724</v>
      </c>
      <c r="H2455" s="2" t="s">
        <v>17</v>
      </c>
      <c r="K2455" s="4">
        <v>17721</v>
      </c>
      <c r="M2455" s="2" t="s">
        <v>423</v>
      </c>
      <c r="N2455" s="2" t="s">
        <v>3005</v>
      </c>
    </row>
    <row r="2456" spans="1:14">
      <c r="A2456" s="2">
        <v>2455</v>
      </c>
      <c r="B2456" s="3" t="s">
        <v>8725</v>
      </c>
      <c r="C2456" s="2" t="s">
        <v>8726</v>
      </c>
      <c r="D2456" s="2">
        <v>48</v>
      </c>
      <c r="E2456" s="2">
        <v>50</v>
      </c>
      <c r="F2456" s="2" t="s">
        <v>8727</v>
      </c>
      <c r="H2456" s="2" t="s">
        <v>17</v>
      </c>
      <c r="K2456" s="4">
        <v>12512</v>
      </c>
      <c r="L2456" s="4">
        <v>44812</v>
      </c>
      <c r="M2456" s="2" t="s">
        <v>164</v>
      </c>
      <c r="N2456" s="2" t="s">
        <v>165</v>
      </c>
    </row>
    <row r="2457" spans="1:14">
      <c r="A2457" s="2">
        <v>2456</v>
      </c>
      <c r="B2457" s="3" t="s">
        <v>8728</v>
      </c>
      <c r="C2457" s="2" t="s">
        <v>8729</v>
      </c>
      <c r="D2457" s="2">
        <v>50</v>
      </c>
      <c r="E2457" s="2">
        <v>50</v>
      </c>
      <c r="F2457" s="2" t="s">
        <v>8730</v>
      </c>
      <c r="H2457" s="2" t="s">
        <v>17</v>
      </c>
      <c r="K2457" s="4">
        <v>21147</v>
      </c>
      <c r="M2457" s="2" t="s">
        <v>47</v>
      </c>
      <c r="N2457" s="2" t="s">
        <v>625</v>
      </c>
    </row>
    <row r="2458" spans="1:14">
      <c r="A2458" s="2">
        <v>2457</v>
      </c>
      <c r="B2458" s="3" t="s">
        <v>8731</v>
      </c>
      <c r="C2458" s="2" t="s">
        <v>8732</v>
      </c>
      <c r="D2458" s="2">
        <v>50</v>
      </c>
      <c r="E2458" s="2">
        <v>50</v>
      </c>
      <c r="F2458" s="2" t="s">
        <v>8733</v>
      </c>
      <c r="H2458" s="2" t="s">
        <v>45</v>
      </c>
      <c r="K2458" s="4">
        <v>16514</v>
      </c>
      <c r="M2458" s="2" t="s">
        <v>47</v>
      </c>
      <c r="N2458" s="2" t="s">
        <v>48</v>
      </c>
    </row>
    <row r="2459" spans="1:14">
      <c r="A2459" s="2">
        <v>2458</v>
      </c>
      <c r="B2459" s="3" t="s">
        <v>8734</v>
      </c>
      <c r="C2459" s="2" t="s">
        <v>8735</v>
      </c>
      <c r="D2459" s="2">
        <v>42</v>
      </c>
      <c r="E2459" s="2">
        <v>50</v>
      </c>
      <c r="F2459" s="2" t="s">
        <v>8736</v>
      </c>
      <c r="H2459" s="2" t="s">
        <v>17</v>
      </c>
      <c r="K2459" s="4">
        <v>9798</v>
      </c>
      <c r="L2459" s="4">
        <v>40264</v>
      </c>
      <c r="M2459" s="2" t="s">
        <v>66</v>
      </c>
      <c r="N2459" s="2" t="s">
        <v>1201</v>
      </c>
    </row>
    <row r="2460" spans="1:14">
      <c r="A2460" s="2">
        <v>2459</v>
      </c>
      <c r="B2460" s="3" t="s">
        <v>8737</v>
      </c>
      <c r="C2460" s="2" t="s">
        <v>8738</v>
      </c>
      <c r="D2460" s="2">
        <v>49</v>
      </c>
      <c r="E2460" s="2">
        <v>50</v>
      </c>
      <c r="F2460" s="2" t="s">
        <v>8739</v>
      </c>
      <c r="H2460" s="2" t="s">
        <v>17</v>
      </c>
      <c r="K2460" s="4">
        <v>19982</v>
      </c>
      <c r="M2460" s="2" t="s">
        <v>247</v>
      </c>
      <c r="N2460" s="2" t="s">
        <v>8740</v>
      </c>
    </row>
    <row r="2461" spans="1:14">
      <c r="A2461" s="2">
        <v>2460</v>
      </c>
      <c r="B2461" s="3" t="s">
        <v>8741</v>
      </c>
      <c r="C2461" s="2" t="s">
        <v>8742</v>
      </c>
      <c r="D2461" s="2">
        <v>46</v>
      </c>
      <c r="E2461" s="2">
        <v>50</v>
      </c>
      <c r="F2461" s="2" t="s">
        <v>8743</v>
      </c>
      <c r="H2461" s="2" t="s">
        <v>17</v>
      </c>
      <c r="K2461" s="4">
        <v>12296</v>
      </c>
      <c r="L2461" s="4">
        <v>43912</v>
      </c>
      <c r="M2461" s="2" t="s">
        <v>35</v>
      </c>
      <c r="N2461" s="2" t="s">
        <v>8744</v>
      </c>
    </row>
    <row r="2462" spans="1:14">
      <c r="A2462" s="2">
        <v>2461</v>
      </c>
      <c r="B2462" s="3" t="s">
        <v>8745</v>
      </c>
      <c r="C2462" s="2" t="s">
        <v>8746</v>
      </c>
      <c r="D2462" s="2">
        <v>49</v>
      </c>
      <c r="E2462" s="2">
        <v>50</v>
      </c>
      <c r="F2462" s="2" t="s">
        <v>8747</v>
      </c>
      <c r="H2462" s="2" t="s">
        <v>17</v>
      </c>
      <c r="K2462" s="4">
        <v>12681</v>
      </c>
      <c r="L2462" s="4">
        <v>37052</v>
      </c>
      <c r="M2462" s="2" t="s">
        <v>47</v>
      </c>
      <c r="N2462" s="2" t="s">
        <v>1718</v>
      </c>
    </row>
    <row r="2463" spans="1:14">
      <c r="A2463" s="2">
        <v>2462</v>
      </c>
      <c r="B2463" s="3" t="s">
        <v>8748</v>
      </c>
      <c r="C2463" s="2" t="s">
        <v>8749</v>
      </c>
      <c r="D2463" s="2">
        <v>50</v>
      </c>
      <c r="E2463" s="2">
        <v>50</v>
      </c>
      <c r="F2463" s="2" t="s">
        <v>8750</v>
      </c>
      <c r="H2463" s="2" t="s">
        <v>17</v>
      </c>
      <c r="K2463" s="4">
        <v>19986</v>
      </c>
      <c r="M2463" s="2" t="s">
        <v>154</v>
      </c>
      <c r="N2463" s="2" t="s">
        <v>208</v>
      </c>
    </row>
    <row r="2464" spans="1:14">
      <c r="A2464" s="2">
        <v>2463</v>
      </c>
      <c r="B2464" s="3" t="s">
        <v>8751</v>
      </c>
      <c r="C2464" s="2" t="s">
        <v>8752</v>
      </c>
      <c r="D2464" s="2">
        <v>49</v>
      </c>
      <c r="E2464" s="2">
        <v>50</v>
      </c>
      <c r="F2464" s="2" t="s">
        <v>8753</v>
      </c>
      <c r="H2464" s="2" t="s">
        <v>17</v>
      </c>
      <c r="K2464" s="4">
        <v>18245</v>
      </c>
      <c r="M2464" s="2" t="s">
        <v>336</v>
      </c>
      <c r="N2464" s="2" t="s">
        <v>8754</v>
      </c>
    </row>
    <row r="2465" spans="1:14">
      <c r="A2465" s="2">
        <v>2464</v>
      </c>
      <c r="B2465" s="3" t="s">
        <v>8755</v>
      </c>
      <c r="C2465" s="2" t="s">
        <v>8756</v>
      </c>
      <c r="D2465" s="2">
        <v>48</v>
      </c>
      <c r="E2465" s="2">
        <v>50</v>
      </c>
      <c r="F2465" s="2" t="s">
        <v>8757</v>
      </c>
      <c r="H2465" s="2" t="s">
        <v>17</v>
      </c>
      <c r="K2465" s="4">
        <v>15086</v>
      </c>
      <c r="M2465" s="2" t="s">
        <v>91</v>
      </c>
      <c r="N2465" s="2" t="s">
        <v>8758</v>
      </c>
    </row>
    <row r="2466" spans="1:14">
      <c r="A2466" s="2">
        <v>2465</v>
      </c>
      <c r="B2466" s="3" t="s">
        <v>8759</v>
      </c>
      <c r="C2466" s="2" t="s">
        <v>8760</v>
      </c>
      <c r="D2466" s="2">
        <v>50</v>
      </c>
      <c r="E2466" s="2">
        <v>50</v>
      </c>
      <c r="F2466" s="2" t="s">
        <v>8761</v>
      </c>
      <c r="H2466" s="2" t="s">
        <v>17</v>
      </c>
      <c r="K2466" s="4">
        <v>22040</v>
      </c>
      <c r="M2466" s="2" t="s">
        <v>66</v>
      </c>
      <c r="N2466" s="2" t="s">
        <v>1665</v>
      </c>
    </row>
    <row r="2467" spans="1:14">
      <c r="A2467" s="2">
        <v>2466</v>
      </c>
      <c r="B2467" s="3" t="s">
        <v>8762</v>
      </c>
      <c r="C2467" s="2" t="s">
        <v>8763</v>
      </c>
      <c r="D2467" s="2">
        <v>50</v>
      </c>
      <c r="E2467" s="2">
        <v>50</v>
      </c>
      <c r="F2467" s="2" t="s">
        <v>8764</v>
      </c>
      <c r="H2467" s="2" t="s">
        <v>17</v>
      </c>
      <c r="K2467" s="4">
        <v>19433</v>
      </c>
      <c r="M2467" s="2" t="s">
        <v>423</v>
      </c>
      <c r="N2467" s="2" t="s">
        <v>8765</v>
      </c>
    </row>
    <row r="2468" spans="1:14">
      <c r="A2468" s="2">
        <v>2467</v>
      </c>
      <c r="B2468" s="3" t="s">
        <v>8766</v>
      </c>
      <c r="C2468" s="2" t="s">
        <v>8767</v>
      </c>
      <c r="D2468" s="2">
        <v>50</v>
      </c>
      <c r="E2468" s="2">
        <v>50</v>
      </c>
      <c r="F2468" s="2" t="s">
        <v>8768</v>
      </c>
      <c r="H2468" s="2" t="s">
        <v>17</v>
      </c>
      <c r="K2468" s="4">
        <v>14231</v>
      </c>
      <c r="M2468" s="2" t="s">
        <v>146</v>
      </c>
      <c r="N2468" s="2" t="s">
        <v>8769</v>
      </c>
    </row>
    <row r="2469" spans="1:14">
      <c r="A2469" s="2">
        <v>2468</v>
      </c>
      <c r="B2469" s="3" t="s">
        <v>8770</v>
      </c>
      <c r="C2469" s="2" t="s">
        <v>8771</v>
      </c>
      <c r="D2469" s="2">
        <v>48</v>
      </c>
      <c r="E2469" s="2">
        <v>50</v>
      </c>
      <c r="F2469" s="2" t="s">
        <v>8772</v>
      </c>
      <c r="H2469" s="2" t="s">
        <v>17</v>
      </c>
      <c r="K2469" s="4">
        <v>12791</v>
      </c>
      <c r="M2469" s="2" t="s">
        <v>30</v>
      </c>
      <c r="N2469" s="2" t="s">
        <v>31</v>
      </c>
    </row>
    <row r="2470" spans="1:14">
      <c r="A2470" s="2">
        <v>2469</v>
      </c>
      <c r="B2470" s="3" t="s">
        <v>8773</v>
      </c>
      <c r="C2470" s="2" t="s">
        <v>8774</v>
      </c>
      <c r="D2470" s="2">
        <v>49</v>
      </c>
      <c r="E2470" s="2">
        <v>50</v>
      </c>
      <c r="F2470" s="2" t="s">
        <v>8775</v>
      </c>
      <c r="H2470" s="2" t="s">
        <v>17</v>
      </c>
      <c r="K2470" s="4">
        <v>17817</v>
      </c>
      <c r="M2470" s="2" t="s">
        <v>185</v>
      </c>
      <c r="N2470" s="2" t="s">
        <v>838</v>
      </c>
    </row>
    <row r="2471" spans="1:14">
      <c r="A2471" s="2">
        <v>2470</v>
      </c>
      <c r="B2471" s="3" t="s">
        <v>8776</v>
      </c>
      <c r="C2471" s="2" t="s">
        <v>8777</v>
      </c>
      <c r="D2471" s="2">
        <v>48</v>
      </c>
      <c r="E2471" s="2">
        <v>50</v>
      </c>
      <c r="F2471" s="2" t="s">
        <v>8778</v>
      </c>
      <c r="H2471" s="2" t="s">
        <v>17</v>
      </c>
      <c r="K2471" s="4">
        <v>16802</v>
      </c>
      <c r="M2471" s="2" t="s">
        <v>198</v>
      </c>
      <c r="N2471" s="2" t="s">
        <v>8779</v>
      </c>
    </row>
    <row r="2472" spans="1:14">
      <c r="A2472" s="2">
        <v>2471</v>
      </c>
      <c r="B2472" s="3" t="s">
        <v>8780</v>
      </c>
      <c r="C2472" s="2" t="s">
        <v>8781</v>
      </c>
      <c r="D2472" s="2">
        <v>50</v>
      </c>
      <c r="E2472" s="2">
        <v>50</v>
      </c>
      <c r="F2472" s="2" t="s">
        <v>8782</v>
      </c>
      <c r="H2472" s="2" t="s">
        <v>17</v>
      </c>
      <c r="K2472" s="4">
        <v>21146</v>
      </c>
      <c r="M2472" s="2" t="s">
        <v>154</v>
      </c>
      <c r="N2472" s="2" t="s">
        <v>4691</v>
      </c>
    </row>
    <row r="2473" spans="1:14">
      <c r="A2473" s="2">
        <v>2472</v>
      </c>
      <c r="B2473" s="3" t="s">
        <v>8783</v>
      </c>
      <c r="C2473" s="2" t="s">
        <v>8784</v>
      </c>
      <c r="D2473" s="2">
        <v>49</v>
      </c>
      <c r="E2473" s="2">
        <v>50</v>
      </c>
      <c r="F2473" s="2" t="s">
        <v>8785</v>
      </c>
      <c r="H2473" s="2" t="s">
        <v>17</v>
      </c>
      <c r="K2473" s="4">
        <v>9613</v>
      </c>
      <c r="L2473" s="4">
        <v>37970</v>
      </c>
      <c r="M2473" s="2" t="s">
        <v>35</v>
      </c>
      <c r="N2473" s="2" t="s">
        <v>6651</v>
      </c>
    </row>
    <row r="2474" spans="1:14">
      <c r="A2474" s="2">
        <v>2473</v>
      </c>
      <c r="B2474" s="3" t="s">
        <v>8786</v>
      </c>
      <c r="C2474" s="2" t="s">
        <v>8787</v>
      </c>
      <c r="D2474" s="2">
        <v>48</v>
      </c>
      <c r="E2474" s="2">
        <v>50</v>
      </c>
      <c r="F2474" s="2" t="s">
        <v>8788</v>
      </c>
      <c r="H2474" s="2" t="s">
        <v>17</v>
      </c>
      <c r="K2474" s="4">
        <v>20773</v>
      </c>
      <c r="M2474" s="2" t="s">
        <v>40</v>
      </c>
      <c r="N2474" s="2" t="s">
        <v>41</v>
      </c>
    </row>
    <row r="2475" spans="1:14">
      <c r="A2475" s="2">
        <v>2474</v>
      </c>
      <c r="B2475" s="3" t="s">
        <v>8789</v>
      </c>
      <c r="C2475" s="2" t="s">
        <v>8790</v>
      </c>
      <c r="D2475" s="2">
        <v>48</v>
      </c>
      <c r="E2475" s="2">
        <v>50</v>
      </c>
      <c r="F2475" s="2" t="s">
        <v>8791</v>
      </c>
      <c r="H2475" s="2" t="s">
        <v>17</v>
      </c>
      <c r="K2475" s="4">
        <v>14131</v>
      </c>
      <c r="M2475" s="2" t="s">
        <v>66</v>
      </c>
      <c r="N2475" s="2" t="s">
        <v>5822</v>
      </c>
    </row>
    <row r="2476" spans="1:14">
      <c r="A2476" s="2">
        <v>2475</v>
      </c>
      <c r="B2476" s="3" t="s">
        <v>8792</v>
      </c>
      <c r="C2476" s="2" t="s">
        <v>8793</v>
      </c>
      <c r="D2476" s="2">
        <v>46</v>
      </c>
      <c r="E2476" s="2">
        <v>50</v>
      </c>
      <c r="F2476" s="2" t="s">
        <v>8794</v>
      </c>
      <c r="H2476" s="2" t="s">
        <v>17</v>
      </c>
      <c r="K2476" s="4">
        <v>12931</v>
      </c>
      <c r="L2476" s="4">
        <v>43457</v>
      </c>
      <c r="M2476" s="2" t="s">
        <v>198</v>
      </c>
      <c r="N2476" s="2" t="s">
        <v>199</v>
      </c>
    </row>
    <row r="2477" spans="1:14">
      <c r="A2477" s="2">
        <v>2476</v>
      </c>
      <c r="B2477" s="3" t="s">
        <v>8795</v>
      </c>
      <c r="C2477" s="2" t="s">
        <v>8796</v>
      </c>
      <c r="D2477" s="2">
        <v>50</v>
      </c>
      <c r="E2477" s="2">
        <v>50</v>
      </c>
      <c r="F2477" s="2" t="s">
        <v>8797</v>
      </c>
      <c r="H2477" s="2" t="s">
        <v>17</v>
      </c>
      <c r="K2477" s="4">
        <v>11115</v>
      </c>
      <c r="L2477" s="4">
        <v>44562</v>
      </c>
      <c r="M2477" s="2" t="s">
        <v>146</v>
      </c>
      <c r="N2477" s="2" t="s">
        <v>147</v>
      </c>
    </row>
    <row r="2478" spans="1:14">
      <c r="A2478" s="2">
        <v>2477</v>
      </c>
      <c r="B2478" s="3" t="s">
        <v>8798</v>
      </c>
      <c r="C2478" s="2" t="s">
        <v>8799</v>
      </c>
      <c r="D2478" s="2">
        <v>50</v>
      </c>
      <c r="E2478" s="2">
        <v>50</v>
      </c>
      <c r="F2478" s="2" t="s">
        <v>8799</v>
      </c>
      <c r="H2478" s="2" t="s">
        <v>17</v>
      </c>
      <c r="K2478" s="4">
        <v>10770</v>
      </c>
      <c r="L2478" s="4">
        <v>42993</v>
      </c>
      <c r="M2478" s="2" t="s">
        <v>170</v>
      </c>
      <c r="N2478" s="2" t="s">
        <v>355</v>
      </c>
    </row>
    <row r="2479" spans="1:14">
      <c r="A2479" s="2">
        <v>2478</v>
      </c>
      <c r="B2479" s="3" t="s">
        <v>8800</v>
      </c>
      <c r="C2479" s="2" t="s">
        <v>8801</v>
      </c>
      <c r="D2479" s="2">
        <v>48</v>
      </c>
      <c r="E2479" s="2">
        <v>50</v>
      </c>
      <c r="F2479" s="2" t="s">
        <v>8802</v>
      </c>
      <c r="H2479" s="2" t="s">
        <v>17</v>
      </c>
      <c r="K2479" s="4">
        <v>14637</v>
      </c>
      <c r="L2479" s="4">
        <v>44648</v>
      </c>
      <c r="M2479" s="2" t="s">
        <v>35</v>
      </c>
      <c r="N2479" s="2" t="s">
        <v>58</v>
      </c>
    </row>
    <row r="2480" spans="1:14">
      <c r="A2480" s="2">
        <v>2479</v>
      </c>
      <c r="B2480" s="3" t="s">
        <v>8803</v>
      </c>
      <c r="C2480" s="2" t="s">
        <v>8804</v>
      </c>
      <c r="D2480" s="2">
        <v>45</v>
      </c>
      <c r="E2480" s="2">
        <v>50</v>
      </c>
      <c r="F2480" s="2" t="s">
        <v>8804</v>
      </c>
      <c r="H2480" s="2" t="s">
        <v>17</v>
      </c>
      <c r="K2480" s="4">
        <v>15769</v>
      </c>
      <c r="M2480" s="2" t="s">
        <v>66</v>
      </c>
      <c r="N2480" s="2" t="s">
        <v>8805</v>
      </c>
    </row>
    <row r="2481" spans="1:14">
      <c r="A2481" s="2">
        <v>2480</v>
      </c>
      <c r="B2481" s="3" t="s">
        <v>8806</v>
      </c>
      <c r="C2481" s="2" t="s">
        <v>8807</v>
      </c>
      <c r="D2481" s="2">
        <v>50</v>
      </c>
      <c r="E2481" s="2">
        <v>50</v>
      </c>
      <c r="F2481" s="2" t="s">
        <v>8808</v>
      </c>
      <c r="H2481" s="2" t="s">
        <v>45</v>
      </c>
      <c r="K2481" s="4">
        <v>16233</v>
      </c>
      <c r="M2481" s="2" t="s">
        <v>247</v>
      </c>
      <c r="N2481" s="2" t="s">
        <v>8809</v>
      </c>
    </row>
    <row r="2482" spans="1:14">
      <c r="A2482" s="2">
        <v>2481</v>
      </c>
      <c r="B2482" s="3" t="s">
        <v>8810</v>
      </c>
      <c r="C2482" s="2" t="s">
        <v>8811</v>
      </c>
      <c r="D2482" s="2">
        <v>50</v>
      </c>
      <c r="E2482" s="2">
        <v>50</v>
      </c>
      <c r="F2482" s="2" t="s">
        <v>8812</v>
      </c>
      <c r="H2482" s="2" t="s">
        <v>17</v>
      </c>
      <c r="K2482" s="4">
        <v>15019</v>
      </c>
      <c r="L2482" s="4">
        <v>44685</v>
      </c>
      <c r="M2482" s="2" t="s">
        <v>35</v>
      </c>
      <c r="N2482" s="2" t="s">
        <v>2585</v>
      </c>
    </row>
    <row r="2483" spans="1:14">
      <c r="A2483" s="2">
        <v>2482</v>
      </c>
      <c r="B2483" s="3" t="s">
        <v>8813</v>
      </c>
      <c r="C2483" s="2" t="s">
        <v>8814</v>
      </c>
      <c r="D2483" s="2">
        <v>50</v>
      </c>
      <c r="E2483" s="2">
        <v>50</v>
      </c>
      <c r="F2483" s="2" t="s">
        <v>8815</v>
      </c>
      <c r="H2483" s="2" t="s">
        <v>17</v>
      </c>
      <c r="K2483" s="4">
        <v>14001</v>
      </c>
      <c r="L2483" s="4">
        <v>44219</v>
      </c>
      <c r="M2483" s="2" t="s">
        <v>40</v>
      </c>
      <c r="N2483" s="2" t="s">
        <v>8816</v>
      </c>
    </row>
    <row r="2484" spans="1:14">
      <c r="A2484" s="2">
        <v>2483</v>
      </c>
      <c r="B2484" s="3" t="s">
        <v>8817</v>
      </c>
      <c r="C2484" s="2" t="s">
        <v>8818</v>
      </c>
      <c r="D2484" s="2">
        <v>50</v>
      </c>
      <c r="E2484" s="2">
        <v>50</v>
      </c>
      <c r="F2484" s="2" t="s">
        <v>8819</v>
      </c>
      <c r="H2484" s="2" t="s">
        <v>17</v>
      </c>
      <c r="K2484" s="4">
        <v>14399</v>
      </c>
      <c r="M2484" s="2" t="s">
        <v>35</v>
      </c>
      <c r="N2484" s="2" t="s">
        <v>5511</v>
      </c>
    </row>
    <row r="2485" spans="1:14">
      <c r="A2485" s="2">
        <v>2484</v>
      </c>
      <c r="B2485" s="3" t="s">
        <v>8820</v>
      </c>
      <c r="C2485" s="2" t="s">
        <v>8821</v>
      </c>
      <c r="D2485" s="2">
        <v>50</v>
      </c>
      <c r="E2485" s="2">
        <v>50</v>
      </c>
      <c r="F2485" s="2" t="s">
        <v>8821</v>
      </c>
      <c r="H2485" s="2" t="s">
        <v>17</v>
      </c>
      <c r="K2485" s="4">
        <v>18113</v>
      </c>
      <c r="M2485" s="2" t="s">
        <v>66</v>
      </c>
      <c r="N2485" s="2" t="s">
        <v>8822</v>
      </c>
    </row>
    <row r="2486" spans="1:14">
      <c r="A2486" s="2">
        <v>2485</v>
      </c>
      <c r="B2486" s="3" t="s">
        <v>8823</v>
      </c>
      <c r="C2486" s="2" t="s">
        <v>8824</v>
      </c>
      <c r="D2486" s="2">
        <v>44</v>
      </c>
      <c r="E2486" s="2">
        <v>50</v>
      </c>
      <c r="F2486" s="2" t="s">
        <v>8825</v>
      </c>
      <c r="H2486" s="2" t="s">
        <v>17</v>
      </c>
      <c r="K2486" s="4">
        <v>13676</v>
      </c>
      <c r="L2486" s="4">
        <v>45856</v>
      </c>
      <c r="M2486" s="2" t="s">
        <v>170</v>
      </c>
      <c r="N2486" s="2" t="s">
        <v>2533</v>
      </c>
    </row>
    <row r="2487" spans="1:14">
      <c r="A2487" s="2">
        <v>2486</v>
      </c>
      <c r="B2487" s="3" t="s">
        <v>8826</v>
      </c>
      <c r="C2487" s="2" t="s">
        <v>8827</v>
      </c>
      <c r="D2487" s="2">
        <v>48</v>
      </c>
      <c r="E2487" s="2">
        <v>50</v>
      </c>
      <c r="F2487" s="2" t="s">
        <v>8828</v>
      </c>
      <c r="H2487" s="2" t="s">
        <v>17</v>
      </c>
      <c r="K2487" s="4">
        <v>16526</v>
      </c>
      <c r="M2487" s="2" t="s">
        <v>247</v>
      </c>
      <c r="N2487" s="2" t="s">
        <v>562</v>
      </c>
    </row>
    <row r="2488" spans="1:14">
      <c r="A2488" s="2">
        <v>2487</v>
      </c>
      <c r="B2488" s="3" t="s">
        <v>8829</v>
      </c>
      <c r="C2488" s="2" t="s">
        <v>8830</v>
      </c>
      <c r="D2488" s="2">
        <v>42</v>
      </c>
      <c r="E2488" s="2">
        <v>50</v>
      </c>
      <c r="F2488" s="2" t="s">
        <v>8831</v>
      </c>
      <c r="H2488" s="2" t="s">
        <v>17</v>
      </c>
      <c r="K2488" s="4">
        <v>10000</v>
      </c>
      <c r="L2488" s="4">
        <v>42172</v>
      </c>
      <c r="M2488" s="2" t="s">
        <v>85</v>
      </c>
      <c r="N2488" s="2" t="s">
        <v>8832</v>
      </c>
    </row>
    <row r="2489" spans="1:14">
      <c r="A2489" s="2">
        <v>2488</v>
      </c>
      <c r="B2489" s="3" t="s">
        <v>8833</v>
      </c>
      <c r="C2489" s="2" t="s">
        <v>8834</v>
      </c>
      <c r="D2489" s="2">
        <v>50</v>
      </c>
      <c r="E2489" s="2">
        <v>50</v>
      </c>
      <c r="F2489" s="2" t="s">
        <v>8835</v>
      </c>
      <c r="H2489" s="2" t="s">
        <v>17</v>
      </c>
      <c r="K2489" s="4">
        <v>19956</v>
      </c>
      <c r="M2489" s="2" t="s">
        <v>154</v>
      </c>
      <c r="N2489" s="2" t="s">
        <v>8836</v>
      </c>
    </row>
    <row r="2490" spans="1:14">
      <c r="A2490" s="2">
        <v>2489</v>
      </c>
      <c r="B2490" s="3" t="s">
        <v>8837</v>
      </c>
      <c r="C2490" s="2" t="s">
        <v>8838</v>
      </c>
      <c r="D2490" s="2">
        <v>49</v>
      </c>
      <c r="E2490" s="2">
        <v>50</v>
      </c>
      <c r="F2490" s="2" t="s">
        <v>8839</v>
      </c>
      <c r="H2490" s="2" t="s">
        <v>17</v>
      </c>
      <c r="K2490" s="4">
        <v>17096</v>
      </c>
      <c r="M2490" s="2" t="s">
        <v>35</v>
      </c>
      <c r="N2490" s="2" t="s">
        <v>8840</v>
      </c>
    </row>
    <row r="2491" spans="1:14">
      <c r="A2491" s="2">
        <v>2490</v>
      </c>
      <c r="B2491" s="3" t="s">
        <v>8841</v>
      </c>
      <c r="C2491" s="2" t="s">
        <v>8842</v>
      </c>
      <c r="D2491" s="2">
        <v>46</v>
      </c>
      <c r="E2491" s="2">
        <v>50</v>
      </c>
      <c r="F2491" s="2" t="s">
        <v>8843</v>
      </c>
      <c r="H2491" s="2" t="s">
        <v>17</v>
      </c>
      <c r="K2491" s="4">
        <v>16398</v>
      </c>
      <c r="M2491" s="2" t="s">
        <v>85</v>
      </c>
      <c r="N2491" s="2" t="s">
        <v>1868</v>
      </c>
    </row>
    <row r="2492" spans="1:14">
      <c r="A2492" s="2">
        <v>2491</v>
      </c>
      <c r="B2492" s="3" t="s">
        <v>8844</v>
      </c>
      <c r="C2492" s="2" t="s">
        <v>8845</v>
      </c>
      <c r="D2492" s="2">
        <v>50</v>
      </c>
      <c r="E2492" s="2">
        <v>50</v>
      </c>
      <c r="F2492" s="2" t="s">
        <v>8846</v>
      </c>
      <c r="H2492" s="2" t="s">
        <v>17</v>
      </c>
      <c r="K2492" s="4">
        <v>13389</v>
      </c>
      <c r="M2492" s="2" t="s">
        <v>170</v>
      </c>
      <c r="N2492" s="2" t="s">
        <v>816</v>
      </c>
    </row>
    <row r="2493" spans="1:14">
      <c r="A2493" s="2">
        <v>2492</v>
      </c>
      <c r="B2493" s="3" t="s">
        <v>8847</v>
      </c>
      <c r="C2493" s="2" t="s">
        <v>8848</v>
      </c>
      <c r="D2493" s="2">
        <v>50</v>
      </c>
      <c r="E2493" s="2">
        <v>50</v>
      </c>
      <c r="F2493" s="2" t="s">
        <v>8849</v>
      </c>
      <c r="H2493" s="2" t="s">
        <v>17</v>
      </c>
      <c r="K2493" s="4">
        <v>19062</v>
      </c>
      <c r="M2493" s="2" t="s">
        <v>66</v>
      </c>
      <c r="N2493" s="2" t="s">
        <v>1548</v>
      </c>
    </row>
    <row r="2494" spans="1:14">
      <c r="A2494" s="2">
        <v>2493</v>
      </c>
      <c r="B2494" s="3" t="s">
        <v>8850</v>
      </c>
      <c r="C2494" s="2" t="s">
        <v>8851</v>
      </c>
      <c r="D2494" s="2">
        <v>49</v>
      </c>
      <c r="E2494" s="2">
        <v>50</v>
      </c>
      <c r="F2494" s="2" t="s">
        <v>8852</v>
      </c>
      <c r="H2494" s="2" t="s">
        <v>17</v>
      </c>
      <c r="K2494" s="4">
        <v>15964</v>
      </c>
      <c r="M2494" s="2" t="s">
        <v>164</v>
      </c>
      <c r="N2494" s="2" t="s">
        <v>165</v>
      </c>
    </row>
    <row r="2495" spans="1:14">
      <c r="A2495" s="2">
        <v>2494</v>
      </c>
      <c r="B2495" s="3" t="s">
        <v>8853</v>
      </c>
      <c r="C2495" s="2" t="s">
        <v>8854</v>
      </c>
      <c r="D2495" s="2">
        <v>49</v>
      </c>
      <c r="E2495" s="2">
        <v>50</v>
      </c>
      <c r="F2495" s="2" t="s">
        <v>8855</v>
      </c>
      <c r="H2495" s="2" t="s">
        <v>17</v>
      </c>
      <c r="K2495" s="4">
        <v>21388</v>
      </c>
      <c r="M2495" s="2" t="s">
        <v>53</v>
      </c>
      <c r="N2495" s="2" t="s">
        <v>847</v>
      </c>
    </row>
    <row r="2496" spans="1:14">
      <c r="A2496" s="2">
        <v>2495</v>
      </c>
      <c r="B2496" s="3" t="s">
        <v>8856</v>
      </c>
      <c r="C2496" s="2" t="s">
        <v>8857</v>
      </c>
      <c r="D2496" s="2">
        <v>50</v>
      </c>
      <c r="E2496" s="2">
        <v>50</v>
      </c>
      <c r="F2496" s="2" t="s">
        <v>8858</v>
      </c>
      <c r="H2496" s="2" t="s">
        <v>17</v>
      </c>
      <c r="K2496" s="4">
        <v>14218</v>
      </c>
      <c r="L2496" s="4">
        <v>41606</v>
      </c>
      <c r="M2496" s="2" t="s">
        <v>47</v>
      </c>
      <c r="N2496" s="2" t="s">
        <v>8859</v>
      </c>
    </row>
    <row r="2497" spans="1:14">
      <c r="A2497" s="2">
        <v>2496</v>
      </c>
      <c r="B2497" s="3" t="s">
        <v>8860</v>
      </c>
      <c r="C2497" s="2" t="s">
        <v>8861</v>
      </c>
      <c r="D2497" s="2">
        <v>48</v>
      </c>
      <c r="E2497" s="2">
        <v>50</v>
      </c>
      <c r="F2497" s="2" t="s">
        <v>8862</v>
      </c>
      <c r="H2497" s="2" t="s">
        <v>17</v>
      </c>
      <c r="K2497" s="4">
        <v>13449</v>
      </c>
      <c r="L2497" s="4">
        <v>36083</v>
      </c>
      <c r="M2497" s="2" t="s">
        <v>85</v>
      </c>
      <c r="N2497" s="2" t="s">
        <v>2120</v>
      </c>
    </row>
    <row r="2498" spans="1:14">
      <c r="A2498" s="2">
        <v>2497</v>
      </c>
      <c r="B2498" s="3" t="s">
        <v>8863</v>
      </c>
      <c r="C2498" s="2" t="s">
        <v>8864</v>
      </c>
      <c r="D2498" s="2">
        <v>48</v>
      </c>
      <c r="E2498" s="2">
        <v>50</v>
      </c>
      <c r="F2498" s="2" t="s">
        <v>8865</v>
      </c>
      <c r="H2498" s="2" t="s">
        <v>45</v>
      </c>
      <c r="K2498" s="4">
        <v>14593</v>
      </c>
      <c r="M2498" s="2" t="s">
        <v>164</v>
      </c>
      <c r="N2498" s="2" t="s">
        <v>6277</v>
      </c>
    </row>
    <row r="2499" spans="1:14">
      <c r="A2499" s="2">
        <v>2498</v>
      </c>
      <c r="B2499" s="3" t="s">
        <v>8866</v>
      </c>
      <c r="C2499" s="2" t="s">
        <v>8867</v>
      </c>
      <c r="D2499" s="2">
        <v>47</v>
      </c>
      <c r="E2499" s="2">
        <v>50</v>
      </c>
      <c r="F2499" s="2" t="s">
        <v>8868</v>
      </c>
      <c r="H2499" s="2" t="s">
        <v>17</v>
      </c>
      <c r="K2499" s="4">
        <v>14228</v>
      </c>
      <c r="L2499" s="4">
        <v>37177</v>
      </c>
      <c r="M2499" s="2" t="s">
        <v>35</v>
      </c>
      <c r="N2499" s="2" t="s">
        <v>2585</v>
      </c>
    </row>
    <row r="2500" spans="1:14">
      <c r="A2500" s="2">
        <v>2499</v>
      </c>
      <c r="B2500" s="3" t="s">
        <v>8869</v>
      </c>
      <c r="C2500" s="2" t="s">
        <v>8870</v>
      </c>
      <c r="D2500" s="2">
        <v>50</v>
      </c>
      <c r="E2500" s="2">
        <v>50</v>
      </c>
      <c r="F2500" s="2" t="s">
        <v>8871</v>
      </c>
      <c r="H2500" s="2" t="s">
        <v>45</v>
      </c>
      <c r="K2500" s="4">
        <v>19156</v>
      </c>
      <c r="M2500" s="2" t="s">
        <v>247</v>
      </c>
      <c r="N2500" s="2" t="s">
        <v>886</v>
      </c>
    </row>
    <row r="2501" spans="1:14">
      <c r="A2501" s="2">
        <v>2500</v>
      </c>
      <c r="B2501" s="3" t="s">
        <v>8872</v>
      </c>
      <c r="C2501" s="2" t="s">
        <v>8873</v>
      </c>
      <c r="D2501" s="2">
        <v>50</v>
      </c>
      <c r="E2501" s="2">
        <v>50</v>
      </c>
      <c r="F2501" s="2" t="s">
        <v>8874</v>
      </c>
      <c r="H2501" s="2" t="s">
        <v>17</v>
      </c>
      <c r="K2501" s="4">
        <v>13556</v>
      </c>
      <c r="L2501" s="4">
        <v>42355</v>
      </c>
      <c r="M2501" s="2" t="s">
        <v>66</v>
      </c>
      <c r="N2501" s="2" t="s">
        <v>1069</v>
      </c>
    </row>
    <row r="2502" spans="1:14">
      <c r="A2502" s="2">
        <v>2501</v>
      </c>
      <c r="B2502" s="3" t="s">
        <v>8875</v>
      </c>
      <c r="C2502" s="2" t="s">
        <v>8876</v>
      </c>
      <c r="D2502" s="2">
        <v>47</v>
      </c>
      <c r="E2502" s="2">
        <v>50</v>
      </c>
      <c r="F2502" s="2" t="s">
        <v>8877</v>
      </c>
      <c r="H2502" s="2" t="s">
        <v>17</v>
      </c>
      <c r="K2502" s="4">
        <v>13961</v>
      </c>
      <c r="M2502" s="2" t="s">
        <v>154</v>
      </c>
      <c r="N2502" s="2" t="s">
        <v>208</v>
      </c>
    </row>
    <row r="2503" spans="1:14">
      <c r="A2503" s="2">
        <v>2502</v>
      </c>
      <c r="B2503" s="3" t="s">
        <v>8878</v>
      </c>
      <c r="C2503" s="2" t="s">
        <v>8879</v>
      </c>
      <c r="D2503" s="2">
        <v>50</v>
      </c>
      <c r="E2503" s="2">
        <v>50</v>
      </c>
      <c r="F2503" s="2" t="s">
        <v>8880</v>
      </c>
      <c r="H2503" s="2" t="s">
        <v>17</v>
      </c>
      <c r="K2503" s="4">
        <v>25710</v>
      </c>
      <c r="M2503" s="2" t="s">
        <v>154</v>
      </c>
      <c r="N2503" s="2" t="s">
        <v>8881</v>
      </c>
    </row>
    <row r="2504" spans="1:14">
      <c r="A2504" s="2">
        <v>2503</v>
      </c>
      <c r="B2504" s="3" t="s">
        <v>8882</v>
      </c>
      <c r="C2504" s="2" t="s">
        <v>8883</v>
      </c>
      <c r="D2504" s="2">
        <v>49</v>
      </c>
      <c r="E2504" s="2">
        <v>50</v>
      </c>
      <c r="F2504" s="2" t="s">
        <v>8884</v>
      </c>
      <c r="H2504" s="2" t="s">
        <v>17</v>
      </c>
      <c r="K2504" s="4">
        <v>23793</v>
      </c>
      <c r="M2504" s="2" t="s">
        <v>198</v>
      </c>
      <c r="N2504" s="2" t="s">
        <v>199</v>
      </c>
    </row>
    <row r="2505" spans="1:14">
      <c r="A2505" s="2">
        <v>2504</v>
      </c>
      <c r="B2505" s="3" t="s">
        <v>8885</v>
      </c>
      <c r="C2505" s="2" t="s">
        <v>8886</v>
      </c>
      <c r="D2505" s="2">
        <v>50</v>
      </c>
      <c r="E2505" s="2">
        <v>50</v>
      </c>
      <c r="F2505" s="2" t="s">
        <v>8887</v>
      </c>
      <c r="H2505" s="2" t="s">
        <v>17</v>
      </c>
      <c r="K2505" s="4">
        <v>18867</v>
      </c>
      <c r="M2505" s="2" t="s">
        <v>170</v>
      </c>
      <c r="N2505" s="2" t="s">
        <v>323</v>
      </c>
    </row>
    <row r="2506" spans="1:14">
      <c r="A2506" s="2">
        <v>2505</v>
      </c>
      <c r="B2506" s="3" t="s">
        <v>8888</v>
      </c>
      <c r="C2506" s="2" t="s">
        <v>8889</v>
      </c>
      <c r="D2506" s="2">
        <v>49</v>
      </c>
      <c r="E2506" s="2">
        <v>50</v>
      </c>
      <c r="F2506" s="2" t="s">
        <v>8890</v>
      </c>
      <c r="H2506" s="2" t="s">
        <v>17</v>
      </c>
      <c r="K2506" s="4">
        <v>6317</v>
      </c>
      <c r="L2506" s="4">
        <v>37173</v>
      </c>
      <c r="M2506" s="2" t="s">
        <v>18</v>
      </c>
      <c r="N2506" s="2" t="s">
        <v>19</v>
      </c>
    </row>
    <row r="2507" spans="1:14">
      <c r="A2507" s="2">
        <v>2506</v>
      </c>
      <c r="B2507" s="3" t="s">
        <v>8891</v>
      </c>
      <c r="C2507" s="2" t="s">
        <v>8892</v>
      </c>
      <c r="D2507" s="2">
        <v>50</v>
      </c>
      <c r="E2507" s="2">
        <v>50</v>
      </c>
      <c r="F2507" s="2" t="s">
        <v>8893</v>
      </c>
      <c r="H2507" s="2" t="s">
        <v>17</v>
      </c>
      <c r="K2507" s="4">
        <v>14921</v>
      </c>
      <c r="L2507" s="4">
        <v>45530</v>
      </c>
      <c r="M2507" s="2" t="s">
        <v>198</v>
      </c>
      <c r="N2507" s="2" t="s">
        <v>3671</v>
      </c>
    </row>
    <row r="2508" spans="1:14">
      <c r="A2508" s="2">
        <v>2507</v>
      </c>
      <c r="B2508" s="3" t="s">
        <v>8894</v>
      </c>
      <c r="C2508" s="2" t="s">
        <v>8895</v>
      </c>
      <c r="D2508" s="2">
        <v>50</v>
      </c>
      <c r="E2508" s="2">
        <v>50</v>
      </c>
      <c r="F2508" s="2" t="s">
        <v>8896</v>
      </c>
      <c r="H2508" s="2" t="s">
        <v>17</v>
      </c>
      <c r="K2508" s="4">
        <v>17808</v>
      </c>
      <c r="M2508" s="2" t="s">
        <v>18</v>
      </c>
      <c r="N2508" s="2" t="s">
        <v>19</v>
      </c>
    </row>
    <row r="2509" spans="1:14">
      <c r="A2509" s="2">
        <v>2508</v>
      </c>
      <c r="B2509" s="3" t="s">
        <v>8897</v>
      </c>
      <c r="C2509" s="2" t="s">
        <v>8898</v>
      </c>
      <c r="D2509" s="2">
        <v>50</v>
      </c>
      <c r="E2509" s="2">
        <v>50</v>
      </c>
      <c r="F2509" s="2" t="s">
        <v>8899</v>
      </c>
      <c r="H2509" s="2" t="s">
        <v>17</v>
      </c>
      <c r="K2509" s="4">
        <v>18829</v>
      </c>
      <c r="M2509" s="2" t="s">
        <v>76</v>
      </c>
      <c r="N2509" s="2" t="s">
        <v>6506</v>
      </c>
    </row>
    <row r="2510" spans="1:14">
      <c r="A2510" s="2">
        <v>2509</v>
      </c>
      <c r="B2510" s="3" t="s">
        <v>8900</v>
      </c>
      <c r="C2510" s="2" t="s">
        <v>8901</v>
      </c>
      <c r="D2510" s="2">
        <v>50</v>
      </c>
      <c r="E2510" s="2">
        <v>50</v>
      </c>
      <c r="F2510" s="2" t="s">
        <v>8902</v>
      </c>
      <c r="H2510" s="2" t="s">
        <v>17</v>
      </c>
      <c r="K2510" s="4">
        <v>9755</v>
      </c>
      <c r="L2510" s="4">
        <v>44236</v>
      </c>
      <c r="M2510" s="2" t="s">
        <v>40</v>
      </c>
      <c r="N2510" s="2" t="s">
        <v>41</v>
      </c>
    </row>
    <row r="2511" spans="1:14">
      <c r="A2511" s="2">
        <v>2510</v>
      </c>
      <c r="B2511" s="3" t="s">
        <v>8903</v>
      </c>
      <c r="C2511" s="2" t="s">
        <v>8904</v>
      </c>
      <c r="D2511" s="2">
        <v>49</v>
      </c>
      <c r="E2511" s="2">
        <v>50</v>
      </c>
      <c r="F2511" s="2" t="s">
        <v>8905</v>
      </c>
      <c r="H2511" s="2" t="s">
        <v>17</v>
      </c>
      <c r="K2511" s="4">
        <v>14143</v>
      </c>
      <c r="L2511" s="4">
        <v>45434</v>
      </c>
      <c r="M2511" s="2" t="s">
        <v>192</v>
      </c>
      <c r="N2511" s="2" t="s">
        <v>577</v>
      </c>
    </row>
    <row r="2512" spans="1:14">
      <c r="A2512" s="2">
        <v>2511</v>
      </c>
      <c r="B2512" s="3" t="s">
        <v>8906</v>
      </c>
      <c r="C2512" s="2" t="s">
        <v>8907</v>
      </c>
      <c r="D2512" s="2">
        <v>50</v>
      </c>
      <c r="E2512" s="2">
        <v>50</v>
      </c>
      <c r="F2512" s="2" t="s">
        <v>8908</v>
      </c>
      <c r="H2512" s="2" t="s">
        <v>17</v>
      </c>
      <c r="K2512" s="4">
        <v>18992</v>
      </c>
      <c r="L2512" s="4">
        <v>35675</v>
      </c>
      <c r="M2512" s="2" t="s">
        <v>170</v>
      </c>
      <c r="N2512" s="2" t="s">
        <v>323</v>
      </c>
    </row>
    <row r="2513" spans="1:14">
      <c r="A2513" s="2">
        <v>2512</v>
      </c>
      <c r="B2513" s="3" t="s">
        <v>8909</v>
      </c>
      <c r="C2513" s="2" t="s">
        <v>8910</v>
      </c>
      <c r="D2513" s="2">
        <v>48</v>
      </c>
      <c r="E2513" s="2">
        <v>50</v>
      </c>
      <c r="F2513" s="2" t="s">
        <v>8911</v>
      </c>
      <c r="H2513" s="2" t="s">
        <v>17</v>
      </c>
      <c r="K2513" s="4">
        <v>15939</v>
      </c>
      <c r="M2513" s="2" t="s">
        <v>18</v>
      </c>
      <c r="N2513" s="2" t="s">
        <v>19</v>
      </c>
    </row>
    <row r="2514" spans="1:14">
      <c r="A2514" s="2">
        <v>2513</v>
      </c>
      <c r="B2514" s="3" t="s">
        <v>8912</v>
      </c>
      <c r="C2514" s="2" t="s">
        <v>8913</v>
      </c>
      <c r="D2514" s="2">
        <v>50</v>
      </c>
      <c r="E2514" s="2">
        <v>50</v>
      </c>
      <c r="F2514" s="2" t="s">
        <v>8914</v>
      </c>
      <c r="H2514" s="2" t="s">
        <v>17</v>
      </c>
      <c r="K2514" s="4">
        <v>16865</v>
      </c>
      <c r="L2514" s="4">
        <v>42812</v>
      </c>
      <c r="M2514" s="2" t="s">
        <v>53</v>
      </c>
      <c r="N2514" s="2" t="s">
        <v>894</v>
      </c>
    </row>
    <row r="2515" spans="1:14">
      <c r="A2515" s="2">
        <v>2514</v>
      </c>
      <c r="B2515" s="3" t="s">
        <v>8915</v>
      </c>
      <c r="C2515" s="2" t="s">
        <v>8916</v>
      </c>
      <c r="D2515" s="2">
        <v>49</v>
      </c>
      <c r="E2515" s="2">
        <v>50</v>
      </c>
      <c r="F2515" s="2" t="s">
        <v>8917</v>
      </c>
      <c r="H2515" s="2" t="s">
        <v>45</v>
      </c>
      <c r="K2515" s="4">
        <v>16087</v>
      </c>
      <c r="L2515" s="4">
        <v>44544</v>
      </c>
      <c r="M2515" s="2" t="s">
        <v>35</v>
      </c>
      <c r="N2515" s="2" t="s">
        <v>58</v>
      </c>
    </row>
    <row r="2516" spans="1:14">
      <c r="A2516" s="2">
        <v>2515</v>
      </c>
      <c r="B2516" s="3" t="s">
        <v>8918</v>
      </c>
      <c r="C2516" s="2" t="s">
        <v>8919</v>
      </c>
      <c r="D2516" s="2">
        <v>47</v>
      </c>
      <c r="E2516" s="2">
        <v>50</v>
      </c>
      <c r="F2516" s="2" t="s">
        <v>8920</v>
      </c>
      <c r="H2516" s="2" t="s">
        <v>17</v>
      </c>
      <c r="K2516" s="4">
        <v>14418</v>
      </c>
      <c r="M2516" s="2" t="s">
        <v>47</v>
      </c>
      <c r="N2516" s="2" t="s">
        <v>6621</v>
      </c>
    </row>
    <row r="2517" spans="1:14">
      <c r="A2517" s="2">
        <v>2516</v>
      </c>
      <c r="B2517" s="3" t="s">
        <v>8921</v>
      </c>
      <c r="C2517" s="2" t="s">
        <v>8922</v>
      </c>
      <c r="D2517" s="2">
        <v>49</v>
      </c>
      <c r="E2517" s="2">
        <v>50</v>
      </c>
      <c r="F2517" s="2" t="s">
        <v>8923</v>
      </c>
      <c r="H2517" s="2" t="s">
        <v>17</v>
      </c>
      <c r="K2517" s="4">
        <v>15208</v>
      </c>
      <c r="L2517" s="4">
        <v>37835</v>
      </c>
      <c r="M2517" s="2" t="s">
        <v>47</v>
      </c>
      <c r="N2517" s="2" t="s">
        <v>417</v>
      </c>
    </row>
    <row r="2518" spans="1:14">
      <c r="A2518" s="2">
        <v>2517</v>
      </c>
      <c r="B2518" s="3" t="s">
        <v>8924</v>
      </c>
      <c r="C2518" s="2" t="s">
        <v>8925</v>
      </c>
      <c r="D2518" s="2">
        <v>48</v>
      </c>
      <c r="E2518" s="2">
        <v>50</v>
      </c>
      <c r="F2518" s="2" t="s">
        <v>8926</v>
      </c>
      <c r="H2518" s="2" t="s">
        <v>17</v>
      </c>
      <c r="K2518" s="4">
        <v>15445</v>
      </c>
      <c r="L2518" s="4">
        <v>39864</v>
      </c>
      <c r="M2518" s="2" t="s">
        <v>35</v>
      </c>
      <c r="N2518" s="2" t="s">
        <v>8927</v>
      </c>
    </row>
    <row r="2519" spans="1:14">
      <c r="A2519" s="2">
        <v>2518</v>
      </c>
      <c r="B2519" s="3" t="s">
        <v>8928</v>
      </c>
      <c r="C2519" s="2" t="s">
        <v>8929</v>
      </c>
      <c r="D2519" s="2">
        <v>50</v>
      </c>
      <c r="E2519" s="2">
        <v>50</v>
      </c>
      <c r="F2519" s="2" t="s">
        <v>8930</v>
      </c>
      <c r="H2519" s="2" t="s">
        <v>17</v>
      </c>
      <c r="K2519" s="4">
        <v>20729</v>
      </c>
      <c r="M2519" s="2" t="s">
        <v>85</v>
      </c>
      <c r="N2519" s="2" t="s">
        <v>8931</v>
      </c>
    </row>
    <row r="2520" spans="1:14">
      <c r="A2520" s="2">
        <v>2519</v>
      </c>
      <c r="B2520" s="3" t="s">
        <v>8932</v>
      </c>
      <c r="C2520" s="2" t="s">
        <v>8933</v>
      </c>
      <c r="D2520" s="2">
        <v>45</v>
      </c>
      <c r="E2520" s="2">
        <v>50</v>
      </c>
      <c r="F2520" s="2" t="s">
        <v>8934</v>
      </c>
      <c r="H2520" s="2" t="s">
        <v>17</v>
      </c>
      <c r="K2520" s="4">
        <v>17575</v>
      </c>
      <c r="M2520" s="2" t="s">
        <v>35</v>
      </c>
      <c r="N2520" s="2" t="s">
        <v>1462</v>
      </c>
    </row>
    <row r="2521" spans="1:14">
      <c r="A2521" s="2">
        <v>2520</v>
      </c>
      <c r="B2521" s="3" t="s">
        <v>8935</v>
      </c>
      <c r="C2521" s="2" t="s">
        <v>8936</v>
      </c>
      <c r="D2521" s="2">
        <v>50</v>
      </c>
      <c r="E2521" s="2">
        <v>50</v>
      </c>
      <c r="F2521" s="2" t="s">
        <v>8937</v>
      </c>
      <c r="H2521" s="2" t="s">
        <v>17</v>
      </c>
      <c r="K2521" s="4">
        <v>12875</v>
      </c>
      <c r="L2521" s="4">
        <v>44640</v>
      </c>
      <c r="M2521" s="2" t="s">
        <v>198</v>
      </c>
      <c r="N2521" s="2" t="s">
        <v>199</v>
      </c>
    </row>
    <row r="2522" spans="1:14">
      <c r="A2522" s="2">
        <v>2521</v>
      </c>
      <c r="B2522" s="3" t="s">
        <v>8938</v>
      </c>
      <c r="C2522" s="2" t="s">
        <v>8939</v>
      </c>
      <c r="D2522" s="2">
        <v>50</v>
      </c>
      <c r="E2522" s="2">
        <v>50</v>
      </c>
      <c r="F2522" s="2" t="s">
        <v>8940</v>
      </c>
      <c r="H2522" s="2" t="s">
        <v>45</v>
      </c>
      <c r="K2522" s="4">
        <v>15718</v>
      </c>
      <c r="M2522" s="2" t="s">
        <v>198</v>
      </c>
      <c r="N2522" s="2" t="s">
        <v>199</v>
      </c>
    </row>
    <row r="2523" spans="1:14">
      <c r="A2523" s="2">
        <v>2522</v>
      </c>
      <c r="B2523" s="3" t="s">
        <v>8941</v>
      </c>
      <c r="C2523" s="2" t="s">
        <v>8942</v>
      </c>
      <c r="D2523" s="2">
        <v>46</v>
      </c>
      <c r="E2523" s="2">
        <v>50</v>
      </c>
      <c r="F2523" s="2" t="s">
        <v>8943</v>
      </c>
      <c r="H2523" s="2" t="s">
        <v>17</v>
      </c>
      <c r="K2523" s="4">
        <v>13847</v>
      </c>
      <c r="M2523" s="2" t="s">
        <v>192</v>
      </c>
      <c r="N2523" s="2" t="s">
        <v>3675</v>
      </c>
    </row>
    <row r="2524" spans="1:14">
      <c r="A2524" s="2">
        <v>2523</v>
      </c>
      <c r="B2524" s="3" t="s">
        <v>8944</v>
      </c>
      <c r="C2524" s="2" t="s">
        <v>8945</v>
      </c>
      <c r="D2524" s="2">
        <v>49</v>
      </c>
      <c r="E2524" s="2">
        <v>50</v>
      </c>
      <c r="F2524" s="2" t="s">
        <v>8946</v>
      </c>
      <c r="H2524" s="2" t="s">
        <v>17</v>
      </c>
      <c r="K2524" s="4">
        <v>18370</v>
      </c>
      <c r="M2524" s="2" t="s">
        <v>47</v>
      </c>
      <c r="N2524" s="2" t="s">
        <v>8947</v>
      </c>
    </row>
    <row r="2525" spans="1:14">
      <c r="A2525" s="2">
        <v>2524</v>
      </c>
      <c r="B2525" s="3" t="s">
        <v>8948</v>
      </c>
      <c r="C2525" s="2" t="s">
        <v>8949</v>
      </c>
      <c r="D2525" s="2">
        <v>50</v>
      </c>
      <c r="E2525" s="2">
        <v>50</v>
      </c>
      <c r="F2525" s="2" t="s">
        <v>8950</v>
      </c>
      <c r="H2525" s="2" t="s">
        <v>17</v>
      </c>
      <c r="K2525" s="4">
        <v>25263</v>
      </c>
      <c r="M2525" s="2" t="s">
        <v>35</v>
      </c>
      <c r="N2525" s="2" t="s">
        <v>8951</v>
      </c>
    </row>
    <row r="2526" spans="1:14">
      <c r="A2526" s="2">
        <v>2525</v>
      </c>
      <c r="B2526" s="3" t="s">
        <v>8952</v>
      </c>
      <c r="C2526" s="2" t="s">
        <v>8953</v>
      </c>
      <c r="D2526" s="2">
        <v>45</v>
      </c>
      <c r="E2526" s="2">
        <v>50</v>
      </c>
      <c r="F2526" s="2" t="s">
        <v>8954</v>
      </c>
      <c r="H2526" s="2" t="s">
        <v>17</v>
      </c>
      <c r="K2526" s="4">
        <v>10690</v>
      </c>
      <c r="L2526" s="4">
        <v>35176</v>
      </c>
      <c r="M2526" s="2" t="s">
        <v>164</v>
      </c>
      <c r="N2526" s="2" t="s">
        <v>1223</v>
      </c>
    </row>
    <row r="2527" spans="1:14">
      <c r="A2527" s="2">
        <v>2526</v>
      </c>
      <c r="B2527" s="3" t="s">
        <v>8955</v>
      </c>
      <c r="C2527" s="2" t="s">
        <v>8956</v>
      </c>
      <c r="D2527" s="2">
        <v>50</v>
      </c>
      <c r="E2527" s="2">
        <v>50</v>
      </c>
      <c r="F2527" s="2" t="s">
        <v>8957</v>
      </c>
      <c r="H2527" s="2" t="s">
        <v>17</v>
      </c>
      <c r="K2527" s="4">
        <v>16394</v>
      </c>
      <c r="M2527" s="2" t="s">
        <v>47</v>
      </c>
      <c r="N2527" s="2" t="s">
        <v>48</v>
      </c>
    </row>
    <row r="2528" spans="1:14">
      <c r="A2528" s="2">
        <v>2527</v>
      </c>
      <c r="B2528" s="3" t="s">
        <v>8958</v>
      </c>
      <c r="C2528" s="2" t="s">
        <v>8959</v>
      </c>
      <c r="D2528" s="2">
        <v>50</v>
      </c>
      <c r="E2528" s="2">
        <v>50</v>
      </c>
      <c r="F2528" s="2" t="s">
        <v>8960</v>
      </c>
      <c r="H2528" s="2" t="s">
        <v>17</v>
      </c>
      <c r="K2528" s="4">
        <v>16984</v>
      </c>
      <c r="M2528" s="2" t="s">
        <v>47</v>
      </c>
      <c r="N2528" s="2" t="s">
        <v>48</v>
      </c>
    </row>
    <row r="2529" spans="1:14">
      <c r="A2529" s="2">
        <v>2528</v>
      </c>
      <c r="B2529" s="3" t="s">
        <v>8961</v>
      </c>
      <c r="C2529" s="2" t="s">
        <v>8962</v>
      </c>
      <c r="D2529" s="2">
        <v>50</v>
      </c>
      <c r="E2529" s="2">
        <v>50</v>
      </c>
      <c r="F2529" s="2" t="s">
        <v>8963</v>
      </c>
      <c r="H2529" s="2" t="s">
        <v>45</v>
      </c>
      <c r="K2529" s="4">
        <v>26573</v>
      </c>
      <c r="M2529" s="2" t="s">
        <v>170</v>
      </c>
      <c r="N2529" s="2" t="s">
        <v>323</v>
      </c>
    </row>
    <row r="2530" spans="1:14">
      <c r="A2530" s="2">
        <v>2529</v>
      </c>
      <c r="B2530" s="3" t="s">
        <v>8964</v>
      </c>
      <c r="C2530" s="2" t="s">
        <v>8965</v>
      </c>
      <c r="D2530" s="2">
        <v>50</v>
      </c>
      <c r="E2530" s="2">
        <v>50</v>
      </c>
      <c r="F2530" s="2" t="s">
        <v>8966</v>
      </c>
      <c r="H2530" s="2" t="s">
        <v>17</v>
      </c>
      <c r="K2530" s="4">
        <v>19011</v>
      </c>
      <c r="M2530" s="2" t="s">
        <v>198</v>
      </c>
      <c r="N2530" s="2" t="s">
        <v>199</v>
      </c>
    </row>
    <row r="2531" spans="1:14">
      <c r="A2531" s="2">
        <v>2530</v>
      </c>
      <c r="B2531" s="3" t="s">
        <v>8967</v>
      </c>
      <c r="C2531" s="2" t="s">
        <v>8968</v>
      </c>
      <c r="D2531" s="2">
        <v>50</v>
      </c>
      <c r="E2531" s="2">
        <v>50</v>
      </c>
      <c r="F2531" s="2" t="s">
        <v>8969</v>
      </c>
      <c r="H2531" s="2" t="s">
        <v>17</v>
      </c>
      <c r="K2531" s="4">
        <v>17479</v>
      </c>
      <c r="M2531" s="2" t="s">
        <v>66</v>
      </c>
      <c r="N2531" s="2" t="s">
        <v>8970</v>
      </c>
    </row>
    <row r="2532" spans="1:14">
      <c r="A2532" s="2">
        <v>2531</v>
      </c>
      <c r="B2532" s="3" t="s">
        <v>8971</v>
      </c>
      <c r="C2532" s="2" t="s">
        <v>8972</v>
      </c>
      <c r="D2532" s="2">
        <v>49</v>
      </c>
      <c r="E2532" s="2">
        <v>50</v>
      </c>
      <c r="F2532" s="2" t="s">
        <v>8973</v>
      </c>
      <c r="H2532" s="2" t="s">
        <v>17</v>
      </c>
      <c r="K2532" s="4">
        <v>18759</v>
      </c>
      <c r="M2532" s="2" t="s">
        <v>53</v>
      </c>
      <c r="N2532" s="2" t="s">
        <v>7241</v>
      </c>
    </row>
    <row r="2533" spans="1:14">
      <c r="A2533" s="2">
        <v>2532</v>
      </c>
      <c r="B2533" s="3" t="s">
        <v>8974</v>
      </c>
      <c r="C2533" s="2" t="s">
        <v>8975</v>
      </c>
      <c r="D2533" s="2">
        <v>50</v>
      </c>
      <c r="E2533" s="2">
        <v>50</v>
      </c>
      <c r="F2533" s="2" t="s">
        <v>8976</v>
      </c>
      <c r="H2533" s="2" t="s">
        <v>17</v>
      </c>
      <c r="K2533" s="4">
        <v>17759</v>
      </c>
      <c r="M2533" s="2" t="s">
        <v>76</v>
      </c>
      <c r="N2533" s="2" t="s">
        <v>8624</v>
      </c>
    </row>
    <row r="2534" spans="1:14">
      <c r="A2534" s="2">
        <v>2533</v>
      </c>
      <c r="B2534" s="3" t="s">
        <v>8977</v>
      </c>
      <c r="C2534" s="2" t="s">
        <v>8978</v>
      </c>
      <c r="D2534" s="2">
        <v>49</v>
      </c>
      <c r="E2534" s="2">
        <v>50</v>
      </c>
      <c r="F2534" s="2" t="s">
        <v>8979</v>
      </c>
      <c r="H2534" s="2" t="s">
        <v>17</v>
      </c>
      <c r="K2534" s="4">
        <v>13328</v>
      </c>
      <c r="L2534" s="4">
        <v>39331</v>
      </c>
      <c r="M2534" s="2" t="s">
        <v>35</v>
      </c>
      <c r="N2534" s="2" t="s">
        <v>2466</v>
      </c>
    </row>
    <row r="2535" spans="1:14">
      <c r="A2535" s="2">
        <v>2534</v>
      </c>
      <c r="B2535" s="3" t="s">
        <v>8980</v>
      </c>
      <c r="C2535" s="2" t="s">
        <v>8981</v>
      </c>
      <c r="D2535" s="2">
        <v>50</v>
      </c>
      <c r="E2535" s="2">
        <v>50</v>
      </c>
      <c r="F2535" s="2" t="s">
        <v>8982</v>
      </c>
      <c r="H2535" s="2" t="s">
        <v>17</v>
      </c>
      <c r="K2535" s="4">
        <v>11710</v>
      </c>
      <c r="M2535" s="2" t="s">
        <v>140</v>
      </c>
      <c r="N2535" s="2" t="s">
        <v>3352</v>
      </c>
    </row>
    <row r="2536" spans="1:14">
      <c r="A2536" s="2">
        <v>2535</v>
      </c>
      <c r="B2536" s="3" t="s">
        <v>8983</v>
      </c>
      <c r="C2536" s="2" t="s">
        <v>8984</v>
      </c>
      <c r="D2536" s="2">
        <v>50</v>
      </c>
      <c r="E2536" s="2">
        <v>50</v>
      </c>
      <c r="F2536" s="2" t="s">
        <v>8984</v>
      </c>
      <c r="H2536" s="2" t="s">
        <v>17</v>
      </c>
      <c r="K2536" s="4">
        <v>13485</v>
      </c>
      <c r="L2536" s="4">
        <v>45355</v>
      </c>
      <c r="M2536" s="2" t="s">
        <v>47</v>
      </c>
      <c r="N2536" s="2" t="s">
        <v>8985</v>
      </c>
    </row>
    <row r="2537" spans="1:14">
      <c r="A2537" s="2">
        <v>2536</v>
      </c>
      <c r="B2537" s="3" t="s">
        <v>8986</v>
      </c>
      <c r="C2537" s="2" t="s">
        <v>8987</v>
      </c>
      <c r="D2537" s="2">
        <v>50</v>
      </c>
      <c r="E2537" s="2">
        <v>50</v>
      </c>
      <c r="F2537" s="2" t="s">
        <v>8988</v>
      </c>
      <c r="H2537" s="2" t="s">
        <v>17</v>
      </c>
      <c r="K2537" s="4">
        <v>15351</v>
      </c>
      <c r="M2537" s="2" t="s">
        <v>66</v>
      </c>
    </row>
    <row r="2538" spans="1:14">
      <c r="A2538" s="2">
        <v>2537</v>
      </c>
      <c r="B2538" s="3" t="s">
        <v>8989</v>
      </c>
      <c r="C2538" s="2" t="s">
        <v>8990</v>
      </c>
      <c r="D2538" s="2">
        <v>48</v>
      </c>
      <c r="E2538" s="2">
        <v>50</v>
      </c>
      <c r="F2538" s="2" t="s">
        <v>8991</v>
      </c>
      <c r="H2538" s="2" t="s">
        <v>17</v>
      </c>
      <c r="K2538" s="4">
        <v>8821</v>
      </c>
      <c r="L2538" s="4">
        <v>37048</v>
      </c>
      <c r="M2538" s="2" t="s">
        <v>198</v>
      </c>
      <c r="N2538" s="2" t="s">
        <v>8992</v>
      </c>
    </row>
    <row r="2539" spans="1:14">
      <c r="A2539" s="2">
        <v>2538</v>
      </c>
      <c r="B2539" s="3" t="s">
        <v>8993</v>
      </c>
      <c r="C2539" s="2" t="s">
        <v>8225</v>
      </c>
      <c r="D2539" s="2">
        <v>50</v>
      </c>
      <c r="E2539" s="2">
        <v>50</v>
      </c>
      <c r="F2539" s="2" t="s">
        <v>8994</v>
      </c>
      <c r="H2539" s="2" t="s">
        <v>17</v>
      </c>
      <c r="K2539" s="4">
        <v>18850</v>
      </c>
      <c r="M2539" s="2" t="s">
        <v>91</v>
      </c>
      <c r="N2539" s="2" t="s">
        <v>368</v>
      </c>
    </row>
    <row r="2540" spans="1:14">
      <c r="A2540" s="2">
        <v>2539</v>
      </c>
      <c r="B2540" s="3" t="s">
        <v>8995</v>
      </c>
      <c r="C2540" s="2" t="s">
        <v>8996</v>
      </c>
      <c r="D2540" s="2">
        <v>50</v>
      </c>
      <c r="E2540" s="2">
        <v>50</v>
      </c>
      <c r="F2540" s="2" t="s">
        <v>8996</v>
      </c>
      <c r="H2540" s="2" t="s">
        <v>17</v>
      </c>
      <c r="K2540" s="4">
        <v>9840</v>
      </c>
      <c r="L2540" s="4">
        <v>42630</v>
      </c>
      <c r="M2540" s="2" t="s">
        <v>170</v>
      </c>
      <c r="N2540" s="2" t="s">
        <v>323</v>
      </c>
    </row>
    <row r="2541" spans="1:14">
      <c r="A2541" s="2">
        <v>2540</v>
      </c>
      <c r="B2541" s="3" t="s">
        <v>8997</v>
      </c>
      <c r="C2541" s="2" t="s">
        <v>8998</v>
      </c>
      <c r="D2541" s="2">
        <v>49</v>
      </c>
      <c r="E2541" s="2">
        <v>49</v>
      </c>
      <c r="F2541" s="2" t="s">
        <v>8999</v>
      </c>
      <c r="H2541" s="2" t="s">
        <v>17</v>
      </c>
      <c r="K2541" s="4">
        <v>16251</v>
      </c>
      <c r="L2541" s="4">
        <v>44755</v>
      </c>
      <c r="M2541" s="2" t="s">
        <v>47</v>
      </c>
      <c r="N2541" s="2" t="s">
        <v>3765</v>
      </c>
    </row>
    <row r="2542" spans="1:14">
      <c r="A2542" s="2">
        <v>2541</v>
      </c>
      <c r="B2542" s="3" t="s">
        <v>9000</v>
      </c>
      <c r="C2542" s="2" t="s">
        <v>9001</v>
      </c>
      <c r="D2542" s="2">
        <v>49</v>
      </c>
      <c r="E2542" s="2">
        <v>49</v>
      </c>
      <c r="F2542" s="2" t="s">
        <v>9002</v>
      </c>
      <c r="H2542" s="2" t="s">
        <v>17</v>
      </c>
      <c r="K2542" s="4">
        <v>17773</v>
      </c>
      <c r="M2542" s="2" t="s">
        <v>35</v>
      </c>
      <c r="N2542" s="2" t="s">
        <v>7082</v>
      </c>
    </row>
    <row r="2543" spans="1:14">
      <c r="A2543" s="2">
        <v>2542</v>
      </c>
      <c r="B2543" s="3" t="s">
        <v>9003</v>
      </c>
      <c r="C2543" s="2" t="s">
        <v>9004</v>
      </c>
      <c r="D2543" s="2">
        <v>45</v>
      </c>
      <c r="E2543" s="2">
        <v>49</v>
      </c>
      <c r="F2543" s="2" t="s">
        <v>9005</v>
      </c>
      <c r="H2543" s="2" t="s">
        <v>17</v>
      </c>
      <c r="K2543" s="4">
        <v>15878</v>
      </c>
      <c r="M2543" s="2" t="s">
        <v>47</v>
      </c>
      <c r="N2543" s="2" t="s">
        <v>9006</v>
      </c>
    </row>
    <row r="2544" spans="1:14">
      <c r="A2544" s="2">
        <v>2543</v>
      </c>
      <c r="B2544" s="3" t="s">
        <v>9007</v>
      </c>
      <c r="C2544" s="2" t="s">
        <v>9008</v>
      </c>
      <c r="D2544" s="2">
        <v>45</v>
      </c>
      <c r="E2544" s="2">
        <v>49</v>
      </c>
      <c r="F2544" s="2" t="s">
        <v>9009</v>
      </c>
      <c r="H2544" s="2" t="s">
        <v>17</v>
      </c>
      <c r="K2544" s="4">
        <v>9096</v>
      </c>
      <c r="L2544" s="4">
        <v>42252</v>
      </c>
      <c r="M2544" s="2" t="s">
        <v>164</v>
      </c>
      <c r="N2544" s="2" t="s">
        <v>165</v>
      </c>
    </row>
    <row r="2545" spans="1:14">
      <c r="A2545" s="2">
        <v>2544</v>
      </c>
      <c r="B2545" s="3" t="s">
        <v>9010</v>
      </c>
      <c r="C2545" s="2" t="s">
        <v>9011</v>
      </c>
      <c r="D2545" s="2">
        <v>49</v>
      </c>
      <c r="E2545" s="2">
        <v>49</v>
      </c>
      <c r="F2545" s="2" t="s">
        <v>9012</v>
      </c>
      <c r="H2545" s="2" t="s">
        <v>17</v>
      </c>
      <c r="K2545" s="4">
        <v>14592</v>
      </c>
      <c r="M2545" s="2" t="s">
        <v>53</v>
      </c>
      <c r="N2545" s="2" t="s">
        <v>9013</v>
      </c>
    </row>
    <row r="2546" spans="1:14">
      <c r="A2546" s="2">
        <v>2545</v>
      </c>
      <c r="B2546" s="3" t="s">
        <v>9014</v>
      </c>
      <c r="C2546" s="2" t="s">
        <v>9015</v>
      </c>
      <c r="D2546" s="2">
        <v>49</v>
      </c>
      <c r="E2546" s="2">
        <v>49</v>
      </c>
      <c r="F2546" s="2" t="s">
        <v>9016</v>
      </c>
      <c r="H2546" s="2" t="s">
        <v>17</v>
      </c>
      <c r="K2546" s="4">
        <v>20585</v>
      </c>
      <c r="M2546" s="2" t="s">
        <v>185</v>
      </c>
      <c r="N2546" s="2" t="s">
        <v>838</v>
      </c>
    </row>
    <row r="2547" spans="1:14">
      <c r="A2547" s="2">
        <v>2546</v>
      </c>
      <c r="B2547" s="3" t="s">
        <v>9017</v>
      </c>
      <c r="C2547" s="2" t="s">
        <v>9018</v>
      </c>
      <c r="D2547" s="2">
        <v>47</v>
      </c>
      <c r="E2547" s="2">
        <v>49</v>
      </c>
      <c r="F2547" s="2" t="s">
        <v>9019</v>
      </c>
      <c r="H2547" s="2" t="s">
        <v>17</v>
      </c>
      <c r="K2547" s="4">
        <v>14279</v>
      </c>
      <c r="L2547" s="4">
        <v>45264</v>
      </c>
      <c r="M2547" s="2" t="s">
        <v>66</v>
      </c>
      <c r="N2547" s="2" t="s">
        <v>3043</v>
      </c>
    </row>
    <row r="2548" spans="1:14">
      <c r="A2548" s="2">
        <v>2547</v>
      </c>
      <c r="B2548" s="3" t="s">
        <v>9020</v>
      </c>
      <c r="C2548" s="2" t="s">
        <v>9021</v>
      </c>
      <c r="D2548" s="2">
        <v>48</v>
      </c>
      <c r="E2548" s="2">
        <v>49</v>
      </c>
      <c r="F2548" s="2" t="s">
        <v>9022</v>
      </c>
      <c r="H2548" s="2" t="s">
        <v>17</v>
      </c>
      <c r="K2548" s="4">
        <v>12960</v>
      </c>
      <c r="L2548" s="4">
        <v>34731</v>
      </c>
      <c r="M2548" s="2" t="s">
        <v>154</v>
      </c>
      <c r="N2548" s="2" t="s">
        <v>208</v>
      </c>
    </row>
    <row r="2549" spans="1:14">
      <c r="A2549" s="2">
        <v>2548</v>
      </c>
      <c r="B2549" s="3" t="s">
        <v>9023</v>
      </c>
      <c r="C2549" s="2" t="s">
        <v>9024</v>
      </c>
      <c r="D2549" s="2">
        <v>48</v>
      </c>
      <c r="E2549" s="2">
        <v>49</v>
      </c>
      <c r="F2549" s="2" t="s">
        <v>9025</v>
      </c>
      <c r="H2549" s="2" t="s">
        <v>17</v>
      </c>
      <c r="K2549" s="4">
        <v>15680</v>
      </c>
      <c r="M2549" s="2" t="s">
        <v>35</v>
      </c>
      <c r="N2549" s="2" t="s">
        <v>858</v>
      </c>
    </row>
    <row r="2550" spans="1:14">
      <c r="A2550" s="2">
        <v>2549</v>
      </c>
      <c r="B2550" s="3" t="s">
        <v>9026</v>
      </c>
      <c r="C2550" s="2" t="s">
        <v>9027</v>
      </c>
      <c r="D2550" s="2">
        <v>38</v>
      </c>
      <c r="E2550" s="2">
        <v>49</v>
      </c>
      <c r="F2550" s="2" t="s">
        <v>9028</v>
      </c>
      <c r="H2550" s="2" t="s">
        <v>17</v>
      </c>
      <c r="K2550" s="4">
        <v>7894</v>
      </c>
      <c r="L2550" s="4">
        <v>38843</v>
      </c>
      <c r="M2550" s="2" t="s">
        <v>336</v>
      </c>
      <c r="N2550" s="2" t="s">
        <v>9029</v>
      </c>
    </row>
    <row r="2551" spans="1:14">
      <c r="A2551" s="2">
        <v>2550</v>
      </c>
      <c r="B2551" s="3" t="s">
        <v>9030</v>
      </c>
      <c r="C2551" s="2" t="s">
        <v>9031</v>
      </c>
      <c r="D2551" s="2">
        <v>49</v>
      </c>
      <c r="E2551" s="2">
        <v>49</v>
      </c>
      <c r="F2551" s="2" t="s">
        <v>9032</v>
      </c>
      <c r="H2551" s="2" t="s">
        <v>17</v>
      </c>
      <c r="K2551" s="4">
        <v>19185</v>
      </c>
      <c r="M2551" s="2" t="s">
        <v>35</v>
      </c>
      <c r="N2551" s="2" t="s">
        <v>4951</v>
      </c>
    </row>
    <row r="2552" spans="1:14">
      <c r="A2552" s="2">
        <v>2551</v>
      </c>
      <c r="B2552" s="3" t="s">
        <v>9033</v>
      </c>
      <c r="C2552" s="2" t="s">
        <v>9034</v>
      </c>
      <c r="D2552" s="2">
        <v>49</v>
      </c>
      <c r="E2552" s="2">
        <v>49</v>
      </c>
      <c r="F2552" s="2" t="s">
        <v>9035</v>
      </c>
      <c r="H2552" s="2" t="s">
        <v>17</v>
      </c>
      <c r="K2552" s="4">
        <v>18813</v>
      </c>
      <c r="M2552" s="2" t="s">
        <v>154</v>
      </c>
      <c r="N2552" s="2" t="s">
        <v>935</v>
      </c>
    </row>
    <row r="2553" spans="1:14">
      <c r="A2553" s="2">
        <v>2552</v>
      </c>
      <c r="B2553" s="3" t="s">
        <v>9036</v>
      </c>
      <c r="C2553" s="2" t="s">
        <v>9037</v>
      </c>
      <c r="D2553" s="2">
        <v>44</v>
      </c>
      <c r="E2553" s="2">
        <v>49</v>
      </c>
      <c r="F2553" s="2" t="s">
        <v>9038</v>
      </c>
      <c r="H2553" s="2" t="s">
        <v>17</v>
      </c>
      <c r="K2553" s="4">
        <v>13166</v>
      </c>
      <c r="L2553" s="4">
        <v>37134</v>
      </c>
      <c r="M2553" s="2" t="s">
        <v>66</v>
      </c>
      <c r="N2553" s="2" t="s">
        <v>359</v>
      </c>
    </row>
    <row r="2554" spans="1:14">
      <c r="A2554" s="2">
        <v>2553</v>
      </c>
      <c r="B2554" s="3" t="s">
        <v>9039</v>
      </c>
      <c r="C2554" s="2" t="s">
        <v>9040</v>
      </c>
      <c r="D2554" s="2">
        <v>46</v>
      </c>
      <c r="E2554" s="2">
        <v>49</v>
      </c>
      <c r="F2554" s="2" t="s">
        <v>9041</v>
      </c>
      <c r="H2554" s="2" t="s">
        <v>17</v>
      </c>
      <c r="K2554" s="4">
        <v>9527</v>
      </c>
      <c r="L2554" s="4">
        <v>38704</v>
      </c>
      <c r="M2554" s="2" t="s">
        <v>40</v>
      </c>
      <c r="N2554" s="2" t="s">
        <v>41</v>
      </c>
    </row>
    <row r="2555" spans="1:14">
      <c r="A2555" s="2">
        <v>2554</v>
      </c>
      <c r="B2555" s="3" t="s">
        <v>9042</v>
      </c>
      <c r="C2555" s="2" t="s">
        <v>9043</v>
      </c>
      <c r="D2555" s="2">
        <v>47</v>
      </c>
      <c r="E2555" s="2">
        <v>49</v>
      </c>
      <c r="F2555" s="2" t="s">
        <v>9044</v>
      </c>
      <c r="H2555" s="2" t="s">
        <v>17</v>
      </c>
      <c r="K2555" s="4">
        <v>12120</v>
      </c>
      <c r="L2555" s="4">
        <v>42239</v>
      </c>
      <c r="M2555" s="2" t="s">
        <v>35</v>
      </c>
      <c r="N2555" s="2" t="s">
        <v>58</v>
      </c>
    </row>
    <row r="2556" spans="1:14">
      <c r="A2556" s="2">
        <v>2555</v>
      </c>
      <c r="B2556" s="3" t="s">
        <v>9045</v>
      </c>
      <c r="C2556" s="2" t="s">
        <v>9046</v>
      </c>
      <c r="D2556" s="2">
        <v>49</v>
      </c>
      <c r="E2556" s="2">
        <v>49</v>
      </c>
      <c r="F2556" s="2" t="s">
        <v>9047</v>
      </c>
      <c r="H2556" s="2" t="s">
        <v>17</v>
      </c>
      <c r="K2556" s="4">
        <v>15239</v>
      </c>
      <c r="M2556" s="2" t="s">
        <v>66</v>
      </c>
      <c r="N2556" s="2" t="s">
        <v>3384</v>
      </c>
    </row>
    <row r="2557" spans="1:14">
      <c r="A2557" s="2">
        <v>2556</v>
      </c>
      <c r="B2557" s="3" t="s">
        <v>9048</v>
      </c>
      <c r="C2557" s="2" t="s">
        <v>9049</v>
      </c>
      <c r="D2557" s="2">
        <v>49</v>
      </c>
      <c r="E2557" s="2">
        <v>49</v>
      </c>
      <c r="F2557" s="2" t="s">
        <v>9050</v>
      </c>
      <c r="H2557" s="2" t="s">
        <v>17</v>
      </c>
      <c r="K2557" s="4">
        <v>12602</v>
      </c>
      <c r="N2557" s="2" t="s">
        <v>9051</v>
      </c>
    </row>
    <row r="2558" spans="1:14">
      <c r="A2558" s="2">
        <v>2557</v>
      </c>
      <c r="B2558" s="3" t="s">
        <v>9052</v>
      </c>
      <c r="C2558" s="2" t="s">
        <v>9053</v>
      </c>
      <c r="D2558" s="2">
        <v>48</v>
      </c>
      <c r="E2558" s="2">
        <v>49</v>
      </c>
      <c r="F2558" s="2" t="s">
        <v>9054</v>
      </c>
      <c r="H2558" s="2" t="s">
        <v>17</v>
      </c>
      <c r="K2558" s="4">
        <v>19176</v>
      </c>
      <c r="M2558" s="2" t="s">
        <v>66</v>
      </c>
      <c r="N2558" s="2" t="s">
        <v>9055</v>
      </c>
    </row>
    <row r="2559" spans="1:14">
      <c r="A2559" s="2">
        <v>2558</v>
      </c>
      <c r="B2559" s="3" t="s">
        <v>9056</v>
      </c>
      <c r="C2559" s="2" t="s">
        <v>9057</v>
      </c>
      <c r="D2559" s="2">
        <v>48</v>
      </c>
      <c r="E2559" s="2">
        <v>49</v>
      </c>
      <c r="F2559" s="2" t="s">
        <v>9058</v>
      </c>
      <c r="H2559" s="2" t="s">
        <v>17</v>
      </c>
      <c r="K2559" s="4">
        <v>15369</v>
      </c>
      <c r="L2559" s="4">
        <v>44077</v>
      </c>
      <c r="M2559" s="2" t="s">
        <v>53</v>
      </c>
      <c r="N2559" s="2" t="s">
        <v>1697</v>
      </c>
    </row>
    <row r="2560" spans="1:14">
      <c r="A2560" s="2">
        <v>2559</v>
      </c>
      <c r="B2560" s="3" t="s">
        <v>9059</v>
      </c>
      <c r="C2560" s="2" t="s">
        <v>9060</v>
      </c>
      <c r="D2560" s="2">
        <v>49</v>
      </c>
      <c r="E2560" s="2">
        <v>49</v>
      </c>
      <c r="F2560" s="2" t="s">
        <v>9061</v>
      </c>
      <c r="H2560" s="2" t="s">
        <v>17</v>
      </c>
      <c r="K2560" s="4">
        <v>17542</v>
      </c>
      <c r="L2560" s="4">
        <v>44762</v>
      </c>
      <c r="M2560" s="2" t="s">
        <v>146</v>
      </c>
      <c r="N2560" s="2" t="s">
        <v>9062</v>
      </c>
    </row>
    <row r="2561" spans="1:14">
      <c r="A2561" s="2">
        <v>2560</v>
      </c>
      <c r="B2561" s="3" t="s">
        <v>9063</v>
      </c>
      <c r="C2561" s="2" t="s">
        <v>9064</v>
      </c>
      <c r="D2561" s="2">
        <v>45</v>
      </c>
      <c r="E2561" s="2">
        <v>49</v>
      </c>
      <c r="F2561" s="2" t="s">
        <v>9065</v>
      </c>
      <c r="H2561" s="2" t="s">
        <v>17</v>
      </c>
      <c r="K2561" s="4">
        <v>12728</v>
      </c>
      <c r="L2561" s="4">
        <v>39322</v>
      </c>
      <c r="M2561" s="2" t="s">
        <v>47</v>
      </c>
      <c r="N2561" s="2" t="s">
        <v>8455</v>
      </c>
    </row>
    <row r="2562" spans="1:14">
      <c r="A2562" s="2">
        <v>2561</v>
      </c>
      <c r="B2562" s="3" t="s">
        <v>9066</v>
      </c>
      <c r="C2562" s="2" t="s">
        <v>9067</v>
      </c>
      <c r="D2562" s="2">
        <v>49</v>
      </c>
      <c r="E2562" s="2">
        <v>49</v>
      </c>
      <c r="F2562" s="2" t="s">
        <v>9068</v>
      </c>
      <c r="H2562" s="2" t="s">
        <v>17</v>
      </c>
      <c r="K2562" s="4">
        <v>18373</v>
      </c>
      <c r="M2562" s="2" t="s">
        <v>170</v>
      </c>
      <c r="N2562" s="2" t="s">
        <v>9069</v>
      </c>
    </row>
    <row r="2563" spans="1:14">
      <c r="A2563" s="2">
        <v>2562</v>
      </c>
      <c r="B2563" s="3" t="s">
        <v>9070</v>
      </c>
      <c r="C2563" s="2" t="s">
        <v>9071</v>
      </c>
      <c r="D2563" s="2">
        <v>47</v>
      </c>
      <c r="E2563" s="2">
        <v>49</v>
      </c>
      <c r="F2563" s="2" t="s">
        <v>9072</v>
      </c>
      <c r="H2563" s="2" t="s">
        <v>17</v>
      </c>
      <c r="K2563" s="4">
        <v>13473</v>
      </c>
      <c r="M2563" s="2" t="s">
        <v>47</v>
      </c>
      <c r="N2563" s="2" t="s">
        <v>48</v>
      </c>
    </row>
    <row r="2564" spans="1:14">
      <c r="A2564" s="2">
        <v>2563</v>
      </c>
      <c r="B2564" s="3" t="s">
        <v>9073</v>
      </c>
      <c r="C2564" s="2" t="s">
        <v>9074</v>
      </c>
      <c r="D2564" s="2">
        <v>49</v>
      </c>
      <c r="E2564" s="2">
        <v>49</v>
      </c>
      <c r="F2564" s="2" t="s">
        <v>9075</v>
      </c>
      <c r="H2564" s="2" t="s">
        <v>17</v>
      </c>
      <c r="K2564" s="4">
        <v>15825</v>
      </c>
      <c r="L2564" s="4">
        <v>44082</v>
      </c>
      <c r="M2564" s="2" t="s">
        <v>192</v>
      </c>
      <c r="N2564" s="2" t="s">
        <v>9076</v>
      </c>
    </row>
    <row r="2565" spans="1:14">
      <c r="A2565" s="2">
        <v>2564</v>
      </c>
      <c r="B2565" s="3" t="s">
        <v>9077</v>
      </c>
      <c r="C2565" s="2" t="s">
        <v>9078</v>
      </c>
      <c r="D2565" s="2">
        <v>49</v>
      </c>
      <c r="E2565" s="2">
        <v>49</v>
      </c>
      <c r="F2565" s="2" t="s">
        <v>9079</v>
      </c>
      <c r="H2565" s="2" t="s">
        <v>17</v>
      </c>
      <c r="K2565" s="4">
        <v>13976</v>
      </c>
      <c r="M2565" s="2" t="s">
        <v>423</v>
      </c>
      <c r="N2565" s="2" t="s">
        <v>4842</v>
      </c>
    </row>
    <row r="2566" spans="1:14">
      <c r="A2566" s="2">
        <v>2565</v>
      </c>
      <c r="B2566" s="3" t="s">
        <v>9080</v>
      </c>
      <c r="C2566" s="2" t="s">
        <v>9081</v>
      </c>
      <c r="D2566" s="2">
        <v>49</v>
      </c>
      <c r="E2566" s="2">
        <v>49</v>
      </c>
      <c r="F2566" s="2" t="s">
        <v>9082</v>
      </c>
      <c r="H2566" s="2" t="s">
        <v>17</v>
      </c>
      <c r="K2566" s="4">
        <v>17670</v>
      </c>
      <c r="M2566" s="2" t="s">
        <v>164</v>
      </c>
      <c r="N2566" s="2" t="s">
        <v>3118</v>
      </c>
    </row>
    <row r="2567" spans="1:14">
      <c r="A2567" s="2">
        <v>2566</v>
      </c>
      <c r="B2567" s="3" t="s">
        <v>9083</v>
      </c>
      <c r="C2567" s="2" t="s">
        <v>9084</v>
      </c>
      <c r="D2567" s="2">
        <v>48</v>
      </c>
      <c r="E2567" s="2">
        <v>49</v>
      </c>
      <c r="F2567" s="2" t="s">
        <v>9085</v>
      </c>
      <c r="H2567" s="2" t="s">
        <v>17</v>
      </c>
      <c r="K2567" s="4">
        <v>13152</v>
      </c>
      <c r="L2567" s="4">
        <v>39577</v>
      </c>
      <c r="M2567" s="2" t="s">
        <v>170</v>
      </c>
      <c r="N2567" s="2" t="s">
        <v>323</v>
      </c>
    </row>
    <row r="2568" spans="1:14">
      <c r="A2568" s="2">
        <v>2567</v>
      </c>
      <c r="B2568" s="3" t="s">
        <v>9086</v>
      </c>
      <c r="C2568" s="2" t="s">
        <v>9087</v>
      </c>
      <c r="D2568" s="2">
        <v>49</v>
      </c>
      <c r="E2568" s="2">
        <v>49</v>
      </c>
      <c r="F2568" s="2" t="s">
        <v>9088</v>
      </c>
      <c r="H2568" s="2" t="s">
        <v>17</v>
      </c>
      <c r="K2568" s="4">
        <v>16439</v>
      </c>
      <c r="M2568" s="2" t="s">
        <v>66</v>
      </c>
      <c r="N2568" s="2" t="s">
        <v>730</v>
      </c>
    </row>
    <row r="2569" spans="1:14">
      <c r="A2569" s="2">
        <v>2568</v>
      </c>
      <c r="B2569" s="3" t="s">
        <v>9089</v>
      </c>
      <c r="C2569" s="2" t="s">
        <v>9090</v>
      </c>
      <c r="D2569" s="2">
        <v>49</v>
      </c>
      <c r="E2569" s="2">
        <v>49</v>
      </c>
      <c r="F2569" s="2" t="s">
        <v>9091</v>
      </c>
      <c r="H2569" s="2" t="s">
        <v>17</v>
      </c>
      <c r="K2569" s="4">
        <v>12592</v>
      </c>
      <c r="N2569" s="2" t="s">
        <v>9092</v>
      </c>
    </row>
    <row r="2570" spans="1:14">
      <c r="A2570" s="2">
        <v>2569</v>
      </c>
      <c r="B2570" s="3" t="s">
        <v>9093</v>
      </c>
      <c r="C2570" s="2" t="s">
        <v>9094</v>
      </c>
      <c r="D2570" s="2">
        <v>49</v>
      </c>
      <c r="E2570" s="2">
        <v>49</v>
      </c>
      <c r="F2570" s="2" t="s">
        <v>9095</v>
      </c>
      <c r="H2570" s="2" t="s">
        <v>17</v>
      </c>
      <c r="K2570" s="4">
        <v>19104</v>
      </c>
      <c r="M2570" s="2" t="s">
        <v>47</v>
      </c>
      <c r="N2570" s="2" t="s">
        <v>9096</v>
      </c>
    </row>
    <row r="2571" spans="1:14">
      <c r="A2571" s="2">
        <v>2570</v>
      </c>
      <c r="B2571" s="3" t="s">
        <v>9097</v>
      </c>
      <c r="C2571" s="2" t="s">
        <v>9098</v>
      </c>
      <c r="D2571" s="2">
        <v>49</v>
      </c>
      <c r="E2571" s="2">
        <v>49</v>
      </c>
      <c r="F2571" s="2" t="s">
        <v>9099</v>
      </c>
      <c r="H2571" s="2" t="s">
        <v>17</v>
      </c>
      <c r="K2571" s="4">
        <v>16102</v>
      </c>
      <c r="M2571" s="2" t="s">
        <v>91</v>
      </c>
      <c r="N2571" s="2" t="s">
        <v>677</v>
      </c>
    </row>
    <row r="2572" spans="1:14">
      <c r="A2572" s="2">
        <v>2571</v>
      </c>
      <c r="B2572" s="3" t="s">
        <v>9100</v>
      </c>
      <c r="C2572" s="2" t="s">
        <v>9101</v>
      </c>
      <c r="D2572" s="2">
        <v>49</v>
      </c>
      <c r="E2572" s="2">
        <v>49</v>
      </c>
      <c r="F2572" s="2" t="s">
        <v>9102</v>
      </c>
      <c r="H2572" s="2" t="s">
        <v>17</v>
      </c>
      <c r="K2572" s="4">
        <v>16824</v>
      </c>
      <c r="M2572" s="2" t="s">
        <v>40</v>
      </c>
      <c r="N2572" s="2" t="s">
        <v>41</v>
      </c>
    </row>
    <row r="2573" spans="1:14">
      <c r="A2573" s="2">
        <v>2572</v>
      </c>
      <c r="B2573" s="3" t="s">
        <v>9103</v>
      </c>
      <c r="C2573" s="2" t="s">
        <v>9104</v>
      </c>
      <c r="D2573" s="2">
        <v>48</v>
      </c>
      <c r="E2573" s="2">
        <v>49</v>
      </c>
      <c r="F2573" s="2" t="s">
        <v>9105</v>
      </c>
      <c r="H2573" s="2" t="s">
        <v>45</v>
      </c>
      <c r="K2573" s="4">
        <v>14621</v>
      </c>
      <c r="M2573" s="2" t="s">
        <v>30</v>
      </c>
      <c r="N2573" s="2" t="s">
        <v>9106</v>
      </c>
    </row>
    <row r="2574" spans="1:14">
      <c r="A2574" s="2">
        <v>2573</v>
      </c>
      <c r="B2574" s="3" t="s">
        <v>9107</v>
      </c>
      <c r="C2574" s="2" t="s">
        <v>9108</v>
      </c>
      <c r="D2574" s="2">
        <v>41</v>
      </c>
      <c r="E2574" s="2">
        <v>49</v>
      </c>
      <c r="F2574" s="2" t="s">
        <v>9109</v>
      </c>
      <c r="H2574" s="2" t="s">
        <v>17</v>
      </c>
      <c r="K2574" s="4">
        <v>8392</v>
      </c>
      <c r="L2574" s="4">
        <v>34214</v>
      </c>
      <c r="M2574" s="2" t="s">
        <v>170</v>
      </c>
      <c r="N2574" s="2" t="s">
        <v>323</v>
      </c>
    </row>
    <row r="2575" spans="1:14">
      <c r="A2575" s="2">
        <v>2574</v>
      </c>
      <c r="B2575" s="3" t="s">
        <v>9110</v>
      </c>
      <c r="C2575" s="2" t="s">
        <v>9111</v>
      </c>
      <c r="D2575" s="2">
        <v>47</v>
      </c>
      <c r="E2575" s="2">
        <v>49</v>
      </c>
      <c r="F2575" s="2" t="s">
        <v>9112</v>
      </c>
      <c r="H2575" s="2" t="s">
        <v>17</v>
      </c>
      <c r="K2575" s="4">
        <v>14000</v>
      </c>
      <c r="L2575" s="4">
        <v>33510</v>
      </c>
      <c r="M2575" s="2" t="s">
        <v>185</v>
      </c>
      <c r="N2575" s="2" t="s">
        <v>9113</v>
      </c>
    </row>
    <row r="2576" spans="1:14">
      <c r="A2576" s="2">
        <v>2575</v>
      </c>
      <c r="B2576" s="3" t="s">
        <v>9114</v>
      </c>
      <c r="C2576" s="2" t="s">
        <v>9115</v>
      </c>
      <c r="D2576" s="2">
        <v>49</v>
      </c>
      <c r="E2576" s="2">
        <v>49</v>
      </c>
      <c r="F2576" s="2" t="s">
        <v>9116</v>
      </c>
      <c r="H2576" s="2" t="s">
        <v>17</v>
      </c>
      <c r="K2576" s="4">
        <v>18630</v>
      </c>
      <c r="M2576" s="2" t="s">
        <v>140</v>
      </c>
      <c r="N2576" s="2" t="s">
        <v>5850</v>
      </c>
    </row>
    <row r="2577" spans="1:14">
      <c r="A2577" s="2">
        <v>2576</v>
      </c>
      <c r="B2577" s="3" t="s">
        <v>9117</v>
      </c>
      <c r="C2577" s="2" t="s">
        <v>9118</v>
      </c>
      <c r="D2577" s="2">
        <v>49</v>
      </c>
      <c r="E2577" s="2">
        <v>49</v>
      </c>
      <c r="F2577" s="2" t="s">
        <v>9119</v>
      </c>
      <c r="H2577" s="2" t="s">
        <v>17</v>
      </c>
      <c r="K2577" s="4">
        <v>11969</v>
      </c>
      <c r="L2577" s="4">
        <v>34895</v>
      </c>
      <c r="M2577" s="2" t="s">
        <v>35</v>
      </c>
      <c r="N2577" s="2" t="s">
        <v>9120</v>
      </c>
    </row>
    <row r="2578" spans="1:14">
      <c r="A2578" s="2">
        <v>2577</v>
      </c>
      <c r="B2578" s="3" t="s">
        <v>9121</v>
      </c>
      <c r="C2578" s="2" t="s">
        <v>9122</v>
      </c>
      <c r="D2578" s="2">
        <v>43</v>
      </c>
      <c r="E2578" s="2">
        <v>49</v>
      </c>
      <c r="F2578" s="2" t="s">
        <v>9123</v>
      </c>
      <c r="H2578" s="2" t="s">
        <v>17</v>
      </c>
      <c r="K2578" s="4">
        <v>9976</v>
      </c>
      <c r="L2578" s="4">
        <v>35091</v>
      </c>
      <c r="M2578" s="2" t="s">
        <v>47</v>
      </c>
      <c r="N2578" s="2" t="s">
        <v>9124</v>
      </c>
    </row>
    <row r="2579" spans="1:14">
      <c r="A2579" s="2">
        <v>2578</v>
      </c>
      <c r="B2579" s="3" t="s">
        <v>9125</v>
      </c>
      <c r="C2579" s="2" t="s">
        <v>9126</v>
      </c>
      <c r="D2579" s="2">
        <v>49</v>
      </c>
      <c r="E2579" s="2">
        <v>49</v>
      </c>
      <c r="F2579" s="2" t="s">
        <v>9127</v>
      </c>
      <c r="H2579" s="2" t="s">
        <v>17</v>
      </c>
      <c r="K2579" s="4">
        <v>14859</v>
      </c>
      <c r="M2579" s="2" t="s">
        <v>40</v>
      </c>
      <c r="N2579" s="2" t="s">
        <v>41</v>
      </c>
    </row>
    <row r="2580" spans="1:14">
      <c r="A2580" s="2">
        <v>2579</v>
      </c>
      <c r="B2580" s="3" t="s">
        <v>9128</v>
      </c>
      <c r="C2580" s="2" t="s">
        <v>9129</v>
      </c>
      <c r="D2580" s="2">
        <v>49</v>
      </c>
      <c r="E2580" s="2">
        <v>49</v>
      </c>
      <c r="F2580" s="2" t="s">
        <v>9130</v>
      </c>
      <c r="H2580" s="2" t="s">
        <v>17</v>
      </c>
      <c r="K2580" s="4">
        <v>13994</v>
      </c>
      <c r="M2580" s="2" t="s">
        <v>66</v>
      </c>
      <c r="N2580" s="2" t="s">
        <v>6644</v>
      </c>
    </row>
    <row r="2581" spans="1:14">
      <c r="A2581" s="2">
        <v>2580</v>
      </c>
      <c r="B2581" s="3" t="s">
        <v>9131</v>
      </c>
      <c r="C2581" s="2" t="s">
        <v>9132</v>
      </c>
      <c r="D2581" s="2">
        <v>48</v>
      </c>
      <c r="E2581" s="2">
        <v>49</v>
      </c>
      <c r="F2581" s="2" t="s">
        <v>9133</v>
      </c>
      <c r="H2581" s="2" t="s">
        <v>17</v>
      </c>
      <c r="K2581" s="4">
        <v>20628</v>
      </c>
      <c r="M2581" s="2" t="s">
        <v>85</v>
      </c>
      <c r="N2581" s="2" t="s">
        <v>86</v>
      </c>
    </row>
    <row r="2582" spans="1:14">
      <c r="A2582" s="2">
        <v>2581</v>
      </c>
      <c r="B2582" s="3" t="s">
        <v>9134</v>
      </c>
      <c r="C2582" s="2" t="s">
        <v>9135</v>
      </c>
      <c r="D2582" s="2">
        <v>49</v>
      </c>
      <c r="E2582" s="2">
        <v>49</v>
      </c>
      <c r="F2582" s="2" t="s">
        <v>9136</v>
      </c>
      <c r="H2582" s="2" t="s">
        <v>17</v>
      </c>
      <c r="K2582" s="4">
        <v>21840</v>
      </c>
      <c r="M2582" s="2" t="s">
        <v>164</v>
      </c>
      <c r="N2582" s="2" t="s">
        <v>165</v>
      </c>
    </row>
    <row r="2583" spans="1:14">
      <c r="A2583" s="2">
        <v>2582</v>
      </c>
      <c r="B2583" s="3" t="s">
        <v>9137</v>
      </c>
      <c r="C2583" s="2" t="s">
        <v>9138</v>
      </c>
      <c r="D2583" s="2">
        <v>49</v>
      </c>
      <c r="E2583" s="2">
        <v>49</v>
      </c>
      <c r="F2583" s="2" t="s">
        <v>9139</v>
      </c>
      <c r="H2583" s="2" t="s">
        <v>17</v>
      </c>
      <c r="K2583" s="4">
        <v>22001</v>
      </c>
      <c r="M2583" s="2" t="s">
        <v>47</v>
      </c>
      <c r="N2583" s="2" t="s">
        <v>442</v>
      </c>
    </row>
    <row r="2584" spans="1:14">
      <c r="A2584" s="2">
        <v>2583</v>
      </c>
      <c r="B2584" s="3" t="s">
        <v>9140</v>
      </c>
      <c r="C2584" s="2" t="s">
        <v>9141</v>
      </c>
      <c r="D2584" s="2">
        <v>49</v>
      </c>
      <c r="E2584" s="2">
        <v>49</v>
      </c>
      <c r="F2584" s="2" t="s">
        <v>9142</v>
      </c>
      <c r="H2584" s="2" t="s">
        <v>17</v>
      </c>
      <c r="K2584" s="4">
        <v>20500</v>
      </c>
      <c r="M2584" s="2" t="s">
        <v>47</v>
      </c>
      <c r="N2584" s="2" t="s">
        <v>9143</v>
      </c>
    </row>
    <row r="2585" spans="1:14">
      <c r="A2585" s="2">
        <v>2584</v>
      </c>
      <c r="B2585" s="3" t="s">
        <v>9144</v>
      </c>
      <c r="C2585" s="2" t="s">
        <v>9145</v>
      </c>
      <c r="D2585" s="2">
        <v>46</v>
      </c>
      <c r="E2585" s="2">
        <v>49</v>
      </c>
      <c r="F2585" s="2" t="s">
        <v>9146</v>
      </c>
      <c r="H2585" s="2" t="s">
        <v>17</v>
      </c>
      <c r="K2585" s="4">
        <v>11547</v>
      </c>
      <c r="L2585" s="4">
        <v>37806</v>
      </c>
      <c r="M2585" s="2" t="s">
        <v>40</v>
      </c>
      <c r="N2585" s="2" t="s">
        <v>41</v>
      </c>
    </row>
    <row r="2586" spans="1:14">
      <c r="A2586" s="2">
        <v>2585</v>
      </c>
      <c r="B2586" s="3" t="s">
        <v>9147</v>
      </c>
      <c r="C2586" s="2" t="s">
        <v>9148</v>
      </c>
      <c r="D2586" s="2">
        <v>46</v>
      </c>
      <c r="E2586" s="2">
        <v>49</v>
      </c>
      <c r="F2586" s="2" t="s">
        <v>9149</v>
      </c>
      <c r="H2586" s="2" t="s">
        <v>17</v>
      </c>
      <c r="K2586" s="4">
        <v>19024</v>
      </c>
      <c r="M2586" s="2" t="s">
        <v>154</v>
      </c>
      <c r="N2586" s="2" t="s">
        <v>9150</v>
      </c>
    </row>
    <row r="2587" spans="1:14">
      <c r="A2587" s="2">
        <v>2586</v>
      </c>
      <c r="B2587" s="3" t="s">
        <v>9151</v>
      </c>
      <c r="C2587" s="2" t="s">
        <v>9152</v>
      </c>
      <c r="D2587" s="2">
        <v>47</v>
      </c>
      <c r="E2587" s="2">
        <v>49</v>
      </c>
      <c r="F2587" s="2" t="s">
        <v>9153</v>
      </c>
      <c r="H2587" s="2" t="s">
        <v>17</v>
      </c>
      <c r="K2587" s="4">
        <v>20304</v>
      </c>
      <c r="L2587" s="4">
        <v>36849</v>
      </c>
      <c r="M2587" s="2" t="s">
        <v>85</v>
      </c>
      <c r="N2587" s="2" t="s">
        <v>86</v>
      </c>
    </row>
    <row r="2588" spans="1:14">
      <c r="A2588" s="2">
        <v>2587</v>
      </c>
      <c r="B2588" s="3" t="s">
        <v>9154</v>
      </c>
      <c r="C2588" s="2" t="s">
        <v>9155</v>
      </c>
      <c r="D2588" s="2">
        <v>49</v>
      </c>
      <c r="E2588" s="2">
        <v>49</v>
      </c>
      <c r="F2588" s="2" t="s">
        <v>9156</v>
      </c>
      <c r="H2588" s="2" t="s">
        <v>17</v>
      </c>
      <c r="K2588" s="4">
        <v>16177</v>
      </c>
      <c r="L2588" s="4">
        <v>36945</v>
      </c>
      <c r="M2588" s="2" t="s">
        <v>66</v>
      </c>
      <c r="N2588" s="2" t="s">
        <v>71</v>
      </c>
    </row>
    <row r="2589" spans="1:14">
      <c r="A2589" s="2">
        <v>2588</v>
      </c>
      <c r="B2589" s="3" t="s">
        <v>9157</v>
      </c>
      <c r="C2589" s="2" t="s">
        <v>9158</v>
      </c>
      <c r="D2589" s="2">
        <v>48</v>
      </c>
      <c r="E2589" s="2">
        <v>49</v>
      </c>
      <c r="F2589" s="2" t="s">
        <v>9159</v>
      </c>
      <c r="H2589" s="2" t="s">
        <v>17</v>
      </c>
      <c r="K2589" s="4">
        <v>11881</v>
      </c>
      <c r="L2589" s="4">
        <v>39649</v>
      </c>
      <c r="M2589" s="2" t="s">
        <v>35</v>
      </c>
      <c r="N2589" s="2" t="s">
        <v>9160</v>
      </c>
    </row>
    <row r="2590" spans="1:14">
      <c r="A2590" s="2">
        <v>2589</v>
      </c>
      <c r="B2590" s="3" t="s">
        <v>9161</v>
      </c>
      <c r="C2590" s="2" t="s">
        <v>9162</v>
      </c>
      <c r="D2590" s="2">
        <v>49</v>
      </c>
      <c r="E2590" s="2">
        <v>49</v>
      </c>
      <c r="F2590" s="2" t="s">
        <v>9163</v>
      </c>
      <c r="H2590" s="2" t="s">
        <v>17</v>
      </c>
      <c r="K2590" s="4">
        <v>15821</v>
      </c>
      <c r="M2590" s="2" t="s">
        <v>66</v>
      </c>
      <c r="N2590" s="2" t="s">
        <v>9164</v>
      </c>
    </row>
    <row r="2591" spans="1:14">
      <c r="A2591" s="2">
        <v>2590</v>
      </c>
      <c r="B2591" s="3" t="s">
        <v>9165</v>
      </c>
      <c r="C2591" s="2" t="s">
        <v>9166</v>
      </c>
      <c r="D2591" s="2">
        <v>49</v>
      </c>
      <c r="E2591" s="2">
        <v>49</v>
      </c>
      <c r="F2591" s="2" t="s">
        <v>9167</v>
      </c>
      <c r="H2591" s="2" t="s">
        <v>17</v>
      </c>
      <c r="K2591" s="4">
        <v>15731</v>
      </c>
      <c r="M2591" s="2" t="s">
        <v>66</v>
      </c>
      <c r="N2591" s="2" t="s">
        <v>359</v>
      </c>
    </row>
    <row r="2592" spans="1:14">
      <c r="A2592" s="2">
        <v>2591</v>
      </c>
      <c r="B2592" s="3" t="s">
        <v>9168</v>
      </c>
      <c r="C2592" s="2" t="s">
        <v>9169</v>
      </c>
      <c r="D2592" s="2">
        <v>47</v>
      </c>
      <c r="E2592" s="2">
        <v>49</v>
      </c>
      <c r="F2592" s="2" t="s">
        <v>9170</v>
      </c>
      <c r="H2592" s="2" t="s">
        <v>17</v>
      </c>
      <c r="K2592" s="4">
        <v>18483</v>
      </c>
      <c r="M2592" s="2" t="s">
        <v>85</v>
      </c>
      <c r="N2592" s="2" t="s">
        <v>86</v>
      </c>
    </row>
    <row r="2593" spans="1:14">
      <c r="A2593" s="2">
        <v>2592</v>
      </c>
      <c r="B2593" s="3" t="s">
        <v>9171</v>
      </c>
      <c r="C2593" s="2" t="s">
        <v>9172</v>
      </c>
      <c r="D2593" s="2">
        <v>48</v>
      </c>
      <c r="E2593" s="2">
        <v>49</v>
      </c>
      <c r="F2593" s="2" t="s">
        <v>9173</v>
      </c>
      <c r="H2593" s="2" t="s">
        <v>17</v>
      </c>
      <c r="K2593" s="4">
        <v>16606</v>
      </c>
      <c r="M2593" s="2" t="s">
        <v>170</v>
      </c>
      <c r="N2593" s="2" t="s">
        <v>323</v>
      </c>
    </row>
    <row r="2594" spans="1:14">
      <c r="A2594" s="2">
        <v>2593</v>
      </c>
      <c r="B2594" s="3" t="s">
        <v>9174</v>
      </c>
      <c r="C2594" s="2" t="s">
        <v>9175</v>
      </c>
      <c r="D2594" s="2">
        <v>49</v>
      </c>
      <c r="E2594" s="2">
        <v>49</v>
      </c>
      <c r="F2594" s="2" t="s">
        <v>9176</v>
      </c>
      <c r="H2594" s="2" t="s">
        <v>17</v>
      </c>
      <c r="K2594" s="4">
        <v>15310</v>
      </c>
      <c r="L2594" s="4">
        <v>42342</v>
      </c>
      <c r="M2594" s="2" t="s">
        <v>47</v>
      </c>
      <c r="N2594" s="2" t="s">
        <v>48</v>
      </c>
    </row>
    <row r="2595" spans="1:14">
      <c r="A2595" s="2">
        <v>2594</v>
      </c>
      <c r="B2595" s="3" t="s">
        <v>9177</v>
      </c>
      <c r="C2595" s="2" t="s">
        <v>9178</v>
      </c>
      <c r="D2595" s="2">
        <v>43</v>
      </c>
      <c r="E2595" s="2">
        <v>49</v>
      </c>
      <c r="F2595" s="2" t="s">
        <v>9179</v>
      </c>
      <c r="H2595" s="2" t="s">
        <v>17</v>
      </c>
      <c r="K2595" s="4">
        <v>8430</v>
      </c>
      <c r="L2595" s="4">
        <v>42397</v>
      </c>
      <c r="M2595" s="2" t="s">
        <v>47</v>
      </c>
      <c r="N2595" s="2" t="s">
        <v>442</v>
      </c>
    </row>
    <row r="2596" spans="1:14">
      <c r="A2596" s="2">
        <v>2595</v>
      </c>
      <c r="B2596" s="3" t="s">
        <v>9180</v>
      </c>
      <c r="C2596" s="2" t="s">
        <v>9181</v>
      </c>
      <c r="D2596" s="2">
        <v>46</v>
      </c>
      <c r="E2596" s="2">
        <v>49</v>
      </c>
      <c r="F2596" s="2" t="s">
        <v>9182</v>
      </c>
      <c r="H2596" s="2" t="s">
        <v>17</v>
      </c>
      <c r="K2596" s="4">
        <v>11569</v>
      </c>
      <c r="L2596" s="4">
        <v>33492</v>
      </c>
      <c r="M2596" s="2" t="s">
        <v>35</v>
      </c>
      <c r="N2596" s="2" t="s">
        <v>9183</v>
      </c>
    </row>
    <row r="2597" spans="1:14">
      <c r="A2597" s="2">
        <v>2596</v>
      </c>
      <c r="B2597" s="3" t="s">
        <v>9184</v>
      </c>
      <c r="C2597" s="2" t="s">
        <v>9185</v>
      </c>
      <c r="D2597" s="2">
        <v>40</v>
      </c>
      <c r="E2597" s="2">
        <v>49</v>
      </c>
      <c r="F2597" s="2" t="s">
        <v>9186</v>
      </c>
      <c r="H2597" s="2" t="s">
        <v>17</v>
      </c>
      <c r="K2597" s="4">
        <v>8711</v>
      </c>
      <c r="L2597" s="4">
        <v>38288</v>
      </c>
      <c r="M2597" s="2" t="s">
        <v>247</v>
      </c>
      <c r="N2597" s="2" t="s">
        <v>886</v>
      </c>
    </row>
    <row r="2598" spans="1:14">
      <c r="A2598" s="2">
        <v>2597</v>
      </c>
      <c r="B2598" s="3" t="s">
        <v>9187</v>
      </c>
      <c r="C2598" s="2" t="s">
        <v>5990</v>
      </c>
      <c r="D2598" s="2">
        <v>47</v>
      </c>
      <c r="E2598" s="2">
        <v>49</v>
      </c>
      <c r="F2598" s="2" t="s">
        <v>9188</v>
      </c>
      <c r="H2598" s="2" t="s">
        <v>17</v>
      </c>
      <c r="K2598" s="4">
        <v>12288</v>
      </c>
      <c r="L2598" s="4">
        <v>41361</v>
      </c>
      <c r="M2598" s="2" t="s">
        <v>140</v>
      </c>
      <c r="N2598" s="2" t="s">
        <v>9189</v>
      </c>
    </row>
    <row r="2599" spans="1:14">
      <c r="A2599" s="2">
        <v>2598</v>
      </c>
      <c r="B2599" s="3" t="s">
        <v>9190</v>
      </c>
      <c r="C2599" s="2" t="s">
        <v>9191</v>
      </c>
      <c r="D2599" s="2">
        <v>49</v>
      </c>
      <c r="E2599" s="2">
        <v>49</v>
      </c>
      <c r="F2599" s="2" t="s">
        <v>9192</v>
      </c>
      <c r="H2599" s="2" t="s">
        <v>17</v>
      </c>
      <c r="K2599" s="4">
        <v>19305</v>
      </c>
      <c r="L2599" s="4">
        <v>40810</v>
      </c>
      <c r="M2599" s="2" t="s">
        <v>198</v>
      </c>
      <c r="N2599" s="2" t="s">
        <v>199</v>
      </c>
    </row>
    <row r="2600" spans="1:14">
      <c r="A2600" s="2">
        <v>2599</v>
      </c>
      <c r="B2600" s="3" t="s">
        <v>9193</v>
      </c>
      <c r="C2600" s="2" t="s">
        <v>9194</v>
      </c>
      <c r="D2600" s="2">
        <v>49</v>
      </c>
      <c r="E2600" s="2">
        <v>49</v>
      </c>
      <c r="F2600" s="2" t="s">
        <v>9195</v>
      </c>
      <c r="H2600" s="2" t="s">
        <v>17</v>
      </c>
      <c r="K2600" s="4">
        <v>16782</v>
      </c>
      <c r="L2600" s="4">
        <v>44289</v>
      </c>
      <c r="M2600" s="2" t="s">
        <v>40</v>
      </c>
      <c r="N2600" s="2" t="s">
        <v>3693</v>
      </c>
    </row>
    <row r="2601" spans="1:14">
      <c r="A2601" s="2">
        <v>2600</v>
      </c>
      <c r="B2601" s="3" t="s">
        <v>9196</v>
      </c>
      <c r="C2601" s="2" t="s">
        <v>9197</v>
      </c>
      <c r="D2601" s="2">
        <v>49</v>
      </c>
      <c r="E2601" s="2">
        <v>49</v>
      </c>
      <c r="F2601" s="2" t="s">
        <v>9197</v>
      </c>
      <c r="H2601" s="2" t="s">
        <v>17</v>
      </c>
      <c r="K2601" s="4">
        <v>20023</v>
      </c>
      <c r="M2601" s="2" t="s">
        <v>35</v>
      </c>
      <c r="N2601" s="2" t="s">
        <v>1776</v>
      </c>
    </row>
    <row r="2602" spans="1:14">
      <c r="A2602" s="2">
        <v>2601</v>
      </c>
      <c r="B2602" s="3" t="s">
        <v>9198</v>
      </c>
      <c r="C2602" s="2" t="s">
        <v>9199</v>
      </c>
      <c r="D2602" s="2">
        <v>49</v>
      </c>
      <c r="E2602" s="2">
        <v>49</v>
      </c>
      <c r="F2602" s="2" t="s">
        <v>9200</v>
      </c>
      <c r="H2602" s="2" t="s">
        <v>17</v>
      </c>
      <c r="K2602" s="4">
        <v>20835</v>
      </c>
      <c r="M2602" s="2" t="s">
        <v>185</v>
      </c>
      <c r="N2602" s="2" t="s">
        <v>233</v>
      </c>
    </row>
    <row r="2603" spans="1:14">
      <c r="A2603" s="2">
        <v>2602</v>
      </c>
      <c r="B2603" s="3" t="s">
        <v>9201</v>
      </c>
      <c r="C2603" s="2" t="s">
        <v>9202</v>
      </c>
      <c r="D2603" s="2">
        <v>49</v>
      </c>
      <c r="E2603" s="2">
        <v>49</v>
      </c>
      <c r="F2603" s="2" t="s">
        <v>9203</v>
      </c>
      <c r="H2603" s="2" t="s">
        <v>17</v>
      </c>
      <c r="K2603" s="4">
        <v>15391</v>
      </c>
      <c r="M2603" s="2" t="s">
        <v>154</v>
      </c>
      <c r="N2603" s="2" t="s">
        <v>9204</v>
      </c>
    </row>
    <row r="2604" spans="1:14">
      <c r="A2604" s="2">
        <v>2603</v>
      </c>
      <c r="B2604" s="3" t="s">
        <v>9205</v>
      </c>
      <c r="C2604" s="2" t="s">
        <v>9206</v>
      </c>
      <c r="D2604" s="2">
        <v>48</v>
      </c>
      <c r="E2604" s="2">
        <v>49</v>
      </c>
      <c r="F2604" s="2" t="s">
        <v>9207</v>
      </c>
      <c r="H2604" s="2" t="s">
        <v>17</v>
      </c>
      <c r="K2604" s="4">
        <v>14657</v>
      </c>
      <c r="L2604" s="4">
        <v>44005</v>
      </c>
      <c r="M2604" s="2" t="s">
        <v>53</v>
      </c>
      <c r="N2604" s="2" t="s">
        <v>475</v>
      </c>
    </row>
    <row r="2605" spans="1:14">
      <c r="A2605" s="2">
        <v>2604</v>
      </c>
      <c r="B2605" s="3" t="s">
        <v>9208</v>
      </c>
      <c r="C2605" s="2" t="s">
        <v>9209</v>
      </c>
      <c r="D2605" s="2">
        <v>49</v>
      </c>
      <c r="E2605" s="2">
        <v>49</v>
      </c>
      <c r="F2605" s="2" t="s">
        <v>9210</v>
      </c>
      <c r="H2605" s="2" t="s">
        <v>17</v>
      </c>
      <c r="K2605" s="4">
        <v>13930</v>
      </c>
      <c r="M2605" s="2" t="s">
        <v>154</v>
      </c>
      <c r="N2605" s="2" t="s">
        <v>2446</v>
      </c>
    </row>
    <row r="2606" spans="1:14">
      <c r="A2606" s="2">
        <v>2605</v>
      </c>
      <c r="B2606" s="3" t="s">
        <v>9211</v>
      </c>
      <c r="C2606" s="2" t="s">
        <v>9212</v>
      </c>
      <c r="D2606" s="2">
        <v>44</v>
      </c>
      <c r="E2606" s="2">
        <v>49</v>
      </c>
      <c r="F2606" s="2" t="s">
        <v>9213</v>
      </c>
      <c r="H2606" s="2" t="s">
        <v>17</v>
      </c>
      <c r="K2606" s="4">
        <v>7368</v>
      </c>
      <c r="L2606" s="4">
        <v>38491</v>
      </c>
      <c r="M2606" s="2" t="s">
        <v>47</v>
      </c>
      <c r="N2606" s="2" t="s">
        <v>9214</v>
      </c>
    </row>
    <row r="2607" spans="1:14">
      <c r="A2607" s="2">
        <v>2606</v>
      </c>
      <c r="B2607" s="3" t="s">
        <v>9215</v>
      </c>
      <c r="C2607" s="2" t="s">
        <v>9216</v>
      </c>
      <c r="D2607" s="2">
        <v>48</v>
      </c>
      <c r="E2607" s="2">
        <v>49</v>
      </c>
      <c r="F2607" s="2" t="s">
        <v>9217</v>
      </c>
      <c r="H2607" s="2" t="s">
        <v>17</v>
      </c>
      <c r="K2607" s="4">
        <v>15657</v>
      </c>
      <c r="M2607" s="2" t="s">
        <v>91</v>
      </c>
      <c r="N2607" s="2" t="s">
        <v>9218</v>
      </c>
    </row>
    <row r="2608" spans="1:14">
      <c r="A2608" s="2">
        <v>2607</v>
      </c>
      <c r="B2608" s="3" t="s">
        <v>9219</v>
      </c>
      <c r="C2608" s="2" t="s">
        <v>9220</v>
      </c>
      <c r="D2608" s="2">
        <v>47</v>
      </c>
      <c r="E2608" s="2">
        <v>49</v>
      </c>
      <c r="F2608" s="2" t="s">
        <v>9221</v>
      </c>
      <c r="H2608" s="2" t="s">
        <v>17</v>
      </c>
      <c r="K2608" s="4">
        <v>15476</v>
      </c>
      <c r="M2608" s="2" t="s">
        <v>164</v>
      </c>
      <c r="N2608" s="2" t="s">
        <v>9222</v>
      </c>
    </row>
    <row r="2609" spans="1:14">
      <c r="A2609" s="2">
        <v>2608</v>
      </c>
      <c r="B2609" s="3" t="s">
        <v>9223</v>
      </c>
      <c r="C2609" s="2" t="s">
        <v>9224</v>
      </c>
      <c r="D2609" s="2">
        <v>49</v>
      </c>
      <c r="E2609" s="2">
        <v>49</v>
      </c>
      <c r="F2609" s="2" t="s">
        <v>9225</v>
      </c>
      <c r="H2609" s="2" t="s">
        <v>17</v>
      </c>
      <c r="K2609" s="4">
        <v>15841</v>
      </c>
      <c r="L2609" s="4">
        <v>45603</v>
      </c>
      <c r="M2609" s="2" t="s">
        <v>66</v>
      </c>
      <c r="N2609" s="2" t="s">
        <v>1561</v>
      </c>
    </row>
    <row r="2610" spans="1:14">
      <c r="A2610" s="2">
        <v>2609</v>
      </c>
      <c r="B2610" s="3" t="s">
        <v>9226</v>
      </c>
      <c r="C2610" s="2" t="s">
        <v>9227</v>
      </c>
      <c r="D2610" s="2">
        <v>48</v>
      </c>
      <c r="E2610" s="2">
        <v>49</v>
      </c>
      <c r="F2610" s="2" t="s">
        <v>9228</v>
      </c>
      <c r="H2610" s="2" t="s">
        <v>17</v>
      </c>
      <c r="K2610" s="4">
        <v>14924</v>
      </c>
      <c r="M2610" s="2" t="s">
        <v>198</v>
      </c>
      <c r="N2610" s="2" t="s">
        <v>9229</v>
      </c>
    </row>
    <row r="2611" spans="1:14">
      <c r="A2611" s="2">
        <v>2610</v>
      </c>
      <c r="B2611" s="3" t="s">
        <v>9230</v>
      </c>
      <c r="C2611" s="2" t="s">
        <v>9231</v>
      </c>
      <c r="D2611" s="2">
        <v>49</v>
      </c>
      <c r="E2611" s="2">
        <v>49</v>
      </c>
      <c r="F2611" s="2" t="s">
        <v>9232</v>
      </c>
      <c r="H2611" s="2" t="s">
        <v>17</v>
      </c>
      <c r="K2611" s="4">
        <v>14339</v>
      </c>
      <c r="L2611" s="4">
        <v>42591</v>
      </c>
      <c r="M2611" s="2" t="s">
        <v>154</v>
      </c>
      <c r="N2611" s="2" t="s">
        <v>9233</v>
      </c>
    </row>
    <row r="2612" spans="1:14">
      <c r="A2612" s="2">
        <v>2611</v>
      </c>
      <c r="B2612" s="3" t="s">
        <v>9234</v>
      </c>
      <c r="C2612" s="2" t="s">
        <v>9235</v>
      </c>
      <c r="D2612" s="2">
        <v>49</v>
      </c>
      <c r="E2612" s="2">
        <v>49</v>
      </c>
      <c r="F2612" s="2" t="s">
        <v>9236</v>
      </c>
      <c r="H2612" s="2" t="s">
        <v>17</v>
      </c>
      <c r="K2612" s="4">
        <v>11068</v>
      </c>
      <c r="L2612" s="4">
        <v>44841</v>
      </c>
      <c r="M2612" s="2" t="s">
        <v>47</v>
      </c>
      <c r="N2612" s="2" t="s">
        <v>9237</v>
      </c>
    </row>
    <row r="2613" spans="1:14">
      <c r="A2613" s="2">
        <v>2612</v>
      </c>
      <c r="B2613" s="3" t="s">
        <v>9238</v>
      </c>
      <c r="C2613" s="2" t="s">
        <v>9239</v>
      </c>
      <c r="D2613" s="2">
        <v>49</v>
      </c>
      <c r="E2613" s="2">
        <v>49</v>
      </c>
      <c r="F2613" s="2" t="s">
        <v>9239</v>
      </c>
      <c r="H2613" s="2" t="s">
        <v>17</v>
      </c>
      <c r="K2613" s="4">
        <v>12375</v>
      </c>
      <c r="L2613" s="4">
        <v>39900</v>
      </c>
      <c r="M2613" s="2" t="s">
        <v>66</v>
      </c>
      <c r="N2613" s="2" t="s">
        <v>9240</v>
      </c>
    </row>
    <row r="2614" spans="1:14">
      <c r="A2614" s="2">
        <v>2613</v>
      </c>
      <c r="B2614" s="3" t="s">
        <v>9241</v>
      </c>
      <c r="C2614" s="2" t="s">
        <v>9242</v>
      </c>
      <c r="D2614" s="2">
        <v>49</v>
      </c>
      <c r="E2614" s="2">
        <v>49</v>
      </c>
      <c r="F2614" s="2" t="s">
        <v>9243</v>
      </c>
      <c r="H2614" s="2" t="s">
        <v>17</v>
      </c>
      <c r="K2614" s="4">
        <v>22263</v>
      </c>
      <c r="M2614" s="2" t="s">
        <v>35</v>
      </c>
      <c r="N2614" s="2" t="s">
        <v>9244</v>
      </c>
    </row>
    <row r="2615" spans="1:14">
      <c r="A2615" s="2">
        <v>2614</v>
      </c>
      <c r="B2615" s="3" t="s">
        <v>9245</v>
      </c>
      <c r="C2615" s="2" t="s">
        <v>9246</v>
      </c>
      <c r="D2615" s="2">
        <v>49</v>
      </c>
      <c r="E2615" s="2">
        <v>49</v>
      </c>
      <c r="F2615" s="2" t="s">
        <v>9247</v>
      </c>
      <c r="H2615" s="2" t="s">
        <v>17</v>
      </c>
      <c r="K2615" s="4">
        <v>18938</v>
      </c>
      <c r="M2615" s="2" t="s">
        <v>154</v>
      </c>
      <c r="N2615" s="2" t="s">
        <v>9150</v>
      </c>
    </row>
    <row r="2616" spans="1:14">
      <c r="A2616" s="2">
        <v>2615</v>
      </c>
      <c r="B2616" s="3" t="s">
        <v>9248</v>
      </c>
      <c r="C2616" s="2" t="s">
        <v>9249</v>
      </c>
      <c r="D2616" s="2">
        <v>48</v>
      </c>
      <c r="E2616" s="2">
        <v>49</v>
      </c>
      <c r="F2616" s="2" t="s">
        <v>9250</v>
      </c>
      <c r="H2616" s="2" t="s">
        <v>17</v>
      </c>
      <c r="K2616" s="4">
        <v>14437</v>
      </c>
      <c r="L2616" s="4">
        <v>33797</v>
      </c>
      <c r="M2616" s="2" t="s">
        <v>76</v>
      </c>
      <c r="N2616" s="2" t="s">
        <v>9251</v>
      </c>
    </row>
    <row r="2617" spans="1:14">
      <c r="A2617" s="2">
        <v>2616</v>
      </c>
      <c r="B2617" s="3" t="s">
        <v>9252</v>
      </c>
      <c r="C2617" s="2" t="s">
        <v>9253</v>
      </c>
      <c r="D2617" s="2">
        <v>49</v>
      </c>
      <c r="E2617" s="2">
        <v>49</v>
      </c>
      <c r="F2617" s="2" t="s">
        <v>9254</v>
      </c>
      <c r="H2617" s="2" t="s">
        <v>17</v>
      </c>
      <c r="K2617" s="4">
        <v>22256</v>
      </c>
      <c r="M2617" s="2" t="s">
        <v>164</v>
      </c>
      <c r="N2617" s="2" t="s">
        <v>165</v>
      </c>
    </row>
    <row r="2618" spans="1:14">
      <c r="A2618" s="2">
        <v>2617</v>
      </c>
      <c r="B2618" s="3" t="s">
        <v>9255</v>
      </c>
      <c r="C2618" s="2" t="s">
        <v>9256</v>
      </c>
      <c r="D2618" s="2">
        <v>49</v>
      </c>
      <c r="E2618" s="2">
        <v>49</v>
      </c>
      <c r="F2618" s="2" t="s">
        <v>9257</v>
      </c>
      <c r="H2618" s="2" t="s">
        <v>17</v>
      </c>
      <c r="K2618" s="4">
        <v>19298</v>
      </c>
      <c r="M2618" s="2" t="s">
        <v>185</v>
      </c>
      <c r="N2618" s="2" t="s">
        <v>9258</v>
      </c>
    </row>
    <row r="2619" spans="1:14">
      <c r="A2619" s="2">
        <v>2618</v>
      </c>
      <c r="B2619" s="3" t="s">
        <v>9259</v>
      </c>
      <c r="C2619" s="2" t="s">
        <v>9260</v>
      </c>
      <c r="D2619" s="2">
        <v>48</v>
      </c>
      <c r="E2619" s="2">
        <v>49</v>
      </c>
      <c r="F2619" s="2" t="s">
        <v>9261</v>
      </c>
      <c r="H2619" s="2" t="s">
        <v>17</v>
      </c>
      <c r="K2619" s="4">
        <v>18090</v>
      </c>
      <c r="M2619" s="2" t="s">
        <v>423</v>
      </c>
      <c r="N2619" s="2" t="s">
        <v>8765</v>
      </c>
    </row>
    <row r="2620" spans="1:14">
      <c r="A2620" s="2">
        <v>2619</v>
      </c>
      <c r="B2620" s="3" t="s">
        <v>9262</v>
      </c>
      <c r="C2620" s="2" t="s">
        <v>9263</v>
      </c>
      <c r="D2620" s="2">
        <v>48</v>
      </c>
      <c r="E2620" s="2">
        <v>49</v>
      </c>
      <c r="F2620" s="2" t="s">
        <v>9264</v>
      </c>
      <c r="H2620" s="2" t="s">
        <v>17</v>
      </c>
      <c r="K2620" s="4">
        <v>21613</v>
      </c>
      <c r="M2620" s="2" t="s">
        <v>47</v>
      </c>
      <c r="N2620" s="2" t="s">
        <v>442</v>
      </c>
    </row>
    <row r="2621" spans="1:14">
      <c r="A2621" s="2">
        <v>2620</v>
      </c>
      <c r="B2621" s="3" t="s">
        <v>9265</v>
      </c>
      <c r="C2621" s="2" t="s">
        <v>9266</v>
      </c>
      <c r="D2621" s="2">
        <v>48</v>
      </c>
      <c r="E2621" s="2">
        <v>49</v>
      </c>
      <c r="F2621" s="2" t="s">
        <v>9267</v>
      </c>
      <c r="H2621" s="2" t="s">
        <v>17</v>
      </c>
      <c r="K2621" s="4">
        <v>9476</v>
      </c>
      <c r="M2621" s="2" t="s">
        <v>164</v>
      </c>
      <c r="N2621" s="2" t="s">
        <v>165</v>
      </c>
    </row>
    <row r="2622" spans="1:14">
      <c r="A2622" s="2">
        <v>2621</v>
      </c>
      <c r="B2622" s="3" t="s">
        <v>9268</v>
      </c>
      <c r="C2622" s="2" t="s">
        <v>9269</v>
      </c>
      <c r="D2622" s="2">
        <v>49</v>
      </c>
      <c r="E2622" s="2">
        <v>49</v>
      </c>
      <c r="F2622" s="2" t="s">
        <v>9270</v>
      </c>
      <c r="H2622" s="2" t="s">
        <v>17</v>
      </c>
      <c r="K2622" s="4">
        <v>10666</v>
      </c>
      <c r="L2622" s="4">
        <v>40293</v>
      </c>
      <c r="M2622" s="2" t="s">
        <v>66</v>
      </c>
      <c r="N2622" s="2" t="s">
        <v>1693</v>
      </c>
    </row>
    <row r="2623" spans="1:14">
      <c r="A2623" s="2">
        <v>2622</v>
      </c>
      <c r="B2623" s="3" t="s">
        <v>9271</v>
      </c>
      <c r="C2623" s="2" t="s">
        <v>9272</v>
      </c>
      <c r="D2623" s="2">
        <v>47</v>
      </c>
      <c r="E2623" s="2">
        <v>49</v>
      </c>
      <c r="F2623" s="2" t="s">
        <v>9273</v>
      </c>
      <c r="H2623" s="2" t="s">
        <v>17</v>
      </c>
      <c r="K2623" s="4">
        <v>14931</v>
      </c>
      <c r="L2623" s="4">
        <v>38231</v>
      </c>
      <c r="M2623" s="2" t="s">
        <v>154</v>
      </c>
      <c r="N2623" s="2" t="s">
        <v>208</v>
      </c>
    </row>
    <row r="2624" spans="1:14">
      <c r="A2624" s="2">
        <v>2623</v>
      </c>
      <c r="B2624" s="3" t="s">
        <v>9274</v>
      </c>
      <c r="C2624" s="2" t="s">
        <v>9275</v>
      </c>
      <c r="D2624" s="2">
        <v>49</v>
      </c>
      <c r="E2624" s="2">
        <v>49</v>
      </c>
      <c r="F2624" s="2" t="s">
        <v>9276</v>
      </c>
      <c r="H2624" s="2" t="s">
        <v>17</v>
      </c>
      <c r="K2624" s="4">
        <v>11634</v>
      </c>
      <c r="M2624" s="2" t="s">
        <v>85</v>
      </c>
      <c r="N2624" s="2" t="s">
        <v>2800</v>
      </c>
    </row>
    <row r="2625" spans="1:14">
      <c r="A2625" s="2">
        <v>2624</v>
      </c>
      <c r="B2625" s="3" t="s">
        <v>9277</v>
      </c>
      <c r="C2625" s="2" t="s">
        <v>9278</v>
      </c>
      <c r="D2625" s="2">
        <v>48</v>
      </c>
      <c r="E2625" s="2">
        <v>49</v>
      </c>
      <c r="F2625" s="2" t="s">
        <v>9279</v>
      </c>
      <c r="H2625" s="2" t="s">
        <v>17</v>
      </c>
      <c r="K2625" s="4">
        <v>19927</v>
      </c>
      <c r="M2625" s="2" t="s">
        <v>47</v>
      </c>
      <c r="N2625" s="2" t="s">
        <v>417</v>
      </c>
    </row>
    <row r="2626" spans="1:14">
      <c r="A2626" s="2">
        <v>2625</v>
      </c>
      <c r="B2626" s="3" t="s">
        <v>9280</v>
      </c>
      <c r="C2626" s="2" t="s">
        <v>9281</v>
      </c>
      <c r="D2626" s="2">
        <v>48</v>
      </c>
      <c r="E2626" s="2">
        <v>49</v>
      </c>
      <c r="F2626" s="2" t="s">
        <v>9282</v>
      </c>
      <c r="H2626" s="2" t="s">
        <v>17</v>
      </c>
      <c r="K2626" s="4">
        <v>13419</v>
      </c>
      <c r="L2626" s="4">
        <v>42309</v>
      </c>
      <c r="M2626" s="2" t="s">
        <v>423</v>
      </c>
    </row>
    <row r="2627" spans="1:14">
      <c r="A2627" s="2">
        <v>2626</v>
      </c>
      <c r="B2627" s="3" t="s">
        <v>9283</v>
      </c>
      <c r="C2627" s="2" t="s">
        <v>9284</v>
      </c>
      <c r="D2627" s="2">
        <v>48</v>
      </c>
      <c r="E2627" s="2">
        <v>49</v>
      </c>
      <c r="F2627" s="2" t="s">
        <v>9285</v>
      </c>
      <c r="H2627" s="2" t="s">
        <v>17</v>
      </c>
      <c r="K2627" s="4">
        <v>11878</v>
      </c>
      <c r="L2627" s="4">
        <v>39894</v>
      </c>
      <c r="M2627" s="2" t="s">
        <v>140</v>
      </c>
      <c r="N2627" s="2" t="s">
        <v>9189</v>
      </c>
    </row>
    <row r="2628" spans="1:14">
      <c r="A2628" s="2">
        <v>2627</v>
      </c>
      <c r="B2628" s="3" t="s">
        <v>9286</v>
      </c>
      <c r="C2628" s="2" t="s">
        <v>9287</v>
      </c>
      <c r="D2628" s="2">
        <v>49</v>
      </c>
      <c r="E2628" s="2">
        <v>49</v>
      </c>
      <c r="F2628" s="2" t="s">
        <v>9288</v>
      </c>
      <c r="H2628" s="2" t="s">
        <v>17</v>
      </c>
      <c r="K2628" s="4">
        <v>18936</v>
      </c>
      <c r="M2628" s="2" t="s">
        <v>170</v>
      </c>
      <c r="N2628" s="2" t="s">
        <v>323</v>
      </c>
    </row>
    <row r="2629" spans="1:14">
      <c r="A2629" s="2">
        <v>2628</v>
      </c>
      <c r="B2629" s="3" t="s">
        <v>9289</v>
      </c>
      <c r="C2629" s="2" t="s">
        <v>9290</v>
      </c>
      <c r="D2629" s="2">
        <v>41</v>
      </c>
      <c r="E2629" s="2">
        <v>49</v>
      </c>
      <c r="F2629" s="2" t="s">
        <v>9291</v>
      </c>
      <c r="H2629" s="2" t="s">
        <v>17</v>
      </c>
      <c r="K2629" s="4">
        <v>10441</v>
      </c>
      <c r="L2629" s="4">
        <v>35429</v>
      </c>
      <c r="M2629" s="2" t="s">
        <v>185</v>
      </c>
      <c r="N2629" s="2" t="s">
        <v>7440</v>
      </c>
    </row>
    <row r="2630" spans="1:14">
      <c r="A2630" s="2">
        <v>2629</v>
      </c>
      <c r="B2630" s="3" t="s">
        <v>9292</v>
      </c>
      <c r="C2630" s="2" t="s">
        <v>9293</v>
      </c>
      <c r="D2630" s="2">
        <v>48</v>
      </c>
      <c r="E2630" s="2">
        <v>49</v>
      </c>
      <c r="F2630" s="2" t="s">
        <v>9294</v>
      </c>
      <c r="H2630" s="2" t="s">
        <v>45</v>
      </c>
      <c r="K2630" s="4">
        <v>13574</v>
      </c>
      <c r="L2630" s="4">
        <v>45691</v>
      </c>
      <c r="M2630" s="2" t="s">
        <v>164</v>
      </c>
      <c r="N2630" s="2" t="s">
        <v>5982</v>
      </c>
    </row>
    <row r="2631" spans="1:14">
      <c r="A2631" s="2">
        <v>2630</v>
      </c>
      <c r="B2631" s="3" t="s">
        <v>9295</v>
      </c>
      <c r="C2631" s="2" t="s">
        <v>9296</v>
      </c>
      <c r="D2631" s="2">
        <v>48</v>
      </c>
      <c r="E2631" s="2">
        <v>49</v>
      </c>
      <c r="F2631" s="2" t="s">
        <v>9297</v>
      </c>
      <c r="H2631" s="2" t="s">
        <v>17</v>
      </c>
      <c r="K2631" s="4">
        <v>12220</v>
      </c>
      <c r="L2631" s="4">
        <v>45675</v>
      </c>
      <c r="M2631" s="2" t="s">
        <v>76</v>
      </c>
      <c r="N2631" s="2" t="s">
        <v>9298</v>
      </c>
    </row>
    <row r="2632" spans="1:14">
      <c r="A2632" s="2">
        <v>2631</v>
      </c>
      <c r="B2632" s="3" t="s">
        <v>9299</v>
      </c>
      <c r="C2632" s="2" t="s">
        <v>9300</v>
      </c>
      <c r="D2632" s="2">
        <v>49</v>
      </c>
      <c r="E2632" s="2">
        <v>49</v>
      </c>
      <c r="F2632" s="2" t="s">
        <v>9301</v>
      </c>
      <c r="H2632" s="2" t="s">
        <v>17</v>
      </c>
      <c r="K2632" s="4">
        <v>21442</v>
      </c>
      <c r="M2632" s="2" t="s">
        <v>91</v>
      </c>
      <c r="N2632" s="2" t="s">
        <v>9302</v>
      </c>
    </row>
    <row r="2633" spans="1:14">
      <c r="A2633" s="2">
        <v>2632</v>
      </c>
      <c r="B2633" s="3" t="s">
        <v>9303</v>
      </c>
      <c r="C2633" s="2" t="s">
        <v>9304</v>
      </c>
      <c r="D2633" s="2">
        <v>49</v>
      </c>
      <c r="E2633" s="2">
        <v>49</v>
      </c>
      <c r="F2633" s="2" t="s">
        <v>9305</v>
      </c>
      <c r="H2633" s="2" t="s">
        <v>17</v>
      </c>
      <c r="K2633" s="4">
        <v>16808</v>
      </c>
      <c r="M2633" s="2" t="s">
        <v>170</v>
      </c>
      <c r="N2633" s="2" t="s">
        <v>323</v>
      </c>
    </row>
    <row r="2634" spans="1:14">
      <c r="A2634" s="2">
        <v>2633</v>
      </c>
      <c r="B2634" s="3" t="s">
        <v>9306</v>
      </c>
      <c r="C2634" s="2" t="s">
        <v>9307</v>
      </c>
      <c r="D2634" s="2">
        <v>48</v>
      </c>
      <c r="E2634" s="2">
        <v>49</v>
      </c>
      <c r="F2634" s="2" t="s">
        <v>9308</v>
      </c>
      <c r="H2634" s="2" t="s">
        <v>17</v>
      </c>
      <c r="K2634" s="4">
        <v>14732</v>
      </c>
      <c r="L2634" s="4">
        <v>42539</v>
      </c>
      <c r="M2634" s="2" t="s">
        <v>30</v>
      </c>
      <c r="N2634" s="2" t="s">
        <v>867</v>
      </c>
    </row>
    <row r="2635" spans="1:14">
      <c r="A2635" s="2">
        <v>2634</v>
      </c>
      <c r="B2635" s="3" t="s">
        <v>9309</v>
      </c>
      <c r="C2635" s="2" t="s">
        <v>9310</v>
      </c>
      <c r="D2635" s="2">
        <v>49</v>
      </c>
      <c r="E2635" s="2">
        <v>49</v>
      </c>
      <c r="F2635" s="2" t="s">
        <v>9311</v>
      </c>
      <c r="H2635" s="2" t="s">
        <v>17</v>
      </c>
      <c r="K2635" s="4">
        <v>10419</v>
      </c>
      <c r="M2635" s="2" t="s">
        <v>47</v>
      </c>
      <c r="N2635" s="2" t="s">
        <v>9312</v>
      </c>
    </row>
    <row r="2636" spans="1:14">
      <c r="A2636" s="2">
        <v>2635</v>
      </c>
      <c r="B2636" s="3" t="s">
        <v>9313</v>
      </c>
      <c r="C2636" s="2" t="s">
        <v>9314</v>
      </c>
      <c r="D2636" s="2">
        <v>48</v>
      </c>
      <c r="E2636" s="2">
        <v>49</v>
      </c>
      <c r="F2636" s="2" t="s">
        <v>9315</v>
      </c>
      <c r="H2636" s="2" t="s">
        <v>17</v>
      </c>
      <c r="K2636" s="4">
        <v>10482</v>
      </c>
      <c r="L2636" s="4">
        <v>38708</v>
      </c>
      <c r="M2636" s="2" t="s">
        <v>170</v>
      </c>
      <c r="N2636" s="2" t="s">
        <v>784</v>
      </c>
    </row>
    <row r="2637" spans="1:14">
      <c r="A2637" s="2">
        <v>2636</v>
      </c>
      <c r="B2637" s="3" t="s">
        <v>9316</v>
      </c>
      <c r="C2637" s="2" t="s">
        <v>9317</v>
      </c>
      <c r="D2637" s="2">
        <v>48</v>
      </c>
      <c r="E2637" s="2">
        <v>49</v>
      </c>
      <c r="F2637" s="2" t="s">
        <v>9318</v>
      </c>
      <c r="H2637" s="2" t="s">
        <v>17</v>
      </c>
      <c r="K2637" s="4">
        <v>14188</v>
      </c>
      <c r="L2637" s="4">
        <v>40640</v>
      </c>
      <c r="M2637" s="2" t="s">
        <v>47</v>
      </c>
      <c r="N2637" s="2" t="s">
        <v>48</v>
      </c>
    </row>
    <row r="2638" spans="1:14">
      <c r="A2638" s="2">
        <v>2637</v>
      </c>
      <c r="B2638" s="3" t="s">
        <v>9319</v>
      </c>
      <c r="C2638" s="2" t="s">
        <v>9320</v>
      </c>
      <c r="D2638" s="2">
        <v>49</v>
      </c>
      <c r="E2638" s="2">
        <v>49</v>
      </c>
      <c r="F2638" s="2" t="s">
        <v>9321</v>
      </c>
      <c r="H2638" s="2" t="s">
        <v>17</v>
      </c>
      <c r="K2638" s="4">
        <v>15399</v>
      </c>
      <c r="M2638" s="2" t="s">
        <v>35</v>
      </c>
      <c r="N2638" s="2" t="s">
        <v>858</v>
      </c>
    </row>
    <row r="2639" spans="1:14">
      <c r="A2639" s="2">
        <v>2638</v>
      </c>
      <c r="B2639" s="3" t="s">
        <v>9322</v>
      </c>
      <c r="C2639" s="2" t="s">
        <v>9323</v>
      </c>
      <c r="D2639" s="2">
        <v>48</v>
      </c>
      <c r="E2639" s="2">
        <v>49</v>
      </c>
      <c r="F2639" s="2" t="s">
        <v>9324</v>
      </c>
      <c r="H2639" s="2" t="s">
        <v>17</v>
      </c>
      <c r="K2639" s="4">
        <v>14315</v>
      </c>
      <c r="L2639" s="4">
        <v>43098</v>
      </c>
      <c r="M2639" s="2" t="s">
        <v>47</v>
      </c>
      <c r="N2639" s="2" t="s">
        <v>9325</v>
      </c>
    </row>
    <row r="2640" spans="1:14">
      <c r="A2640" s="2">
        <v>2639</v>
      </c>
      <c r="B2640" s="3" t="s">
        <v>9326</v>
      </c>
      <c r="C2640" s="2" t="s">
        <v>9327</v>
      </c>
      <c r="D2640" s="2">
        <v>48</v>
      </c>
      <c r="E2640" s="2">
        <v>49</v>
      </c>
      <c r="F2640" s="2" t="s">
        <v>9328</v>
      </c>
      <c r="H2640" s="2" t="s">
        <v>17</v>
      </c>
      <c r="K2640" s="4">
        <v>21161</v>
      </c>
      <c r="M2640" s="2" t="s">
        <v>198</v>
      </c>
      <c r="N2640" s="2" t="s">
        <v>9329</v>
      </c>
    </row>
    <row r="2641" spans="1:14">
      <c r="A2641" s="2">
        <v>2640</v>
      </c>
      <c r="B2641" s="3" t="s">
        <v>9330</v>
      </c>
      <c r="C2641" s="2" t="s">
        <v>9331</v>
      </c>
      <c r="D2641" s="2">
        <v>49</v>
      </c>
      <c r="E2641" s="2">
        <v>49</v>
      </c>
      <c r="F2641" s="2" t="s">
        <v>9332</v>
      </c>
      <c r="H2641" s="2" t="s">
        <v>17</v>
      </c>
      <c r="K2641" s="4">
        <v>15372</v>
      </c>
      <c r="M2641" s="2" t="s">
        <v>66</v>
      </c>
      <c r="N2641" s="2" t="s">
        <v>71</v>
      </c>
    </row>
    <row r="2642" spans="1:14">
      <c r="A2642" s="2">
        <v>2641</v>
      </c>
      <c r="B2642" s="3" t="s">
        <v>9333</v>
      </c>
      <c r="C2642" s="2" t="s">
        <v>9334</v>
      </c>
      <c r="D2642" s="2">
        <v>49</v>
      </c>
      <c r="E2642" s="2">
        <v>49</v>
      </c>
      <c r="F2642" s="2" t="s">
        <v>9335</v>
      </c>
      <c r="H2642" s="2" t="s">
        <v>17</v>
      </c>
      <c r="K2642" s="4">
        <v>19805</v>
      </c>
      <c r="M2642" s="2" t="s">
        <v>198</v>
      </c>
      <c r="N2642" s="2" t="s">
        <v>199</v>
      </c>
    </row>
    <row r="2643" spans="1:14">
      <c r="A2643" s="2">
        <v>2642</v>
      </c>
      <c r="B2643" s="3" t="s">
        <v>9336</v>
      </c>
      <c r="C2643" s="2" t="s">
        <v>9337</v>
      </c>
      <c r="D2643" s="2">
        <v>48</v>
      </c>
      <c r="E2643" s="2">
        <v>49</v>
      </c>
      <c r="F2643" s="2" t="s">
        <v>9338</v>
      </c>
      <c r="H2643" s="2" t="s">
        <v>17</v>
      </c>
      <c r="K2643" s="4">
        <v>21230</v>
      </c>
      <c r="M2643" s="2" t="s">
        <v>198</v>
      </c>
      <c r="N2643" s="2" t="s">
        <v>199</v>
      </c>
    </row>
    <row r="2644" spans="1:14">
      <c r="A2644" s="2">
        <v>2643</v>
      </c>
      <c r="B2644" s="3" t="s">
        <v>9339</v>
      </c>
      <c r="C2644" s="2" t="s">
        <v>9340</v>
      </c>
      <c r="D2644" s="2">
        <v>48</v>
      </c>
      <c r="E2644" s="2">
        <v>49</v>
      </c>
      <c r="F2644" s="2" t="s">
        <v>9341</v>
      </c>
      <c r="H2644" s="2" t="s">
        <v>17</v>
      </c>
      <c r="K2644" s="4">
        <v>7509</v>
      </c>
      <c r="L2644" s="4">
        <v>34921</v>
      </c>
      <c r="M2644" s="2" t="s">
        <v>47</v>
      </c>
      <c r="N2644" s="2" t="s">
        <v>48</v>
      </c>
    </row>
    <row r="2645" spans="1:14">
      <c r="A2645" s="2">
        <v>2644</v>
      </c>
      <c r="B2645" s="3" t="s">
        <v>9342</v>
      </c>
      <c r="C2645" s="2" t="s">
        <v>9343</v>
      </c>
      <c r="D2645" s="2">
        <v>49</v>
      </c>
      <c r="E2645" s="2">
        <v>49</v>
      </c>
      <c r="F2645" s="2" t="s">
        <v>9344</v>
      </c>
      <c r="H2645" s="2" t="s">
        <v>17</v>
      </c>
      <c r="K2645" s="4">
        <v>13567</v>
      </c>
      <c r="M2645" s="2" t="s">
        <v>336</v>
      </c>
      <c r="N2645" s="2" t="s">
        <v>9345</v>
      </c>
    </row>
    <row r="2646" spans="1:14">
      <c r="A2646" s="2">
        <v>2645</v>
      </c>
      <c r="B2646" s="3" t="s">
        <v>9346</v>
      </c>
      <c r="C2646" s="2" t="s">
        <v>9347</v>
      </c>
      <c r="D2646" s="2">
        <v>43</v>
      </c>
      <c r="E2646" s="2">
        <v>49</v>
      </c>
      <c r="F2646" s="2" t="s">
        <v>9348</v>
      </c>
      <c r="H2646" s="2" t="s">
        <v>17</v>
      </c>
      <c r="K2646" s="4">
        <v>13155</v>
      </c>
      <c r="L2646" s="4">
        <v>43572</v>
      </c>
      <c r="M2646" s="2" t="s">
        <v>47</v>
      </c>
      <c r="N2646" s="2" t="s">
        <v>691</v>
      </c>
    </row>
    <row r="2647" spans="1:14">
      <c r="A2647" s="2">
        <v>2646</v>
      </c>
      <c r="B2647" s="3" t="s">
        <v>9349</v>
      </c>
      <c r="C2647" s="2" t="s">
        <v>9350</v>
      </c>
      <c r="D2647" s="2">
        <v>47</v>
      </c>
      <c r="E2647" s="2">
        <v>49</v>
      </c>
      <c r="F2647" s="2" t="s">
        <v>9351</v>
      </c>
      <c r="H2647" s="2" t="s">
        <v>17</v>
      </c>
      <c r="K2647" s="4">
        <v>15062</v>
      </c>
      <c r="M2647" s="2" t="s">
        <v>40</v>
      </c>
      <c r="N2647" s="2" t="s">
        <v>9352</v>
      </c>
    </row>
    <row r="2648" spans="1:14">
      <c r="A2648" s="2">
        <v>2647</v>
      </c>
      <c r="B2648" s="3" t="s">
        <v>9353</v>
      </c>
      <c r="C2648" s="2" t="s">
        <v>9354</v>
      </c>
      <c r="D2648" s="2">
        <v>49</v>
      </c>
      <c r="E2648" s="2">
        <v>49</v>
      </c>
      <c r="F2648" s="2" t="s">
        <v>9355</v>
      </c>
      <c r="H2648" s="2" t="s">
        <v>17</v>
      </c>
      <c r="K2648" s="4">
        <v>15068</v>
      </c>
      <c r="M2648" s="2" t="s">
        <v>47</v>
      </c>
      <c r="N2648" s="2" t="s">
        <v>9356</v>
      </c>
    </row>
    <row r="2649" spans="1:14">
      <c r="A2649" s="2">
        <v>2648</v>
      </c>
      <c r="B2649" s="3" t="s">
        <v>9357</v>
      </c>
      <c r="C2649" s="2" t="s">
        <v>9358</v>
      </c>
      <c r="D2649" s="2">
        <v>48</v>
      </c>
      <c r="E2649" s="2">
        <v>49</v>
      </c>
      <c r="F2649" s="2" t="s">
        <v>9359</v>
      </c>
      <c r="H2649" s="2" t="s">
        <v>17</v>
      </c>
      <c r="K2649" s="4">
        <v>19305</v>
      </c>
      <c r="M2649" s="2" t="s">
        <v>47</v>
      </c>
      <c r="N2649" s="2" t="s">
        <v>4066</v>
      </c>
    </row>
    <row r="2650" spans="1:14">
      <c r="A2650" s="2">
        <v>2649</v>
      </c>
      <c r="B2650" s="3" t="s">
        <v>9360</v>
      </c>
      <c r="C2650" s="2" t="s">
        <v>9361</v>
      </c>
      <c r="D2650" s="2">
        <v>49</v>
      </c>
      <c r="E2650" s="2">
        <v>49</v>
      </c>
      <c r="F2650" s="2" t="s">
        <v>9362</v>
      </c>
      <c r="H2650" s="2" t="s">
        <v>17</v>
      </c>
      <c r="K2650" s="4">
        <v>15648</v>
      </c>
      <c r="M2650" s="2" t="s">
        <v>35</v>
      </c>
      <c r="N2650" s="2" t="s">
        <v>9363</v>
      </c>
    </row>
    <row r="2651" spans="1:14">
      <c r="A2651" s="2">
        <v>2650</v>
      </c>
      <c r="B2651" s="3" t="s">
        <v>9364</v>
      </c>
      <c r="C2651" s="2" t="s">
        <v>9365</v>
      </c>
      <c r="D2651" s="2">
        <v>49</v>
      </c>
      <c r="E2651" s="2">
        <v>49</v>
      </c>
      <c r="F2651" s="2" t="s">
        <v>9366</v>
      </c>
      <c r="H2651" s="2" t="s">
        <v>17</v>
      </c>
      <c r="K2651" s="4">
        <v>15684</v>
      </c>
      <c r="L2651" s="4">
        <v>45264</v>
      </c>
      <c r="M2651" s="2" t="s">
        <v>66</v>
      </c>
      <c r="N2651" s="2" t="s">
        <v>1548</v>
      </c>
    </row>
    <row r="2652" spans="1:14">
      <c r="A2652" s="2">
        <v>2651</v>
      </c>
      <c r="B2652" s="3" t="s">
        <v>9367</v>
      </c>
      <c r="C2652" s="2" t="s">
        <v>9368</v>
      </c>
      <c r="D2652" s="2">
        <v>48</v>
      </c>
      <c r="E2652" s="2">
        <v>49</v>
      </c>
      <c r="F2652" s="2" t="s">
        <v>9369</v>
      </c>
      <c r="H2652" s="2" t="s">
        <v>17</v>
      </c>
      <c r="K2652" s="4">
        <v>15475</v>
      </c>
      <c r="L2652" s="4">
        <v>43212</v>
      </c>
      <c r="M2652" s="2" t="s">
        <v>198</v>
      </c>
      <c r="N2652" s="2" t="s">
        <v>199</v>
      </c>
    </row>
    <row r="2653" spans="1:14">
      <c r="A2653" s="2">
        <v>2652</v>
      </c>
      <c r="B2653" s="3" t="s">
        <v>9370</v>
      </c>
      <c r="C2653" s="2" t="s">
        <v>9371</v>
      </c>
      <c r="D2653" s="2">
        <v>49</v>
      </c>
      <c r="E2653" s="2">
        <v>49</v>
      </c>
      <c r="F2653" s="2" t="s">
        <v>9372</v>
      </c>
      <c r="H2653" s="2" t="s">
        <v>17</v>
      </c>
      <c r="K2653" s="4">
        <v>21398</v>
      </c>
      <c r="M2653" s="2" t="s">
        <v>969</v>
      </c>
      <c r="N2653" s="2" t="s">
        <v>970</v>
      </c>
    </row>
    <row r="2654" spans="1:14">
      <c r="A2654" s="2">
        <v>2653</v>
      </c>
      <c r="B2654" s="3" t="s">
        <v>9373</v>
      </c>
      <c r="C2654" s="2" t="s">
        <v>9374</v>
      </c>
      <c r="D2654" s="2">
        <v>49</v>
      </c>
      <c r="E2654" s="2">
        <v>49</v>
      </c>
      <c r="F2654" s="2" t="s">
        <v>9375</v>
      </c>
      <c r="H2654" s="2" t="s">
        <v>17</v>
      </c>
      <c r="K2654" s="4">
        <v>16972</v>
      </c>
      <c r="M2654" s="2" t="s">
        <v>198</v>
      </c>
      <c r="N2654" s="2" t="s">
        <v>1284</v>
      </c>
    </row>
    <row r="2655" spans="1:14">
      <c r="A2655" s="2">
        <v>2654</v>
      </c>
      <c r="B2655" s="3" t="s">
        <v>9376</v>
      </c>
      <c r="C2655" s="2" t="s">
        <v>9377</v>
      </c>
      <c r="D2655" s="2">
        <v>49</v>
      </c>
      <c r="E2655" s="2">
        <v>49</v>
      </c>
      <c r="F2655" s="2" t="s">
        <v>9378</v>
      </c>
      <c r="H2655" s="2" t="s">
        <v>17</v>
      </c>
      <c r="K2655" s="4">
        <v>10471</v>
      </c>
      <c r="M2655" s="2" t="s">
        <v>35</v>
      </c>
      <c r="N2655" s="2" t="s">
        <v>3806</v>
      </c>
    </row>
    <row r="2656" spans="1:14">
      <c r="A2656" s="2">
        <v>2655</v>
      </c>
      <c r="B2656" s="3" t="s">
        <v>9379</v>
      </c>
      <c r="C2656" s="2" t="s">
        <v>9380</v>
      </c>
      <c r="D2656" s="2">
        <v>49</v>
      </c>
      <c r="E2656" s="2">
        <v>49</v>
      </c>
      <c r="F2656" s="2" t="s">
        <v>9381</v>
      </c>
      <c r="H2656" s="2" t="s">
        <v>17</v>
      </c>
      <c r="K2656" s="4">
        <v>11045</v>
      </c>
      <c r="M2656" s="2" t="s">
        <v>53</v>
      </c>
      <c r="N2656" s="2" t="s">
        <v>9382</v>
      </c>
    </row>
    <row r="2657" spans="1:14">
      <c r="A2657" s="2">
        <v>2656</v>
      </c>
      <c r="B2657" s="3" t="s">
        <v>9383</v>
      </c>
      <c r="C2657" s="2" t="s">
        <v>9384</v>
      </c>
      <c r="D2657" s="2">
        <v>49</v>
      </c>
      <c r="E2657" s="2">
        <v>49</v>
      </c>
      <c r="F2657" s="2" t="s">
        <v>9385</v>
      </c>
      <c r="H2657" s="2" t="s">
        <v>17</v>
      </c>
      <c r="K2657" s="4">
        <v>11240</v>
      </c>
      <c r="M2657" s="2" t="s">
        <v>47</v>
      </c>
      <c r="N2657" s="2" t="s">
        <v>9386</v>
      </c>
    </row>
    <row r="2658" spans="1:14">
      <c r="A2658" s="2">
        <v>2657</v>
      </c>
      <c r="B2658" s="3" t="s">
        <v>9387</v>
      </c>
      <c r="C2658" s="2" t="s">
        <v>9388</v>
      </c>
      <c r="D2658" s="2">
        <v>49</v>
      </c>
      <c r="E2658" s="2">
        <v>49</v>
      </c>
      <c r="F2658" s="2" t="s">
        <v>9389</v>
      </c>
      <c r="H2658" s="2" t="s">
        <v>17</v>
      </c>
      <c r="K2658" s="4">
        <v>14106</v>
      </c>
      <c r="M2658" s="2" t="s">
        <v>66</v>
      </c>
      <c r="N2658" s="2" t="s">
        <v>1548</v>
      </c>
    </row>
    <row r="2659" spans="1:14">
      <c r="A2659" s="2">
        <v>2658</v>
      </c>
      <c r="B2659" s="3" t="s">
        <v>9390</v>
      </c>
      <c r="C2659" s="2" t="s">
        <v>9391</v>
      </c>
      <c r="D2659" s="2">
        <v>49</v>
      </c>
      <c r="E2659" s="2">
        <v>49</v>
      </c>
      <c r="F2659" s="2" t="s">
        <v>9392</v>
      </c>
      <c r="H2659" s="2" t="s">
        <v>17</v>
      </c>
      <c r="K2659" s="4">
        <v>19451</v>
      </c>
      <c r="M2659" s="2" t="s">
        <v>192</v>
      </c>
      <c r="N2659" s="2" t="s">
        <v>193</v>
      </c>
    </row>
    <row r="2660" spans="1:14">
      <c r="A2660" s="2">
        <v>2659</v>
      </c>
      <c r="B2660" s="3" t="s">
        <v>9393</v>
      </c>
      <c r="C2660" s="2" t="s">
        <v>9394</v>
      </c>
      <c r="D2660" s="2">
        <v>49</v>
      </c>
      <c r="E2660" s="2">
        <v>49</v>
      </c>
      <c r="F2660" s="2" t="s">
        <v>9395</v>
      </c>
      <c r="H2660" s="2" t="s">
        <v>17</v>
      </c>
      <c r="K2660" s="4">
        <v>14251</v>
      </c>
      <c r="M2660" s="2" t="s">
        <v>164</v>
      </c>
      <c r="N2660" s="2" t="s">
        <v>165</v>
      </c>
    </row>
    <row r="2661" spans="1:14">
      <c r="A2661" s="2">
        <v>2660</v>
      </c>
      <c r="B2661" s="3" t="s">
        <v>9396</v>
      </c>
      <c r="C2661" s="2" t="s">
        <v>9397</v>
      </c>
      <c r="D2661" s="2">
        <v>48</v>
      </c>
      <c r="E2661" s="2">
        <v>49</v>
      </c>
      <c r="F2661" s="2" t="s">
        <v>9398</v>
      </c>
      <c r="H2661" s="2" t="s">
        <v>17</v>
      </c>
      <c r="K2661" s="4">
        <v>18271</v>
      </c>
      <c r="L2661" s="4">
        <v>40280</v>
      </c>
      <c r="M2661" s="2" t="s">
        <v>66</v>
      </c>
      <c r="N2661" s="2" t="s">
        <v>9399</v>
      </c>
    </row>
    <row r="2662" spans="1:14">
      <c r="A2662" s="2">
        <v>2661</v>
      </c>
      <c r="B2662" s="3" t="s">
        <v>9400</v>
      </c>
      <c r="C2662" s="2" t="s">
        <v>9401</v>
      </c>
      <c r="D2662" s="2">
        <v>49</v>
      </c>
      <c r="E2662" s="2">
        <v>49</v>
      </c>
      <c r="F2662" s="2" t="s">
        <v>9402</v>
      </c>
      <c r="H2662" s="2" t="s">
        <v>17</v>
      </c>
      <c r="K2662" s="4">
        <v>15552</v>
      </c>
      <c r="M2662" s="2" t="s">
        <v>47</v>
      </c>
      <c r="N2662" s="2" t="s">
        <v>9403</v>
      </c>
    </row>
    <row r="2663" spans="1:14">
      <c r="A2663" s="2">
        <v>2662</v>
      </c>
      <c r="B2663" s="3" t="s">
        <v>9404</v>
      </c>
      <c r="C2663" s="2" t="s">
        <v>9405</v>
      </c>
      <c r="D2663" s="2">
        <v>49</v>
      </c>
      <c r="E2663" s="2">
        <v>49</v>
      </c>
      <c r="F2663" s="2" t="s">
        <v>9406</v>
      </c>
      <c r="H2663" s="2" t="s">
        <v>17</v>
      </c>
      <c r="K2663" s="4">
        <v>18528</v>
      </c>
      <c r="L2663" s="4">
        <v>44188</v>
      </c>
      <c r="M2663" s="2" t="s">
        <v>35</v>
      </c>
    </row>
    <row r="2664" spans="1:14">
      <c r="A2664" s="2">
        <v>2663</v>
      </c>
      <c r="B2664" s="3" t="s">
        <v>9407</v>
      </c>
      <c r="C2664" s="2" t="s">
        <v>9408</v>
      </c>
      <c r="D2664" s="2">
        <v>47</v>
      </c>
      <c r="E2664" s="2">
        <v>49</v>
      </c>
      <c r="F2664" s="2" t="s">
        <v>9409</v>
      </c>
      <c r="H2664" s="2" t="s">
        <v>45</v>
      </c>
      <c r="K2664" s="4">
        <v>15801</v>
      </c>
      <c r="M2664" s="2" t="s">
        <v>423</v>
      </c>
      <c r="N2664" s="2" t="s">
        <v>4842</v>
      </c>
    </row>
    <row r="2665" spans="1:14">
      <c r="A2665" s="2">
        <v>2664</v>
      </c>
      <c r="B2665" s="3" t="s">
        <v>9410</v>
      </c>
      <c r="C2665" s="2" t="s">
        <v>9411</v>
      </c>
      <c r="D2665" s="2">
        <v>49</v>
      </c>
      <c r="E2665" s="2">
        <v>49</v>
      </c>
      <c r="F2665" s="2" t="s">
        <v>9412</v>
      </c>
      <c r="H2665" s="2" t="s">
        <v>17</v>
      </c>
      <c r="K2665" s="4">
        <v>15404</v>
      </c>
      <c r="M2665" s="2" t="s">
        <v>47</v>
      </c>
      <c r="N2665" s="2" t="s">
        <v>9413</v>
      </c>
    </row>
    <row r="2666" spans="1:14">
      <c r="A2666" s="2">
        <v>2665</v>
      </c>
      <c r="B2666" s="3" t="s">
        <v>9414</v>
      </c>
      <c r="C2666" s="2" t="s">
        <v>9415</v>
      </c>
      <c r="D2666" s="2">
        <v>49</v>
      </c>
      <c r="E2666" s="2">
        <v>49</v>
      </c>
      <c r="F2666" s="2" t="s">
        <v>9416</v>
      </c>
      <c r="H2666" s="2" t="s">
        <v>17</v>
      </c>
      <c r="K2666" s="4">
        <v>22680</v>
      </c>
      <c r="M2666" s="2" t="s">
        <v>76</v>
      </c>
      <c r="N2666" s="2" t="s">
        <v>906</v>
      </c>
    </row>
    <row r="2667" spans="1:14">
      <c r="A2667" s="2">
        <v>2666</v>
      </c>
      <c r="B2667" s="3" t="s">
        <v>9417</v>
      </c>
      <c r="C2667" s="2" t="s">
        <v>9418</v>
      </c>
      <c r="D2667" s="2">
        <v>49</v>
      </c>
      <c r="E2667" s="2">
        <v>49</v>
      </c>
      <c r="F2667" s="2" t="s">
        <v>9419</v>
      </c>
      <c r="H2667" s="2" t="s">
        <v>17</v>
      </c>
      <c r="K2667" s="4">
        <v>20867</v>
      </c>
      <c r="M2667" s="2" t="s">
        <v>154</v>
      </c>
      <c r="N2667" s="2" t="s">
        <v>9420</v>
      </c>
    </row>
    <row r="2668" spans="1:14">
      <c r="A2668" s="2">
        <v>2667</v>
      </c>
      <c r="B2668" s="3" t="s">
        <v>9421</v>
      </c>
      <c r="C2668" s="2" t="s">
        <v>9422</v>
      </c>
      <c r="D2668" s="2">
        <v>49</v>
      </c>
      <c r="E2668" s="2">
        <v>49</v>
      </c>
      <c r="F2668" s="2" t="s">
        <v>9423</v>
      </c>
      <c r="H2668" s="2" t="s">
        <v>17</v>
      </c>
      <c r="K2668" s="4">
        <v>19067</v>
      </c>
      <c r="M2668" s="2" t="s">
        <v>40</v>
      </c>
      <c r="N2668" s="2" t="s">
        <v>1017</v>
      </c>
    </row>
    <row r="2669" spans="1:14">
      <c r="A2669" s="2">
        <v>2668</v>
      </c>
      <c r="B2669" s="3" t="s">
        <v>9424</v>
      </c>
      <c r="C2669" s="2" t="s">
        <v>9425</v>
      </c>
      <c r="D2669" s="2">
        <v>49</v>
      </c>
      <c r="E2669" s="2">
        <v>49</v>
      </c>
      <c r="F2669" s="2" t="s">
        <v>9426</v>
      </c>
      <c r="H2669" s="2" t="s">
        <v>17</v>
      </c>
      <c r="K2669" s="4">
        <v>14215</v>
      </c>
      <c r="L2669" s="4">
        <v>37521</v>
      </c>
      <c r="M2669" s="2" t="s">
        <v>423</v>
      </c>
      <c r="N2669" s="2" t="s">
        <v>621</v>
      </c>
    </row>
    <row r="2670" spans="1:14">
      <c r="A2670" s="2">
        <v>2669</v>
      </c>
      <c r="B2670" s="3" t="s">
        <v>9427</v>
      </c>
      <c r="C2670" s="2" t="s">
        <v>9428</v>
      </c>
      <c r="D2670" s="2">
        <v>49</v>
      </c>
      <c r="E2670" s="2">
        <v>49</v>
      </c>
      <c r="F2670" s="2" t="s">
        <v>9429</v>
      </c>
      <c r="H2670" s="2" t="s">
        <v>17</v>
      </c>
      <c r="K2670" s="4">
        <v>11318</v>
      </c>
      <c r="M2670" s="2" t="s">
        <v>198</v>
      </c>
      <c r="N2670" s="2" t="s">
        <v>199</v>
      </c>
    </row>
    <row r="2671" spans="1:14">
      <c r="A2671" s="2">
        <v>2670</v>
      </c>
      <c r="B2671" s="3" t="s">
        <v>9430</v>
      </c>
      <c r="C2671" s="2" t="s">
        <v>9431</v>
      </c>
      <c r="D2671" s="2">
        <v>48</v>
      </c>
      <c r="E2671" s="2">
        <v>49</v>
      </c>
      <c r="F2671" s="2" t="s">
        <v>9432</v>
      </c>
      <c r="H2671" s="2" t="s">
        <v>17</v>
      </c>
      <c r="K2671" s="4">
        <v>11741</v>
      </c>
      <c r="M2671" s="2" t="s">
        <v>140</v>
      </c>
      <c r="N2671" s="2" t="s">
        <v>294</v>
      </c>
    </row>
    <row r="2672" spans="1:14">
      <c r="A2672" s="2">
        <v>2671</v>
      </c>
      <c r="B2672" s="3" t="s">
        <v>9433</v>
      </c>
      <c r="C2672" s="2" t="s">
        <v>9434</v>
      </c>
      <c r="D2672" s="2">
        <v>42</v>
      </c>
      <c r="E2672" s="2">
        <v>49</v>
      </c>
      <c r="F2672" s="2" t="s">
        <v>9435</v>
      </c>
      <c r="H2672" s="2" t="s">
        <v>17</v>
      </c>
      <c r="K2672" s="4">
        <v>7211</v>
      </c>
      <c r="L2672" s="4">
        <v>38305</v>
      </c>
      <c r="M2672" s="2" t="s">
        <v>146</v>
      </c>
      <c r="N2672" s="2" t="s">
        <v>147</v>
      </c>
    </row>
    <row r="2673" spans="1:14">
      <c r="A2673" s="2">
        <v>2672</v>
      </c>
      <c r="B2673" s="3" t="s">
        <v>9436</v>
      </c>
      <c r="C2673" s="2" t="s">
        <v>9437</v>
      </c>
      <c r="D2673" s="2">
        <v>49</v>
      </c>
      <c r="E2673" s="2">
        <v>49</v>
      </c>
      <c r="F2673" s="2" t="s">
        <v>9438</v>
      </c>
      <c r="H2673" s="2" t="s">
        <v>17</v>
      </c>
      <c r="K2673" s="4">
        <v>13690</v>
      </c>
      <c r="M2673" s="2" t="s">
        <v>192</v>
      </c>
      <c r="N2673" s="2" t="s">
        <v>4400</v>
      </c>
    </row>
    <row r="2674" spans="1:14">
      <c r="A2674" s="2">
        <v>2673</v>
      </c>
      <c r="B2674" s="3" t="s">
        <v>9439</v>
      </c>
      <c r="C2674" s="2" t="s">
        <v>9440</v>
      </c>
      <c r="D2674" s="2">
        <v>49</v>
      </c>
      <c r="E2674" s="2">
        <v>49</v>
      </c>
      <c r="F2674" s="2" t="s">
        <v>9441</v>
      </c>
      <c r="H2674" s="2" t="s">
        <v>17</v>
      </c>
      <c r="K2674" s="4">
        <v>16243</v>
      </c>
      <c r="M2674" s="2" t="s">
        <v>192</v>
      </c>
      <c r="N2674" s="2" t="s">
        <v>577</v>
      </c>
    </row>
    <row r="2675" spans="1:14">
      <c r="A2675" s="2">
        <v>2674</v>
      </c>
      <c r="B2675" s="3" t="s">
        <v>9442</v>
      </c>
      <c r="C2675" s="2" t="s">
        <v>9443</v>
      </c>
      <c r="D2675" s="2">
        <v>48</v>
      </c>
      <c r="E2675" s="2">
        <v>49</v>
      </c>
      <c r="F2675" s="2" t="s">
        <v>9444</v>
      </c>
      <c r="H2675" s="2" t="s">
        <v>17</v>
      </c>
      <c r="K2675" s="4">
        <v>15881</v>
      </c>
      <c r="M2675" s="2" t="s">
        <v>66</v>
      </c>
      <c r="N2675" s="2" t="s">
        <v>3865</v>
      </c>
    </row>
    <row r="2676" spans="1:14">
      <c r="A2676" s="2">
        <v>2675</v>
      </c>
      <c r="B2676" s="3" t="s">
        <v>9445</v>
      </c>
      <c r="C2676" s="2" t="s">
        <v>9446</v>
      </c>
      <c r="D2676" s="2">
        <v>47</v>
      </c>
      <c r="E2676" s="2">
        <v>49</v>
      </c>
      <c r="F2676" s="2" t="s">
        <v>9447</v>
      </c>
      <c r="H2676" s="2" t="s">
        <v>17</v>
      </c>
      <c r="K2676" s="4">
        <v>13245</v>
      </c>
      <c r="M2676" s="2" t="s">
        <v>66</v>
      </c>
      <c r="N2676" s="2" t="s">
        <v>6963</v>
      </c>
    </row>
    <row r="2677" spans="1:14">
      <c r="A2677" s="2">
        <v>2676</v>
      </c>
      <c r="B2677" s="3" t="s">
        <v>9448</v>
      </c>
      <c r="C2677" s="2" t="s">
        <v>9449</v>
      </c>
      <c r="D2677" s="2">
        <v>48</v>
      </c>
      <c r="E2677" s="2">
        <v>49</v>
      </c>
      <c r="F2677" s="2" t="s">
        <v>9450</v>
      </c>
      <c r="H2677" s="2" t="s">
        <v>17</v>
      </c>
      <c r="K2677" s="4">
        <v>11756</v>
      </c>
      <c r="L2677" s="4">
        <v>45527</v>
      </c>
      <c r="M2677" s="2" t="s">
        <v>35</v>
      </c>
      <c r="N2677" s="2" t="s">
        <v>58</v>
      </c>
    </row>
    <row r="2678" spans="1:14">
      <c r="A2678" s="2">
        <v>2677</v>
      </c>
      <c r="B2678" s="3" t="s">
        <v>9451</v>
      </c>
      <c r="C2678" s="2" t="s">
        <v>9452</v>
      </c>
      <c r="D2678" s="2">
        <v>49</v>
      </c>
      <c r="E2678" s="2">
        <v>49</v>
      </c>
      <c r="F2678" s="2" t="s">
        <v>9453</v>
      </c>
      <c r="H2678" s="2" t="s">
        <v>17</v>
      </c>
      <c r="K2678" s="4">
        <v>12842</v>
      </c>
      <c r="M2678" s="2" t="s">
        <v>185</v>
      </c>
      <c r="N2678" s="2" t="s">
        <v>5622</v>
      </c>
    </row>
    <row r="2679" spans="1:14">
      <c r="A2679" s="2">
        <v>2678</v>
      </c>
      <c r="B2679" s="3" t="s">
        <v>9454</v>
      </c>
      <c r="C2679" s="2" t="s">
        <v>9455</v>
      </c>
      <c r="D2679" s="2">
        <v>49</v>
      </c>
      <c r="E2679" s="2">
        <v>49</v>
      </c>
      <c r="F2679" s="2" t="s">
        <v>9456</v>
      </c>
      <c r="H2679" s="2" t="s">
        <v>17</v>
      </c>
      <c r="K2679" s="4">
        <v>12083</v>
      </c>
      <c r="M2679" s="2" t="s">
        <v>35</v>
      </c>
      <c r="N2679" s="2" t="s">
        <v>9457</v>
      </c>
    </row>
    <row r="2680" spans="1:14">
      <c r="A2680" s="2">
        <v>2679</v>
      </c>
      <c r="B2680" s="3" t="s">
        <v>9458</v>
      </c>
      <c r="C2680" s="2" t="s">
        <v>9459</v>
      </c>
      <c r="D2680" s="2">
        <v>49</v>
      </c>
      <c r="E2680" s="2">
        <v>49</v>
      </c>
      <c r="F2680" s="2" t="s">
        <v>9460</v>
      </c>
      <c r="H2680" s="2" t="s">
        <v>17</v>
      </c>
      <c r="K2680" s="4">
        <v>20580</v>
      </c>
      <c r="M2680" s="2" t="s">
        <v>35</v>
      </c>
      <c r="N2680" s="2" t="s">
        <v>703</v>
      </c>
    </row>
    <row r="2681" spans="1:14">
      <c r="A2681" s="2">
        <v>2680</v>
      </c>
      <c r="B2681" s="3" t="s">
        <v>9461</v>
      </c>
      <c r="C2681" s="2" t="s">
        <v>9462</v>
      </c>
      <c r="D2681" s="2">
        <v>48</v>
      </c>
      <c r="E2681" s="2">
        <v>49</v>
      </c>
      <c r="F2681" s="2" t="s">
        <v>9463</v>
      </c>
      <c r="H2681" s="2" t="s">
        <v>17</v>
      </c>
      <c r="K2681" s="4">
        <v>15696</v>
      </c>
      <c r="M2681" s="2" t="s">
        <v>47</v>
      </c>
      <c r="N2681" s="2" t="s">
        <v>582</v>
      </c>
    </row>
    <row r="2682" spans="1:14">
      <c r="A2682" s="2">
        <v>2681</v>
      </c>
      <c r="B2682" s="3" t="s">
        <v>9464</v>
      </c>
      <c r="C2682" s="2" t="s">
        <v>9465</v>
      </c>
      <c r="D2682" s="2">
        <v>47</v>
      </c>
      <c r="E2682" s="2">
        <v>49</v>
      </c>
      <c r="F2682" s="2" t="s">
        <v>9466</v>
      </c>
      <c r="H2682" s="2" t="s">
        <v>17</v>
      </c>
      <c r="K2682" s="4">
        <v>14998</v>
      </c>
      <c r="L2682" s="4">
        <v>39497</v>
      </c>
      <c r="M2682" s="2" t="s">
        <v>18</v>
      </c>
      <c r="N2682" s="2" t="s">
        <v>5960</v>
      </c>
    </row>
    <row r="2683" spans="1:14">
      <c r="A2683" s="2">
        <v>2682</v>
      </c>
      <c r="B2683" s="3" t="s">
        <v>9467</v>
      </c>
      <c r="C2683" s="2" t="s">
        <v>9468</v>
      </c>
      <c r="D2683" s="2">
        <v>48</v>
      </c>
      <c r="E2683" s="2">
        <v>49</v>
      </c>
      <c r="F2683" s="2" t="s">
        <v>9469</v>
      </c>
      <c r="H2683" s="2" t="s">
        <v>17</v>
      </c>
      <c r="K2683" s="4">
        <v>10468</v>
      </c>
      <c r="L2683" s="4">
        <v>36831</v>
      </c>
      <c r="M2683" s="2" t="s">
        <v>192</v>
      </c>
      <c r="N2683" s="2" t="s">
        <v>193</v>
      </c>
    </row>
    <row r="2684" spans="1:14">
      <c r="A2684" s="2">
        <v>2683</v>
      </c>
      <c r="B2684" s="3" t="s">
        <v>9470</v>
      </c>
      <c r="C2684" s="2" t="s">
        <v>9471</v>
      </c>
      <c r="D2684" s="2">
        <v>49</v>
      </c>
      <c r="E2684" s="2">
        <v>49</v>
      </c>
      <c r="F2684" s="2" t="s">
        <v>9472</v>
      </c>
      <c r="H2684" s="2" t="s">
        <v>17</v>
      </c>
      <c r="K2684" s="4">
        <v>20235</v>
      </c>
      <c r="M2684" s="2" t="s">
        <v>154</v>
      </c>
      <c r="N2684" s="2" t="s">
        <v>1963</v>
      </c>
    </row>
    <row r="2685" spans="1:14">
      <c r="A2685" s="2">
        <v>2684</v>
      </c>
      <c r="B2685" s="3" t="s">
        <v>9473</v>
      </c>
      <c r="C2685" s="2" t="s">
        <v>9474</v>
      </c>
      <c r="D2685" s="2">
        <v>45</v>
      </c>
      <c r="E2685" s="2">
        <v>49</v>
      </c>
      <c r="F2685" s="2" t="s">
        <v>9475</v>
      </c>
      <c r="H2685" s="2" t="s">
        <v>17</v>
      </c>
      <c r="K2685" s="4">
        <v>15490</v>
      </c>
      <c r="L2685" s="4">
        <v>44562</v>
      </c>
      <c r="M2685" s="2" t="s">
        <v>66</v>
      </c>
      <c r="N2685" s="2" t="s">
        <v>131</v>
      </c>
    </row>
    <row r="2686" spans="1:14">
      <c r="A2686" s="2">
        <v>2685</v>
      </c>
      <c r="B2686" s="3" t="s">
        <v>9476</v>
      </c>
      <c r="C2686" s="2" t="s">
        <v>9477</v>
      </c>
      <c r="D2686" s="2">
        <v>49</v>
      </c>
      <c r="E2686" s="2">
        <v>49</v>
      </c>
      <c r="F2686" s="2" t="s">
        <v>9478</v>
      </c>
      <c r="H2686" s="2" t="s">
        <v>17</v>
      </c>
      <c r="K2686" s="4">
        <v>15725</v>
      </c>
      <c r="L2686" s="4">
        <v>45271</v>
      </c>
      <c r="M2686" s="2" t="s">
        <v>192</v>
      </c>
      <c r="N2686" s="2" t="s">
        <v>9076</v>
      </c>
    </row>
    <row r="2687" spans="1:14">
      <c r="A2687" s="2">
        <v>2686</v>
      </c>
      <c r="B2687" s="3" t="s">
        <v>9479</v>
      </c>
      <c r="C2687" s="2" t="s">
        <v>9480</v>
      </c>
      <c r="D2687" s="2">
        <v>49</v>
      </c>
      <c r="E2687" s="2">
        <v>49</v>
      </c>
      <c r="F2687" s="2" t="s">
        <v>9481</v>
      </c>
      <c r="H2687" s="2" t="s">
        <v>17</v>
      </c>
      <c r="K2687" s="4">
        <v>16527</v>
      </c>
      <c r="M2687" s="2" t="s">
        <v>47</v>
      </c>
      <c r="N2687" s="2" t="s">
        <v>9482</v>
      </c>
    </row>
    <row r="2688" spans="1:14">
      <c r="A2688" s="2">
        <v>2687</v>
      </c>
      <c r="B2688" s="3" t="s">
        <v>9483</v>
      </c>
      <c r="C2688" s="2" t="s">
        <v>9484</v>
      </c>
      <c r="D2688" s="2">
        <v>49</v>
      </c>
      <c r="E2688" s="2">
        <v>49</v>
      </c>
      <c r="F2688" s="2" t="s">
        <v>9485</v>
      </c>
      <c r="H2688" s="2" t="s">
        <v>17</v>
      </c>
      <c r="K2688" s="4">
        <v>15491</v>
      </c>
      <c r="L2688" s="4">
        <v>34469</v>
      </c>
      <c r="M2688" s="2" t="s">
        <v>35</v>
      </c>
      <c r="N2688" s="2" t="s">
        <v>772</v>
      </c>
    </row>
    <row r="2689" spans="1:14">
      <c r="A2689" s="2">
        <v>2688</v>
      </c>
      <c r="B2689" s="3" t="s">
        <v>9486</v>
      </c>
      <c r="C2689" s="2" t="s">
        <v>9487</v>
      </c>
      <c r="D2689" s="2">
        <v>49</v>
      </c>
      <c r="E2689" s="2">
        <v>49</v>
      </c>
      <c r="F2689" s="2" t="s">
        <v>9488</v>
      </c>
      <c r="H2689" s="2" t="s">
        <v>17</v>
      </c>
      <c r="K2689" s="4">
        <v>17100</v>
      </c>
      <c r="M2689" s="2" t="s">
        <v>35</v>
      </c>
      <c r="N2689" s="2" t="s">
        <v>9489</v>
      </c>
    </row>
    <row r="2690" spans="1:14">
      <c r="A2690" s="2">
        <v>2689</v>
      </c>
      <c r="B2690" s="3" t="s">
        <v>9490</v>
      </c>
      <c r="C2690" s="2" t="s">
        <v>9491</v>
      </c>
      <c r="D2690" s="2">
        <v>42</v>
      </c>
      <c r="E2690" s="2">
        <v>49</v>
      </c>
      <c r="F2690" s="2" t="s">
        <v>9492</v>
      </c>
      <c r="H2690" s="2" t="s">
        <v>17</v>
      </c>
      <c r="K2690" s="4">
        <v>8790</v>
      </c>
      <c r="L2690" s="4">
        <v>36864</v>
      </c>
      <c r="M2690" s="2" t="s">
        <v>185</v>
      </c>
      <c r="N2690" s="2" t="s">
        <v>838</v>
      </c>
    </row>
    <row r="2691" spans="1:14">
      <c r="A2691" s="2">
        <v>2690</v>
      </c>
      <c r="B2691" s="3" t="s">
        <v>9493</v>
      </c>
      <c r="C2691" s="2" t="s">
        <v>9494</v>
      </c>
      <c r="D2691" s="2">
        <v>46</v>
      </c>
      <c r="E2691" s="2">
        <v>49</v>
      </c>
      <c r="F2691" s="2" t="s">
        <v>9495</v>
      </c>
      <c r="H2691" s="2" t="s">
        <v>17</v>
      </c>
      <c r="K2691" s="4">
        <v>14331</v>
      </c>
      <c r="M2691" s="2" t="s">
        <v>198</v>
      </c>
      <c r="N2691" s="2" t="s">
        <v>199</v>
      </c>
    </row>
    <row r="2692" spans="1:14">
      <c r="A2692" s="2">
        <v>2691</v>
      </c>
      <c r="B2692" s="3" t="s">
        <v>9496</v>
      </c>
      <c r="C2692" s="2" t="s">
        <v>9497</v>
      </c>
      <c r="D2692" s="2">
        <v>49</v>
      </c>
      <c r="E2692" s="2">
        <v>49</v>
      </c>
      <c r="F2692" s="2" t="s">
        <v>9498</v>
      </c>
      <c r="H2692" s="2" t="s">
        <v>17</v>
      </c>
      <c r="K2692" s="4">
        <v>13848</v>
      </c>
      <c r="L2692" s="4">
        <v>41538</v>
      </c>
      <c r="M2692" s="2" t="s">
        <v>47</v>
      </c>
      <c r="N2692" s="2" t="s">
        <v>1896</v>
      </c>
    </row>
    <row r="2693" spans="1:14">
      <c r="A2693" s="2">
        <v>2692</v>
      </c>
      <c r="B2693" s="3" t="s">
        <v>9499</v>
      </c>
      <c r="C2693" s="2" t="s">
        <v>9500</v>
      </c>
      <c r="D2693" s="2">
        <v>49</v>
      </c>
      <c r="E2693" s="2">
        <v>49</v>
      </c>
      <c r="F2693" s="2" t="s">
        <v>9501</v>
      </c>
      <c r="H2693" s="2" t="s">
        <v>17</v>
      </c>
      <c r="K2693" s="4">
        <v>16374</v>
      </c>
      <c r="M2693" s="2" t="s">
        <v>164</v>
      </c>
      <c r="N2693" s="2" t="s">
        <v>165</v>
      </c>
    </row>
    <row r="2694" spans="1:14">
      <c r="A2694" s="2">
        <v>2693</v>
      </c>
      <c r="B2694" s="3" t="s">
        <v>9502</v>
      </c>
      <c r="C2694" s="2" t="s">
        <v>9503</v>
      </c>
      <c r="D2694" s="2">
        <v>48</v>
      </c>
      <c r="E2694" s="2">
        <v>49</v>
      </c>
      <c r="F2694" s="2" t="s">
        <v>9504</v>
      </c>
      <c r="H2694" s="2" t="s">
        <v>17</v>
      </c>
      <c r="K2694" s="4">
        <v>13714</v>
      </c>
      <c r="L2694" s="4">
        <v>44567</v>
      </c>
      <c r="M2694" s="2" t="s">
        <v>30</v>
      </c>
      <c r="N2694" s="2" t="s">
        <v>9505</v>
      </c>
    </row>
    <row r="2695" spans="1:14">
      <c r="A2695" s="2">
        <v>2694</v>
      </c>
      <c r="B2695" s="3" t="s">
        <v>9506</v>
      </c>
      <c r="C2695" s="2" t="s">
        <v>9507</v>
      </c>
      <c r="D2695" s="2">
        <v>48</v>
      </c>
      <c r="E2695" s="2">
        <v>49</v>
      </c>
      <c r="F2695" s="2" t="s">
        <v>9508</v>
      </c>
      <c r="H2695" s="2" t="s">
        <v>17</v>
      </c>
      <c r="K2695" s="4">
        <v>14812</v>
      </c>
      <c r="L2695" s="4">
        <v>45000</v>
      </c>
      <c r="M2695" s="2" t="s">
        <v>35</v>
      </c>
      <c r="N2695" s="2" t="s">
        <v>2486</v>
      </c>
    </row>
    <row r="2696" spans="1:14">
      <c r="A2696" s="2">
        <v>2695</v>
      </c>
      <c r="B2696" s="3" t="s">
        <v>9509</v>
      </c>
      <c r="C2696" s="2" t="s">
        <v>9510</v>
      </c>
      <c r="D2696" s="2">
        <v>49</v>
      </c>
      <c r="E2696" s="2">
        <v>49</v>
      </c>
      <c r="F2696" s="2" t="s">
        <v>9511</v>
      </c>
      <c r="H2696" s="2" t="s">
        <v>17</v>
      </c>
      <c r="K2696" s="4">
        <v>11189</v>
      </c>
      <c r="L2696" s="4">
        <v>35647</v>
      </c>
      <c r="M2696" s="2" t="s">
        <v>40</v>
      </c>
      <c r="N2696" s="2" t="s">
        <v>9512</v>
      </c>
    </row>
    <row r="2697" spans="1:14">
      <c r="A2697" s="2">
        <v>2696</v>
      </c>
      <c r="B2697" s="3" t="s">
        <v>9513</v>
      </c>
      <c r="C2697" s="2" t="s">
        <v>9514</v>
      </c>
      <c r="D2697" s="2">
        <v>49</v>
      </c>
      <c r="E2697" s="2">
        <v>49</v>
      </c>
      <c r="F2697" s="2" t="s">
        <v>9515</v>
      </c>
      <c r="H2697" s="2" t="s">
        <v>17</v>
      </c>
      <c r="K2697" s="4">
        <v>19187</v>
      </c>
      <c r="L2697" s="4">
        <v>44779</v>
      </c>
      <c r="M2697" s="2" t="s">
        <v>91</v>
      </c>
      <c r="N2697" s="2" t="s">
        <v>677</v>
      </c>
    </row>
    <row r="2698" spans="1:14">
      <c r="A2698" s="2">
        <v>2697</v>
      </c>
      <c r="B2698" s="3" t="s">
        <v>9516</v>
      </c>
      <c r="C2698" s="2" t="s">
        <v>9517</v>
      </c>
      <c r="D2698" s="2">
        <v>48</v>
      </c>
      <c r="E2698" s="2">
        <v>49</v>
      </c>
      <c r="F2698" s="2" t="s">
        <v>9518</v>
      </c>
      <c r="H2698" s="2" t="s">
        <v>17</v>
      </c>
      <c r="K2698" s="4">
        <v>14843</v>
      </c>
      <c r="M2698" s="2" t="s">
        <v>35</v>
      </c>
      <c r="N2698" s="2" t="s">
        <v>9519</v>
      </c>
    </row>
    <row r="2699" spans="1:14">
      <c r="A2699" s="2">
        <v>2698</v>
      </c>
      <c r="B2699" s="3" t="s">
        <v>9520</v>
      </c>
      <c r="C2699" s="2" t="s">
        <v>9521</v>
      </c>
      <c r="D2699" s="2">
        <v>47</v>
      </c>
      <c r="E2699" s="2">
        <v>49</v>
      </c>
      <c r="F2699" s="2" t="s">
        <v>9522</v>
      </c>
      <c r="H2699" s="2" t="s">
        <v>17</v>
      </c>
      <c r="K2699" s="4">
        <v>14205</v>
      </c>
      <c r="M2699" s="2" t="s">
        <v>140</v>
      </c>
      <c r="N2699" s="2" t="s">
        <v>3179</v>
      </c>
    </row>
    <row r="2700" spans="1:14">
      <c r="A2700" s="2">
        <v>2699</v>
      </c>
      <c r="B2700" s="3" t="s">
        <v>9523</v>
      </c>
      <c r="C2700" s="2" t="s">
        <v>9524</v>
      </c>
      <c r="D2700" s="2">
        <v>47</v>
      </c>
      <c r="E2700" s="2">
        <v>49</v>
      </c>
      <c r="F2700" s="2" t="s">
        <v>9525</v>
      </c>
      <c r="H2700" s="2" t="s">
        <v>17</v>
      </c>
      <c r="K2700" s="4">
        <v>13399</v>
      </c>
      <c r="L2700" s="4">
        <v>44235</v>
      </c>
      <c r="M2700" s="2" t="s">
        <v>76</v>
      </c>
      <c r="N2700" s="2" t="s">
        <v>9526</v>
      </c>
    </row>
    <row r="2701" spans="1:14">
      <c r="A2701" s="2">
        <v>2700</v>
      </c>
      <c r="B2701" s="3" t="s">
        <v>9527</v>
      </c>
      <c r="C2701" s="2" t="s">
        <v>9528</v>
      </c>
      <c r="D2701" s="2">
        <v>48</v>
      </c>
      <c r="E2701" s="2">
        <v>49</v>
      </c>
      <c r="F2701" s="2" t="s">
        <v>9529</v>
      </c>
      <c r="H2701" s="2" t="s">
        <v>17</v>
      </c>
      <c r="K2701" s="4">
        <v>14551</v>
      </c>
      <c r="M2701" s="2" t="s">
        <v>66</v>
      </c>
      <c r="N2701" s="2" t="s">
        <v>71</v>
      </c>
    </row>
    <row r="2702" spans="1:14">
      <c r="A2702" s="2">
        <v>2701</v>
      </c>
      <c r="B2702" s="3" t="s">
        <v>9530</v>
      </c>
      <c r="C2702" s="2" t="s">
        <v>9531</v>
      </c>
      <c r="D2702" s="2">
        <v>47</v>
      </c>
      <c r="E2702" s="2">
        <v>49</v>
      </c>
      <c r="F2702" s="2" t="s">
        <v>9532</v>
      </c>
      <c r="H2702" s="2" t="s">
        <v>17</v>
      </c>
      <c r="K2702" s="4">
        <v>15287</v>
      </c>
      <c r="M2702" s="2" t="s">
        <v>198</v>
      </c>
      <c r="N2702" s="2" t="s">
        <v>199</v>
      </c>
    </row>
    <row r="2703" spans="1:14">
      <c r="A2703" s="2">
        <v>2702</v>
      </c>
      <c r="B2703" s="3" t="s">
        <v>9533</v>
      </c>
      <c r="C2703" s="2" t="s">
        <v>9534</v>
      </c>
      <c r="D2703" s="2">
        <v>43</v>
      </c>
      <c r="E2703" s="2">
        <v>49</v>
      </c>
      <c r="F2703" s="2" t="s">
        <v>9535</v>
      </c>
      <c r="H2703" s="2" t="s">
        <v>17</v>
      </c>
      <c r="K2703" s="4">
        <v>11571</v>
      </c>
      <c r="L2703" s="4">
        <v>40236</v>
      </c>
      <c r="M2703" s="2" t="s">
        <v>40</v>
      </c>
      <c r="N2703" s="2" t="s">
        <v>9536</v>
      </c>
    </row>
    <row r="2704" spans="1:14">
      <c r="A2704" s="2">
        <v>2703</v>
      </c>
      <c r="B2704" s="3" t="s">
        <v>9537</v>
      </c>
      <c r="C2704" s="2" t="s">
        <v>9538</v>
      </c>
      <c r="D2704" s="2">
        <v>48</v>
      </c>
      <c r="E2704" s="2">
        <v>49</v>
      </c>
      <c r="F2704" s="2" t="s">
        <v>9539</v>
      </c>
      <c r="H2704" s="2" t="s">
        <v>17</v>
      </c>
      <c r="K2704" s="4">
        <v>15419</v>
      </c>
      <c r="M2704" s="2" t="s">
        <v>47</v>
      </c>
      <c r="N2704" s="2" t="s">
        <v>48</v>
      </c>
    </row>
    <row r="2705" spans="1:14">
      <c r="A2705" s="2">
        <v>2704</v>
      </c>
      <c r="B2705" s="3" t="s">
        <v>9540</v>
      </c>
      <c r="C2705" s="2" t="s">
        <v>9541</v>
      </c>
      <c r="D2705" s="2">
        <v>47</v>
      </c>
      <c r="E2705" s="2">
        <v>49</v>
      </c>
      <c r="F2705" s="2" t="s">
        <v>9542</v>
      </c>
      <c r="H2705" s="2" t="s">
        <v>17</v>
      </c>
      <c r="K2705" s="4">
        <v>14259</v>
      </c>
      <c r="M2705" s="2" t="s">
        <v>35</v>
      </c>
      <c r="N2705" s="2" t="s">
        <v>9543</v>
      </c>
    </row>
    <row r="2706" spans="1:14">
      <c r="A2706" s="2">
        <v>2705</v>
      </c>
      <c r="B2706" s="3" t="s">
        <v>9544</v>
      </c>
      <c r="C2706" s="2" t="s">
        <v>9545</v>
      </c>
      <c r="D2706" s="2">
        <v>49</v>
      </c>
      <c r="E2706" s="2">
        <v>49</v>
      </c>
      <c r="F2706" s="2" t="s">
        <v>9546</v>
      </c>
      <c r="H2706" s="2" t="s">
        <v>17</v>
      </c>
      <c r="K2706" s="4">
        <v>18744</v>
      </c>
      <c r="L2706" s="4">
        <v>41271</v>
      </c>
      <c r="M2706" s="2" t="s">
        <v>66</v>
      </c>
      <c r="N2706" s="2" t="s">
        <v>71</v>
      </c>
    </row>
    <row r="2707" spans="1:14">
      <c r="A2707" s="2">
        <v>2706</v>
      </c>
      <c r="B2707" s="3" t="s">
        <v>9547</v>
      </c>
      <c r="C2707" s="2" t="s">
        <v>9548</v>
      </c>
      <c r="D2707" s="2">
        <v>49</v>
      </c>
      <c r="E2707" s="2">
        <v>49</v>
      </c>
      <c r="F2707" s="2" t="s">
        <v>9549</v>
      </c>
      <c r="H2707" s="2" t="s">
        <v>17</v>
      </c>
      <c r="K2707" s="4">
        <v>17274</v>
      </c>
      <c r="M2707" s="2" t="s">
        <v>164</v>
      </c>
      <c r="N2707" s="2" t="s">
        <v>165</v>
      </c>
    </row>
    <row r="2708" spans="1:14">
      <c r="A2708" s="2">
        <v>2707</v>
      </c>
      <c r="B2708" s="3" t="s">
        <v>9550</v>
      </c>
      <c r="C2708" s="2" t="s">
        <v>9551</v>
      </c>
      <c r="D2708" s="2">
        <v>49</v>
      </c>
      <c r="E2708" s="2">
        <v>49</v>
      </c>
      <c r="F2708" s="2" t="s">
        <v>9552</v>
      </c>
      <c r="H2708" s="2" t="s">
        <v>17</v>
      </c>
      <c r="K2708" s="4">
        <v>19799</v>
      </c>
      <c r="M2708" s="2" t="s">
        <v>30</v>
      </c>
      <c r="N2708" s="2" t="s">
        <v>31</v>
      </c>
    </row>
    <row r="2709" spans="1:14">
      <c r="A2709" s="2">
        <v>2708</v>
      </c>
      <c r="B2709" s="3" t="s">
        <v>9553</v>
      </c>
      <c r="C2709" s="2" t="s">
        <v>9554</v>
      </c>
      <c r="D2709" s="2">
        <v>49</v>
      </c>
      <c r="E2709" s="2">
        <v>49</v>
      </c>
      <c r="F2709" s="2" t="s">
        <v>9555</v>
      </c>
      <c r="H2709" s="2" t="s">
        <v>17</v>
      </c>
      <c r="K2709" s="4">
        <v>11933</v>
      </c>
      <c r="L2709" s="4">
        <v>41336</v>
      </c>
      <c r="M2709" s="2" t="s">
        <v>170</v>
      </c>
      <c r="N2709" s="2" t="s">
        <v>323</v>
      </c>
    </row>
    <row r="2710" spans="1:14">
      <c r="A2710" s="2">
        <v>2709</v>
      </c>
      <c r="B2710" s="3" t="s">
        <v>9556</v>
      </c>
      <c r="C2710" s="2" t="s">
        <v>8658</v>
      </c>
      <c r="D2710" s="2">
        <v>49</v>
      </c>
      <c r="E2710" s="2">
        <v>49</v>
      </c>
      <c r="F2710" s="2" t="s">
        <v>9557</v>
      </c>
      <c r="H2710" s="2" t="s">
        <v>17</v>
      </c>
      <c r="K2710" s="4">
        <v>11066</v>
      </c>
      <c r="L2710" s="4">
        <v>37574</v>
      </c>
      <c r="M2710" s="2" t="s">
        <v>47</v>
      </c>
      <c r="N2710" s="2" t="s">
        <v>7702</v>
      </c>
    </row>
    <row r="2711" spans="1:14">
      <c r="A2711" s="2">
        <v>2710</v>
      </c>
      <c r="B2711" s="3" t="s">
        <v>9558</v>
      </c>
      <c r="C2711" s="2" t="s">
        <v>9559</v>
      </c>
      <c r="D2711" s="2">
        <v>49</v>
      </c>
      <c r="E2711" s="2">
        <v>49</v>
      </c>
      <c r="F2711" s="2" t="s">
        <v>9560</v>
      </c>
      <c r="H2711" s="2" t="s">
        <v>17</v>
      </c>
      <c r="K2711" s="4">
        <v>10431</v>
      </c>
      <c r="M2711" s="2" t="s">
        <v>170</v>
      </c>
      <c r="N2711" s="2" t="s">
        <v>1873</v>
      </c>
    </row>
    <row r="2712" spans="1:14">
      <c r="A2712" s="2">
        <v>2711</v>
      </c>
      <c r="B2712" s="3" t="s">
        <v>9561</v>
      </c>
      <c r="C2712" s="2" t="s">
        <v>9562</v>
      </c>
      <c r="D2712" s="2">
        <v>49</v>
      </c>
      <c r="E2712" s="2">
        <v>49</v>
      </c>
      <c r="F2712" s="2" t="s">
        <v>9563</v>
      </c>
      <c r="H2712" s="2" t="s">
        <v>17</v>
      </c>
      <c r="K2712" s="4">
        <v>14102</v>
      </c>
      <c r="L2712" s="4">
        <v>43538</v>
      </c>
      <c r="M2712" s="2" t="s">
        <v>53</v>
      </c>
      <c r="N2712" s="2" t="s">
        <v>9564</v>
      </c>
    </row>
    <row r="2713" spans="1:14">
      <c r="A2713" s="2">
        <v>2712</v>
      </c>
      <c r="B2713" s="3" t="s">
        <v>9565</v>
      </c>
      <c r="C2713" s="2" t="s">
        <v>9566</v>
      </c>
      <c r="D2713" s="2">
        <v>48</v>
      </c>
      <c r="E2713" s="2">
        <v>49</v>
      </c>
      <c r="F2713" s="2" t="s">
        <v>9567</v>
      </c>
      <c r="H2713" s="2" t="s">
        <v>17</v>
      </c>
      <c r="K2713" s="4">
        <v>18873</v>
      </c>
      <c r="M2713" s="2" t="s">
        <v>35</v>
      </c>
      <c r="N2713" s="2" t="s">
        <v>9568</v>
      </c>
    </row>
    <row r="2714" spans="1:14">
      <c r="A2714" s="2">
        <v>2713</v>
      </c>
      <c r="B2714" s="3" t="s">
        <v>9569</v>
      </c>
      <c r="C2714" s="2" t="s">
        <v>9570</v>
      </c>
      <c r="D2714" s="2">
        <v>49</v>
      </c>
      <c r="E2714" s="2">
        <v>49</v>
      </c>
      <c r="F2714" s="2" t="s">
        <v>9571</v>
      </c>
      <c r="H2714" s="2" t="s">
        <v>17</v>
      </c>
      <c r="K2714" s="4">
        <v>13953</v>
      </c>
      <c r="L2714" s="4">
        <v>45822</v>
      </c>
      <c r="M2714" s="2" t="s">
        <v>170</v>
      </c>
      <c r="N2714" s="2" t="s">
        <v>323</v>
      </c>
    </row>
    <row r="2715" spans="1:14">
      <c r="A2715" s="2">
        <v>2714</v>
      </c>
      <c r="B2715" s="3" t="s">
        <v>9572</v>
      </c>
      <c r="C2715" s="2" t="s">
        <v>9573</v>
      </c>
      <c r="D2715" s="2">
        <v>49</v>
      </c>
      <c r="E2715" s="2">
        <v>49</v>
      </c>
      <c r="F2715" s="2" t="s">
        <v>9574</v>
      </c>
      <c r="H2715" s="2" t="s">
        <v>17</v>
      </c>
      <c r="K2715" s="4">
        <v>20113</v>
      </c>
      <c r="M2715" s="2" t="s">
        <v>24</v>
      </c>
      <c r="N2715" s="2" t="s">
        <v>25</v>
      </c>
    </row>
    <row r="2716" spans="1:14">
      <c r="A2716" s="2">
        <v>2715</v>
      </c>
      <c r="B2716" s="3" t="s">
        <v>9575</v>
      </c>
      <c r="C2716" s="2" t="s">
        <v>9576</v>
      </c>
      <c r="D2716" s="2">
        <v>49</v>
      </c>
      <c r="E2716" s="2">
        <v>49</v>
      </c>
      <c r="F2716" s="2" t="s">
        <v>9577</v>
      </c>
      <c r="H2716" s="2" t="s">
        <v>17</v>
      </c>
      <c r="K2716" s="4">
        <v>17793</v>
      </c>
      <c r="M2716" s="2" t="s">
        <v>85</v>
      </c>
      <c r="N2716" s="2" t="s">
        <v>9578</v>
      </c>
    </row>
    <row r="2717" spans="1:14">
      <c r="A2717" s="2">
        <v>2716</v>
      </c>
      <c r="B2717" s="3" t="s">
        <v>9579</v>
      </c>
      <c r="C2717" s="2" t="s">
        <v>9580</v>
      </c>
      <c r="D2717" s="2">
        <v>49</v>
      </c>
      <c r="E2717" s="2">
        <v>49</v>
      </c>
      <c r="F2717" s="2" t="s">
        <v>9581</v>
      </c>
      <c r="H2717" s="2" t="s">
        <v>17</v>
      </c>
      <c r="K2717" s="4">
        <v>20476</v>
      </c>
      <c r="M2717" s="2" t="s">
        <v>85</v>
      </c>
      <c r="N2717" s="2" t="s">
        <v>86</v>
      </c>
    </row>
    <row r="2718" spans="1:14">
      <c r="A2718" s="2">
        <v>2717</v>
      </c>
      <c r="B2718" s="3" t="s">
        <v>9582</v>
      </c>
      <c r="C2718" s="2" t="s">
        <v>9583</v>
      </c>
      <c r="D2718" s="2">
        <v>48</v>
      </c>
      <c r="E2718" s="2">
        <v>49</v>
      </c>
      <c r="F2718" s="2" t="s">
        <v>9584</v>
      </c>
      <c r="H2718" s="2" t="s">
        <v>17</v>
      </c>
      <c r="K2718" s="4">
        <v>14968</v>
      </c>
      <c r="M2718" s="2" t="s">
        <v>53</v>
      </c>
      <c r="N2718" s="2" t="s">
        <v>4568</v>
      </c>
    </row>
    <row r="2719" spans="1:14">
      <c r="A2719" s="2">
        <v>2718</v>
      </c>
      <c r="B2719" s="3" t="s">
        <v>9585</v>
      </c>
      <c r="C2719" s="2" t="s">
        <v>9586</v>
      </c>
      <c r="D2719" s="2">
        <v>49</v>
      </c>
      <c r="E2719" s="2">
        <v>49</v>
      </c>
      <c r="F2719" s="2" t="s">
        <v>9587</v>
      </c>
      <c r="H2719" s="2" t="s">
        <v>17</v>
      </c>
      <c r="K2719" s="4">
        <v>19409</v>
      </c>
      <c r="M2719" s="2" t="s">
        <v>35</v>
      </c>
      <c r="N2719" s="2" t="s">
        <v>703</v>
      </c>
    </row>
    <row r="2720" spans="1:14">
      <c r="A2720" s="2">
        <v>2719</v>
      </c>
      <c r="B2720" s="3" t="s">
        <v>9588</v>
      </c>
      <c r="C2720" s="2" t="s">
        <v>9589</v>
      </c>
      <c r="D2720" s="2">
        <v>43</v>
      </c>
      <c r="E2720" s="2">
        <v>49</v>
      </c>
      <c r="F2720" s="2" t="s">
        <v>9590</v>
      </c>
      <c r="H2720" s="2" t="s">
        <v>17</v>
      </c>
      <c r="K2720" s="4">
        <v>12365</v>
      </c>
      <c r="L2720" s="4">
        <v>44695</v>
      </c>
      <c r="M2720" s="2" t="s">
        <v>40</v>
      </c>
      <c r="N2720" s="2" t="s">
        <v>41</v>
      </c>
    </row>
    <row r="2721" spans="1:14">
      <c r="A2721" s="2">
        <v>2720</v>
      </c>
      <c r="B2721" s="3" t="s">
        <v>9591</v>
      </c>
      <c r="C2721" s="2" t="s">
        <v>9592</v>
      </c>
      <c r="D2721" s="2">
        <v>44</v>
      </c>
      <c r="E2721" s="2">
        <v>49</v>
      </c>
      <c r="F2721" s="2" t="s">
        <v>9593</v>
      </c>
      <c r="H2721" s="2" t="s">
        <v>17</v>
      </c>
      <c r="K2721" s="4">
        <v>9854</v>
      </c>
      <c r="L2721" s="4">
        <v>36500</v>
      </c>
      <c r="M2721" s="2" t="s">
        <v>35</v>
      </c>
      <c r="N2721" s="2" t="s">
        <v>3806</v>
      </c>
    </row>
    <row r="2722" spans="1:14">
      <c r="A2722" s="2">
        <v>2721</v>
      </c>
      <c r="B2722" s="3" t="s">
        <v>9594</v>
      </c>
      <c r="C2722" s="2" t="s">
        <v>9595</v>
      </c>
      <c r="D2722" s="2">
        <v>49</v>
      </c>
      <c r="E2722" s="2">
        <v>49</v>
      </c>
      <c r="F2722" s="2" t="s">
        <v>9596</v>
      </c>
      <c r="H2722" s="2" t="s">
        <v>17</v>
      </c>
      <c r="K2722" s="4">
        <v>13684</v>
      </c>
      <c r="L2722" s="4">
        <v>35124</v>
      </c>
      <c r="M2722" s="2" t="s">
        <v>35</v>
      </c>
      <c r="N2722" s="2" t="s">
        <v>7577</v>
      </c>
    </row>
    <row r="2723" spans="1:14">
      <c r="A2723" s="2">
        <v>2722</v>
      </c>
      <c r="B2723" s="3" t="s">
        <v>9597</v>
      </c>
      <c r="C2723" s="2" t="s">
        <v>9598</v>
      </c>
      <c r="D2723" s="2">
        <v>49</v>
      </c>
      <c r="E2723" s="2">
        <v>49</v>
      </c>
      <c r="F2723" s="2" t="s">
        <v>9599</v>
      </c>
      <c r="H2723" s="2" t="s">
        <v>17</v>
      </c>
      <c r="K2723" s="4">
        <v>13645</v>
      </c>
      <c r="L2723" s="4">
        <v>43326</v>
      </c>
      <c r="M2723" s="2" t="s">
        <v>47</v>
      </c>
      <c r="N2723" s="2" t="s">
        <v>48</v>
      </c>
    </row>
    <row r="2724" spans="1:14">
      <c r="A2724" s="2">
        <v>2723</v>
      </c>
      <c r="B2724" s="3" t="s">
        <v>9600</v>
      </c>
      <c r="C2724" s="2" t="s">
        <v>9601</v>
      </c>
      <c r="D2724" s="2">
        <v>49</v>
      </c>
      <c r="E2724" s="2">
        <v>49</v>
      </c>
      <c r="F2724" s="2" t="s">
        <v>9602</v>
      </c>
      <c r="H2724" s="2" t="s">
        <v>17</v>
      </c>
      <c r="K2724" s="4">
        <v>18993</v>
      </c>
      <c r="M2724" s="2" t="s">
        <v>336</v>
      </c>
      <c r="N2724" s="2" t="s">
        <v>1883</v>
      </c>
    </row>
    <row r="2725" spans="1:14">
      <c r="A2725" s="2">
        <v>2724</v>
      </c>
      <c r="B2725" s="3" t="s">
        <v>9603</v>
      </c>
      <c r="C2725" s="2" t="s">
        <v>9604</v>
      </c>
      <c r="D2725" s="2">
        <v>48</v>
      </c>
      <c r="E2725" s="2">
        <v>49</v>
      </c>
      <c r="F2725" s="2" t="s">
        <v>9605</v>
      </c>
      <c r="H2725" s="2" t="s">
        <v>17</v>
      </c>
      <c r="K2725" s="4">
        <v>18138</v>
      </c>
      <c r="M2725" s="2" t="s">
        <v>185</v>
      </c>
      <c r="N2725" s="2" t="s">
        <v>8409</v>
      </c>
    </row>
    <row r="2726" spans="1:14">
      <c r="A2726" s="2">
        <v>2725</v>
      </c>
      <c r="B2726" s="3" t="s">
        <v>9606</v>
      </c>
      <c r="C2726" s="2" t="s">
        <v>9607</v>
      </c>
      <c r="D2726" s="2">
        <v>46</v>
      </c>
      <c r="E2726" s="2">
        <v>49</v>
      </c>
      <c r="F2726" s="2" t="s">
        <v>9608</v>
      </c>
      <c r="H2726" s="2" t="s">
        <v>17</v>
      </c>
      <c r="K2726" s="4">
        <v>13366</v>
      </c>
      <c r="L2726" s="4">
        <v>44326</v>
      </c>
      <c r="M2726" s="2" t="s">
        <v>164</v>
      </c>
      <c r="N2726" s="2" t="s">
        <v>165</v>
      </c>
    </row>
    <row r="2727" spans="1:14">
      <c r="A2727" s="2">
        <v>2726</v>
      </c>
      <c r="B2727" s="3" t="s">
        <v>9609</v>
      </c>
      <c r="C2727" s="2" t="s">
        <v>9610</v>
      </c>
      <c r="D2727" s="2">
        <v>47</v>
      </c>
      <c r="E2727" s="2">
        <v>49</v>
      </c>
      <c r="F2727" s="2" t="s">
        <v>9611</v>
      </c>
      <c r="H2727" s="2" t="s">
        <v>17</v>
      </c>
      <c r="K2727" s="4">
        <v>19148</v>
      </c>
      <c r="M2727" s="2" t="s">
        <v>85</v>
      </c>
      <c r="N2727" s="2" t="s">
        <v>86</v>
      </c>
    </row>
    <row r="2728" spans="1:14">
      <c r="A2728" s="2">
        <v>2727</v>
      </c>
      <c r="B2728" s="3" t="s">
        <v>9612</v>
      </c>
      <c r="C2728" s="2" t="s">
        <v>9613</v>
      </c>
      <c r="D2728" s="2">
        <v>49</v>
      </c>
      <c r="E2728" s="2">
        <v>49</v>
      </c>
      <c r="F2728" s="2" t="s">
        <v>9614</v>
      </c>
      <c r="H2728" s="2" t="s">
        <v>17</v>
      </c>
      <c r="K2728" s="4">
        <v>15843</v>
      </c>
      <c r="M2728" s="2" t="s">
        <v>47</v>
      </c>
      <c r="N2728" s="2" t="s">
        <v>417</v>
      </c>
    </row>
    <row r="2729" spans="1:14">
      <c r="A2729" s="2">
        <v>2728</v>
      </c>
      <c r="B2729" s="3" t="s">
        <v>9615</v>
      </c>
      <c r="C2729" s="2" t="s">
        <v>9616</v>
      </c>
      <c r="D2729" s="2">
        <v>49</v>
      </c>
      <c r="E2729" s="2">
        <v>49</v>
      </c>
      <c r="F2729" s="2" t="s">
        <v>9617</v>
      </c>
      <c r="H2729" s="2" t="s">
        <v>17</v>
      </c>
      <c r="K2729" s="4">
        <v>17944</v>
      </c>
      <c r="M2729" s="2" t="s">
        <v>198</v>
      </c>
      <c r="N2729" s="2" t="s">
        <v>9329</v>
      </c>
    </row>
    <row r="2730" spans="1:14">
      <c r="A2730" s="2">
        <v>2729</v>
      </c>
      <c r="B2730" s="3" t="s">
        <v>9618</v>
      </c>
      <c r="C2730" s="2" t="s">
        <v>9619</v>
      </c>
      <c r="D2730" s="2">
        <v>49</v>
      </c>
      <c r="E2730" s="2">
        <v>49</v>
      </c>
      <c r="F2730" s="2" t="s">
        <v>9620</v>
      </c>
      <c r="H2730" s="2" t="s">
        <v>17</v>
      </c>
      <c r="K2730" s="4">
        <v>17718</v>
      </c>
      <c r="M2730" s="2" t="s">
        <v>85</v>
      </c>
      <c r="N2730" s="2" t="s">
        <v>86</v>
      </c>
    </row>
    <row r="2731" spans="1:14">
      <c r="A2731" s="2">
        <v>2730</v>
      </c>
      <c r="B2731" s="3" t="s">
        <v>9621</v>
      </c>
      <c r="C2731" s="2" t="s">
        <v>9622</v>
      </c>
      <c r="D2731" s="2">
        <v>48</v>
      </c>
      <c r="E2731" s="2">
        <v>49</v>
      </c>
      <c r="F2731" s="2" t="s">
        <v>9623</v>
      </c>
      <c r="H2731" s="2" t="s">
        <v>17</v>
      </c>
      <c r="K2731" s="4">
        <v>15205</v>
      </c>
      <c r="L2731" s="4">
        <v>43856</v>
      </c>
      <c r="M2731" s="2" t="s">
        <v>76</v>
      </c>
    </row>
    <row r="2732" spans="1:14">
      <c r="A2732" s="2">
        <v>2731</v>
      </c>
      <c r="B2732" s="3" t="s">
        <v>9624</v>
      </c>
      <c r="C2732" s="2" t="s">
        <v>9625</v>
      </c>
      <c r="D2732" s="2">
        <v>49</v>
      </c>
      <c r="E2732" s="2">
        <v>49</v>
      </c>
      <c r="F2732" s="2" t="s">
        <v>9626</v>
      </c>
      <c r="H2732" s="2" t="s">
        <v>45</v>
      </c>
      <c r="K2732" s="4">
        <v>15672</v>
      </c>
      <c r="M2732" s="2" t="s">
        <v>85</v>
      </c>
      <c r="N2732" s="2" t="s">
        <v>3850</v>
      </c>
    </row>
    <row r="2733" spans="1:14">
      <c r="A2733" s="2">
        <v>2732</v>
      </c>
      <c r="B2733" s="3" t="s">
        <v>9627</v>
      </c>
      <c r="C2733" s="2" t="s">
        <v>9628</v>
      </c>
      <c r="D2733" s="2">
        <v>49</v>
      </c>
      <c r="E2733" s="2">
        <v>49</v>
      </c>
      <c r="F2733" s="2" t="s">
        <v>9629</v>
      </c>
      <c r="H2733" s="2" t="s">
        <v>17</v>
      </c>
      <c r="K2733" s="4">
        <v>12343</v>
      </c>
      <c r="L2733" s="4">
        <v>44587</v>
      </c>
      <c r="M2733" s="2" t="s">
        <v>35</v>
      </c>
      <c r="N2733" s="2" t="s">
        <v>2762</v>
      </c>
    </row>
    <row r="2734" spans="1:14">
      <c r="A2734" s="2">
        <v>2733</v>
      </c>
      <c r="B2734" s="3" t="s">
        <v>9630</v>
      </c>
      <c r="C2734" s="2" t="s">
        <v>9631</v>
      </c>
      <c r="D2734" s="2">
        <v>47</v>
      </c>
      <c r="E2734" s="2">
        <v>49</v>
      </c>
      <c r="F2734" s="2" t="s">
        <v>9632</v>
      </c>
      <c r="H2734" s="2" t="s">
        <v>17</v>
      </c>
      <c r="K2734" s="4">
        <v>9152</v>
      </c>
      <c r="L2734" s="4">
        <v>42259</v>
      </c>
      <c r="M2734" s="2" t="s">
        <v>35</v>
      </c>
      <c r="N2734" s="2" t="s">
        <v>2762</v>
      </c>
    </row>
    <row r="2735" spans="1:14">
      <c r="A2735" s="2">
        <v>2734</v>
      </c>
      <c r="B2735" s="3" t="s">
        <v>9633</v>
      </c>
      <c r="C2735" s="2" t="s">
        <v>9634</v>
      </c>
      <c r="D2735" s="2">
        <v>49</v>
      </c>
      <c r="E2735" s="2">
        <v>49</v>
      </c>
      <c r="F2735" s="2" t="s">
        <v>9635</v>
      </c>
      <c r="H2735" s="2" t="s">
        <v>17</v>
      </c>
      <c r="K2735" s="4">
        <v>13536</v>
      </c>
      <c r="L2735" s="4">
        <v>43967</v>
      </c>
      <c r="M2735" s="2" t="s">
        <v>170</v>
      </c>
      <c r="N2735" s="2" t="s">
        <v>323</v>
      </c>
    </row>
    <row r="2736" spans="1:14">
      <c r="A2736" s="2">
        <v>2735</v>
      </c>
      <c r="B2736" s="3" t="s">
        <v>9636</v>
      </c>
      <c r="C2736" s="2" t="s">
        <v>9637</v>
      </c>
      <c r="D2736" s="2">
        <v>49</v>
      </c>
      <c r="E2736" s="2">
        <v>49</v>
      </c>
      <c r="F2736" s="2" t="s">
        <v>9638</v>
      </c>
      <c r="H2736" s="2" t="s">
        <v>17</v>
      </c>
      <c r="K2736" s="4">
        <v>14939</v>
      </c>
      <c r="L2736" s="4">
        <v>45397</v>
      </c>
      <c r="M2736" s="2" t="s">
        <v>336</v>
      </c>
      <c r="N2736" s="2" t="s">
        <v>1883</v>
      </c>
    </row>
    <row r="2737" spans="1:14">
      <c r="A2737" s="2">
        <v>2736</v>
      </c>
      <c r="B2737" s="3" t="s">
        <v>9639</v>
      </c>
      <c r="C2737" s="2" t="s">
        <v>9640</v>
      </c>
      <c r="D2737" s="2">
        <v>48</v>
      </c>
      <c r="E2737" s="2">
        <v>49</v>
      </c>
      <c r="F2737" s="2" t="s">
        <v>9641</v>
      </c>
      <c r="H2737" s="2" t="s">
        <v>17</v>
      </c>
      <c r="K2737" s="4">
        <v>13522</v>
      </c>
      <c r="L2737" s="4">
        <v>43573</v>
      </c>
      <c r="M2737" s="2" t="s">
        <v>154</v>
      </c>
      <c r="N2737" s="2" t="s">
        <v>9642</v>
      </c>
    </row>
    <row r="2738" spans="1:14">
      <c r="A2738" s="2">
        <v>2737</v>
      </c>
      <c r="B2738" s="3" t="s">
        <v>9643</v>
      </c>
      <c r="C2738" s="2" t="s">
        <v>9644</v>
      </c>
      <c r="D2738" s="2">
        <v>49</v>
      </c>
      <c r="E2738" s="2">
        <v>49</v>
      </c>
      <c r="F2738" s="2" t="s">
        <v>9645</v>
      </c>
      <c r="H2738" s="2" t="s">
        <v>17</v>
      </c>
      <c r="K2738" s="4">
        <v>14879</v>
      </c>
      <c r="L2738" s="4">
        <v>39282</v>
      </c>
      <c r="M2738" s="2" t="s">
        <v>47</v>
      </c>
      <c r="N2738" s="2" t="s">
        <v>691</v>
      </c>
    </row>
    <row r="2739" spans="1:14">
      <c r="A2739" s="2">
        <v>2738</v>
      </c>
      <c r="B2739" s="3" t="s">
        <v>9646</v>
      </c>
      <c r="C2739" s="2" t="s">
        <v>9647</v>
      </c>
      <c r="D2739" s="2">
        <v>49</v>
      </c>
      <c r="E2739" s="2">
        <v>49</v>
      </c>
      <c r="F2739" s="2" t="s">
        <v>9648</v>
      </c>
      <c r="H2739" s="2" t="s">
        <v>17</v>
      </c>
      <c r="K2739" s="4">
        <v>18011</v>
      </c>
      <c r="L2739" s="4">
        <v>43206</v>
      </c>
      <c r="M2739" s="2" t="s">
        <v>35</v>
      </c>
      <c r="N2739" s="2" t="s">
        <v>5004</v>
      </c>
    </row>
    <row r="2740" spans="1:14">
      <c r="A2740" s="2">
        <v>2739</v>
      </c>
      <c r="B2740" s="3" t="s">
        <v>9649</v>
      </c>
      <c r="C2740" s="2" t="s">
        <v>9650</v>
      </c>
      <c r="D2740" s="2">
        <v>41</v>
      </c>
      <c r="E2740" s="2">
        <v>49</v>
      </c>
      <c r="F2740" s="2" t="s">
        <v>9651</v>
      </c>
      <c r="H2740" s="2" t="s">
        <v>17</v>
      </c>
      <c r="K2740" s="4">
        <v>7351</v>
      </c>
      <c r="L2740" s="4">
        <v>41362</v>
      </c>
      <c r="M2740" s="2" t="s">
        <v>53</v>
      </c>
      <c r="N2740" s="2" t="s">
        <v>686</v>
      </c>
    </row>
    <row r="2741" spans="1:14">
      <c r="A2741" s="2">
        <v>2740</v>
      </c>
      <c r="B2741" s="3" t="s">
        <v>9652</v>
      </c>
      <c r="C2741" s="2" t="s">
        <v>9653</v>
      </c>
      <c r="D2741" s="2">
        <v>48</v>
      </c>
      <c r="E2741" s="2">
        <v>49</v>
      </c>
      <c r="F2741" s="2" t="s">
        <v>9654</v>
      </c>
      <c r="H2741" s="2" t="s">
        <v>17</v>
      </c>
      <c r="K2741" s="4">
        <v>15035</v>
      </c>
      <c r="M2741" s="2" t="s">
        <v>35</v>
      </c>
      <c r="N2741" s="2" t="s">
        <v>2466</v>
      </c>
    </row>
    <row r="2742" spans="1:14">
      <c r="A2742" s="2">
        <v>2741</v>
      </c>
      <c r="B2742" s="3" t="s">
        <v>9655</v>
      </c>
      <c r="C2742" s="2" t="s">
        <v>9656</v>
      </c>
      <c r="D2742" s="2">
        <v>45</v>
      </c>
      <c r="E2742" s="2">
        <v>49</v>
      </c>
      <c r="F2742" s="2" t="s">
        <v>9657</v>
      </c>
      <c r="H2742" s="2" t="s">
        <v>17</v>
      </c>
      <c r="K2742" s="4">
        <v>10053</v>
      </c>
      <c r="L2742" s="4">
        <v>42283</v>
      </c>
      <c r="M2742" s="2" t="s">
        <v>85</v>
      </c>
      <c r="N2742" s="2" t="s">
        <v>86</v>
      </c>
    </row>
    <row r="2743" spans="1:14">
      <c r="A2743" s="2">
        <v>2742</v>
      </c>
      <c r="B2743" s="3" t="s">
        <v>9658</v>
      </c>
      <c r="C2743" s="2" t="s">
        <v>9659</v>
      </c>
      <c r="D2743" s="2">
        <v>49</v>
      </c>
      <c r="E2743" s="2">
        <v>49</v>
      </c>
      <c r="F2743" s="2" t="s">
        <v>9660</v>
      </c>
      <c r="H2743" s="2" t="s">
        <v>17</v>
      </c>
      <c r="K2743" s="4">
        <v>13441</v>
      </c>
      <c r="M2743" s="2" t="s">
        <v>198</v>
      </c>
      <c r="N2743" s="2" t="s">
        <v>9661</v>
      </c>
    </row>
    <row r="2744" spans="1:14">
      <c r="A2744" s="2">
        <v>2743</v>
      </c>
      <c r="B2744" s="3" t="s">
        <v>9662</v>
      </c>
      <c r="C2744" s="2" t="s">
        <v>9663</v>
      </c>
      <c r="D2744" s="2">
        <v>47</v>
      </c>
      <c r="E2744" s="2">
        <v>49</v>
      </c>
      <c r="F2744" s="2" t="s">
        <v>9664</v>
      </c>
      <c r="H2744" s="2" t="s">
        <v>17</v>
      </c>
      <c r="K2744" s="4">
        <v>15468</v>
      </c>
      <c r="L2744" s="4">
        <v>36957</v>
      </c>
      <c r="M2744" s="2" t="s">
        <v>35</v>
      </c>
      <c r="N2744" s="2" t="s">
        <v>9665</v>
      </c>
    </row>
    <row r="2745" spans="1:14">
      <c r="A2745" s="2">
        <v>2744</v>
      </c>
      <c r="B2745" s="3" t="s">
        <v>9666</v>
      </c>
      <c r="C2745" s="2" t="s">
        <v>9667</v>
      </c>
      <c r="D2745" s="2">
        <v>48</v>
      </c>
      <c r="E2745" s="2">
        <v>49</v>
      </c>
      <c r="F2745" s="2" t="s">
        <v>9668</v>
      </c>
      <c r="H2745" s="2" t="s">
        <v>17</v>
      </c>
      <c r="K2745" s="4">
        <v>10788</v>
      </c>
      <c r="L2745" s="4">
        <v>36350</v>
      </c>
      <c r="M2745" s="2" t="s">
        <v>66</v>
      </c>
      <c r="N2745" s="2" t="s">
        <v>71</v>
      </c>
    </row>
    <row r="2746" spans="1:14">
      <c r="A2746" s="2">
        <v>2745</v>
      </c>
      <c r="B2746" s="3" t="s">
        <v>9669</v>
      </c>
      <c r="C2746" s="2" t="s">
        <v>9670</v>
      </c>
      <c r="D2746" s="2">
        <v>46</v>
      </c>
      <c r="E2746" s="2">
        <v>49</v>
      </c>
      <c r="F2746" s="2" t="s">
        <v>9671</v>
      </c>
      <c r="H2746" s="2" t="s">
        <v>17</v>
      </c>
      <c r="K2746" s="4">
        <v>16506</v>
      </c>
      <c r="L2746" s="4">
        <v>40492</v>
      </c>
      <c r="M2746" s="2" t="s">
        <v>35</v>
      </c>
      <c r="N2746" s="2" t="s">
        <v>9672</v>
      </c>
    </row>
    <row r="2747" spans="1:14">
      <c r="A2747" s="2">
        <v>2746</v>
      </c>
      <c r="B2747" s="3" t="s">
        <v>9673</v>
      </c>
      <c r="C2747" s="2" t="s">
        <v>9674</v>
      </c>
      <c r="D2747" s="2">
        <v>49</v>
      </c>
      <c r="E2747" s="2">
        <v>49</v>
      </c>
      <c r="F2747" s="2" t="s">
        <v>9675</v>
      </c>
      <c r="H2747" s="2" t="s">
        <v>17</v>
      </c>
      <c r="K2747" s="4">
        <v>14899</v>
      </c>
      <c r="M2747" s="2" t="s">
        <v>122</v>
      </c>
      <c r="N2747" s="2" t="s">
        <v>9676</v>
      </c>
    </row>
    <row r="2748" spans="1:14">
      <c r="A2748" s="2">
        <v>2747</v>
      </c>
      <c r="B2748" s="3" t="s">
        <v>9677</v>
      </c>
      <c r="C2748" s="2" t="s">
        <v>9678</v>
      </c>
      <c r="D2748" s="2">
        <v>48</v>
      </c>
      <c r="E2748" s="2">
        <v>49</v>
      </c>
      <c r="F2748" s="2" t="s">
        <v>9679</v>
      </c>
      <c r="H2748" s="2" t="s">
        <v>17</v>
      </c>
      <c r="K2748" s="4">
        <v>15666</v>
      </c>
      <c r="L2748" s="4">
        <v>37873</v>
      </c>
      <c r="M2748" s="2" t="s">
        <v>35</v>
      </c>
      <c r="N2748" s="2" t="s">
        <v>58</v>
      </c>
    </row>
    <row r="2749" spans="1:14">
      <c r="A2749" s="2">
        <v>2748</v>
      </c>
      <c r="B2749" s="3" t="s">
        <v>9680</v>
      </c>
      <c r="C2749" s="2" t="s">
        <v>9681</v>
      </c>
      <c r="D2749" s="2">
        <v>49</v>
      </c>
      <c r="E2749" s="2">
        <v>49</v>
      </c>
      <c r="F2749" s="2" t="s">
        <v>9682</v>
      </c>
      <c r="H2749" s="2" t="s">
        <v>17</v>
      </c>
      <c r="K2749" s="4">
        <v>13790</v>
      </c>
      <c r="L2749" s="4">
        <v>41674</v>
      </c>
      <c r="M2749" s="2" t="s">
        <v>154</v>
      </c>
      <c r="N2749" s="2" t="s">
        <v>208</v>
      </c>
    </row>
    <row r="2750" spans="1:14">
      <c r="A2750" s="2">
        <v>2749</v>
      </c>
      <c r="B2750" s="3" t="s">
        <v>9683</v>
      </c>
      <c r="C2750" s="2" t="s">
        <v>9684</v>
      </c>
      <c r="D2750" s="2">
        <v>45</v>
      </c>
      <c r="E2750" s="2">
        <v>49</v>
      </c>
      <c r="F2750" s="2" t="s">
        <v>9685</v>
      </c>
      <c r="H2750" s="2" t="s">
        <v>17</v>
      </c>
      <c r="K2750" s="4">
        <v>11104</v>
      </c>
      <c r="L2750" s="4">
        <v>43578</v>
      </c>
      <c r="M2750" s="2" t="s">
        <v>140</v>
      </c>
      <c r="N2750" s="2" t="s">
        <v>2669</v>
      </c>
    </row>
    <row r="2751" spans="1:14">
      <c r="A2751" s="2">
        <v>2750</v>
      </c>
      <c r="B2751" s="3" t="s">
        <v>9686</v>
      </c>
      <c r="C2751" s="2" t="s">
        <v>9687</v>
      </c>
      <c r="D2751" s="2">
        <v>48</v>
      </c>
      <c r="E2751" s="2">
        <v>49</v>
      </c>
      <c r="F2751" s="2" t="s">
        <v>9688</v>
      </c>
      <c r="H2751" s="2" t="s">
        <v>17</v>
      </c>
      <c r="K2751" s="4">
        <v>14918</v>
      </c>
      <c r="M2751" s="2" t="s">
        <v>53</v>
      </c>
      <c r="N2751" s="2" t="s">
        <v>9689</v>
      </c>
    </row>
    <row r="2752" spans="1:14">
      <c r="A2752" s="2">
        <v>2751</v>
      </c>
      <c r="B2752" s="3" t="s">
        <v>9690</v>
      </c>
      <c r="C2752" s="2" t="s">
        <v>9691</v>
      </c>
      <c r="D2752" s="2">
        <v>48</v>
      </c>
      <c r="E2752" s="2">
        <v>49</v>
      </c>
      <c r="F2752" s="2" t="s">
        <v>9692</v>
      </c>
      <c r="H2752" s="2" t="s">
        <v>17</v>
      </c>
      <c r="K2752" s="4">
        <v>16904</v>
      </c>
      <c r="M2752" s="2" t="s">
        <v>66</v>
      </c>
      <c r="N2752" s="2" t="s">
        <v>1069</v>
      </c>
    </row>
    <row r="2753" spans="1:14">
      <c r="A2753" s="2">
        <v>2752</v>
      </c>
      <c r="B2753" s="3" t="s">
        <v>9693</v>
      </c>
      <c r="C2753" s="2" t="s">
        <v>9694</v>
      </c>
      <c r="D2753" s="2">
        <v>46</v>
      </c>
      <c r="E2753" s="2">
        <v>49</v>
      </c>
      <c r="F2753" s="2" t="s">
        <v>9695</v>
      </c>
      <c r="H2753" s="2" t="s">
        <v>17</v>
      </c>
      <c r="K2753" s="4">
        <v>15416</v>
      </c>
      <c r="M2753" s="2" t="s">
        <v>423</v>
      </c>
      <c r="N2753" s="2" t="s">
        <v>2656</v>
      </c>
    </row>
    <row r="2754" spans="1:14">
      <c r="A2754" s="2">
        <v>2753</v>
      </c>
      <c r="B2754" s="3" t="s">
        <v>9696</v>
      </c>
      <c r="C2754" s="2" t="s">
        <v>9697</v>
      </c>
      <c r="D2754" s="2">
        <v>48</v>
      </c>
      <c r="E2754" s="2">
        <v>49</v>
      </c>
      <c r="F2754" s="2" t="s">
        <v>9698</v>
      </c>
      <c r="H2754" s="2" t="s">
        <v>17</v>
      </c>
      <c r="K2754" s="4">
        <v>10578</v>
      </c>
      <c r="L2754" s="4">
        <v>40786</v>
      </c>
      <c r="M2754" s="2" t="s">
        <v>47</v>
      </c>
      <c r="N2754" s="2" t="s">
        <v>582</v>
      </c>
    </row>
    <row r="2755" spans="1:14">
      <c r="A2755" s="2">
        <v>2754</v>
      </c>
      <c r="B2755" s="3" t="s">
        <v>9699</v>
      </c>
      <c r="C2755" s="2" t="s">
        <v>9700</v>
      </c>
      <c r="D2755" s="2">
        <v>49</v>
      </c>
      <c r="E2755" s="2">
        <v>49</v>
      </c>
      <c r="F2755" s="2" t="s">
        <v>9701</v>
      </c>
      <c r="H2755" s="2" t="s">
        <v>17</v>
      </c>
      <c r="K2755" s="4">
        <v>18062</v>
      </c>
      <c r="M2755" s="2" t="s">
        <v>122</v>
      </c>
      <c r="N2755" s="2" t="s">
        <v>6797</v>
      </c>
    </row>
    <row r="2756" spans="1:14">
      <c r="A2756" s="2">
        <v>2755</v>
      </c>
      <c r="B2756" s="3" t="s">
        <v>9702</v>
      </c>
      <c r="C2756" s="2" t="s">
        <v>9703</v>
      </c>
      <c r="D2756" s="2">
        <v>49</v>
      </c>
      <c r="E2756" s="2">
        <v>49</v>
      </c>
      <c r="F2756" s="2" t="s">
        <v>9704</v>
      </c>
      <c r="H2756" s="2" t="s">
        <v>17</v>
      </c>
      <c r="K2756" s="4">
        <v>17132</v>
      </c>
      <c r="M2756" s="2" t="s">
        <v>423</v>
      </c>
      <c r="N2756" s="2" t="s">
        <v>9705</v>
      </c>
    </row>
    <row r="2757" spans="1:14">
      <c r="A2757" s="2">
        <v>2756</v>
      </c>
      <c r="B2757" s="3" t="s">
        <v>9706</v>
      </c>
      <c r="C2757" s="2" t="s">
        <v>9707</v>
      </c>
      <c r="D2757" s="2">
        <v>47</v>
      </c>
      <c r="E2757" s="2">
        <v>49</v>
      </c>
      <c r="F2757" s="2" t="s">
        <v>9708</v>
      </c>
      <c r="H2757" s="2" t="s">
        <v>17</v>
      </c>
      <c r="K2757" s="4">
        <v>12079</v>
      </c>
      <c r="L2757" s="4">
        <v>36740</v>
      </c>
      <c r="M2757" s="2" t="s">
        <v>85</v>
      </c>
      <c r="N2757" s="2" t="s">
        <v>2563</v>
      </c>
    </row>
    <row r="2758" spans="1:14">
      <c r="A2758" s="2">
        <v>2757</v>
      </c>
      <c r="B2758" s="3" t="s">
        <v>9709</v>
      </c>
      <c r="C2758" s="2" t="s">
        <v>9710</v>
      </c>
      <c r="D2758" s="2">
        <v>48</v>
      </c>
      <c r="E2758" s="2">
        <v>49</v>
      </c>
      <c r="F2758" s="2" t="s">
        <v>9711</v>
      </c>
      <c r="H2758" s="2" t="s">
        <v>17</v>
      </c>
      <c r="K2758" s="4">
        <v>16379</v>
      </c>
      <c r="L2758" s="4">
        <v>41638</v>
      </c>
      <c r="M2758" s="2" t="s">
        <v>423</v>
      </c>
      <c r="N2758" s="2" t="s">
        <v>3942</v>
      </c>
    </row>
    <row r="2759" spans="1:14">
      <c r="A2759" s="2">
        <v>2758</v>
      </c>
      <c r="B2759" s="3" t="s">
        <v>9712</v>
      </c>
      <c r="C2759" s="2" t="s">
        <v>9713</v>
      </c>
      <c r="D2759" s="2">
        <v>49</v>
      </c>
      <c r="E2759" s="2">
        <v>49</v>
      </c>
      <c r="F2759" s="2" t="s">
        <v>9714</v>
      </c>
      <c r="H2759" s="2" t="s">
        <v>17</v>
      </c>
      <c r="K2759" s="4">
        <v>10215</v>
      </c>
      <c r="L2759" s="4">
        <v>45902</v>
      </c>
      <c r="M2759" s="2" t="s">
        <v>170</v>
      </c>
      <c r="N2759" s="2" t="s">
        <v>323</v>
      </c>
    </row>
    <row r="2760" spans="1:14">
      <c r="A2760" s="2">
        <v>2759</v>
      </c>
      <c r="B2760" s="3" t="s">
        <v>9715</v>
      </c>
      <c r="C2760" s="2" t="s">
        <v>9716</v>
      </c>
      <c r="D2760" s="2">
        <v>49</v>
      </c>
      <c r="E2760" s="2">
        <v>49</v>
      </c>
      <c r="F2760" s="2" t="s">
        <v>9717</v>
      </c>
      <c r="H2760" s="2" t="s">
        <v>17</v>
      </c>
      <c r="K2760" s="4">
        <v>15209</v>
      </c>
      <c r="M2760" s="2" t="s">
        <v>53</v>
      </c>
      <c r="N2760" s="2" t="s">
        <v>686</v>
      </c>
    </row>
    <row r="2761" spans="1:14">
      <c r="A2761" s="2">
        <v>2760</v>
      </c>
      <c r="B2761" s="3" t="s">
        <v>9718</v>
      </c>
      <c r="C2761" s="2" t="s">
        <v>9719</v>
      </c>
      <c r="D2761" s="2">
        <v>48</v>
      </c>
      <c r="E2761" s="2">
        <v>49</v>
      </c>
      <c r="F2761" s="2" t="s">
        <v>9720</v>
      </c>
      <c r="H2761" s="2" t="s">
        <v>17</v>
      </c>
      <c r="K2761" s="4">
        <v>12632</v>
      </c>
      <c r="L2761" s="4">
        <v>45368</v>
      </c>
      <c r="M2761" s="2" t="s">
        <v>66</v>
      </c>
      <c r="N2761" s="2" t="s">
        <v>364</v>
      </c>
    </row>
    <row r="2762" spans="1:14">
      <c r="A2762" s="2">
        <v>2761</v>
      </c>
      <c r="B2762" s="3" t="s">
        <v>9721</v>
      </c>
      <c r="C2762" s="2" t="s">
        <v>9722</v>
      </c>
      <c r="D2762" s="2">
        <v>46</v>
      </c>
      <c r="E2762" s="2">
        <v>49</v>
      </c>
      <c r="F2762" s="2" t="s">
        <v>9723</v>
      </c>
      <c r="H2762" s="2" t="s">
        <v>17</v>
      </c>
      <c r="K2762" s="4">
        <v>9527</v>
      </c>
      <c r="L2762" s="4">
        <v>38066</v>
      </c>
      <c r="M2762" s="2" t="s">
        <v>164</v>
      </c>
      <c r="N2762" s="2" t="s">
        <v>165</v>
      </c>
    </row>
    <row r="2763" spans="1:14">
      <c r="A2763" s="2">
        <v>2762</v>
      </c>
      <c r="B2763" s="3" t="s">
        <v>9724</v>
      </c>
      <c r="C2763" s="2" t="s">
        <v>9725</v>
      </c>
      <c r="D2763" s="2">
        <v>49</v>
      </c>
      <c r="E2763" s="2">
        <v>49</v>
      </c>
      <c r="F2763" s="2" t="s">
        <v>9726</v>
      </c>
      <c r="H2763" s="2" t="s">
        <v>17</v>
      </c>
      <c r="K2763" s="4">
        <v>9913</v>
      </c>
      <c r="L2763" s="4">
        <v>42589</v>
      </c>
      <c r="M2763" s="2" t="s">
        <v>47</v>
      </c>
      <c r="N2763" s="2" t="s">
        <v>442</v>
      </c>
    </row>
    <row r="2764" spans="1:14">
      <c r="A2764" s="2">
        <v>2763</v>
      </c>
      <c r="B2764" s="3" t="s">
        <v>9727</v>
      </c>
      <c r="C2764" s="2" t="s">
        <v>9728</v>
      </c>
      <c r="D2764" s="2">
        <v>49</v>
      </c>
      <c r="E2764" s="2">
        <v>49</v>
      </c>
      <c r="F2764" s="2" t="s">
        <v>9729</v>
      </c>
      <c r="H2764" s="2" t="s">
        <v>17</v>
      </c>
      <c r="K2764" s="4">
        <v>13534</v>
      </c>
      <c r="M2764" s="2" t="s">
        <v>154</v>
      </c>
      <c r="N2764" s="2" t="s">
        <v>155</v>
      </c>
    </row>
    <row r="2765" spans="1:14">
      <c r="A2765" s="2">
        <v>2764</v>
      </c>
      <c r="B2765" s="3" t="s">
        <v>9730</v>
      </c>
      <c r="C2765" s="2" t="s">
        <v>9731</v>
      </c>
      <c r="D2765" s="2">
        <v>49</v>
      </c>
      <c r="E2765" s="2">
        <v>49</v>
      </c>
      <c r="F2765" s="2" t="s">
        <v>9732</v>
      </c>
      <c r="H2765" s="2" t="s">
        <v>17</v>
      </c>
      <c r="K2765" s="4">
        <v>18005</v>
      </c>
      <c r="L2765" s="4">
        <v>41931</v>
      </c>
      <c r="M2765" s="2" t="s">
        <v>47</v>
      </c>
      <c r="N2765" s="2" t="s">
        <v>3372</v>
      </c>
    </row>
    <row r="2766" spans="1:14">
      <c r="A2766" s="2">
        <v>2765</v>
      </c>
      <c r="B2766" s="3" t="s">
        <v>9733</v>
      </c>
      <c r="C2766" s="2" t="s">
        <v>9734</v>
      </c>
      <c r="D2766" s="2">
        <v>44</v>
      </c>
      <c r="E2766" s="2">
        <v>49</v>
      </c>
      <c r="F2766" s="2" t="s">
        <v>9735</v>
      </c>
      <c r="H2766" s="2" t="s">
        <v>17</v>
      </c>
      <c r="K2766" s="4">
        <v>13558</v>
      </c>
      <c r="M2766" s="2" t="s">
        <v>35</v>
      </c>
      <c r="N2766" s="2" t="s">
        <v>9736</v>
      </c>
    </row>
    <row r="2767" spans="1:14">
      <c r="A2767" s="2">
        <v>2766</v>
      </c>
      <c r="B2767" s="3" t="s">
        <v>9737</v>
      </c>
      <c r="C2767" s="2" t="s">
        <v>9738</v>
      </c>
      <c r="D2767" s="2">
        <v>49</v>
      </c>
      <c r="E2767" s="2">
        <v>49</v>
      </c>
      <c r="F2767" s="2" t="s">
        <v>9739</v>
      </c>
      <c r="H2767" s="2" t="s">
        <v>17</v>
      </c>
      <c r="K2767" s="4">
        <v>9878</v>
      </c>
      <c r="L2767" s="4">
        <v>36748</v>
      </c>
      <c r="M2767" s="2" t="s">
        <v>198</v>
      </c>
      <c r="N2767" s="2" t="s">
        <v>199</v>
      </c>
    </row>
    <row r="2768" spans="1:14">
      <c r="A2768" s="2">
        <v>2767</v>
      </c>
      <c r="B2768" s="3" t="s">
        <v>9740</v>
      </c>
      <c r="C2768" s="2" t="s">
        <v>9741</v>
      </c>
      <c r="D2768" s="2">
        <v>49</v>
      </c>
      <c r="E2768" s="2">
        <v>49</v>
      </c>
      <c r="F2768" s="2" t="s">
        <v>9742</v>
      </c>
      <c r="H2768" s="2" t="s">
        <v>17</v>
      </c>
      <c r="K2768" s="4">
        <v>15244</v>
      </c>
      <c r="M2768" s="2" t="s">
        <v>423</v>
      </c>
      <c r="N2768" s="2" t="s">
        <v>456</v>
      </c>
    </row>
    <row r="2769" spans="1:14">
      <c r="A2769" s="2">
        <v>2768</v>
      </c>
      <c r="B2769" s="3" t="s">
        <v>9743</v>
      </c>
      <c r="C2769" s="2" t="s">
        <v>9744</v>
      </c>
      <c r="D2769" s="2">
        <v>49</v>
      </c>
      <c r="E2769" s="2">
        <v>49</v>
      </c>
      <c r="F2769" s="2" t="s">
        <v>9745</v>
      </c>
      <c r="H2769" s="2" t="s">
        <v>17</v>
      </c>
      <c r="K2769" s="4">
        <v>20931</v>
      </c>
      <c r="M2769" s="2" t="s">
        <v>192</v>
      </c>
      <c r="N2769" s="2" t="s">
        <v>9746</v>
      </c>
    </row>
    <row r="2770" spans="1:14">
      <c r="A2770" s="2">
        <v>2769</v>
      </c>
      <c r="B2770" s="3" t="s">
        <v>9747</v>
      </c>
      <c r="C2770" s="2" t="s">
        <v>9748</v>
      </c>
      <c r="D2770" s="2">
        <v>49</v>
      </c>
      <c r="E2770" s="2">
        <v>49</v>
      </c>
      <c r="F2770" s="2" t="s">
        <v>9749</v>
      </c>
      <c r="H2770" s="2" t="s">
        <v>17</v>
      </c>
      <c r="K2770" s="4">
        <v>13706</v>
      </c>
      <c r="L2770" s="4">
        <v>42958</v>
      </c>
      <c r="M2770" s="2" t="s">
        <v>170</v>
      </c>
      <c r="N2770" s="2" t="s">
        <v>171</v>
      </c>
    </row>
    <row r="2771" spans="1:14">
      <c r="A2771" s="2">
        <v>2770</v>
      </c>
      <c r="B2771" s="3" t="s">
        <v>9750</v>
      </c>
      <c r="C2771" s="2" t="s">
        <v>9751</v>
      </c>
      <c r="D2771" s="2">
        <v>49</v>
      </c>
      <c r="E2771" s="2">
        <v>49</v>
      </c>
      <c r="F2771" s="2" t="s">
        <v>9752</v>
      </c>
      <c r="H2771" s="2" t="s">
        <v>17</v>
      </c>
      <c r="K2771" s="4">
        <v>10543</v>
      </c>
      <c r="L2771" s="4">
        <v>39309</v>
      </c>
      <c r="M2771" s="2" t="s">
        <v>47</v>
      </c>
      <c r="N2771" s="2" t="s">
        <v>9753</v>
      </c>
    </row>
    <row r="2772" spans="1:14">
      <c r="A2772" s="2">
        <v>2771</v>
      </c>
      <c r="B2772" s="3" t="s">
        <v>9754</v>
      </c>
      <c r="C2772" s="2" t="s">
        <v>9755</v>
      </c>
      <c r="D2772" s="2">
        <v>49</v>
      </c>
      <c r="E2772" s="2">
        <v>49</v>
      </c>
      <c r="F2772" s="2" t="s">
        <v>9756</v>
      </c>
      <c r="H2772" s="2" t="s">
        <v>17</v>
      </c>
      <c r="K2772" s="4">
        <v>14892</v>
      </c>
      <c r="L2772" s="4">
        <v>44312</v>
      </c>
      <c r="M2772" s="2" t="s">
        <v>35</v>
      </c>
      <c r="N2772" s="2" t="s">
        <v>1171</v>
      </c>
    </row>
    <row r="2773" spans="1:14">
      <c r="A2773" s="2">
        <v>2772</v>
      </c>
      <c r="B2773" s="3" t="s">
        <v>9757</v>
      </c>
      <c r="C2773" s="2" t="s">
        <v>9758</v>
      </c>
      <c r="D2773" s="2">
        <v>49</v>
      </c>
      <c r="E2773" s="2">
        <v>49</v>
      </c>
      <c r="F2773" s="2" t="s">
        <v>9759</v>
      </c>
      <c r="H2773" s="2" t="s">
        <v>17</v>
      </c>
      <c r="K2773" s="4">
        <v>17656</v>
      </c>
      <c r="M2773" s="2" t="s">
        <v>170</v>
      </c>
      <c r="N2773" s="2" t="s">
        <v>9760</v>
      </c>
    </row>
    <row r="2774" spans="1:14">
      <c r="A2774" s="2">
        <v>2773</v>
      </c>
      <c r="B2774" s="3" t="s">
        <v>9761</v>
      </c>
      <c r="C2774" s="2" t="s">
        <v>9762</v>
      </c>
      <c r="D2774" s="2">
        <v>49</v>
      </c>
      <c r="E2774" s="2">
        <v>49</v>
      </c>
      <c r="F2774" s="2" t="s">
        <v>9763</v>
      </c>
      <c r="H2774" s="2" t="s">
        <v>17</v>
      </c>
      <c r="K2774" s="4">
        <v>15633</v>
      </c>
      <c r="M2774" s="2" t="s">
        <v>35</v>
      </c>
      <c r="N2774" s="2" t="s">
        <v>6880</v>
      </c>
    </row>
    <row r="2775" spans="1:14">
      <c r="A2775" s="2">
        <v>2774</v>
      </c>
      <c r="B2775" s="3" t="s">
        <v>9764</v>
      </c>
      <c r="C2775" s="2" t="s">
        <v>9765</v>
      </c>
      <c r="D2775" s="2">
        <v>48</v>
      </c>
      <c r="E2775" s="2">
        <v>49</v>
      </c>
      <c r="F2775" s="2" t="s">
        <v>9766</v>
      </c>
      <c r="H2775" s="2" t="s">
        <v>17</v>
      </c>
      <c r="K2775" s="4">
        <v>20824</v>
      </c>
      <c r="M2775" s="2" t="s">
        <v>140</v>
      </c>
      <c r="N2775" s="2" t="s">
        <v>5850</v>
      </c>
    </row>
    <row r="2776" spans="1:14">
      <c r="A2776" s="2">
        <v>2775</v>
      </c>
      <c r="B2776" s="3" t="s">
        <v>9767</v>
      </c>
      <c r="C2776" s="2" t="s">
        <v>9768</v>
      </c>
      <c r="D2776" s="2">
        <v>49</v>
      </c>
      <c r="E2776" s="2">
        <v>49</v>
      </c>
      <c r="F2776" s="2" t="s">
        <v>9769</v>
      </c>
      <c r="H2776" s="2" t="s">
        <v>17</v>
      </c>
      <c r="K2776" s="4">
        <v>14628</v>
      </c>
      <c r="M2776" s="2" t="s">
        <v>47</v>
      </c>
      <c r="N2776" s="2" t="s">
        <v>9770</v>
      </c>
    </row>
    <row r="2777" spans="1:14">
      <c r="A2777" s="2">
        <v>2776</v>
      </c>
      <c r="B2777" s="3" t="s">
        <v>9771</v>
      </c>
      <c r="C2777" s="2" t="s">
        <v>9772</v>
      </c>
      <c r="D2777" s="2">
        <v>49</v>
      </c>
      <c r="E2777" s="2">
        <v>49</v>
      </c>
      <c r="F2777" s="2" t="s">
        <v>9773</v>
      </c>
      <c r="H2777" s="2" t="s">
        <v>17</v>
      </c>
      <c r="K2777" s="4">
        <v>14006</v>
      </c>
      <c r="L2777" s="4">
        <v>34718</v>
      </c>
      <c r="M2777" s="2" t="s">
        <v>192</v>
      </c>
      <c r="N2777" s="2" t="s">
        <v>7313</v>
      </c>
    </row>
    <row r="2778" spans="1:14">
      <c r="A2778" s="2">
        <v>2777</v>
      </c>
      <c r="B2778" s="3" t="s">
        <v>9774</v>
      </c>
      <c r="C2778" s="2" t="s">
        <v>9775</v>
      </c>
      <c r="D2778" s="2">
        <v>49</v>
      </c>
      <c r="E2778" s="2">
        <v>49</v>
      </c>
      <c r="F2778" s="2" t="s">
        <v>9776</v>
      </c>
      <c r="H2778" s="2" t="s">
        <v>17</v>
      </c>
      <c r="K2778" s="4">
        <v>18777</v>
      </c>
      <c r="M2778" s="2" t="s">
        <v>66</v>
      </c>
      <c r="N2778" s="2" t="s">
        <v>5822</v>
      </c>
    </row>
    <row r="2779" spans="1:14">
      <c r="A2779" s="2">
        <v>2778</v>
      </c>
      <c r="B2779" s="3" t="s">
        <v>9777</v>
      </c>
      <c r="C2779" s="2" t="s">
        <v>9778</v>
      </c>
      <c r="D2779" s="2">
        <v>49</v>
      </c>
      <c r="E2779" s="2">
        <v>49</v>
      </c>
      <c r="F2779" s="2" t="s">
        <v>9779</v>
      </c>
      <c r="H2779" s="2" t="s">
        <v>17</v>
      </c>
      <c r="K2779" s="4">
        <v>18799</v>
      </c>
      <c r="L2779" s="4">
        <v>41772</v>
      </c>
      <c r="M2779" s="2" t="s">
        <v>35</v>
      </c>
      <c r="N2779" s="2" t="s">
        <v>9780</v>
      </c>
    </row>
    <row r="2780" spans="1:14">
      <c r="A2780" s="2">
        <v>2779</v>
      </c>
      <c r="B2780" s="3" t="s">
        <v>9781</v>
      </c>
      <c r="C2780" s="2" t="s">
        <v>9782</v>
      </c>
      <c r="D2780" s="2">
        <v>47</v>
      </c>
      <c r="E2780" s="2">
        <v>49</v>
      </c>
      <c r="F2780" s="2" t="s">
        <v>9783</v>
      </c>
      <c r="H2780" s="2" t="s">
        <v>17</v>
      </c>
      <c r="K2780" s="4">
        <v>14358</v>
      </c>
      <c r="M2780" s="2" t="s">
        <v>66</v>
      </c>
      <c r="N2780" s="2" t="s">
        <v>71</v>
      </c>
    </row>
    <row r="2781" spans="1:14">
      <c r="A2781" s="2">
        <v>2780</v>
      </c>
      <c r="B2781" s="3" t="s">
        <v>9784</v>
      </c>
      <c r="C2781" s="2" t="s">
        <v>9785</v>
      </c>
      <c r="D2781" s="2">
        <v>49</v>
      </c>
      <c r="E2781" s="2">
        <v>49</v>
      </c>
      <c r="F2781" s="2" t="s">
        <v>9786</v>
      </c>
      <c r="H2781" s="2" t="s">
        <v>17</v>
      </c>
      <c r="K2781" s="4">
        <v>15985</v>
      </c>
      <c r="M2781" s="2" t="s">
        <v>76</v>
      </c>
      <c r="N2781" s="2" t="s">
        <v>9787</v>
      </c>
    </row>
    <row r="2782" spans="1:14">
      <c r="A2782" s="2">
        <v>2781</v>
      </c>
      <c r="B2782" s="3" t="s">
        <v>9788</v>
      </c>
      <c r="C2782" s="2" t="s">
        <v>9789</v>
      </c>
      <c r="D2782" s="2">
        <v>48</v>
      </c>
      <c r="E2782" s="2">
        <v>49</v>
      </c>
      <c r="F2782" s="2" t="s">
        <v>9790</v>
      </c>
      <c r="H2782" s="2" t="s">
        <v>45</v>
      </c>
      <c r="K2782" s="4">
        <v>18796</v>
      </c>
      <c r="M2782" s="2" t="s">
        <v>571</v>
      </c>
      <c r="N2782" s="2" t="s">
        <v>5307</v>
      </c>
    </row>
    <row r="2783" spans="1:14">
      <c r="A2783" s="2">
        <v>2782</v>
      </c>
      <c r="B2783" s="3" t="s">
        <v>9791</v>
      </c>
      <c r="C2783" s="2" t="s">
        <v>9792</v>
      </c>
      <c r="D2783" s="2">
        <v>49</v>
      </c>
      <c r="E2783" s="2">
        <v>49</v>
      </c>
      <c r="F2783" s="2" t="s">
        <v>9793</v>
      </c>
      <c r="H2783" s="2" t="s">
        <v>17</v>
      </c>
      <c r="K2783" s="4">
        <v>16206</v>
      </c>
      <c r="M2783" s="2" t="s">
        <v>66</v>
      </c>
      <c r="N2783" s="2" t="s">
        <v>71</v>
      </c>
    </row>
    <row r="2784" spans="1:14">
      <c r="A2784" s="2">
        <v>2783</v>
      </c>
      <c r="B2784" s="3" t="s">
        <v>9794</v>
      </c>
      <c r="C2784" s="2" t="s">
        <v>9795</v>
      </c>
      <c r="D2784" s="2">
        <v>49</v>
      </c>
      <c r="E2784" s="2">
        <v>49</v>
      </c>
      <c r="F2784" s="2" t="s">
        <v>9795</v>
      </c>
      <c r="H2784" s="2" t="s">
        <v>17</v>
      </c>
      <c r="K2784" s="4">
        <v>13247</v>
      </c>
      <c r="L2784" s="4">
        <v>45804</v>
      </c>
      <c r="M2784" s="2" t="s">
        <v>423</v>
      </c>
      <c r="N2784" s="2" t="s">
        <v>4842</v>
      </c>
    </row>
    <row r="2785" spans="1:14">
      <c r="A2785" s="2">
        <v>2784</v>
      </c>
      <c r="B2785" s="3" t="s">
        <v>9796</v>
      </c>
      <c r="C2785" s="2" t="s">
        <v>9797</v>
      </c>
      <c r="D2785" s="2">
        <v>49</v>
      </c>
      <c r="E2785" s="2">
        <v>49</v>
      </c>
      <c r="F2785" s="2" t="s">
        <v>9798</v>
      </c>
      <c r="H2785" s="2" t="s">
        <v>45</v>
      </c>
      <c r="K2785" s="4">
        <v>12186</v>
      </c>
      <c r="L2785" s="4">
        <v>45450</v>
      </c>
      <c r="M2785" s="2" t="s">
        <v>40</v>
      </c>
      <c r="N2785" s="2" t="s">
        <v>41</v>
      </c>
    </row>
    <row r="2786" spans="1:14">
      <c r="A2786" s="2">
        <v>2785</v>
      </c>
      <c r="B2786" s="3" t="s">
        <v>9799</v>
      </c>
      <c r="C2786" s="2" t="s">
        <v>9800</v>
      </c>
      <c r="D2786" s="2">
        <v>49</v>
      </c>
      <c r="E2786" s="2">
        <v>49</v>
      </c>
      <c r="F2786" s="2" t="s">
        <v>9801</v>
      </c>
      <c r="H2786" s="2" t="s">
        <v>17</v>
      </c>
      <c r="K2786" s="4">
        <v>18761</v>
      </c>
      <c r="M2786" s="2" t="s">
        <v>40</v>
      </c>
      <c r="N2786" s="2" t="s">
        <v>9802</v>
      </c>
    </row>
    <row r="2787" spans="1:14">
      <c r="A2787" s="2">
        <v>2786</v>
      </c>
      <c r="B2787" s="3" t="s">
        <v>9803</v>
      </c>
      <c r="C2787" s="2" t="s">
        <v>9804</v>
      </c>
      <c r="D2787" s="2">
        <v>49</v>
      </c>
      <c r="E2787" s="2">
        <v>49</v>
      </c>
      <c r="F2787" s="2" t="s">
        <v>9805</v>
      </c>
      <c r="H2787" s="2" t="s">
        <v>17</v>
      </c>
      <c r="K2787" s="4">
        <v>15560</v>
      </c>
      <c r="L2787" s="4">
        <v>44145</v>
      </c>
      <c r="M2787" s="2" t="s">
        <v>35</v>
      </c>
      <c r="N2787" s="2" t="s">
        <v>608</v>
      </c>
    </row>
    <row r="2788" spans="1:14">
      <c r="A2788" s="2">
        <v>2787</v>
      </c>
      <c r="B2788" s="3" t="s">
        <v>9806</v>
      </c>
      <c r="C2788" s="2" t="s">
        <v>9807</v>
      </c>
      <c r="D2788" s="2">
        <v>49</v>
      </c>
      <c r="E2788" s="2">
        <v>49</v>
      </c>
      <c r="F2788" s="2" t="s">
        <v>9808</v>
      </c>
      <c r="H2788" s="2" t="s">
        <v>17</v>
      </c>
      <c r="K2788" s="4">
        <v>21345</v>
      </c>
      <c r="M2788" s="2" t="s">
        <v>30</v>
      </c>
      <c r="N2788" s="2" t="s">
        <v>9809</v>
      </c>
    </row>
    <row r="2789" spans="1:14">
      <c r="A2789" s="2">
        <v>2788</v>
      </c>
      <c r="B2789" s="3" t="s">
        <v>9810</v>
      </c>
      <c r="C2789" s="2" t="s">
        <v>9811</v>
      </c>
      <c r="D2789" s="2">
        <v>49</v>
      </c>
      <c r="E2789" s="2">
        <v>49</v>
      </c>
      <c r="F2789" s="2" t="s">
        <v>9812</v>
      </c>
      <c r="H2789" s="2" t="s">
        <v>17</v>
      </c>
      <c r="K2789" s="4">
        <v>20557</v>
      </c>
      <c r="M2789" s="2" t="s">
        <v>185</v>
      </c>
      <c r="N2789" s="2" t="s">
        <v>838</v>
      </c>
    </row>
    <row r="2790" spans="1:14">
      <c r="A2790" s="2">
        <v>2789</v>
      </c>
      <c r="B2790" s="3" t="s">
        <v>9813</v>
      </c>
      <c r="C2790" s="2" t="s">
        <v>9814</v>
      </c>
      <c r="D2790" s="2">
        <v>49</v>
      </c>
      <c r="E2790" s="2">
        <v>49</v>
      </c>
      <c r="F2790" s="2" t="s">
        <v>9815</v>
      </c>
      <c r="H2790" s="2" t="s">
        <v>17</v>
      </c>
      <c r="K2790" s="4">
        <v>11659</v>
      </c>
      <c r="L2790" s="4">
        <v>41302</v>
      </c>
      <c r="M2790" s="2" t="s">
        <v>76</v>
      </c>
      <c r="N2790" s="2" t="s">
        <v>9251</v>
      </c>
    </row>
    <row r="2791" spans="1:14">
      <c r="A2791" s="2">
        <v>2790</v>
      </c>
      <c r="B2791" s="3" t="s">
        <v>9816</v>
      </c>
      <c r="C2791" s="2" t="s">
        <v>9817</v>
      </c>
      <c r="D2791" s="2">
        <v>49</v>
      </c>
      <c r="E2791" s="2">
        <v>49</v>
      </c>
      <c r="F2791" s="2" t="s">
        <v>9818</v>
      </c>
      <c r="H2791" s="2" t="s">
        <v>17</v>
      </c>
      <c r="K2791" s="4">
        <v>18768</v>
      </c>
      <c r="M2791" s="2" t="s">
        <v>198</v>
      </c>
      <c r="N2791" s="2" t="s">
        <v>199</v>
      </c>
    </row>
    <row r="2792" spans="1:14">
      <c r="A2792" s="2">
        <v>2791</v>
      </c>
      <c r="B2792" s="3" t="s">
        <v>9819</v>
      </c>
      <c r="C2792" s="2" t="s">
        <v>9820</v>
      </c>
      <c r="D2792" s="2">
        <v>47</v>
      </c>
      <c r="E2792" s="2">
        <v>49</v>
      </c>
      <c r="F2792" s="2" t="s">
        <v>9821</v>
      </c>
      <c r="H2792" s="2" t="s">
        <v>17</v>
      </c>
      <c r="K2792" s="4">
        <v>10778</v>
      </c>
      <c r="L2792" s="4">
        <v>34741</v>
      </c>
      <c r="M2792" s="2" t="s">
        <v>47</v>
      </c>
      <c r="N2792" s="2" t="s">
        <v>442</v>
      </c>
    </row>
    <row r="2793" spans="1:14">
      <c r="A2793" s="2">
        <v>2792</v>
      </c>
      <c r="B2793" s="3" t="s">
        <v>9822</v>
      </c>
      <c r="C2793" s="2" t="s">
        <v>9823</v>
      </c>
      <c r="D2793" s="2">
        <v>48</v>
      </c>
      <c r="E2793" s="2">
        <v>49</v>
      </c>
      <c r="F2793" s="2" t="s">
        <v>9824</v>
      </c>
      <c r="H2793" s="2" t="s">
        <v>17</v>
      </c>
      <c r="K2793" s="4">
        <v>14121</v>
      </c>
      <c r="L2793" s="4">
        <v>44231</v>
      </c>
      <c r="M2793" s="2" t="s">
        <v>146</v>
      </c>
      <c r="N2793" s="2" t="s">
        <v>9825</v>
      </c>
    </row>
    <row r="2794" spans="1:14">
      <c r="A2794" s="2">
        <v>2793</v>
      </c>
      <c r="B2794" s="3" t="s">
        <v>9826</v>
      </c>
      <c r="C2794" s="2" t="s">
        <v>9827</v>
      </c>
      <c r="D2794" s="2">
        <v>49</v>
      </c>
      <c r="E2794" s="2">
        <v>49</v>
      </c>
      <c r="F2794" s="2" t="s">
        <v>9828</v>
      </c>
      <c r="H2794" s="2" t="s">
        <v>17</v>
      </c>
      <c r="K2794" s="4">
        <v>21789</v>
      </c>
      <c r="M2794" s="2" t="s">
        <v>76</v>
      </c>
      <c r="N2794" s="2" t="s">
        <v>6506</v>
      </c>
    </row>
    <row r="2795" spans="1:14">
      <c r="A2795" s="2">
        <v>2794</v>
      </c>
      <c r="B2795" s="3" t="s">
        <v>9829</v>
      </c>
      <c r="C2795" s="2" t="s">
        <v>9830</v>
      </c>
      <c r="D2795" s="2">
        <v>49</v>
      </c>
      <c r="E2795" s="2">
        <v>49</v>
      </c>
      <c r="F2795" s="2" t="s">
        <v>9831</v>
      </c>
      <c r="H2795" s="2" t="s">
        <v>17</v>
      </c>
      <c r="K2795" s="4">
        <v>15715</v>
      </c>
      <c r="M2795" s="2" t="s">
        <v>154</v>
      </c>
      <c r="N2795" s="2" t="s">
        <v>3523</v>
      </c>
    </row>
    <row r="2796" spans="1:14">
      <c r="A2796" s="2">
        <v>2795</v>
      </c>
      <c r="B2796" s="3" t="s">
        <v>9832</v>
      </c>
      <c r="C2796" s="2" t="s">
        <v>9833</v>
      </c>
      <c r="D2796" s="2">
        <v>49</v>
      </c>
      <c r="E2796" s="2">
        <v>49</v>
      </c>
      <c r="F2796" s="2" t="s">
        <v>9834</v>
      </c>
      <c r="H2796" s="2" t="s">
        <v>17</v>
      </c>
      <c r="K2796" s="4">
        <v>15497</v>
      </c>
      <c r="M2796" s="2" t="s">
        <v>185</v>
      </c>
      <c r="N2796" s="2" t="s">
        <v>3569</v>
      </c>
    </row>
    <row r="2797" spans="1:14">
      <c r="A2797" s="2">
        <v>2796</v>
      </c>
      <c r="B2797" s="3" t="s">
        <v>9835</v>
      </c>
      <c r="C2797" s="2" t="s">
        <v>9836</v>
      </c>
      <c r="D2797" s="2">
        <v>49</v>
      </c>
      <c r="E2797" s="2">
        <v>49</v>
      </c>
      <c r="F2797" s="2" t="s">
        <v>9837</v>
      </c>
      <c r="H2797" s="2" t="s">
        <v>17</v>
      </c>
      <c r="K2797" s="4">
        <v>15878</v>
      </c>
      <c r="M2797" s="2" t="s">
        <v>47</v>
      </c>
      <c r="N2797" s="2" t="s">
        <v>48</v>
      </c>
    </row>
    <row r="2798" spans="1:14">
      <c r="A2798" s="2">
        <v>2797</v>
      </c>
      <c r="B2798" s="3" t="s">
        <v>9838</v>
      </c>
      <c r="C2798" s="2" t="s">
        <v>9839</v>
      </c>
      <c r="D2798" s="2">
        <v>48</v>
      </c>
      <c r="E2798" s="2">
        <v>49</v>
      </c>
      <c r="F2798" s="2" t="s">
        <v>9840</v>
      </c>
      <c r="H2798" s="2" t="s">
        <v>17</v>
      </c>
      <c r="K2798" s="4">
        <v>17364</v>
      </c>
      <c r="M2798" s="2" t="s">
        <v>423</v>
      </c>
      <c r="N2798" s="2" t="s">
        <v>9841</v>
      </c>
    </row>
    <row r="2799" spans="1:14">
      <c r="A2799" s="2">
        <v>2798</v>
      </c>
      <c r="B2799" s="3" t="s">
        <v>9842</v>
      </c>
      <c r="C2799" s="2" t="s">
        <v>9843</v>
      </c>
      <c r="D2799" s="2">
        <v>49</v>
      </c>
      <c r="E2799" s="2">
        <v>49</v>
      </c>
      <c r="F2799" s="2" t="s">
        <v>9844</v>
      </c>
      <c r="H2799" s="2" t="s">
        <v>17</v>
      </c>
      <c r="K2799" s="4">
        <v>12368</v>
      </c>
      <c r="L2799" s="4">
        <v>40363</v>
      </c>
      <c r="M2799" s="2" t="s">
        <v>47</v>
      </c>
      <c r="N2799" s="2" t="s">
        <v>7866</v>
      </c>
    </row>
    <row r="2800" spans="1:14">
      <c r="A2800" s="2">
        <v>2799</v>
      </c>
      <c r="B2800" s="3" t="s">
        <v>9845</v>
      </c>
      <c r="C2800" s="2" t="s">
        <v>9846</v>
      </c>
      <c r="D2800" s="2">
        <v>49</v>
      </c>
      <c r="E2800" s="2">
        <v>49</v>
      </c>
      <c r="F2800" s="2" t="s">
        <v>9847</v>
      </c>
      <c r="H2800" s="2" t="s">
        <v>17</v>
      </c>
      <c r="K2800" s="4">
        <v>11322</v>
      </c>
      <c r="L2800" s="4">
        <v>45580</v>
      </c>
      <c r="M2800" s="2" t="s">
        <v>35</v>
      </c>
      <c r="N2800" s="2" t="s">
        <v>9848</v>
      </c>
    </row>
    <row r="2801" spans="1:14">
      <c r="A2801" s="2">
        <v>2800</v>
      </c>
      <c r="B2801" s="3" t="s">
        <v>9849</v>
      </c>
      <c r="C2801" s="2" t="s">
        <v>9850</v>
      </c>
      <c r="D2801" s="2">
        <v>48</v>
      </c>
      <c r="E2801" s="2">
        <v>49</v>
      </c>
      <c r="F2801" s="2" t="s">
        <v>9851</v>
      </c>
      <c r="H2801" s="2" t="s">
        <v>45</v>
      </c>
      <c r="K2801" s="4">
        <v>9374</v>
      </c>
      <c r="L2801" s="4">
        <v>44631</v>
      </c>
      <c r="M2801" s="2" t="s">
        <v>164</v>
      </c>
      <c r="N2801" s="2" t="s">
        <v>165</v>
      </c>
    </row>
    <row r="2802" spans="1:14">
      <c r="A2802" s="2">
        <v>2801</v>
      </c>
      <c r="B2802" s="3" t="s">
        <v>9852</v>
      </c>
      <c r="C2802" s="2" t="s">
        <v>9853</v>
      </c>
      <c r="D2802" s="2">
        <v>49</v>
      </c>
      <c r="E2802" s="2">
        <v>49</v>
      </c>
      <c r="F2802" s="2" t="s">
        <v>9854</v>
      </c>
      <c r="H2802" s="2" t="s">
        <v>17</v>
      </c>
      <c r="K2802" s="4">
        <v>14996</v>
      </c>
      <c r="L2802" s="4">
        <v>33662</v>
      </c>
      <c r="M2802" s="2" t="s">
        <v>40</v>
      </c>
      <c r="N2802" s="2" t="s">
        <v>8132</v>
      </c>
    </row>
    <row r="2803" spans="1:14">
      <c r="A2803" s="2">
        <v>2802</v>
      </c>
      <c r="B2803" s="3" t="s">
        <v>9855</v>
      </c>
      <c r="C2803" s="2" t="s">
        <v>9856</v>
      </c>
      <c r="D2803" s="2">
        <v>49</v>
      </c>
      <c r="E2803" s="2">
        <v>49</v>
      </c>
      <c r="F2803" s="2" t="s">
        <v>9857</v>
      </c>
      <c r="H2803" s="2" t="s">
        <v>17</v>
      </c>
      <c r="K2803" s="4">
        <v>15530</v>
      </c>
      <c r="L2803" s="4">
        <v>41940</v>
      </c>
      <c r="M2803" s="2" t="s">
        <v>47</v>
      </c>
      <c r="N2803" s="2" t="s">
        <v>9858</v>
      </c>
    </row>
    <row r="2804" spans="1:14">
      <c r="A2804" s="2">
        <v>2803</v>
      </c>
      <c r="B2804" s="3" t="s">
        <v>9859</v>
      </c>
      <c r="C2804" s="2" t="s">
        <v>9860</v>
      </c>
      <c r="D2804" s="2">
        <v>49</v>
      </c>
      <c r="E2804" s="2">
        <v>49</v>
      </c>
      <c r="F2804" s="2" t="s">
        <v>9861</v>
      </c>
      <c r="H2804" s="2" t="s">
        <v>17</v>
      </c>
      <c r="K2804" s="4">
        <v>19721</v>
      </c>
      <c r="M2804" s="2" t="s">
        <v>170</v>
      </c>
      <c r="N2804" s="2" t="s">
        <v>323</v>
      </c>
    </row>
    <row r="2805" spans="1:14">
      <c r="A2805" s="2">
        <v>2804</v>
      </c>
      <c r="B2805" s="3" t="s">
        <v>9862</v>
      </c>
      <c r="C2805" s="2" t="s">
        <v>9863</v>
      </c>
      <c r="D2805" s="2">
        <v>46</v>
      </c>
      <c r="E2805" s="2">
        <v>49</v>
      </c>
      <c r="F2805" s="2" t="s">
        <v>9864</v>
      </c>
      <c r="H2805" s="2" t="s">
        <v>17</v>
      </c>
      <c r="K2805" s="4">
        <v>12295</v>
      </c>
      <c r="L2805" s="4">
        <v>44135</v>
      </c>
      <c r="M2805" s="2" t="s">
        <v>35</v>
      </c>
      <c r="N2805" s="2" t="s">
        <v>58</v>
      </c>
    </row>
    <row r="2806" spans="1:14">
      <c r="A2806" s="2">
        <v>2805</v>
      </c>
      <c r="B2806" s="3" t="s">
        <v>9865</v>
      </c>
      <c r="C2806" s="2" t="s">
        <v>9866</v>
      </c>
      <c r="D2806" s="2">
        <v>49</v>
      </c>
      <c r="E2806" s="2">
        <v>49</v>
      </c>
      <c r="F2806" s="2" t="s">
        <v>9867</v>
      </c>
      <c r="H2806" s="2" t="s">
        <v>17</v>
      </c>
      <c r="K2806" s="4">
        <v>15271</v>
      </c>
      <c r="L2806" s="4">
        <v>43977</v>
      </c>
      <c r="M2806" s="2" t="s">
        <v>40</v>
      </c>
      <c r="N2806" s="2" t="s">
        <v>41</v>
      </c>
    </row>
    <row r="2807" spans="1:14">
      <c r="A2807" s="2">
        <v>2806</v>
      </c>
      <c r="B2807" s="3" t="s">
        <v>9868</v>
      </c>
      <c r="C2807" s="2" t="s">
        <v>9869</v>
      </c>
      <c r="D2807" s="2">
        <v>49</v>
      </c>
      <c r="E2807" s="2">
        <v>49</v>
      </c>
      <c r="F2807" s="2" t="s">
        <v>9870</v>
      </c>
      <c r="H2807" s="2" t="s">
        <v>17</v>
      </c>
      <c r="K2807" s="4">
        <v>17154</v>
      </c>
      <c r="M2807" s="2" t="s">
        <v>85</v>
      </c>
      <c r="N2807" s="2" t="s">
        <v>86</v>
      </c>
    </row>
    <row r="2808" spans="1:14">
      <c r="A2808" s="2">
        <v>2807</v>
      </c>
      <c r="B2808" s="3" t="s">
        <v>9871</v>
      </c>
      <c r="C2808" s="2" t="s">
        <v>9872</v>
      </c>
      <c r="D2808" s="2">
        <v>48</v>
      </c>
      <c r="E2808" s="2">
        <v>49</v>
      </c>
      <c r="F2808" s="2" t="s">
        <v>9873</v>
      </c>
      <c r="H2808" s="2" t="s">
        <v>17</v>
      </c>
      <c r="K2808" s="4">
        <v>20072</v>
      </c>
      <c r="M2808" s="2" t="s">
        <v>66</v>
      </c>
      <c r="N2808" s="2" t="s">
        <v>797</v>
      </c>
    </row>
    <row r="2809" spans="1:14">
      <c r="A2809" s="2">
        <v>2808</v>
      </c>
      <c r="B2809" s="3" t="s">
        <v>9874</v>
      </c>
      <c r="C2809" s="2" t="s">
        <v>9875</v>
      </c>
      <c r="D2809" s="2">
        <v>49</v>
      </c>
      <c r="E2809" s="2">
        <v>49</v>
      </c>
      <c r="F2809" s="2" t="s">
        <v>9876</v>
      </c>
      <c r="H2809" s="2" t="s">
        <v>17</v>
      </c>
      <c r="K2809" s="4">
        <v>17481</v>
      </c>
      <c r="M2809" s="2" t="s">
        <v>47</v>
      </c>
      <c r="N2809" s="2" t="s">
        <v>9877</v>
      </c>
    </row>
    <row r="2810" spans="1:14">
      <c r="A2810" s="2">
        <v>2809</v>
      </c>
      <c r="B2810" s="3" t="s">
        <v>9878</v>
      </c>
      <c r="C2810" s="2" t="s">
        <v>9879</v>
      </c>
      <c r="D2810" s="2">
        <v>47</v>
      </c>
      <c r="E2810" s="2">
        <v>49</v>
      </c>
      <c r="F2810" s="2" t="s">
        <v>9880</v>
      </c>
      <c r="H2810" s="2" t="s">
        <v>17</v>
      </c>
      <c r="K2810" s="4">
        <v>6388</v>
      </c>
      <c r="L2810" s="4">
        <v>38969</v>
      </c>
      <c r="M2810" s="2" t="s">
        <v>47</v>
      </c>
      <c r="N2810" s="2" t="s">
        <v>9881</v>
      </c>
    </row>
    <row r="2811" spans="1:14">
      <c r="A2811" s="2">
        <v>2810</v>
      </c>
      <c r="B2811" s="3" t="s">
        <v>9882</v>
      </c>
      <c r="C2811" s="2" t="s">
        <v>9883</v>
      </c>
      <c r="D2811" s="2">
        <v>49</v>
      </c>
      <c r="E2811" s="2">
        <v>49</v>
      </c>
      <c r="F2811" s="2" t="s">
        <v>9884</v>
      </c>
      <c r="H2811" s="2" t="s">
        <v>17</v>
      </c>
      <c r="K2811" s="4">
        <v>14773</v>
      </c>
      <c r="M2811" s="2" t="s">
        <v>47</v>
      </c>
      <c r="N2811" s="2" t="s">
        <v>9885</v>
      </c>
    </row>
    <row r="2812" spans="1:14">
      <c r="A2812" s="2">
        <v>2811</v>
      </c>
      <c r="B2812" s="3" t="s">
        <v>9886</v>
      </c>
      <c r="C2812" s="2" t="s">
        <v>9887</v>
      </c>
      <c r="D2812" s="2">
        <v>45</v>
      </c>
      <c r="E2812" s="2">
        <v>49</v>
      </c>
      <c r="F2812" s="2" t="s">
        <v>9888</v>
      </c>
      <c r="H2812" s="2" t="s">
        <v>17</v>
      </c>
      <c r="K2812" s="4">
        <v>13061</v>
      </c>
      <c r="M2812" s="2" t="s">
        <v>35</v>
      </c>
      <c r="N2812" s="2" t="s">
        <v>1462</v>
      </c>
    </row>
    <row r="2813" spans="1:14">
      <c r="A2813" s="2">
        <v>2812</v>
      </c>
      <c r="B2813" s="3" t="s">
        <v>9889</v>
      </c>
      <c r="C2813" s="2" t="s">
        <v>9890</v>
      </c>
      <c r="D2813" s="2">
        <v>46</v>
      </c>
      <c r="E2813" s="2">
        <v>49</v>
      </c>
      <c r="F2813" s="2" t="s">
        <v>9891</v>
      </c>
      <c r="H2813" s="2" t="s">
        <v>17</v>
      </c>
      <c r="K2813" s="4">
        <v>16626</v>
      </c>
      <c r="M2813" s="2" t="s">
        <v>47</v>
      </c>
    </row>
    <row r="2814" spans="1:14">
      <c r="A2814" s="2">
        <v>2813</v>
      </c>
      <c r="B2814" s="3" t="s">
        <v>9892</v>
      </c>
      <c r="C2814" s="2" t="s">
        <v>9893</v>
      </c>
      <c r="D2814" s="2">
        <v>49</v>
      </c>
      <c r="E2814" s="2">
        <v>49</v>
      </c>
      <c r="F2814" s="2" t="s">
        <v>9894</v>
      </c>
      <c r="H2814" s="2" t="s">
        <v>17</v>
      </c>
      <c r="K2814" s="4">
        <v>18533</v>
      </c>
      <c r="M2814" s="2" t="s">
        <v>40</v>
      </c>
      <c r="N2814" s="2" t="s">
        <v>41</v>
      </c>
    </row>
    <row r="2815" spans="1:14">
      <c r="A2815" s="2">
        <v>2814</v>
      </c>
      <c r="B2815" s="3" t="s">
        <v>9895</v>
      </c>
      <c r="C2815" s="2" t="s">
        <v>9896</v>
      </c>
      <c r="D2815" s="2">
        <v>46</v>
      </c>
      <c r="E2815" s="2">
        <v>49</v>
      </c>
      <c r="F2815" s="2" t="s">
        <v>9897</v>
      </c>
      <c r="H2815" s="2" t="s">
        <v>17</v>
      </c>
      <c r="K2815" s="4">
        <v>13625</v>
      </c>
      <c r="M2815" s="2" t="s">
        <v>40</v>
      </c>
      <c r="N2815" s="2" t="s">
        <v>1017</v>
      </c>
    </row>
    <row r="2816" spans="1:14">
      <c r="A2816" s="2">
        <v>2815</v>
      </c>
      <c r="B2816" s="3" t="s">
        <v>9898</v>
      </c>
      <c r="C2816" s="2" t="s">
        <v>9899</v>
      </c>
      <c r="D2816" s="2">
        <v>39</v>
      </c>
      <c r="E2816" s="2">
        <v>49</v>
      </c>
      <c r="F2816" s="2" t="s">
        <v>9900</v>
      </c>
      <c r="H2816" s="2" t="s">
        <v>17</v>
      </c>
      <c r="K2816" s="4">
        <v>6124</v>
      </c>
      <c r="L2816" s="4">
        <v>33889</v>
      </c>
      <c r="M2816" s="2" t="s">
        <v>47</v>
      </c>
      <c r="N2816" s="2" t="s">
        <v>9901</v>
      </c>
    </row>
    <row r="2817" spans="1:14">
      <c r="A2817" s="2">
        <v>2816</v>
      </c>
      <c r="B2817" s="3" t="s">
        <v>9902</v>
      </c>
      <c r="C2817" s="2" t="s">
        <v>9903</v>
      </c>
      <c r="D2817" s="2">
        <v>49</v>
      </c>
      <c r="E2817" s="2">
        <v>49</v>
      </c>
      <c r="F2817" s="2" t="s">
        <v>9904</v>
      </c>
      <c r="H2817" s="2" t="s">
        <v>17</v>
      </c>
      <c r="K2817" s="4">
        <v>12124</v>
      </c>
      <c r="L2817" s="4">
        <v>43044</v>
      </c>
      <c r="M2817" s="2" t="s">
        <v>66</v>
      </c>
      <c r="N2817" s="2" t="s">
        <v>131</v>
      </c>
    </row>
    <row r="2818" spans="1:14">
      <c r="A2818" s="2">
        <v>2817</v>
      </c>
      <c r="B2818" s="3" t="s">
        <v>9905</v>
      </c>
      <c r="C2818" s="2" t="s">
        <v>9906</v>
      </c>
      <c r="D2818" s="2">
        <v>46</v>
      </c>
      <c r="E2818" s="2">
        <v>49</v>
      </c>
      <c r="F2818" s="2" t="s">
        <v>9907</v>
      </c>
      <c r="H2818" s="2" t="s">
        <v>17</v>
      </c>
      <c r="K2818" s="4">
        <v>16043</v>
      </c>
      <c r="M2818" s="2" t="s">
        <v>341</v>
      </c>
      <c r="N2818" s="2" t="s">
        <v>342</v>
      </c>
    </row>
    <row r="2819" spans="1:14">
      <c r="A2819" s="2">
        <v>2818</v>
      </c>
      <c r="B2819" s="3" t="s">
        <v>9908</v>
      </c>
      <c r="C2819" s="2" t="s">
        <v>9909</v>
      </c>
      <c r="D2819" s="2">
        <v>49</v>
      </c>
      <c r="E2819" s="2">
        <v>49</v>
      </c>
      <c r="F2819" s="2" t="s">
        <v>9910</v>
      </c>
      <c r="H2819" s="2" t="s">
        <v>17</v>
      </c>
      <c r="K2819" s="4">
        <v>14616</v>
      </c>
      <c r="M2819" s="2" t="s">
        <v>66</v>
      </c>
      <c r="N2819" s="2" t="s">
        <v>9911</v>
      </c>
    </row>
    <row r="2820" spans="1:14">
      <c r="A2820" s="2">
        <v>2819</v>
      </c>
      <c r="B2820" s="3" t="s">
        <v>9912</v>
      </c>
      <c r="C2820" s="2" t="s">
        <v>9913</v>
      </c>
      <c r="D2820" s="2">
        <v>49</v>
      </c>
      <c r="E2820" s="2">
        <v>49</v>
      </c>
      <c r="F2820" s="2" t="s">
        <v>9914</v>
      </c>
      <c r="H2820" s="2" t="s">
        <v>17</v>
      </c>
      <c r="K2820" s="4">
        <v>13907</v>
      </c>
      <c r="L2820" s="4">
        <v>44754</v>
      </c>
      <c r="M2820" s="2" t="s">
        <v>85</v>
      </c>
      <c r="N2820" s="2" t="s">
        <v>1887</v>
      </c>
    </row>
    <row r="2821" spans="1:14">
      <c r="A2821" s="2">
        <v>2820</v>
      </c>
      <c r="B2821" s="3" t="s">
        <v>9915</v>
      </c>
      <c r="C2821" s="2" t="s">
        <v>9916</v>
      </c>
      <c r="D2821" s="2">
        <v>46</v>
      </c>
      <c r="E2821" s="2">
        <v>49</v>
      </c>
      <c r="F2821" s="2" t="s">
        <v>9917</v>
      </c>
      <c r="H2821" s="2" t="s">
        <v>17</v>
      </c>
      <c r="K2821" s="4">
        <v>15193</v>
      </c>
      <c r="M2821" s="2" t="s">
        <v>66</v>
      </c>
      <c r="N2821" s="2" t="s">
        <v>730</v>
      </c>
    </row>
    <row r="2822" spans="1:14">
      <c r="A2822" s="2">
        <v>2821</v>
      </c>
      <c r="B2822" s="3" t="s">
        <v>9918</v>
      </c>
      <c r="C2822" s="2" t="s">
        <v>9919</v>
      </c>
      <c r="D2822" s="2">
        <v>42</v>
      </c>
      <c r="E2822" s="2">
        <v>49</v>
      </c>
      <c r="F2822" s="2" t="s">
        <v>9920</v>
      </c>
      <c r="H2822" s="2" t="s">
        <v>17</v>
      </c>
      <c r="K2822" s="4">
        <v>12925</v>
      </c>
      <c r="L2822" s="4">
        <v>40211</v>
      </c>
      <c r="M2822" s="2" t="s">
        <v>76</v>
      </c>
      <c r="N2822" s="2" t="s">
        <v>77</v>
      </c>
    </row>
    <row r="2823" spans="1:14">
      <c r="A2823" s="2">
        <v>2822</v>
      </c>
      <c r="B2823" s="3" t="s">
        <v>9921</v>
      </c>
      <c r="C2823" s="2" t="s">
        <v>9922</v>
      </c>
      <c r="D2823" s="2">
        <v>49</v>
      </c>
      <c r="E2823" s="2">
        <v>49</v>
      </c>
      <c r="F2823" s="2" t="s">
        <v>9923</v>
      </c>
      <c r="H2823" s="2" t="s">
        <v>17</v>
      </c>
      <c r="K2823" s="4">
        <v>21002</v>
      </c>
      <c r="M2823" s="2" t="s">
        <v>146</v>
      </c>
      <c r="N2823" s="2" t="s">
        <v>9924</v>
      </c>
    </row>
    <row r="2824" spans="1:14">
      <c r="A2824" s="2">
        <v>2823</v>
      </c>
      <c r="B2824" s="3" t="s">
        <v>9925</v>
      </c>
      <c r="C2824" s="2" t="s">
        <v>9926</v>
      </c>
      <c r="D2824" s="2">
        <v>48</v>
      </c>
      <c r="E2824" s="2">
        <v>49</v>
      </c>
      <c r="F2824" s="2" t="s">
        <v>9927</v>
      </c>
      <c r="H2824" s="2" t="s">
        <v>17</v>
      </c>
      <c r="K2824" s="4">
        <v>16387</v>
      </c>
      <c r="M2824" s="2" t="s">
        <v>146</v>
      </c>
      <c r="N2824" s="2" t="s">
        <v>147</v>
      </c>
    </row>
    <row r="2825" spans="1:14">
      <c r="A2825" s="2">
        <v>2824</v>
      </c>
      <c r="B2825" s="3" t="s">
        <v>9928</v>
      </c>
      <c r="C2825" s="2" t="s">
        <v>9929</v>
      </c>
      <c r="D2825" s="2">
        <v>48</v>
      </c>
      <c r="E2825" s="2">
        <v>49</v>
      </c>
      <c r="F2825" s="2" t="s">
        <v>9930</v>
      </c>
      <c r="H2825" s="2" t="s">
        <v>17</v>
      </c>
      <c r="K2825" s="4">
        <v>16624</v>
      </c>
      <c r="M2825" s="2" t="s">
        <v>40</v>
      </c>
      <c r="N2825" s="2" t="s">
        <v>492</v>
      </c>
    </row>
    <row r="2826" spans="1:14">
      <c r="A2826" s="2">
        <v>2825</v>
      </c>
      <c r="B2826" s="3" t="s">
        <v>9931</v>
      </c>
      <c r="C2826" s="2" t="s">
        <v>9932</v>
      </c>
      <c r="D2826" s="2">
        <v>49</v>
      </c>
      <c r="E2826" s="2">
        <v>49</v>
      </c>
      <c r="F2826" s="2" t="s">
        <v>9933</v>
      </c>
      <c r="H2826" s="2" t="s">
        <v>17</v>
      </c>
      <c r="K2826" s="4">
        <v>12951</v>
      </c>
      <c r="M2826" s="2" t="s">
        <v>66</v>
      </c>
      <c r="N2826" s="2" t="s">
        <v>1147</v>
      </c>
    </row>
    <row r="2827" spans="1:14">
      <c r="A2827" s="2">
        <v>2826</v>
      </c>
      <c r="B2827" s="3" t="s">
        <v>9934</v>
      </c>
      <c r="C2827" s="2" t="s">
        <v>9935</v>
      </c>
      <c r="D2827" s="2">
        <v>49</v>
      </c>
      <c r="E2827" s="2">
        <v>49</v>
      </c>
      <c r="F2827" s="2" t="s">
        <v>9936</v>
      </c>
      <c r="H2827" s="2" t="s">
        <v>17</v>
      </c>
      <c r="K2827" s="4">
        <v>12675</v>
      </c>
      <c r="M2827" s="2" t="s">
        <v>47</v>
      </c>
      <c r="N2827" s="2" t="s">
        <v>4358</v>
      </c>
    </row>
    <row r="2828" spans="1:14">
      <c r="A2828" s="2">
        <v>2827</v>
      </c>
      <c r="B2828" s="3" t="s">
        <v>9937</v>
      </c>
      <c r="C2828" s="2" t="s">
        <v>9938</v>
      </c>
      <c r="D2828" s="2">
        <v>49</v>
      </c>
      <c r="E2828" s="2">
        <v>49</v>
      </c>
      <c r="F2828" s="2" t="s">
        <v>9939</v>
      </c>
      <c r="H2828" s="2" t="s">
        <v>45</v>
      </c>
      <c r="K2828" s="4">
        <v>19379</v>
      </c>
      <c r="M2828" s="2" t="s">
        <v>170</v>
      </c>
      <c r="N2828" s="2" t="s">
        <v>323</v>
      </c>
    </row>
    <row r="2829" spans="1:14">
      <c r="A2829" s="2">
        <v>2828</v>
      </c>
      <c r="B2829" s="3" t="s">
        <v>9940</v>
      </c>
      <c r="C2829" s="2" t="s">
        <v>9941</v>
      </c>
      <c r="D2829" s="2">
        <v>49</v>
      </c>
      <c r="E2829" s="2">
        <v>49</v>
      </c>
      <c r="F2829" s="2" t="s">
        <v>9942</v>
      </c>
      <c r="H2829" s="2" t="s">
        <v>17</v>
      </c>
      <c r="K2829" s="4">
        <v>14379</v>
      </c>
      <c r="L2829" s="4">
        <v>38791</v>
      </c>
      <c r="M2829" s="2" t="s">
        <v>18</v>
      </c>
      <c r="N2829" s="2" t="s">
        <v>9943</v>
      </c>
    </row>
    <row r="2830" spans="1:14">
      <c r="A2830" s="2">
        <v>2829</v>
      </c>
      <c r="B2830" s="3" t="s">
        <v>9944</v>
      </c>
      <c r="C2830" s="2" t="s">
        <v>9945</v>
      </c>
      <c r="D2830" s="2">
        <v>49</v>
      </c>
      <c r="E2830" s="2">
        <v>49</v>
      </c>
      <c r="F2830" s="2" t="s">
        <v>9946</v>
      </c>
      <c r="H2830" s="2" t="s">
        <v>17</v>
      </c>
      <c r="K2830" s="4">
        <v>8634</v>
      </c>
      <c r="L2830" s="4">
        <v>39494</v>
      </c>
      <c r="M2830" s="2" t="s">
        <v>35</v>
      </c>
      <c r="N2830" s="2" t="s">
        <v>2466</v>
      </c>
    </row>
    <row r="2831" spans="1:14">
      <c r="A2831" s="2">
        <v>2830</v>
      </c>
      <c r="B2831" s="3" t="s">
        <v>9947</v>
      </c>
      <c r="C2831" s="2" t="s">
        <v>9948</v>
      </c>
      <c r="D2831" s="2">
        <v>49</v>
      </c>
      <c r="E2831" s="2">
        <v>49</v>
      </c>
      <c r="F2831" s="2" t="s">
        <v>9949</v>
      </c>
      <c r="H2831" s="2" t="s">
        <v>17</v>
      </c>
      <c r="K2831" s="4">
        <v>16574</v>
      </c>
      <c r="M2831" s="2" t="s">
        <v>66</v>
      </c>
      <c r="N2831" s="2" t="s">
        <v>1201</v>
      </c>
    </row>
    <row r="2832" spans="1:14">
      <c r="A2832" s="2">
        <v>2831</v>
      </c>
      <c r="B2832" s="3" t="s">
        <v>9950</v>
      </c>
      <c r="C2832" s="2" t="s">
        <v>9951</v>
      </c>
      <c r="D2832" s="2">
        <v>49</v>
      </c>
      <c r="E2832" s="2">
        <v>49</v>
      </c>
      <c r="F2832" s="2" t="s">
        <v>9952</v>
      </c>
      <c r="H2832" s="2" t="s">
        <v>17</v>
      </c>
      <c r="K2832" s="4">
        <v>13034</v>
      </c>
      <c r="M2832" s="2" t="s">
        <v>76</v>
      </c>
      <c r="N2832" s="2" t="s">
        <v>8624</v>
      </c>
    </row>
    <row r="2833" spans="1:14">
      <c r="A2833" s="2">
        <v>2832</v>
      </c>
      <c r="B2833" s="3" t="s">
        <v>9953</v>
      </c>
      <c r="C2833" s="2" t="s">
        <v>9954</v>
      </c>
      <c r="D2833" s="2">
        <v>48</v>
      </c>
      <c r="E2833" s="2">
        <v>48</v>
      </c>
      <c r="F2833" s="2" t="s">
        <v>9955</v>
      </c>
      <c r="H2833" s="2" t="s">
        <v>17</v>
      </c>
      <c r="K2833" s="4">
        <v>14954</v>
      </c>
      <c r="M2833" s="2" t="s">
        <v>341</v>
      </c>
      <c r="N2833" s="2" t="s">
        <v>834</v>
      </c>
    </row>
    <row r="2834" spans="1:14">
      <c r="A2834" s="2">
        <v>2833</v>
      </c>
      <c r="B2834" s="3" t="s">
        <v>9956</v>
      </c>
      <c r="C2834" s="2" t="s">
        <v>9957</v>
      </c>
      <c r="D2834" s="2">
        <v>48</v>
      </c>
      <c r="E2834" s="2">
        <v>48</v>
      </c>
      <c r="F2834" s="2" t="s">
        <v>9958</v>
      </c>
      <c r="H2834" s="2" t="s">
        <v>45</v>
      </c>
      <c r="K2834" s="4">
        <v>12161</v>
      </c>
      <c r="L2834" s="4">
        <v>33464</v>
      </c>
      <c r="M2834" s="2" t="s">
        <v>85</v>
      </c>
      <c r="N2834" s="2" t="s">
        <v>1887</v>
      </c>
    </row>
    <row r="2835" spans="1:14">
      <c r="A2835" s="2">
        <v>2834</v>
      </c>
      <c r="B2835" s="3" t="s">
        <v>9959</v>
      </c>
      <c r="C2835" s="2" t="s">
        <v>9960</v>
      </c>
      <c r="D2835" s="2">
        <v>48</v>
      </c>
      <c r="E2835" s="2">
        <v>48</v>
      </c>
      <c r="F2835" s="2" t="s">
        <v>9961</v>
      </c>
      <c r="H2835" s="2" t="s">
        <v>17</v>
      </c>
      <c r="K2835" s="4">
        <v>17539</v>
      </c>
      <c r="M2835" s="2" t="s">
        <v>91</v>
      </c>
      <c r="N2835" s="2" t="s">
        <v>92</v>
      </c>
    </row>
    <row r="2836" spans="1:14">
      <c r="A2836" s="2">
        <v>2835</v>
      </c>
      <c r="B2836" s="3" t="s">
        <v>9962</v>
      </c>
      <c r="C2836" s="2" t="s">
        <v>9963</v>
      </c>
      <c r="D2836" s="2">
        <v>47</v>
      </c>
      <c r="E2836" s="2">
        <v>48</v>
      </c>
      <c r="F2836" s="2" t="s">
        <v>9964</v>
      </c>
      <c r="H2836" s="2" t="s">
        <v>17</v>
      </c>
      <c r="K2836" s="4">
        <v>18463</v>
      </c>
      <c r="M2836" s="2" t="s">
        <v>40</v>
      </c>
      <c r="N2836" s="2" t="s">
        <v>9965</v>
      </c>
    </row>
    <row r="2837" spans="1:14">
      <c r="A2837" s="2">
        <v>2836</v>
      </c>
      <c r="B2837" s="3" t="s">
        <v>9966</v>
      </c>
      <c r="C2837" s="2" t="s">
        <v>9967</v>
      </c>
      <c r="D2837" s="2">
        <v>42</v>
      </c>
      <c r="E2837" s="2">
        <v>48</v>
      </c>
      <c r="F2837" s="2" t="s">
        <v>9968</v>
      </c>
      <c r="H2837" s="2" t="s">
        <v>17</v>
      </c>
      <c r="K2837" s="4">
        <v>9097</v>
      </c>
      <c r="L2837" s="4">
        <v>36396</v>
      </c>
      <c r="M2837" s="2" t="s">
        <v>170</v>
      </c>
      <c r="N2837" s="2" t="s">
        <v>1624</v>
      </c>
    </row>
    <row r="2838" spans="1:14">
      <c r="A2838" s="2">
        <v>2837</v>
      </c>
      <c r="B2838" s="3" t="s">
        <v>9969</v>
      </c>
      <c r="C2838" s="2" t="s">
        <v>9970</v>
      </c>
      <c r="D2838" s="2">
        <v>48</v>
      </c>
      <c r="E2838" s="2">
        <v>48</v>
      </c>
      <c r="F2838" s="2" t="s">
        <v>9971</v>
      </c>
      <c r="H2838" s="2" t="s">
        <v>17</v>
      </c>
      <c r="K2838" s="4">
        <v>15967</v>
      </c>
      <c r="M2838" s="2" t="s">
        <v>47</v>
      </c>
      <c r="N2838" s="2" t="s">
        <v>48</v>
      </c>
    </row>
    <row r="2839" spans="1:14">
      <c r="A2839" s="2">
        <v>2838</v>
      </c>
      <c r="B2839" s="3" t="s">
        <v>9972</v>
      </c>
      <c r="C2839" s="2" t="s">
        <v>9973</v>
      </c>
      <c r="D2839" s="2">
        <v>45</v>
      </c>
      <c r="E2839" s="2">
        <v>48</v>
      </c>
      <c r="F2839" s="2" t="s">
        <v>9974</v>
      </c>
      <c r="H2839" s="2" t="s">
        <v>17</v>
      </c>
      <c r="K2839" s="4">
        <v>10671</v>
      </c>
      <c r="L2839" s="4">
        <v>42380</v>
      </c>
      <c r="M2839" s="2" t="s">
        <v>40</v>
      </c>
      <c r="N2839" s="2" t="s">
        <v>2125</v>
      </c>
    </row>
    <row r="2840" spans="1:14">
      <c r="A2840" s="2">
        <v>2839</v>
      </c>
      <c r="B2840" s="3" t="s">
        <v>9975</v>
      </c>
      <c r="C2840" s="2" t="s">
        <v>9976</v>
      </c>
      <c r="D2840" s="2">
        <v>46</v>
      </c>
      <c r="E2840" s="2">
        <v>48</v>
      </c>
      <c r="F2840" s="2" t="s">
        <v>9977</v>
      </c>
      <c r="H2840" s="2" t="s">
        <v>17</v>
      </c>
      <c r="K2840" s="4">
        <v>13052</v>
      </c>
      <c r="L2840" s="4">
        <v>45403</v>
      </c>
      <c r="M2840" s="2" t="s">
        <v>76</v>
      </c>
      <c r="N2840" s="2" t="s">
        <v>77</v>
      </c>
    </row>
    <row r="2841" spans="1:14">
      <c r="A2841" s="2">
        <v>2840</v>
      </c>
      <c r="B2841" s="3" t="s">
        <v>9978</v>
      </c>
      <c r="C2841" s="2" t="s">
        <v>9979</v>
      </c>
      <c r="D2841" s="2">
        <v>48</v>
      </c>
      <c r="E2841" s="2">
        <v>48</v>
      </c>
      <c r="F2841" s="2" t="s">
        <v>9980</v>
      </c>
      <c r="H2841" s="2" t="s">
        <v>17</v>
      </c>
      <c r="K2841" s="4">
        <v>11566</v>
      </c>
      <c r="L2841" s="4">
        <v>43166</v>
      </c>
      <c r="M2841" s="2" t="s">
        <v>47</v>
      </c>
      <c r="N2841" s="2" t="s">
        <v>9981</v>
      </c>
    </row>
    <row r="2842" spans="1:14">
      <c r="A2842" s="2">
        <v>2841</v>
      </c>
      <c r="B2842" s="3" t="s">
        <v>9982</v>
      </c>
      <c r="C2842" s="2" t="s">
        <v>9983</v>
      </c>
      <c r="D2842" s="2">
        <v>48</v>
      </c>
      <c r="E2842" s="2">
        <v>48</v>
      </c>
      <c r="F2842" s="2" t="s">
        <v>9984</v>
      </c>
      <c r="H2842" s="2" t="s">
        <v>17</v>
      </c>
      <c r="K2842" s="4">
        <v>15563</v>
      </c>
      <c r="L2842" s="4">
        <v>43796</v>
      </c>
      <c r="M2842" s="2" t="s">
        <v>154</v>
      </c>
      <c r="N2842" s="2" t="s">
        <v>208</v>
      </c>
    </row>
    <row r="2843" spans="1:14">
      <c r="A2843" s="2">
        <v>2842</v>
      </c>
      <c r="B2843" s="3" t="s">
        <v>9985</v>
      </c>
      <c r="C2843" s="2" t="s">
        <v>9986</v>
      </c>
      <c r="D2843" s="2">
        <v>42</v>
      </c>
      <c r="E2843" s="2">
        <v>48</v>
      </c>
      <c r="F2843" s="2" t="s">
        <v>9987</v>
      </c>
      <c r="H2843" s="2" t="s">
        <v>17</v>
      </c>
      <c r="K2843" s="4">
        <v>7619</v>
      </c>
      <c r="L2843" s="4">
        <v>32023</v>
      </c>
      <c r="M2843" s="2" t="s">
        <v>35</v>
      </c>
      <c r="N2843" s="2" t="s">
        <v>4382</v>
      </c>
    </row>
    <row r="2844" spans="1:14">
      <c r="A2844" s="2">
        <v>2843</v>
      </c>
      <c r="B2844" s="3" t="s">
        <v>9988</v>
      </c>
      <c r="C2844" s="2" t="s">
        <v>9989</v>
      </c>
      <c r="D2844" s="2">
        <v>48</v>
      </c>
      <c r="E2844" s="2">
        <v>48</v>
      </c>
      <c r="F2844" s="2" t="s">
        <v>9990</v>
      </c>
      <c r="H2844" s="2" t="s">
        <v>17</v>
      </c>
      <c r="K2844" s="4">
        <v>13586</v>
      </c>
      <c r="L2844" s="4">
        <v>42528</v>
      </c>
      <c r="M2844" s="2" t="s">
        <v>154</v>
      </c>
      <c r="N2844" s="2" t="s">
        <v>9991</v>
      </c>
    </row>
    <row r="2845" spans="1:14">
      <c r="A2845" s="2">
        <v>2844</v>
      </c>
      <c r="B2845" s="3" t="s">
        <v>9992</v>
      </c>
      <c r="C2845" s="2" t="s">
        <v>9993</v>
      </c>
      <c r="D2845" s="2">
        <v>47</v>
      </c>
      <c r="E2845" s="2">
        <v>48</v>
      </c>
      <c r="F2845" s="2" t="s">
        <v>9994</v>
      </c>
      <c r="H2845" s="2" t="s">
        <v>17</v>
      </c>
      <c r="K2845" s="4">
        <v>16542</v>
      </c>
      <c r="M2845" s="2" t="s">
        <v>662</v>
      </c>
      <c r="N2845" s="2" t="s">
        <v>663</v>
      </c>
    </row>
    <row r="2846" spans="1:14">
      <c r="A2846" s="2">
        <v>2845</v>
      </c>
      <c r="B2846" s="3" t="s">
        <v>9995</v>
      </c>
      <c r="C2846" s="2" t="s">
        <v>9996</v>
      </c>
      <c r="D2846" s="2">
        <v>48</v>
      </c>
      <c r="E2846" s="2">
        <v>48</v>
      </c>
      <c r="F2846" s="2" t="s">
        <v>9997</v>
      </c>
      <c r="H2846" s="2" t="s">
        <v>17</v>
      </c>
      <c r="K2846" s="4">
        <v>13720</v>
      </c>
      <c r="L2846" s="4">
        <v>42062</v>
      </c>
      <c r="M2846" s="2" t="s">
        <v>66</v>
      </c>
      <c r="N2846" s="2" t="s">
        <v>3262</v>
      </c>
    </row>
    <row r="2847" spans="1:14">
      <c r="A2847" s="2">
        <v>2846</v>
      </c>
      <c r="B2847" s="3" t="s">
        <v>9998</v>
      </c>
      <c r="C2847" s="2" t="s">
        <v>9999</v>
      </c>
      <c r="D2847" s="2">
        <v>47</v>
      </c>
      <c r="E2847" s="2">
        <v>48</v>
      </c>
      <c r="F2847" s="2" t="s">
        <v>10000</v>
      </c>
      <c r="H2847" s="2" t="s">
        <v>17</v>
      </c>
      <c r="K2847" s="4">
        <v>15697</v>
      </c>
      <c r="L2847" s="4">
        <v>44077</v>
      </c>
      <c r="M2847" s="2" t="s">
        <v>423</v>
      </c>
      <c r="N2847" s="2" t="s">
        <v>3488</v>
      </c>
    </row>
    <row r="2848" spans="1:14">
      <c r="A2848" s="2">
        <v>2847</v>
      </c>
      <c r="B2848" s="3" t="s">
        <v>10001</v>
      </c>
      <c r="C2848" s="2" t="s">
        <v>10002</v>
      </c>
      <c r="D2848" s="2">
        <v>48</v>
      </c>
      <c r="E2848" s="2">
        <v>48</v>
      </c>
      <c r="F2848" s="2" t="s">
        <v>10003</v>
      </c>
      <c r="H2848" s="2" t="s">
        <v>17</v>
      </c>
      <c r="K2848" s="4">
        <v>7635</v>
      </c>
      <c r="L2848" s="4">
        <v>34612</v>
      </c>
      <c r="M2848" s="2" t="s">
        <v>164</v>
      </c>
      <c r="N2848" s="2" t="s">
        <v>10004</v>
      </c>
    </row>
    <row r="2849" spans="1:14">
      <c r="A2849" s="2">
        <v>2848</v>
      </c>
      <c r="B2849" s="3" t="s">
        <v>10005</v>
      </c>
      <c r="C2849" s="2" t="s">
        <v>10006</v>
      </c>
      <c r="D2849" s="2">
        <v>47</v>
      </c>
      <c r="E2849" s="2">
        <v>48</v>
      </c>
      <c r="F2849" s="2" t="s">
        <v>10007</v>
      </c>
      <c r="H2849" s="2" t="s">
        <v>17</v>
      </c>
      <c r="K2849" s="4">
        <v>16316</v>
      </c>
      <c r="M2849" s="2" t="s">
        <v>170</v>
      </c>
      <c r="N2849" s="2" t="s">
        <v>323</v>
      </c>
    </row>
    <row r="2850" spans="1:14">
      <c r="A2850" s="2">
        <v>2849</v>
      </c>
      <c r="B2850" s="3" t="s">
        <v>10008</v>
      </c>
      <c r="C2850" s="2" t="s">
        <v>10009</v>
      </c>
      <c r="D2850" s="2">
        <v>47</v>
      </c>
      <c r="E2850" s="2">
        <v>48</v>
      </c>
      <c r="F2850" s="2" t="s">
        <v>10010</v>
      </c>
      <c r="H2850" s="2" t="s">
        <v>17</v>
      </c>
      <c r="K2850" s="4">
        <v>5456</v>
      </c>
      <c r="L2850" s="4">
        <v>37424</v>
      </c>
      <c r="M2850" s="2" t="s">
        <v>76</v>
      </c>
      <c r="N2850" s="2" t="s">
        <v>77</v>
      </c>
    </row>
    <row r="2851" spans="1:14">
      <c r="A2851" s="2">
        <v>2850</v>
      </c>
      <c r="B2851" s="3" t="s">
        <v>10011</v>
      </c>
      <c r="C2851" s="2" t="s">
        <v>10012</v>
      </c>
      <c r="D2851" s="2">
        <v>48</v>
      </c>
      <c r="E2851" s="2">
        <v>48</v>
      </c>
      <c r="F2851" s="2" t="s">
        <v>10013</v>
      </c>
      <c r="H2851" s="2" t="s">
        <v>17</v>
      </c>
      <c r="K2851" s="4">
        <v>14035</v>
      </c>
      <c r="L2851" s="4">
        <v>37928</v>
      </c>
      <c r="M2851" s="2" t="s">
        <v>35</v>
      </c>
      <c r="N2851" s="2" t="s">
        <v>58</v>
      </c>
    </row>
    <row r="2852" spans="1:14">
      <c r="A2852" s="2">
        <v>2851</v>
      </c>
      <c r="B2852" s="3" t="s">
        <v>10014</v>
      </c>
      <c r="C2852" s="2" t="s">
        <v>10015</v>
      </c>
      <c r="D2852" s="2">
        <v>48</v>
      </c>
      <c r="E2852" s="2">
        <v>48</v>
      </c>
      <c r="F2852" s="2" t="s">
        <v>10016</v>
      </c>
      <c r="H2852" s="2" t="s">
        <v>17</v>
      </c>
      <c r="K2852" s="4">
        <v>13341</v>
      </c>
      <c r="L2852" s="4">
        <v>45106</v>
      </c>
      <c r="M2852" s="2" t="s">
        <v>35</v>
      </c>
      <c r="N2852" s="2" t="s">
        <v>4944</v>
      </c>
    </row>
    <row r="2853" spans="1:14">
      <c r="A2853" s="2">
        <v>2852</v>
      </c>
      <c r="B2853" s="3" t="s">
        <v>10017</v>
      </c>
      <c r="C2853" s="2" t="s">
        <v>10018</v>
      </c>
      <c r="D2853" s="2">
        <v>48</v>
      </c>
      <c r="E2853" s="2">
        <v>48</v>
      </c>
      <c r="F2853" s="2" t="s">
        <v>10019</v>
      </c>
      <c r="H2853" s="2" t="s">
        <v>17</v>
      </c>
      <c r="K2853" s="4">
        <v>8592</v>
      </c>
      <c r="L2853" s="4">
        <v>37078</v>
      </c>
      <c r="M2853" s="2" t="s">
        <v>185</v>
      </c>
      <c r="N2853" s="2" t="s">
        <v>1571</v>
      </c>
    </row>
    <row r="2854" spans="1:14">
      <c r="A2854" s="2">
        <v>2853</v>
      </c>
      <c r="B2854" s="3" t="s">
        <v>10020</v>
      </c>
      <c r="C2854" s="2" t="s">
        <v>10021</v>
      </c>
      <c r="D2854" s="2">
        <v>46</v>
      </c>
      <c r="E2854" s="2">
        <v>48</v>
      </c>
      <c r="F2854" s="2" t="s">
        <v>10022</v>
      </c>
      <c r="H2854" s="2" t="s">
        <v>17</v>
      </c>
      <c r="K2854" s="4">
        <v>13177</v>
      </c>
      <c r="M2854" s="2" t="s">
        <v>247</v>
      </c>
      <c r="N2854" s="2" t="s">
        <v>886</v>
      </c>
    </row>
    <row r="2855" spans="1:14">
      <c r="A2855" s="2">
        <v>2854</v>
      </c>
      <c r="B2855" s="3" t="s">
        <v>10023</v>
      </c>
      <c r="C2855" s="2" t="s">
        <v>10024</v>
      </c>
      <c r="D2855" s="2">
        <v>48</v>
      </c>
      <c r="E2855" s="2">
        <v>48</v>
      </c>
      <c r="F2855" s="2" t="s">
        <v>10025</v>
      </c>
      <c r="H2855" s="2" t="s">
        <v>17</v>
      </c>
      <c r="K2855" s="4">
        <v>11067</v>
      </c>
      <c r="M2855" s="2" t="s">
        <v>164</v>
      </c>
      <c r="N2855" s="2" t="s">
        <v>6164</v>
      </c>
    </row>
    <row r="2856" spans="1:14">
      <c r="A2856" s="2">
        <v>2855</v>
      </c>
      <c r="B2856" s="3" t="s">
        <v>10026</v>
      </c>
      <c r="C2856" s="2" t="s">
        <v>10027</v>
      </c>
      <c r="D2856" s="2">
        <v>48</v>
      </c>
      <c r="E2856" s="2">
        <v>48</v>
      </c>
      <c r="F2856" s="2" t="s">
        <v>10028</v>
      </c>
      <c r="H2856" s="2" t="s">
        <v>45</v>
      </c>
      <c r="K2856" s="4">
        <v>14412</v>
      </c>
      <c r="M2856" s="2" t="s">
        <v>170</v>
      </c>
      <c r="N2856" s="2" t="s">
        <v>323</v>
      </c>
    </row>
    <row r="2857" spans="1:14">
      <c r="A2857" s="2">
        <v>2856</v>
      </c>
      <c r="B2857" s="3" t="s">
        <v>10029</v>
      </c>
      <c r="C2857" s="2" t="s">
        <v>10030</v>
      </c>
      <c r="D2857" s="2">
        <v>48</v>
      </c>
      <c r="E2857" s="2">
        <v>48</v>
      </c>
      <c r="F2857" s="2" t="s">
        <v>10031</v>
      </c>
      <c r="H2857" s="2" t="s">
        <v>17</v>
      </c>
      <c r="K2857" s="4">
        <v>6766</v>
      </c>
      <c r="L2857" s="4">
        <v>40769</v>
      </c>
      <c r="M2857" s="2" t="s">
        <v>170</v>
      </c>
    </row>
    <row r="2858" spans="1:14">
      <c r="A2858" s="2">
        <v>2857</v>
      </c>
      <c r="B2858" s="3" t="s">
        <v>10032</v>
      </c>
      <c r="C2858" s="2" t="s">
        <v>10033</v>
      </c>
      <c r="D2858" s="2">
        <v>48</v>
      </c>
      <c r="E2858" s="2">
        <v>48</v>
      </c>
      <c r="F2858" s="2" t="s">
        <v>10034</v>
      </c>
      <c r="H2858" s="2" t="s">
        <v>17</v>
      </c>
    </row>
    <row r="2859" spans="1:14">
      <c r="A2859" s="2">
        <v>2858</v>
      </c>
      <c r="B2859" s="3" t="s">
        <v>10035</v>
      </c>
      <c r="C2859" s="2" t="s">
        <v>10036</v>
      </c>
      <c r="D2859" s="2">
        <v>48</v>
      </c>
      <c r="E2859" s="2">
        <v>48</v>
      </c>
      <c r="F2859" s="2" t="s">
        <v>10037</v>
      </c>
      <c r="H2859" s="2" t="s">
        <v>17</v>
      </c>
      <c r="K2859" s="4">
        <v>19362</v>
      </c>
      <c r="M2859" s="2" t="s">
        <v>18</v>
      </c>
      <c r="N2859" s="2" t="s">
        <v>19</v>
      </c>
    </row>
    <row r="2860" spans="1:14">
      <c r="A2860" s="2">
        <v>2859</v>
      </c>
      <c r="B2860" s="3" t="s">
        <v>10038</v>
      </c>
      <c r="C2860" s="2" t="s">
        <v>10039</v>
      </c>
      <c r="D2860" s="2">
        <v>47</v>
      </c>
      <c r="E2860" s="2">
        <v>48</v>
      </c>
      <c r="F2860" s="2" t="s">
        <v>10040</v>
      </c>
      <c r="H2860" s="2" t="s">
        <v>17</v>
      </c>
      <c r="K2860" s="4">
        <v>14044</v>
      </c>
      <c r="L2860" s="4">
        <v>44433</v>
      </c>
      <c r="M2860" s="2" t="s">
        <v>336</v>
      </c>
      <c r="N2860" s="2" t="s">
        <v>10041</v>
      </c>
    </row>
    <row r="2861" spans="1:14">
      <c r="A2861" s="2">
        <v>2860</v>
      </c>
      <c r="B2861" s="3" t="s">
        <v>10042</v>
      </c>
      <c r="C2861" s="2" t="s">
        <v>10043</v>
      </c>
      <c r="D2861" s="2">
        <v>48</v>
      </c>
      <c r="E2861" s="2">
        <v>48</v>
      </c>
      <c r="F2861" s="2" t="s">
        <v>10044</v>
      </c>
      <c r="H2861" s="2" t="s">
        <v>17</v>
      </c>
      <c r="K2861" s="4">
        <v>19129</v>
      </c>
      <c r="L2861" s="4">
        <v>37818</v>
      </c>
      <c r="M2861" s="2" t="s">
        <v>91</v>
      </c>
      <c r="N2861" s="2" t="s">
        <v>677</v>
      </c>
    </row>
    <row r="2862" spans="1:14">
      <c r="A2862" s="2">
        <v>2861</v>
      </c>
      <c r="B2862" s="3" t="s">
        <v>10045</v>
      </c>
      <c r="C2862" s="2" t="s">
        <v>10046</v>
      </c>
      <c r="D2862" s="2">
        <v>48</v>
      </c>
      <c r="E2862" s="2">
        <v>48</v>
      </c>
      <c r="F2862" s="2" t="s">
        <v>10047</v>
      </c>
      <c r="H2862" s="2" t="s">
        <v>17</v>
      </c>
      <c r="K2862" s="4">
        <v>15824</v>
      </c>
      <c r="M2862" s="2" t="s">
        <v>185</v>
      </c>
      <c r="N2862" s="2" t="s">
        <v>10048</v>
      </c>
    </row>
    <row r="2863" spans="1:14">
      <c r="A2863" s="2">
        <v>2862</v>
      </c>
      <c r="B2863" s="3" t="s">
        <v>10049</v>
      </c>
      <c r="C2863" s="2" t="s">
        <v>10050</v>
      </c>
      <c r="D2863" s="2">
        <v>48</v>
      </c>
      <c r="E2863" s="2">
        <v>48</v>
      </c>
      <c r="F2863" s="2" t="s">
        <v>10051</v>
      </c>
      <c r="H2863" s="2" t="s">
        <v>17</v>
      </c>
      <c r="K2863" s="4">
        <v>18962</v>
      </c>
      <c r="M2863" s="2" t="s">
        <v>66</v>
      </c>
      <c r="N2863" s="2" t="s">
        <v>10052</v>
      </c>
    </row>
    <row r="2864" spans="1:14">
      <c r="A2864" s="2">
        <v>2863</v>
      </c>
      <c r="B2864" s="3" t="s">
        <v>10053</v>
      </c>
      <c r="C2864" s="2" t="s">
        <v>10054</v>
      </c>
      <c r="D2864" s="2">
        <v>44</v>
      </c>
      <c r="E2864" s="2">
        <v>48</v>
      </c>
      <c r="F2864" s="2" t="s">
        <v>10055</v>
      </c>
      <c r="H2864" s="2" t="s">
        <v>17</v>
      </c>
      <c r="K2864" s="4">
        <v>13854</v>
      </c>
      <c r="L2864" s="4">
        <v>34958</v>
      </c>
      <c r="M2864" s="2" t="s">
        <v>76</v>
      </c>
      <c r="N2864" s="2" t="s">
        <v>906</v>
      </c>
    </row>
    <row r="2865" spans="1:14">
      <c r="A2865" s="2">
        <v>2864</v>
      </c>
      <c r="B2865" s="3" t="s">
        <v>10056</v>
      </c>
      <c r="C2865" s="2" t="s">
        <v>10057</v>
      </c>
      <c r="D2865" s="2">
        <v>48</v>
      </c>
      <c r="E2865" s="2">
        <v>48</v>
      </c>
      <c r="F2865" s="2" t="s">
        <v>10058</v>
      </c>
      <c r="H2865" s="2" t="s">
        <v>17</v>
      </c>
      <c r="K2865" s="4">
        <v>15779</v>
      </c>
      <c r="L2865" s="4">
        <v>42690</v>
      </c>
      <c r="M2865" s="2" t="s">
        <v>47</v>
      </c>
      <c r="N2865" s="2" t="s">
        <v>10059</v>
      </c>
    </row>
    <row r="2866" spans="1:14">
      <c r="A2866" s="2">
        <v>2865</v>
      </c>
      <c r="B2866" s="3" t="s">
        <v>10060</v>
      </c>
      <c r="C2866" s="2" t="s">
        <v>10061</v>
      </c>
      <c r="D2866" s="2">
        <v>48</v>
      </c>
      <c r="E2866" s="2">
        <v>48</v>
      </c>
      <c r="F2866" s="2" t="s">
        <v>10062</v>
      </c>
      <c r="H2866" s="2" t="s">
        <v>17</v>
      </c>
      <c r="K2866" s="4">
        <v>10271</v>
      </c>
      <c r="M2866" s="2" t="s">
        <v>47</v>
      </c>
      <c r="N2866" s="2" t="s">
        <v>9753</v>
      </c>
    </row>
    <row r="2867" spans="1:14">
      <c r="A2867" s="2">
        <v>2866</v>
      </c>
      <c r="B2867" s="3" t="s">
        <v>10063</v>
      </c>
      <c r="C2867" s="2" t="s">
        <v>10064</v>
      </c>
      <c r="D2867" s="2">
        <v>48</v>
      </c>
      <c r="E2867" s="2">
        <v>48</v>
      </c>
      <c r="F2867" s="2" t="s">
        <v>10065</v>
      </c>
      <c r="H2867" s="2" t="s">
        <v>17</v>
      </c>
      <c r="K2867" s="4">
        <v>10588</v>
      </c>
      <c r="L2867" s="4">
        <v>41342</v>
      </c>
      <c r="M2867" s="2" t="s">
        <v>35</v>
      </c>
      <c r="N2867" s="2" t="s">
        <v>9780</v>
      </c>
    </row>
    <row r="2868" spans="1:14">
      <c r="A2868" s="2">
        <v>2867</v>
      </c>
      <c r="B2868" s="3" t="s">
        <v>10066</v>
      </c>
      <c r="C2868" s="2" t="s">
        <v>10067</v>
      </c>
      <c r="D2868" s="2">
        <v>48</v>
      </c>
      <c r="E2868" s="2">
        <v>48</v>
      </c>
      <c r="F2868" s="2" t="s">
        <v>10068</v>
      </c>
      <c r="H2868" s="2" t="s">
        <v>17</v>
      </c>
      <c r="K2868" s="4">
        <v>12734</v>
      </c>
      <c r="L2868" s="4">
        <v>36163</v>
      </c>
      <c r="M2868" s="2" t="s">
        <v>170</v>
      </c>
      <c r="N2868" s="2" t="s">
        <v>323</v>
      </c>
    </row>
    <row r="2869" spans="1:14">
      <c r="A2869" s="2">
        <v>2868</v>
      </c>
      <c r="B2869" s="3" t="s">
        <v>10069</v>
      </c>
      <c r="C2869" s="2" t="s">
        <v>10070</v>
      </c>
      <c r="D2869" s="2">
        <v>47</v>
      </c>
      <c r="E2869" s="2">
        <v>48</v>
      </c>
      <c r="F2869" s="2" t="s">
        <v>10071</v>
      </c>
      <c r="H2869" s="2" t="s">
        <v>17</v>
      </c>
      <c r="K2869" s="4">
        <v>8809</v>
      </c>
      <c r="L2869" s="4">
        <v>40066</v>
      </c>
      <c r="M2869" s="2" t="s">
        <v>164</v>
      </c>
      <c r="N2869" s="2" t="s">
        <v>3914</v>
      </c>
    </row>
    <row r="2870" spans="1:14">
      <c r="A2870" s="2">
        <v>2869</v>
      </c>
      <c r="B2870" s="3" t="s">
        <v>10072</v>
      </c>
      <c r="C2870" s="2" t="s">
        <v>10073</v>
      </c>
      <c r="D2870" s="2">
        <v>43</v>
      </c>
      <c r="E2870" s="2">
        <v>48</v>
      </c>
      <c r="F2870" s="2" t="s">
        <v>10074</v>
      </c>
      <c r="H2870" s="2" t="s">
        <v>17</v>
      </c>
      <c r="K2870" s="4">
        <v>11002</v>
      </c>
      <c r="L2870" s="4">
        <v>41093</v>
      </c>
      <c r="M2870" s="2" t="s">
        <v>66</v>
      </c>
      <c r="N2870" s="2" t="s">
        <v>10075</v>
      </c>
    </row>
    <row r="2871" spans="1:14">
      <c r="A2871" s="2">
        <v>2870</v>
      </c>
      <c r="B2871" s="3" t="s">
        <v>10076</v>
      </c>
      <c r="C2871" s="2" t="s">
        <v>10077</v>
      </c>
      <c r="D2871" s="2">
        <v>48</v>
      </c>
      <c r="E2871" s="2">
        <v>48</v>
      </c>
      <c r="F2871" s="2" t="s">
        <v>10078</v>
      </c>
      <c r="H2871" s="2" t="s">
        <v>17</v>
      </c>
      <c r="K2871" s="4">
        <v>11355</v>
      </c>
      <c r="M2871" s="2" t="s">
        <v>47</v>
      </c>
      <c r="N2871" s="2" t="s">
        <v>3765</v>
      </c>
    </row>
    <row r="2872" spans="1:14">
      <c r="A2872" s="2">
        <v>2871</v>
      </c>
      <c r="B2872" s="3" t="s">
        <v>10079</v>
      </c>
      <c r="C2872" s="2" t="s">
        <v>10080</v>
      </c>
      <c r="D2872" s="2">
        <v>46</v>
      </c>
      <c r="E2872" s="2">
        <v>48</v>
      </c>
      <c r="F2872" s="2" t="s">
        <v>10081</v>
      </c>
      <c r="H2872" s="2" t="s">
        <v>17</v>
      </c>
      <c r="K2872" s="4">
        <v>14824</v>
      </c>
      <c r="L2872" s="4">
        <v>44174</v>
      </c>
      <c r="M2872" s="2" t="s">
        <v>423</v>
      </c>
      <c r="N2872" s="2" t="s">
        <v>1134</v>
      </c>
    </row>
    <row r="2873" spans="1:14">
      <c r="A2873" s="2">
        <v>2872</v>
      </c>
      <c r="B2873" s="3" t="s">
        <v>10082</v>
      </c>
      <c r="C2873" s="2" t="s">
        <v>10083</v>
      </c>
      <c r="D2873" s="2">
        <v>42</v>
      </c>
      <c r="E2873" s="2">
        <v>48</v>
      </c>
      <c r="F2873" s="2" t="s">
        <v>10084</v>
      </c>
      <c r="H2873" s="2" t="s">
        <v>17</v>
      </c>
      <c r="K2873" s="4">
        <v>11228</v>
      </c>
      <c r="L2873" s="4">
        <v>34499</v>
      </c>
      <c r="M2873" s="2" t="s">
        <v>198</v>
      </c>
      <c r="N2873" s="2" t="s">
        <v>199</v>
      </c>
    </row>
    <row r="2874" spans="1:14">
      <c r="A2874" s="2">
        <v>2873</v>
      </c>
      <c r="B2874" s="3" t="s">
        <v>10085</v>
      </c>
      <c r="C2874" s="2" t="s">
        <v>10086</v>
      </c>
      <c r="D2874" s="2">
        <v>47</v>
      </c>
      <c r="E2874" s="2">
        <v>48</v>
      </c>
      <c r="F2874" s="2" t="s">
        <v>10087</v>
      </c>
      <c r="H2874" s="2" t="s">
        <v>17</v>
      </c>
      <c r="K2874" s="4">
        <v>8827</v>
      </c>
      <c r="L2874" s="4">
        <v>39614</v>
      </c>
      <c r="M2874" s="2" t="s">
        <v>164</v>
      </c>
      <c r="N2874" s="2" t="s">
        <v>3914</v>
      </c>
    </row>
    <row r="2875" spans="1:14">
      <c r="A2875" s="2">
        <v>2874</v>
      </c>
      <c r="B2875" s="3" t="s">
        <v>10088</v>
      </c>
      <c r="C2875" s="2" t="s">
        <v>10089</v>
      </c>
      <c r="D2875" s="2">
        <v>43</v>
      </c>
      <c r="E2875" s="2">
        <v>48</v>
      </c>
      <c r="F2875" s="2" t="s">
        <v>10090</v>
      </c>
      <c r="H2875" s="2" t="s">
        <v>17</v>
      </c>
      <c r="K2875" s="4">
        <v>11775</v>
      </c>
      <c r="M2875" s="2" t="s">
        <v>30</v>
      </c>
      <c r="N2875" s="2" t="s">
        <v>31</v>
      </c>
    </row>
    <row r="2876" spans="1:14">
      <c r="A2876" s="2">
        <v>2875</v>
      </c>
      <c r="B2876" s="3" t="s">
        <v>10091</v>
      </c>
      <c r="C2876" s="2" t="s">
        <v>10092</v>
      </c>
      <c r="D2876" s="2">
        <v>47</v>
      </c>
      <c r="E2876" s="2">
        <v>48</v>
      </c>
      <c r="F2876" s="2" t="s">
        <v>10093</v>
      </c>
      <c r="H2876" s="2" t="s">
        <v>45</v>
      </c>
      <c r="K2876" s="4">
        <v>18029</v>
      </c>
      <c r="M2876" s="2" t="s">
        <v>47</v>
      </c>
      <c r="N2876" s="2" t="s">
        <v>691</v>
      </c>
    </row>
    <row r="2877" spans="1:14">
      <c r="A2877" s="2">
        <v>2876</v>
      </c>
      <c r="B2877" s="3" t="s">
        <v>10094</v>
      </c>
      <c r="C2877" s="2" t="s">
        <v>10095</v>
      </c>
      <c r="D2877" s="2">
        <v>43</v>
      </c>
      <c r="E2877" s="2">
        <v>48</v>
      </c>
      <c r="F2877" s="2" t="s">
        <v>10096</v>
      </c>
      <c r="H2877" s="2" t="s">
        <v>17</v>
      </c>
      <c r="K2877" s="4">
        <v>9502</v>
      </c>
      <c r="L2877" s="4">
        <v>43991</v>
      </c>
      <c r="M2877" s="2" t="s">
        <v>85</v>
      </c>
      <c r="N2877" s="2" t="s">
        <v>2120</v>
      </c>
    </row>
    <row r="2878" spans="1:14">
      <c r="A2878" s="2">
        <v>2877</v>
      </c>
      <c r="B2878" s="3" t="s">
        <v>10097</v>
      </c>
      <c r="C2878" s="2" t="s">
        <v>10098</v>
      </c>
      <c r="D2878" s="2">
        <v>46</v>
      </c>
      <c r="E2878" s="2">
        <v>48</v>
      </c>
      <c r="F2878" s="2" t="s">
        <v>10099</v>
      </c>
      <c r="H2878" s="2" t="s">
        <v>17</v>
      </c>
      <c r="K2878" s="4">
        <v>14722</v>
      </c>
      <c r="M2878" s="2" t="s">
        <v>154</v>
      </c>
      <c r="N2878" s="2" t="s">
        <v>10100</v>
      </c>
    </row>
    <row r="2879" spans="1:14">
      <c r="A2879" s="2">
        <v>2878</v>
      </c>
      <c r="B2879" s="3" t="s">
        <v>10101</v>
      </c>
      <c r="C2879" s="2" t="s">
        <v>10102</v>
      </c>
      <c r="D2879" s="2">
        <v>46</v>
      </c>
      <c r="E2879" s="2">
        <v>48</v>
      </c>
      <c r="F2879" s="2" t="s">
        <v>10103</v>
      </c>
      <c r="H2879" s="2" t="s">
        <v>17</v>
      </c>
      <c r="K2879" s="4">
        <v>15829</v>
      </c>
      <c r="L2879" s="4">
        <v>34489</v>
      </c>
      <c r="M2879" s="2" t="s">
        <v>47</v>
      </c>
      <c r="N2879" s="2" t="s">
        <v>48</v>
      </c>
    </row>
    <row r="2880" spans="1:14">
      <c r="A2880" s="2">
        <v>2879</v>
      </c>
      <c r="B2880" s="3" t="s">
        <v>10104</v>
      </c>
      <c r="C2880" s="2" t="s">
        <v>10105</v>
      </c>
      <c r="D2880" s="2">
        <v>47</v>
      </c>
      <c r="E2880" s="2">
        <v>48</v>
      </c>
      <c r="F2880" s="2" t="s">
        <v>10106</v>
      </c>
      <c r="H2880" s="2" t="s">
        <v>17</v>
      </c>
      <c r="K2880" s="4">
        <v>15330</v>
      </c>
      <c r="L2880" s="4">
        <v>43135</v>
      </c>
      <c r="M2880" s="2" t="s">
        <v>40</v>
      </c>
      <c r="N2880" s="2" t="s">
        <v>41</v>
      </c>
    </row>
    <row r="2881" spans="1:14">
      <c r="A2881" s="2">
        <v>2880</v>
      </c>
      <c r="B2881" s="3" t="s">
        <v>10107</v>
      </c>
      <c r="C2881" s="2" t="s">
        <v>10108</v>
      </c>
      <c r="D2881" s="2">
        <v>44</v>
      </c>
      <c r="E2881" s="2">
        <v>48</v>
      </c>
      <c r="F2881" s="2" t="s">
        <v>10109</v>
      </c>
      <c r="H2881" s="2" t="s">
        <v>17</v>
      </c>
      <c r="K2881" s="4">
        <v>11902</v>
      </c>
      <c r="L2881" s="4">
        <v>43894</v>
      </c>
      <c r="M2881" s="2" t="s">
        <v>35</v>
      </c>
      <c r="N2881" s="2" t="s">
        <v>10110</v>
      </c>
    </row>
    <row r="2882" spans="1:14">
      <c r="A2882" s="2">
        <v>2881</v>
      </c>
      <c r="B2882" s="3" t="s">
        <v>10111</v>
      </c>
      <c r="C2882" s="2" t="s">
        <v>10112</v>
      </c>
      <c r="D2882" s="2">
        <v>46</v>
      </c>
      <c r="E2882" s="2">
        <v>48</v>
      </c>
      <c r="F2882" s="2" t="s">
        <v>10113</v>
      </c>
      <c r="H2882" s="2" t="s">
        <v>17</v>
      </c>
      <c r="K2882" s="4">
        <v>12534</v>
      </c>
      <c r="L2882" s="4">
        <v>38859</v>
      </c>
      <c r="M2882" s="2" t="s">
        <v>164</v>
      </c>
      <c r="N2882" s="2" t="s">
        <v>165</v>
      </c>
    </row>
    <row r="2883" spans="1:14">
      <c r="A2883" s="2">
        <v>2882</v>
      </c>
      <c r="B2883" s="3" t="s">
        <v>10114</v>
      </c>
      <c r="C2883" s="2" t="s">
        <v>10115</v>
      </c>
      <c r="D2883" s="2">
        <v>48</v>
      </c>
      <c r="E2883" s="2">
        <v>48</v>
      </c>
      <c r="F2883" s="2" t="s">
        <v>10116</v>
      </c>
      <c r="H2883" s="2" t="s">
        <v>17</v>
      </c>
      <c r="K2883" s="4">
        <v>16340</v>
      </c>
      <c r="M2883" s="2" t="s">
        <v>30</v>
      </c>
      <c r="N2883" s="2" t="s">
        <v>31</v>
      </c>
    </row>
    <row r="2884" spans="1:14">
      <c r="A2884" s="2">
        <v>2883</v>
      </c>
      <c r="B2884" s="3" t="s">
        <v>10117</v>
      </c>
      <c r="C2884" s="2" t="s">
        <v>10118</v>
      </c>
      <c r="D2884" s="2">
        <v>48</v>
      </c>
      <c r="E2884" s="2">
        <v>48</v>
      </c>
      <c r="F2884" s="2" t="s">
        <v>10119</v>
      </c>
      <c r="H2884" s="2" t="s">
        <v>17</v>
      </c>
      <c r="K2884" s="4">
        <v>11850</v>
      </c>
      <c r="L2884" s="4">
        <v>44098</v>
      </c>
      <c r="M2884" s="2" t="s">
        <v>40</v>
      </c>
      <c r="N2884" s="2" t="s">
        <v>10120</v>
      </c>
    </row>
    <row r="2885" spans="1:14">
      <c r="A2885" s="2">
        <v>2884</v>
      </c>
      <c r="B2885" s="3" t="s">
        <v>10121</v>
      </c>
      <c r="C2885" s="2" t="s">
        <v>10122</v>
      </c>
      <c r="D2885" s="2">
        <v>48</v>
      </c>
      <c r="E2885" s="2">
        <v>48</v>
      </c>
      <c r="F2885" s="2" t="s">
        <v>10123</v>
      </c>
      <c r="H2885" s="2" t="s">
        <v>17</v>
      </c>
      <c r="K2885" s="4">
        <v>10335</v>
      </c>
      <c r="L2885" s="4">
        <v>44876</v>
      </c>
      <c r="M2885" s="2" t="s">
        <v>662</v>
      </c>
      <c r="N2885" s="2" t="s">
        <v>663</v>
      </c>
    </row>
    <row r="2886" spans="1:14">
      <c r="A2886" s="2">
        <v>2885</v>
      </c>
      <c r="B2886" s="3" t="s">
        <v>10124</v>
      </c>
      <c r="C2886" s="2" t="s">
        <v>10125</v>
      </c>
      <c r="D2886" s="2">
        <v>48</v>
      </c>
      <c r="E2886" s="2">
        <v>48</v>
      </c>
      <c r="F2886" s="2" t="s">
        <v>10126</v>
      </c>
      <c r="H2886" s="2" t="s">
        <v>17</v>
      </c>
      <c r="K2886" s="4">
        <v>16918</v>
      </c>
      <c r="L2886" s="4">
        <v>43297</v>
      </c>
      <c r="M2886" s="2" t="s">
        <v>85</v>
      </c>
      <c r="N2886" s="2" t="s">
        <v>1868</v>
      </c>
    </row>
    <row r="2887" spans="1:14">
      <c r="A2887" s="2">
        <v>2886</v>
      </c>
      <c r="B2887" s="3" t="s">
        <v>10127</v>
      </c>
      <c r="C2887" s="2" t="s">
        <v>10128</v>
      </c>
      <c r="D2887" s="2">
        <v>47</v>
      </c>
      <c r="E2887" s="2">
        <v>48</v>
      </c>
      <c r="F2887" s="2" t="s">
        <v>10129</v>
      </c>
      <c r="H2887" s="2" t="s">
        <v>17</v>
      </c>
      <c r="K2887" s="4">
        <v>10971</v>
      </c>
      <c r="L2887" s="4">
        <v>37858</v>
      </c>
      <c r="M2887" s="2" t="s">
        <v>85</v>
      </c>
      <c r="N2887" s="2" t="s">
        <v>5267</v>
      </c>
    </row>
    <row r="2888" spans="1:14">
      <c r="A2888" s="2">
        <v>2887</v>
      </c>
      <c r="B2888" s="3" t="s">
        <v>10130</v>
      </c>
      <c r="C2888" s="2" t="s">
        <v>10131</v>
      </c>
      <c r="D2888" s="2">
        <v>48</v>
      </c>
      <c r="E2888" s="2">
        <v>48</v>
      </c>
      <c r="F2888" s="2" t="s">
        <v>10132</v>
      </c>
      <c r="H2888" s="2" t="s">
        <v>17</v>
      </c>
      <c r="K2888" s="4">
        <v>16831</v>
      </c>
      <c r="M2888" s="2" t="s">
        <v>35</v>
      </c>
      <c r="N2888" s="2" t="s">
        <v>608</v>
      </c>
    </row>
    <row r="2889" spans="1:14">
      <c r="A2889" s="2">
        <v>2888</v>
      </c>
      <c r="B2889" s="3" t="s">
        <v>10133</v>
      </c>
      <c r="C2889" s="2" t="s">
        <v>10134</v>
      </c>
      <c r="D2889" s="2">
        <v>48</v>
      </c>
      <c r="E2889" s="2">
        <v>48</v>
      </c>
      <c r="F2889" s="2" t="s">
        <v>10135</v>
      </c>
      <c r="H2889" s="2" t="s">
        <v>17</v>
      </c>
      <c r="K2889" s="4">
        <v>19542</v>
      </c>
      <c r="M2889" s="2" t="s">
        <v>423</v>
      </c>
      <c r="N2889" s="2" t="s">
        <v>3005</v>
      </c>
    </row>
    <row r="2890" spans="1:14">
      <c r="A2890" s="2">
        <v>2889</v>
      </c>
      <c r="B2890" s="3" t="s">
        <v>10136</v>
      </c>
      <c r="C2890" s="2" t="s">
        <v>10137</v>
      </c>
      <c r="D2890" s="2">
        <v>48</v>
      </c>
      <c r="E2890" s="2">
        <v>48</v>
      </c>
      <c r="F2890" s="2" t="s">
        <v>10138</v>
      </c>
      <c r="H2890" s="2" t="s">
        <v>17</v>
      </c>
      <c r="K2890" s="4">
        <v>9248</v>
      </c>
      <c r="L2890" s="4">
        <v>37021</v>
      </c>
      <c r="M2890" s="2" t="s">
        <v>170</v>
      </c>
      <c r="N2890" s="2" t="s">
        <v>10139</v>
      </c>
    </row>
    <row r="2891" spans="1:14">
      <c r="A2891" s="2">
        <v>2890</v>
      </c>
      <c r="B2891" s="3" t="s">
        <v>10140</v>
      </c>
      <c r="C2891" s="2" t="s">
        <v>10141</v>
      </c>
      <c r="D2891" s="2">
        <v>46</v>
      </c>
      <c r="E2891" s="2">
        <v>48</v>
      </c>
      <c r="F2891" s="2" t="s">
        <v>10142</v>
      </c>
      <c r="H2891" s="2" t="s">
        <v>45</v>
      </c>
      <c r="K2891" s="4">
        <v>12580</v>
      </c>
      <c r="L2891" s="4">
        <v>33657</v>
      </c>
      <c r="M2891" s="2" t="s">
        <v>198</v>
      </c>
      <c r="N2891" s="2" t="s">
        <v>1040</v>
      </c>
    </row>
    <row r="2892" spans="1:14">
      <c r="A2892" s="2">
        <v>2891</v>
      </c>
      <c r="B2892" s="3" t="s">
        <v>10143</v>
      </c>
      <c r="C2892" s="2" t="s">
        <v>10144</v>
      </c>
      <c r="D2892" s="2">
        <v>48</v>
      </c>
      <c r="E2892" s="2">
        <v>48</v>
      </c>
      <c r="F2892" s="2" t="s">
        <v>10145</v>
      </c>
      <c r="H2892" s="2" t="s">
        <v>17</v>
      </c>
      <c r="K2892" s="4">
        <v>9123</v>
      </c>
      <c r="L2892" s="4">
        <v>40625</v>
      </c>
      <c r="M2892" s="2" t="s">
        <v>35</v>
      </c>
      <c r="N2892" s="2" t="s">
        <v>1032</v>
      </c>
    </row>
    <row r="2893" spans="1:14">
      <c r="A2893" s="2">
        <v>2892</v>
      </c>
      <c r="B2893" s="3" t="s">
        <v>10146</v>
      </c>
      <c r="C2893" s="2" t="s">
        <v>10147</v>
      </c>
      <c r="D2893" s="2">
        <v>48</v>
      </c>
      <c r="E2893" s="2">
        <v>48</v>
      </c>
      <c r="F2893" s="2" t="s">
        <v>10148</v>
      </c>
      <c r="H2893" s="2" t="s">
        <v>17</v>
      </c>
      <c r="K2893" s="4">
        <v>16212</v>
      </c>
      <c r="L2893" s="4">
        <v>41555</v>
      </c>
      <c r="M2893" s="2" t="s">
        <v>423</v>
      </c>
      <c r="N2893" s="2" t="s">
        <v>10149</v>
      </c>
    </row>
    <row r="2894" spans="1:14">
      <c r="A2894" s="2">
        <v>2893</v>
      </c>
      <c r="B2894" s="3" t="s">
        <v>10150</v>
      </c>
      <c r="C2894" s="2" t="s">
        <v>10151</v>
      </c>
      <c r="D2894" s="2">
        <v>46</v>
      </c>
      <c r="E2894" s="2">
        <v>48</v>
      </c>
      <c r="F2894" s="2" t="s">
        <v>10152</v>
      </c>
      <c r="H2894" s="2" t="s">
        <v>17</v>
      </c>
      <c r="K2894" s="4">
        <v>14070</v>
      </c>
      <c r="L2894" s="4">
        <v>43047</v>
      </c>
      <c r="M2894" s="2" t="s">
        <v>66</v>
      </c>
      <c r="N2894" s="2" t="s">
        <v>3384</v>
      </c>
    </row>
    <row r="2895" spans="1:14">
      <c r="A2895" s="2">
        <v>2894</v>
      </c>
      <c r="B2895" s="3" t="s">
        <v>10153</v>
      </c>
      <c r="C2895" s="2" t="s">
        <v>10154</v>
      </c>
      <c r="D2895" s="2">
        <v>42</v>
      </c>
      <c r="E2895" s="2">
        <v>48</v>
      </c>
      <c r="F2895" s="2" t="s">
        <v>10155</v>
      </c>
      <c r="H2895" s="2" t="s">
        <v>17</v>
      </c>
      <c r="K2895" s="4">
        <v>9664</v>
      </c>
      <c r="L2895" s="4">
        <v>39427</v>
      </c>
      <c r="M2895" s="2" t="s">
        <v>170</v>
      </c>
      <c r="N2895" s="2" t="s">
        <v>323</v>
      </c>
    </row>
    <row r="2896" spans="1:14">
      <c r="A2896" s="2">
        <v>2895</v>
      </c>
      <c r="B2896" s="3" t="s">
        <v>10156</v>
      </c>
      <c r="C2896" s="2" t="s">
        <v>10157</v>
      </c>
      <c r="D2896" s="2">
        <v>46</v>
      </c>
      <c r="E2896" s="2">
        <v>48</v>
      </c>
      <c r="F2896" s="2" t="s">
        <v>10158</v>
      </c>
      <c r="H2896" s="2" t="s">
        <v>17</v>
      </c>
      <c r="K2896" s="4">
        <v>14330</v>
      </c>
      <c r="M2896" s="2" t="s">
        <v>47</v>
      </c>
      <c r="N2896" s="2" t="s">
        <v>691</v>
      </c>
    </row>
    <row r="2897" spans="1:14">
      <c r="A2897" s="2">
        <v>2896</v>
      </c>
      <c r="B2897" s="3" t="s">
        <v>10159</v>
      </c>
      <c r="C2897" s="2" t="s">
        <v>10160</v>
      </c>
      <c r="D2897" s="2">
        <v>47</v>
      </c>
      <c r="E2897" s="2">
        <v>48</v>
      </c>
      <c r="F2897" s="2" t="s">
        <v>10161</v>
      </c>
      <c r="H2897" s="2" t="s">
        <v>17</v>
      </c>
      <c r="K2897" s="4">
        <v>10041</v>
      </c>
      <c r="L2897" s="4">
        <v>42947</v>
      </c>
      <c r="M2897" s="2" t="s">
        <v>170</v>
      </c>
      <c r="N2897" s="2" t="s">
        <v>3654</v>
      </c>
    </row>
    <row r="2898" spans="1:14">
      <c r="A2898" s="2">
        <v>2897</v>
      </c>
      <c r="B2898" s="3" t="s">
        <v>10162</v>
      </c>
      <c r="C2898" s="2" t="s">
        <v>10163</v>
      </c>
      <c r="D2898" s="2">
        <v>48</v>
      </c>
      <c r="E2898" s="2">
        <v>48</v>
      </c>
      <c r="F2898" s="2" t="s">
        <v>10164</v>
      </c>
      <c r="H2898" s="2" t="s">
        <v>17</v>
      </c>
      <c r="K2898" s="4">
        <v>10831</v>
      </c>
      <c r="L2898" s="4">
        <v>41769</v>
      </c>
      <c r="M2898" s="2" t="s">
        <v>66</v>
      </c>
      <c r="N2898" s="2" t="s">
        <v>3534</v>
      </c>
    </row>
    <row r="2899" spans="1:14">
      <c r="A2899" s="2">
        <v>2898</v>
      </c>
      <c r="B2899" s="3" t="s">
        <v>10165</v>
      </c>
      <c r="C2899" s="2" t="s">
        <v>10166</v>
      </c>
      <c r="D2899" s="2">
        <v>47</v>
      </c>
      <c r="E2899" s="2">
        <v>48</v>
      </c>
      <c r="F2899" s="2" t="s">
        <v>10167</v>
      </c>
      <c r="H2899" s="2" t="s">
        <v>17</v>
      </c>
      <c r="K2899" s="4">
        <v>13066</v>
      </c>
      <c r="L2899" s="4">
        <v>39062</v>
      </c>
      <c r="M2899" s="2" t="s">
        <v>164</v>
      </c>
      <c r="N2899" s="2" t="s">
        <v>1223</v>
      </c>
    </row>
    <row r="2900" spans="1:14">
      <c r="A2900" s="2">
        <v>2899</v>
      </c>
      <c r="B2900" s="3" t="s">
        <v>10168</v>
      </c>
      <c r="C2900" s="2" t="s">
        <v>10169</v>
      </c>
      <c r="D2900" s="2">
        <v>48</v>
      </c>
      <c r="E2900" s="2">
        <v>48</v>
      </c>
      <c r="F2900" s="2" t="s">
        <v>10170</v>
      </c>
      <c r="H2900" s="2" t="s">
        <v>45</v>
      </c>
      <c r="K2900" s="4">
        <v>16068</v>
      </c>
      <c r="L2900" s="4">
        <v>41879</v>
      </c>
      <c r="M2900" s="2" t="s">
        <v>47</v>
      </c>
      <c r="N2900" s="2" t="s">
        <v>48</v>
      </c>
    </row>
    <row r="2901" spans="1:14">
      <c r="A2901" s="2">
        <v>2900</v>
      </c>
      <c r="B2901" s="3" t="s">
        <v>10171</v>
      </c>
      <c r="C2901" s="2" t="s">
        <v>10172</v>
      </c>
      <c r="D2901" s="2">
        <v>47</v>
      </c>
      <c r="E2901" s="2">
        <v>48</v>
      </c>
      <c r="F2901" s="2" t="s">
        <v>10173</v>
      </c>
      <c r="H2901" s="2" t="s">
        <v>17</v>
      </c>
      <c r="K2901" s="4">
        <v>10965</v>
      </c>
      <c r="L2901" s="4">
        <v>44404</v>
      </c>
      <c r="M2901" s="2" t="s">
        <v>47</v>
      </c>
      <c r="N2901" s="2" t="s">
        <v>9770</v>
      </c>
    </row>
    <row r="2902" spans="1:14">
      <c r="A2902" s="2">
        <v>2901</v>
      </c>
      <c r="B2902" s="3" t="s">
        <v>10174</v>
      </c>
      <c r="C2902" s="2" t="s">
        <v>10175</v>
      </c>
      <c r="D2902" s="2">
        <v>41</v>
      </c>
      <c r="E2902" s="2">
        <v>48</v>
      </c>
      <c r="F2902" s="2" t="s">
        <v>10176</v>
      </c>
      <c r="H2902" s="2" t="s">
        <v>17</v>
      </c>
      <c r="K2902" s="4">
        <v>7627</v>
      </c>
      <c r="L2902" s="4">
        <v>33245</v>
      </c>
      <c r="M2902" s="2" t="s">
        <v>170</v>
      </c>
      <c r="N2902" s="2" t="s">
        <v>323</v>
      </c>
    </row>
    <row r="2903" spans="1:14">
      <c r="A2903" s="2">
        <v>2902</v>
      </c>
      <c r="B2903" s="3" t="s">
        <v>10177</v>
      </c>
      <c r="C2903" s="2" t="s">
        <v>10178</v>
      </c>
      <c r="D2903" s="2">
        <v>48</v>
      </c>
      <c r="E2903" s="2">
        <v>48</v>
      </c>
      <c r="F2903" s="2" t="s">
        <v>10179</v>
      </c>
      <c r="H2903" s="2" t="s">
        <v>17</v>
      </c>
      <c r="K2903" s="4">
        <v>17167</v>
      </c>
      <c r="M2903" s="2" t="s">
        <v>76</v>
      </c>
    </row>
    <row r="2904" spans="1:14">
      <c r="A2904" s="2">
        <v>2903</v>
      </c>
      <c r="B2904" s="3" t="s">
        <v>10180</v>
      </c>
      <c r="C2904" s="2" t="s">
        <v>10181</v>
      </c>
      <c r="D2904" s="2">
        <v>47</v>
      </c>
      <c r="E2904" s="2">
        <v>48</v>
      </c>
      <c r="F2904" s="2" t="s">
        <v>10182</v>
      </c>
      <c r="H2904" s="2" t="s">
        <v>17</v>
      </c>
      <c r="K2904" s="4">
        <v>13552</v>
      </c>
      <c r="L2904" s="4">
        <v>42140</v>
      </c>
      <c r="M2904" s="2" t="s">
        <v>76</v>
      </c>
      <c r="N2904" s="2" t="s">
        <v>8624</v>
      </c>
    </row>
    <row r="2905" spans="1:14">
      <c r="A2905" s="2">
        <v>2904</v>
      </c>
      <c r="B2905" s="3" t="s">
        <v>10183</v>
      </c>
      <c r="C2905" s="2" t="s">
        <v>10184</v>
      </c>
      <c r="D2905" s="2">
        <v>48</v>
      </c>
      <c r="E2905" s="2">
        <v>48</v>
      </c>
      <c r="F2905" s="2" t="s">
        <v>10185</v>
      </c>
      <c r="H2905" s="2" t="s">
        <v>17</v>
      </c>
      <c r="K2905" s="4">
        <v>18220</v>
      </c>
      <c r="L2905" s="4">
        <v>45222</v>
      </c>
      <c r="M2905" s="2" t="s">
        <v>146</v>
      </c>
      <c r="N2905" s="2" t="s">
        <v>147</v>
      </c>
    </row>
    <row r="2906" spans="1:14">
      <c r="A2906" s="2">
        <v>2905</v>
      </c>
      <c r="B2906" s="3" t="s">
        <v>10186</v>
      </c>
      <c r="C2906" s="2" t="s">
        <v>10187</v>
      </c>
      <c r="D2906" s="2">
        <v>47</v>
      </c>
      <c r="E2906" s="2">
        <v>48</v>
      </c>
      <c r="F2906" s="2" t="s">
        <v>10188</v>
      </c>
      <c r="H2906" s="2" t="s">
        <v>17</v>
      </c>
      <c r="K2906" s="4">
        <v>10831</v>
      </c>
      <c r="L2906" s="4">
        <v>44667</v>
      </c>
      <c r="M2906" s="2" t="s">
        <v>198</v>
      </c>
      <c r="N2906" s="2" t="s">
        <v>4411</v>
      </c>
    </row>
    <row r="2907" spans="1:14">
      <c r="A2907" s="2">
        <v>2906</v>
      </c>
      <c r="B2907" s="3" t="s">
        <v>10189</v>
      </c>
      <c r="C2907" s="2" t="s">
        <v>10190</v>
      </c>
      <c r="D2907" s="2">
        <v>48</v>
      </c>
      <c r="E2907" s="2">
        <v>48</v>
      </c>
      <c r="F2907" s="2" t="s">
        <v>10191</v>
      </c>
      <c r="H2907" s="2" t="s">
        <v>17</v>
      </c>
      <c r="K2907" s="4">
        <v>12852</v>
      </c>
      <c r="M2907" s="2" t="s">
        <v>170</v>
      </c>
      <c r="N2907" s="2" t="s">
        <v>323</v>
      </c>
    </row>
    <row r="2908" spans="1:14">
      <c r="A2908" s="2">
        <v>2907</v>
      </c>
      <c r="B2908" s="3" t="s">
        <v>10192</v>
      </c>
      <c r="C2908" s="2" t="s">
        <v>10193</v>
      </c>
      <c r="D2908" s="2">
        <v>47</v>
      </c>
      <c r="E2908" s="2">
        <v>48</v>
      </c>
      <c r="F2908" s="2" t="s">
        <v>10194</v>
      </c>
      <c r="H2908" s="2" t="s">
        <v>17</v>
      </c>
      <c r="K2908" s="4">
        <v>13887</v>
      </c>
      <c r="M2908" s="2" t="s">
        <v>185</v>
      </c>
      <c r="N2908" s="2" t="s">
        <v>10195</v>
      </c>
    </row>
    <row r="2909" spans="1:14">
      <c r="A2909" s="2">
        <v>2908</v>
      </c>
      <c r="B2909" s="3" t="s">
        <v>10196</v>
      </c>
      <c r="C2909" s="2" t="s">
        <v>10197</v>
      </c>
      <c r="D2909" s="2">
        <v>48</v>
      </c>
      <c r="E2909" s="2">
        <v>48</v>
      </c>
      <c r="F2909" s="2" t="s">
        <v>10198</v>
      </c>
      <c r="H2909" s="2" t="s">
        <v>17</v>
      </c>
      <c r="K2909" s="4">
        <v>17285</v>
      </c>
      <c r="M2909" s="2" t="s">
        <v>66</v>
      </c>
      <c r="N2909" s="2" t="s">
        <v>10199</v>
      </c>
    </row>
    <row r="2910" spans="1:14">
      <c r="A2910" s="2">
        <v>2909</v>
      </c>
      <c r="B2910" s="3" t="s">
        <v>10200</v>
      </c>
      <c r="C2910" s="2" t="s">
        <v>10201</v>
      </c>
      <c r="D2910" s="2">
        <v>48</v>
      </c>
      <c r="E2910" s="2">
        <v>48</v>
      </c>
      <c r="F2910" s="2" t="s">
        <v>10202</v>
      </c>
      <c r="H2910" s="2" t="s">
        <v>17</v>
      </c>
      <c r="K2910" s="4">
        <v>16166</v>
      </c>
      <c r="M2910" s="2" t="s">
        <v>35</v>
      </c>
      <c r="N2910" s="2" t="s">
        <v>10203</v>
      </c>
    </row>
    <row r="2911" spans="1:14">
      <c r="A2911" s="2">
        <v>2910</v>
      </c>
      <c r="B2911" s="3" t="s">
        <v>10204</v>
      </c>
      <c r="C2911" s="2" t="s">
        <v>10205</v>
      </c>
      <c r="D2911" s="2">
        <v>48</v>
      </c>
      <c r="E2911" s="2">
        <v>48</v>
      </c>
      <c r="F2911" s="2" t="s">
        <v>10206</v>
      </c>
      <c r="H2911" s="2" t="s">
        <v>17</v>
      </c>
      <c r="K2911" s="4">
        <v>17495</v>
      </c>
      <c r="M2911" s="2" t="s">
        <v>423</v>
      </c>
      <c r="N2911" s="2" t="s">
        <v>10207</v>
      </c>
    </row>
    <row r="2912" spans="1:14">
      <c r="A2912" s="2">
        <v>2911</v>
      </c>
      <c r="B2912" s="3" t="s">
        <v>10208</v>
      </c>
      <c r="C2912" s="2" t="s">
        <v>10209</v>
      </c>
      <c r="D2912" s="2">
        <v>46</v>
      </c>
      <c r="E2912" s="2">
        <v>48</v>
      </c>
      <c r="F2912" s="2" t="s">
        <v>10210</v>
      </c>
      <c r="H2912" s="2" t="s">
        <v>17</v>
      </c>
      <c r="K2912" s="4">
        <v>11948</v>
      </c>
      <c r="L2912" s="4">
        <v>44271</v>
      </c>
      <c r="M2912" s="2" t="s">
        <v>66</v>
      </c>
      <c r="N2912" s="2" t="s">
        <v>4225</v>
      </c>
    </row>
    <row r="2913" spans="1:14">
      <c r="A2913" s="2">
        <v>2912</v>
      </c>
      <c r="B2913" s="3" t="s">
        <v>10211</v>
      </c>
      <c r="C2913" s="2" t="s">
        <v>10212</v>
      </c>
      <c r="D2913" s="2">
        <v>48</v>
      </c>
      <c r="E2913" s="2">
        <v>48</v>
      </c>
      <c r="F2913" s="2" t="s">
        <v>10213</v>
      </c>
      <c r="H2913" s="2" t="s">
        <v>45</v>
      </c>
      <c r="K2913" s="4">
        <v>10784</v>
      </c>
      <c r="M2913" s="2" t="s">
        <v>47</v>
      </c>
      <c r="N2913" s="2" t="s">
        <v>48</v>
      </c>
    </row>
    <row r="2914" spans="1:14">
      <c r="A2914" s="2">
        <v>2913</v>
      </c>
      <c r="B2914" s="3" t="s">
        <v>10214</v>
      </c>
      <c r="C2914" s="2" t="s">
        <v>10215</v>
      </c>
      <c r="D2914" s="2">
        <v>41</v>
      </c>
      <c r="E2914" s="2">
        <v>48</v>
      </c>
      <c r="F2914" s="2" t="s">
        <v>10216</v>
      </c>
      <c r="H2914" s="2" t="s">
        <v>17</v>
      </c>
      <c r="K2914" s="4">
        <v>6741</v>
      </c>
      <c r="L2914" s="4">
        <v>40507</v>
      </c>
      <c r="M2914" s="2" t="s">
        <v>85</v>
      </c>
      <c r="N2914" s="2" t="s">
        <v>2120</v>
      </c>
    </row>
    <row r="2915" spans="1:14">
      <c r="A2915" s="2">
        <v>2914</v>
      </c>
      <c r="B2915" s="3" t="s">
        <v>10217</v>
      </c>
      <c r="C2915" s="2" t="s">
        <v>10218</v>
      </c>
      <c r="D2915" s="2">
        <v>48</v>
      </c>
      <c r="E2915" s="2">
        <v>48</v>
      </c>
      <c r="F2915" s="2" t="s">
        <v>10219</v>
      </c>
      <c r="H2915" s="2" t="s">
        <v>17</v>
      </c>
      <c r="K2915" s="4">
        <v>7712</v>
      </c>
      <c r="L2915" s="4">
        <v>39602</v>
      </c>
      <c r="M2915" s="2" t="s">
        <v>341</v>
      </c>
      <c r="N2915" s="2" t="s">
        <v>834</v>
      </c>
    </row>
    <row r="2916" spans="1:14">
      <c r="A2916" s="2">
        <v>2915</v>
      </c>
      <c r="B2916" s="3" t="s">
        <v>10220</v>
      </c>
      <c r="C2916" s="2" t="s">
        <v>10221</v>
      </c>
      <c r="D2916" s="2">
        <v>47</v>
      </c>
      <c r="E2916" s="2">
        <v>48</v>
      </c>
      <c r="F2916" s="2" t="s">
        <v>10222</v>
      </c>
      <c r="H2916" s="2" t="s">
        <v>17</v>
      </c>
      <c r="K2916" s="4">
        <v>7954</v>
      </c>
      <c r="L2916" s="4">
        <v>41588</v>
      </c>
      <c r="M2916" s="2" t="s">
        <v>47</v>
      </c>
      <c r="N2916" s="2" t="s">
        <v>48</v>
      </c>
    </row>
    <row r="2917" spans="1:14">
      <c r="A2917" s="2">
        <v>2916</v>
      </c>
      <c r="B2917" s="3" t="s">
        <v>10223</v>
      </c>
      <c r="C2917" s="2" t="s">
        <v>10224</v>
      </c>
      <c r="D2917" s="2">
        <v>48</v>
      </c>
      <c r="E2917" s="2">
        <v>48</v>
      </c>
      <c r="F2917" s="2" t="s">
        <v>10225</v>
      </c>
      <c r="H2917" s="2" t="s">
        <v>17</v>
      </c>
      <c r="K2917" s="4">
        <v>15652</v>
      </c>
      <c r="M2917" s="2" t="s">
        <v>40</v>
      </c>
      <c r="N2917" s="2" t="s">
        <v>2528</v>
      </c>
    </row>
    <row r="2918" spans="1:14">
      <c r="A2918" s="2">
        <v>2917</v>
      </c>
      <c r="B2918" s="3" t="s">
        <v>10226</v>
      </c>
      <c r="C2918" s="2" t="s">
        <v>10227</v>
      </c>
      <c r="D2918" s="2">
        <v>47</v>
      </c>
      <c r="E2918" s="2">
        <v>48</v>
      </c>
      <c r="F2918" s="2" t="s">
        <v>10227</v>
      </c>
      <c r="H2918" s="2" t="s">
        <v>17</v>
      </c>
      <c r="K2918" s="4">
        <v>13422</v>
      </c>
      <c r="L2918" s="4">
        <v>43731</v>
      </c>
    </row>
    <row r="2919" spans="1:14">
      <c r="A2919" s="2">
        <v>2918</v>
      </c>
      <c r="B2919" s="3" t="s">
        <v>10228</v>
      </c>
      <c r="C2919" s="2" t="s">
        <v>10229</v>
      </c>
      <c r="D2919" s="2">
        <v>47</v>
      </c>
      <c r="E2919" s="2">
        <v>48</v>
      </c>
      <c r="F2919" s="2" t="s">
        <v>10230</v>
      </c>
      <c r="H2919" s="2" t="s">
        <v>17</v>
      </c>
      <c r="K2919" s="4">
        <v>12026</v>
      </c>
      <c r="L2919" s="4">
        <v>43399</v>
      </c>
      <c r="M2919" s="2" t="s">
        <v>423</v>
      </c>
      <c r="N2919" s="2" t="s">
        <v>3005</v>
      </c>
    </row>
    <row r="2920" spans="1:14">
      <c r="A2920" s="2">
        <v>2919</v>
      </c>
      <c r="B2920" s="3" t="s">
        <v>10231</v>
      </c>
      <c r="C2920" s="2" t="s">
        <v>10232</v>
      </c>
      <c r="D2920" s="2">
        <v>44</v>
      </c>
      <c r="E2920" s="2">
        <v>48</v>
      </c>
      <c r="F2920" s="2" t="s">
        <v>10233</v>
      </c>
      <c r="H2920" s="2" t="s">
        <v>17</v>
      </c>
      <c r="K2920" s="4">
        <v>12933</v>
      </c>
      <c r="L2920" s="4">
        <v>40852</v>
      </c>
      <c r="M2920" s="2" t="s">
        <v>53</v>
      </c>
      <c r="N2920" s="2" t="s">
        <v>4926</v>
      </c>
    </row>
    <row r="2921" spans="1:14">
      <c r="A2921" s="2">
        <v>2920</v>
      </c>
      <c r="B2921" s="3" t="s">
        <v>10234</v>
      </c>
      <c r="C2921" s="2" t="s">
        <v>10235</v>
      </c>
      <c r="D2921" s="2">
        <v>48</v>
      </c>
      <c r="E2921" s="2">
        <v>48</v>
      </c>
      <c r="F2921" s="2" t="s">
        <v>10236</v>
      </c>
      <c r="H2921" s="2" t="s">
        <v>17</v>
      </c>
      <c r="K2921" s="4">
        <v>10985</v>
      </c>
      <c r="L2921" s="4">
        <v>38997</v>
      </c>
      <c r="M2921" s="2" t="s">
        <v>47</v>
      </c>
      <c r="N2921" s="2" t="s">
        <v>48</v>
      </c>
    </row>
    <row r="2922" spans="1:14">
      <c r="A2922" s="2">
        <v>2921</v>
      </c>
      <c r="B2922" s="3" t="s">
        <v>10237</v>
      </c>
      <c r="C2922" s="2" t="s">
        <v>10238</v>
      </c>
      <c r="D2922" s="2">
        <v>41</v>
      </c>
      <c r="E2922" s="2">
        <v>48</v>
      </c>
      <c r="F2922" s="2" t="s">
        <v>10239</v>
      </c>
      <c r="H2922" s="2" t="s">
        <v>17</v>
      </c>
      <c r="K2922" s="4">
        <v>5762</v>
      </c>
      <c r="L2922" s="4">
        <v>40969</v>
      </c>
      <c r="M2922" s="2" t="s">
        <v>40</v>
      </c>
      <c r="N2922" s="2" t="s">
        <v>10240</v>
      </c>
    </row>
    <row r="2923" spans="1:14">
      <c r="A2923" s="2">
        <v>2922</v>
      </c>
      <c r="B2923" s="3" t="s">
        <v>10241</v>
      </c>
      <c r="C2923" s="2" t="s">
        <v>10242</v>
      </c>
      <c r="D2923" s="2">
        <v>48</v>
      </c>
      <c r="E2923" s="2">
        <v>48</v>
      </c>
      <c r="F2923" s="2" t="s">
        <v>10243</v>
      </c>
      <c r="H2923" s="2" t="s">
        <v>17</v>
      </c>
      <c r="K2923" s="4">
        <v>15432</v>
      </c>
      <c r="L2923" s="4">
        <v>44179</v>
      </c>
      <c r="M2923" s="2" t="s">
        <v>164</v>
      </c>
      <c r="N2923" s="2" t="s">
        <v>165</v>
      </c>
    </row>
    <row r="2924" spans="1:14">
      <c r="A2924" s="2">
        <v>2923</v>
      </c>
      <c r="B2924" s="3" t="s">
        <v>10244</v>
      </c>
      <c r="C2924" s="2" t="s">
        <v>10245</v>
      </c>
      <c r="D2924" s="2">
        <v>42</v>
      </c>
      <c r="E2924" s="2">
        <v>48</v>
      </c>
      <c r="F2924" s="2" t="s">
        <v>10246</v>
      </c>
      <c r="H2924" s="2" t="s">
        <v>17</v>
      </c>
      <c r="K2924" s="4">
        <v>6434</v>
      </c>
      <c r="L2924" s="4">
        <v>33629</v>
      </c>
      <c r="M2924" s="2" t="s">
        <v>140</v>
      </c>
      <c r="N2924" s="2" t="s">
        <v>3179</v>
      </c>
    </row>
    <row r="2925" spans="1:14">
      <c r="A2925" s="2">
        <v>2924</v>
      </c>
      <c r="B2925" s="3" t="s">
        <v>10247</v>
      </c>
      <c r="C2925" s="2" t="s">
        <v>10248</v>
      </c>
      <c r="D2925" s="2">
        <v>41</v>
      </c>
      <c r="E2925" s="2">
        <v>48</v>
      </c>
      <c r="F2925" s="2" t="s">
        <v>10249</v>
      </c>
      <c r="H2925" s="2" t="s">
        <v>17</v>
      </c>
      <c r="K2925" s="4">
        <v>7273</v>
      </c>
      <c r="L2925" s="4">
        <v>40598</v>
      </c>
      <c r="M2925" s="2" t="s">
        <v>66</v>
      </c>
      <c r="N2925" s="2" t="s">
        <v>8305</v>
      </c>
    </row>
    <row r="2926" spans="1:14">
      <c r="A2926" s="2">
        <v>2925</v>
      </c>
      <c r="B2926" s="3" t="s">
        <v>10250</v>
      </c>
      <c r="C2926" s="2" t="s">
        <v>10251</v>
      </c>
      <c r="D2926" s="2">
        <v>47</v>
      </c>
      <c r="E2926" s="2">
        <v>48</v>
      </c>
      <c r="F2926" s="2" t="s">
        <v>10252</v>
      </c>
      <c r="H2926" s="2" t="s">
        <v>17</v>
      </c>
      <c r="K2926" s="4">
        <v>16227</v>
      </c>
      <c r="L2926" s="4">
        <v>41473</v>
      </c>
      <c r="M2926" s="2" t="s">
        <v>40</v>
      </c>
      <c r="N2926" s="2" t="s">
        <v>41</v>
      </c>
    </row>
    <row r="2927" spans="1:14">
      <c r="A2927" s="2">
        <v>2926</v>
      </c>
      <c r="B2927" s="3" t="s">
        <v>10253</v>
      </c>
      <c r="C2927" s="2" t="s">
        <v>10254</v>
      </c>
      <c r="D2927" s="2">
        <v>46</v>
      </c>
      <c r="E2927" s="2">
        <v>48</v>
      </c>
      <c r="F2927" s="2" t="s">
        <v>10255</v>
      </c>
      <c r="H2927" s="2" t="s">
        <v>17</v>
      </c>
      <c r="K2927" s="4">
        <v>13981</v>
      </c>
      <c r="L2927" s="4">
        <v>41893</v>
      </c>
      <c r="M2927" s="2" t="s">
        <v>91</v>
      </c>
      <c r="N2927" s="2" t="s">
        <v>677</v>
      </c>
    </row>
    <row r="2928" spans="1:14">
      <c r="A2928" s="2">
        <v>2927</v>
      </c>
      <c r="B2928" s="3" t="s">
        <v>10256</v>
      </c>
      <c r="C2928" s="2" t="s">
        <v>10257</v>
      </c>
      <c r="D2928" s="2">
        <v>48</v>
      </c>
      <c r="E2928" s="2">
        <v>48</v>
      </c>
      <c r="F2928" s="2" t="s">
        <v>10258</v>
      </c>
      <c r="H2928" s="2" t="s">
        <v>17</v>
      </c>
      <c r="K2928" s="4">
        <v>8284</v>
      </c>
      <c r="L2928" s="4">
        <v>34372</v>
      </c>
      <c r="M2928" s="2" t="s">
        <v>85</v>
      </c>
      <c r="N2928" s="2" t="s">
        <v>1868</v>
      </c>
    </row>
    <row r="2929" spans="1:14">
      <c r="A2929" s="2">
        <v>2928</v>
      </c>
      <c r="B2929" s="3" t="s">
        <v>10259</v>
      </c>
      <c r="C2929" s="2" t="s">
        <v>10260</v>
      </c>
      <c r="D2929" s="2">
        <v>47</v>
      </c>
      <c r="E2929" s="2">
        <v>48</v>
      </c>
      <c r="F2929" s="2" t="s">
        <v>10261</v>
      </c>
      <c r="H2929" s="2" t="s">
        <v>17</v>
      </c>
      <c r="K2929" s="4">
        <v>13169</v>
      </c>
      <c r="L2929" s="4">
        <v>44616</v>
      </c>
      <c r="M2929" s="2" t="s">
        <v>85</v>
      </c>
      <c r="N2929" s="2" t="s">
        <v>10262</v>
      </c>
    </row>
    <row r="2930" spans="1:14">
      <c r="A2930" s="2">
        <v>2929</v>
      </c>
      <c r="B2930" s="3" t="s">
        <v>10263</v>
      </c>
      <c r="C2930" s="2" t="s">
        <v>10264</v>
      </c>
      <c r="D2930" s="2">
        <v>48</v>
      </c>
      <c r="E2930" s="2">
        <v>48</v>
      </c>
      <c r="F2930" s="2" t="s">
        <v>10265</v>
      </c>
      <c r="H2930" s="2" t="s">
        <v>17</v>
      </c>
      <c r="K2930" s="4">
        <v>15488</v>
      </c>
      <c r="M2930" s="2" t="s">
        <v>85</v>
      </c>
      <c r="N2930" s="2" t="s">
        <v>86</v>
      </c>
    </row>
    <row r="2931" spans="1:14">
      <c r="A2931" s="2">
        <v>2930</v>
      </c>
      <c r="B2931" s="3" t="s">
        <v>10266</v>
      </c>
      <c r="C2931" s="2" t="s">
        <v>10267</v>
      </c>
      <c r="D2931" s="2">
        <v>48</v>
      </c>
      <c r="E2931" s="2">
        <v>48</v>
      </c>
      <c r="F2931" s="2" t="s">
        <v>10268</v>
      </c>
      <c r="H2931" s="2" t="s">
        <v>17</v>
      </c>
      <c r="K2931" s="4">
        <v>16010</v>
      </c>
      <c r="M2931" s="2" t="s">
        <v>423</v>
      </c>
      <c r="N2931" s="2" t="s">
        <v>10269</v>
      </c>
    </row>
    <row r="2932" spans="1:14">
      <c r="A2932" s="2">
        <v>2931</v>
      </c>
      <c r="B2932" s="3" t="s">
        <v>10270</v>
      </c>
      <c r="C2932" s="2" t="s">
        <v>10271</v>
      </c>
      <c r="D2932" s="2">
        <v>44</v>
      </c>
      <c r="E2932" s="2">
        <v>48</v>
      </c>
      <c r="F2932" s="2" t="s">
        <v>10272</v>
      </c>
      <c r="H2932" s="2" t="s">
        <v>17</v>
      </c>
      <c r="K2932" s="4">
        <v>11064</v>
      </c>
      <c r="L2932" s="4">
        <v>39497</v>
      </c>
      <c r="M2932" s="2" t="s">
        <v>40</v>
      </c>
      <c r="N2932" s="2" t="s">
        <v>2573</v>
      </c>
    </row>
    <row r="2933" spans="1:14">
      <c r="A2933" s="2">
        <v>2932</v>
      </c>
      <c r="B2933" s="3" t="s">
        <v>10273</v>
      </c>
      <c r="C2933" s="2" t="s">
        <v>10274</v>
      </c>
      <c r="D2933" s="2">
        <v>48</v>
      </c>
      <c r="E2933" s="2">
        <v>48</v>
      </c>
      <c r="F2933" s="2" t="s">
        <v>10275</v>
      </c>
      <c r="H2933" s="2" t="s">
        <v>17</v>
      </c>
      <c r="K2933" s="4">
        <v>8376</v>
      </c>
      <c r="L2933" s="4">
        <v>44181</v>
      </c>
      <c r="M2933" s="2" t="s">
        <v>85</v>
      </c>
      <c r="N2933" s="2" t="s">
        <v>10276</v>
      </c>
    </row>
    <row r="2934" spans="1:14">
      <c r="A2934" s="2">
        <v>2933</v>
      </c>
      <c r="B2934" s="3" t="s">
        <v>10277</v>
      </c>
      <c r="C2934" s="2" t="s">
        <v>10278</v>
      </c>
      <c r="D2934" s="2">
        <v>47</v>
      </c>
      <c r="E2934" s="2">
        <v>48</v>
      </c>
      <c r="F2934" s="2" t="s">
        <v>10279</v>
      </c>
      <c r="H2934" s="2" t="s">
        <v>17</v>
      </c>
      <c r="K2934" s="4">
        <v>19110</v>
      </c>
      <c r="L2934" s="4">
        <v>44592</v>
      </c>
      <c r="M2934" s="2" t="s">
        <v>336</v>
      </c>
      <c r="N2934" s="2" t="s">
        <v>10280</v>
      </c>
    </row>
    <row r="2935" spans="1:14">
      <c r="A2935" s="2">
        <v>2934</v>
      </c>
      <c r="B2935" s="3" t="s">
        <v>10281</v>
      </c>
      <c r="C2935" s="2" t="s">
        <v>10282</v>
      </c>
      <c r="D2935" s="2">
        <v>48</v>
      </c>
      <c r="E2935" s="2">
        <v>48</v>
      </c>
      <c r="F2935" s="2" t="s">
        <v>10283</v>
      </c>
      <c r="H2935" s="2" t="s">
        <v>17</v>
      </c>
      <c r="K2935" s="4">
        <v>17667</v>
      </c>
      <c r="M2935" s="2" t="s">
        <v>185</v>
      </c>
      <c r="N2935" s="2" t="s">
        <v>1571</v>
      </c>
    </row>
    <row r="2936" spans="1:14">
      <c r="A2936" s="2">
        <v>2935</v>
      </c>
      <c r="B2936" s="3" t="s">
        <v>10284</v>
      </c>
      <c r="C2936" s="2" t="s">
        <v>10285</v>
      </c>
      <c r="D2936" s="2">
        <v>41</v>
      </c>
      <c r="E2936" s="2">
        <v>48</v>
      </c>
      <c r="F2936" s="2" t="s">
        <v>10286</v>
      </c>
      <c r="H2936" s="2" t="s">
        <v>17</v>
      </c>
      <c r="K2936" s="4">
        <v>5460</v>
      </c>
      <c r="L2936" s="4">
        <v>33348</v>
      </c>
      <c r="M2936" s="2" t="s">
        <v>85</v>
      </c>
      <c r="N2936" s="2" t="s">
        <v>10287</v>
      </c>
    </row>
    <row r="2937" spans="1:14">
      <c r="A2937" s="2">
        <v>2936</v>
      </c>
      <c r="B2937" s="3" t="s">
        <v>10288</v>
      </c>
      <c r="C2937" s="2" t="s">
        <v>10289</v>
      </c>
      <c r="D2937" s="2">
        <v>48</v>
      </c>
      <c r="E2937" s="2">
        <v>48</v>
      </c>
      <c r="F2937" s="2" t="s">
        <v>10290</v>
      </c>
      <c r="H2937" s="2" t="s">
        <v>17</v>
      </c>
      <c r="K2937" s="4">
        <v>14608</v>
      </c>
      <c r="L2937" s="4">
        <v>41641</v>
      </c>
      <c r="M2937" s="2" t="s">
        <v>164</v>
      </c>
      <c r="N2937" s="2" t="s">
        <v>1446</v>
      </c>
    </row>
    <row r="2938" spans="1:14">
      <c r="A2938" s="2">
        <v>2937</v>
      </c>
      <c r="B2938" s="3" t="s">
        <v>10291</v>
      </c>
      <c r="C2938" s="2" t="s">
        <v>10292</v>
      </c>
      <c r="D2938" s="2">
        <v>48</v>
      </c>
      <c r="E2938" s="2">
        <v>48</v>
      </c>
      <c r="F2938" s="2" t="s">
        <v>10293</v>
      </c>
      <c r="H2938" s="2" t="s">
        <v>17</v>
      </c>
      <c r="K2938" s="4">
        <v>20517</v>
      </c>
      <c r="M2938" s="2" t="s">
        <v>341</v>
      </c>
      <c r="N2938" s="2" t="s">
        <v>4191</v>
      </c>
    </row>
    <row r="2939" spans="1:14">
      <c r="A2939" s="2">
        <v>2938</v>
      </c>
      <c r="B2939" s="3" t="s">
        <v>10294</v>
      </c>
      <c r="C2939" s="2" t="s">
        <v>10295</v>
      </c>
      <c r="D2939" s="2">
        <v>48</v>
      </c>
      <c r="E2939" s="2">
        <v>48</v>
      </c>
      <c r="F2939" s="2" t="s">
        <v>10296</v>
      </c>
      <c r="H2939" s="2" t="s">
        <v>17</v>
      </c>
      <c r="K2939" s="4">
        <v>11161</v>
      </c>
      <c r="L2939" s="4">
        <v>34819</v>
      </c>
      <c r="M2939" s="2" t="s">
        <v>35</v>
      </c>
      <c r="N2939" s="2" t="s">
        <v>2178</v>
      </c>
    </row>
    <row r="2940" spans="1:14">
      <c r="A2940" s="2">
        <v>2939</v>
      </c>
      <c r="B2940" s="3" t="s">
        <v>10297</v>
      </c>
      <c r="C2940" s="2" t="s">
        <v>10298</v>
      </c>
      <c r="D2940" s="2">
        <v>46</v>
      </c>
      <c r="E2940" s="2">
        <v>48</v>
      </c>
      <c r="F2940" s="2" t="s">
        <v>10299</v>
      </c>
      <c r="H2940" s="2" t="s">
        <v>17</v>
      </c>
      <c r="K2940" s="4">
        <v>15221</v>
      </c>
      <c r="M2940" s="2" t="s">
        <v>53</v>
      </c>
      <c r="N2940" s="2" t="s">
        <v>9689</v>
      </c>
    </row>
    <row r="2941" spans="1:14">
      <c r="A2941" s="2">
        <v>2940</v>
      </c>
      <c r="B2941" s="3" t="s">
        <v>10300</v>
      </c>
      <c r="C2941" s="2" t="s">
        <v>10301</v>
      </c>
      <c r="D2941" s="2">
        <v>48</v>
      </c>
      <c r="E2941" s="2">
        <v>48</v>
      </c>
      <c r="F2941" s="2" t="s">
        <v>10302</v>
      </c>
      <c r="H2941" s="2" t="s">
        <v>17</v>
      </c>
      <c r="K2941" s="4">
        <v>13223</v>
      </c>
      <c r="L2941" s="4">
        <v>39851</v>
      </c>
      <c r="M2941" s="2" t="s">
        <v>423</v>
      </c>
      <c r="N2941" s="2" t="s">
        <v>10303</v>
      </c>
    </row>
    <row r="2942" spans="1:14">
      <c r="A2942" s="2">
        <v>2941</v>
      </c>
      <c r="B2942" s="3" t="s">
        <v>10304</v>
      </c>
      <c r="C2942" s="2" t="s">
        <v>10305</v>
      </c>
      <c r="D2942" s="2">
        <v>47</v>
      </c>
      <c r="E2942" s="2">
        <v>48</v>
      </c>
      <c r="F2942" s="2" t="s">
        <v>10306</v>
      </c>
      <c r="H2942" s="2" t="s">
        <v>17</v>
      </c>
      <c r="K2942" s="4">
        <v>19495</v>
      </c>
      <c r="M2942" s="2" t="s">
        <v>24</v>
      </c>
      <c r="N2942" s="2" t="s">
        <v>7738</v>
      </c>
    </row>
    <row r="2943" spans="1:14">
      <c r="A2943" s="2">
        <v>2942</v>
      </c>
      <c r="B2943" s="3" t="s">
        <v>10307</v>
      </c>
      <c r="C2943" s="2" t="s">
        <v>10308</v>
      </c>
      <c r="D2943" s="2">
        <v>44</v>
      </c>
      <c r="E2943" s="2">
        <v>48</v>
      </c>
      <c r="F2943" s="2" t="s">
        <v>10309</v>
      </c>
      <c r="H2943" s="2" t="s">
        <v>17</v>
      </c>
      <c r="K2943" s="4">
        <v>13930</v>
      </c>
      <c r="L2943" s="4">
        <v>43612</v>
      </c>
      <c r="M2943" s="2" t="s">
        <v>146</v>
      </c>
      <c r="N2943" s="2" t="s">
        <v>9924</v>
      </c>
    </row>
    <row r="2944" spans="1:14">
      <c r="A2944" s="2">
        <v>2943</v>
      </c>
      <c r="B2944" s="3" t="s">
        <v>10310</v>
      </c>
      <c r="C2944" s="2" t="s">
        <v>10311</v>
      </c>
      <c r="D2944" s="2">
        <v>48</v>
      </c>
      <c r="E2944" s="2">
        <v>48</v>
      </c>
      <c r="F2944" s="2" t="s">
        <v>10312</v>
      </c>
      <c r="H2944" s="2" t="s">
        <v>17</v>
      </c>
      <c r="K2944" s="4">
        <v>9437</v>
      </c>
      <c r="L2944" s="4">
        <v>43450</v>
      </c>
      <c r="M2944" s="2" t="s">
        <v>91</v>
      </c>
      <c r="N2944" s="2" t="s">
        <v>677</v>
      </c>
    </row>
    <row r="2945" spans="1:14">
      <c r="A2945" s="2">
        <v>2944</v>
      </c>
      <c r="B2945" s="3" t="s">
        <v>10313</v>
      </c>
      <c r="C2945" s="2" t="s">
        <v>10314</v>
      </c>
      <c r="D2945" s="2">
        <v>46</v>
      </c>
      <c r="E2945" s="2">
        <v>48</v>
      </c>
      <c r="F2945" s="2" t="s">
        <v>10315</v>
      </c>
      <c r="H2945" s="2" t="s">
        <v>17</v>
      </c>
      <c r="K2945" s="4">
        <v>10799</v>
      </c>
      <c r="L2945" s="4">
        <v>33402</v>
      </c>
      <c r="M2945" s="2" t="s">
        <v>35</v>
      </c>
      <c r="N2945" s="2" t="s">
        <v>10316</v>
      </c>
    </row>
    <row r="2946" spans="1:14">
      <c r="A2946" s="2">
        <v>2945</v>
      </c>
      <c r="B2946" s="3" t="s">
        <v>10317</v>
      </c>
      <c r="C2946" s="2" t="s">
        <v>10318</v>
      </c>
      <c r="D2946" s="2">
        <v>48</v>
      </c>
      <c r="E2946" s="2">
        <v>48</v>
      </c>
      <c r="F2946" s="2" t="s">
        <v>10319</v>
      </c>
      <c r="H2946" s="2" t="s">
        <v>17</v>
      </c>
      <c r="K2946" s="4">
        <v>15624</v>
      </c>
    </row>
    <row r="2947" spans="1:14">
      <c r="A2947" s="2">
        <v>2946</v>
      </c>
      <c r="B2947" s="3" t="s">
        <v>10320</v>
      </c>
      <c r="C2947" s="2" t="s">
        <v>10321</v>
      </c>
      <c r="D2947" s="2">
        <v>47</v>
      </c>
      <c r="E2947" s="2">
        <v>48</v>
      </c>
      <c r="F2947" s="2" t="s">
        <v>10322</v>
      </c>
      <c r="H2947" s="2" t="s">
        <v>17</v>
      </c>
      <c r="K2947" s="4">
        <v>15807</v>
      </c>
      <c r="L2947" s="4">
        <v>40182</v>
      </c>
      <c r="M2947" s="2" t="s">
        <v>198</v>
      </c>
      <c r="N2947" s="2" t="s">
        <v>10323</v>
      </c>
    </row>
    <row r="2948" spans="1:14">
      <c r="A2948" s="2">
        <v>2947</v>
      </c>
      <c r="B2948" s="3" t="s">
        <v>10324</v>
      </c>
      <c r="C2948" s="2" t="s">
        <v>10325</v>
      </c>
      <c r="D2948" s="2">
        <v>48</v>
      </c>
      <c r="E2948" s="2">
        <v>48</v>
      </c>
      <c r="F2948" s="2" t="s">
        <v>10326</v>
      </c>
      <c r="H2948" s="2" t="s">
        <v>17</v>
      </c>
      <c r="K2948" s="4">
        <v>18633</v>
      </c>
      <c r="M2948" s="2" t="s">
        <v>47</v>
      </c>
      <c r="N2948" s="2" t="s">
        <v>48</v>
      </c>
    </row>
    <row r="2949" spans="1:14">
      <c r="A2949" s="2">
        <v>2948</v>
      </c>
      <c r="B2949" s="3" t="s">
        <v>10327</v>
      </c>
      <c r="C2949" s="2" t="s">
        <v>10328</v>
      </c>
      <c r="D2949" s="2">
        <v>48</v>
      </c>
      <c r="E2949" s="2">
        <v>48</v>
      </c>
      <c r="F2949" s="2" t="s">
        <v>10329</v>
      </c>
      <c r="H2949" s="2" t="s">
        <v>17</v>
      </c>
      <c r="K2949" s="4">
        <v>12724</v>
      </c>
      <c r="M2949" s="2" t="s">
        <v>40</v>
      </c>
      <c r="N2949" s="2" t="s">
        <v>10330</v>
      </c>
    </row>
    <row r="2950" spans="1:14">
      <c r="A2950" s="2">
        <v>2949</v>
      </c>
      <c r="B2950" s="3" t="s">
        <v>10331</v>
      </c>
      <c r="C2950" s="2" t="s">
        <v>10332</v>
      </c>
      <c r="D2950" s="2">
        <v>48</v>
      </c>
      <c r="E2950" s="2">
        <v>48</v>
      </c>
      <c r="F2950" s="2" t="s">
        <v>10333</v>
      </c>
      <c r="H2950" s="2" t="s">
        <v>17</v>
      </c>
      <c r="K2950" s="4">
        <v>12860</v>
      </c>
      <c r="L2950" s="4">
        <v>40423</v>
      </c>
      <c r="M2950" s="2" t="s">
        <v>85</v>
      </c>
      <c r="N2950" s="2" t="s">
        <v>10334</v>
      </c>
    </row>
    <row r="2951" spans="1:14">
      <c r="A2951" s="2">
        <v>2950</v>
      </c>
      <c r="B2951" s="3" t="s">
        <v>10335</v>
      </c>
      <c r="C2951" s="2" t="s">
        <v>10336</v>
      </c>
      <c r="D2951" s="2">
        <v>48</v>
      </c>
      <c r="E2951" s="2">
        <v>48</v>
      </c>
      <c r="F2951" s="2" t="s">
        <v>10337</v>
      </c>
      <c r="H2951" s="2" t="s">
        <v>17</v>
      </c>
      <c r="K2951" s="4">
        <v>11537</v>
      </c>
      <c r="L2951" s="4">
        <v>44645</v>
      </c>
      <c r="M2951" s="2" t="s">
        <v>35</v>
      </c>
      <c r="N2951" s="2" t="s">
        <v>1462</v>
      </c>
    </row>
    <row r="2952" spans="1:14">
      <c r="A2952" s="2">
        <v>2951</v>
      </c>
      <c r="B2952" s="3" t="s">
        <v>10338</v>
      </c>
      <c r="C2952" s="2" t="s">
        <v>10339</v>
      </c>
      <c r="D2952" s="2">
        <v>48</v>
      </c>
      <c r="E2952" s="2">
        <v>48</v>
      </c>
      <c r="F2952" s="2" t="s">
        <v>10340</v>
      </c>
      <c r="H2952" s="2" t="s">
        <v>17</v>
      </c>
      <c r="L2952" s="4">
        <v>44688</v>
      </c>
      <c r="M2952" s="2" t="s">
        <v>35</v>
      </c>
      <c r="N2952" s="2" t="s">
        <v>6695</v>
      </c>
    </row>
    <row r="2953" spans="1:14">
      <c r="A2953" s="2">
        <v>2952</v>
      </c>
      <c r="B2953" s="3" t="s">
        <v>10341</v>
      </c>
      <c r="C2953" s="2" t="s">
        <v>10342</v>
      </c>
      <c r="D2953" s="2">
        <v>48</v>
      </c>
      <c r="E2953" s="2">
        <v>48</v>
      </c>
      <c r="F2953" s="2" t="s">
        <v>10343</v>
      </c>
      <c r="H2953" s="2" t="s">
        <v>17</v>
      </c>
      <c r="K2953" s="4">
        <v>18229</v>
      </c>
      <c r="M2953" s="2" t="s">
        <v>185</v>
      </c>
      <c r="N2953" s="2" t="s">
        <v>1571</v>
      </c>
    </row>
    <row r="2954" spans="1:14">
      <c r="A2954" s="2">
        <v>2953</v>
      </c>
      <c r="B2954" s="3" t="s">
        <v>10344</v>
      </c>
      <c r="C2954" s="2" t="s">
        <v>10345</v>
      </c>
      <c r="D2954" s="2">
        <v>47</v>
      </c>
      <c r="E2954" s="2">
        <v>48</v>
      </c>
      <c r="F2954" s="2" t="s">
        <v>10346</v>
      </c>
      <c r="H2954" s="2" t="s">
        <v>17</v>
      </c>
      <c r="K2954" s="4">
        <v>13561</v>
      </c>
      <c r="M2954" s="2" t="s">
        <v>170</v>
      </c>
      <c r="N2954" s="2" t="s">
        <v>323</v>
      </c>
    </row>
    <row r="2955" spans="1:14">
      <c r="A2955" s="2">
        <v>2954</v>
      </c>
      <c r="B2955" s="3" t="s">
        <v>10347</v>
      </c>
      <c r="C2955" s="2" t="s">
        <v>10348</v>
      </c>
      <c r="D2955" s="2">
        <v>48</v>
      </c>
      <c r="E2955" s="2">
        <v>48</v>
      </c>
      <c r="F2955" s="2" t="s">
        <v>10349</v>
      </c>
      <c r="H2955" s="2" t="s">
        <v>17</v>
      </c>
      <c r="K2955" s="4">
        <v>19369</v>
      </c>
      <c r="M2955" s="2" t="s">
        <v>198</v>
      </c>
      <c r="N2955" s="2" t="s">
        <v>5846</v>
      </c>
    </row>
    <row r="2956" spans="1:14">
      <c r="A2956" s="2">
        <v>2955</v>
      </c>
      <c r="B2956" s="3" t="s">
        <v>10350</v>
      </c>
      <c r="C2956" s="2" t="s">
        <v>10351</v>
      </c>
      <c r="D2956" s="2">
        <v>46</v>
      </c>
      <c r="E2956" s="2">
        <v>48</v>
      </c>
      <c r="F2956" s="2" t="s">
        <v>10352</v>
      </c>
      <c r="H2956" s="2" t="s">
        <v>17</v>
      </c>
      <c r="K2956" s="4">
        <v>9386</v>
      </c>
      <c r="M2956" s="2" t="s">
        <v>85</v>
      </c>
      <c r="N2956" s="2" t="s">
        <v>829</v>
      </c>
    </row>
    <row r="2957" spans="1:14">
      <c r="A2957" s="2">
        <v>2956</v>
      </c>
      <c r="B2957" s="3" t="s">
        <v>10353</v>
      </c>
      <c r="C2957" s="2" t="s">
        <v>10354</v>
      </c>
      <c r="D2957" s="2">
        <v>46</v>
      </c>
      <c r="E2957" s="2">
        <v>48</v>
      </c>
      <c r="F2957" s="2" t="s">
        <v>10355</v>
      </c>
      <c r="H2957" s="2" t="s">
        <v>17</v>
      </c>
      <c r="K2957" s="4">
        <v>15491</v>
      </c>
      <c r="M2957" s="2" t="s">
        <v>40</v>
      </c>
      <c r="N2957" s="2" t="s">
        <v>10356</v>
      </c>
    </row>
    <row r="2958" spans="1:14">
      <c r="A2958" s="2">
        <v>2957</v>
      </c>
      <c r="B2958" s="3" t="s">
        <v>10357</v>
      </c>
      <c r="C2958" s="2" t="s">
        <v>10358</v>
      </c>
      <c r="D2958" s="2">
        <v>47</v>
      </c>
      <c r="E2958" s="2">
        <v>48</v>
      </c>
      <c r="F2958" s="2" t="s">
        <v>10359</v>
      </c>
      <c r="H2958" s="2" t="s">
        <v>17</v>
      </c>
      <c r="K2958" s="4">
        <v>12778</v>
      </c>
      <c r="L2958" s="4">
        <v>38860</v>
      </c>
      <c r="M2958" s="2" t="s">
        <v>192</v>
      </c>
      <c r="N2958" s="2" t="s">
        <v>3736</v>
      </c>
    </row>
    <row r="2959" spans="1:14">
      <c r="A2959" s="2">
        <v>2958</v>
      </c>
      <c r="B2959" s="3" t="s">
        <v>10360</v>
      </c>
      <c r="C2959" s="2" t="s">
        <v>10361</v>
      </c>
      <c r="D2959" s="2">
        <v>45</v>
      </c>
      <c r="E2959" s="2">
        <v>48</v>
      </c>
      <c r="F2959" s="2" t="s">
        <v>10362</v>
      </c>
      <c r="H2959" s="2" t="s">
        <v>17</v>
      </c>
      <c r="K2959" s="4">
        <v>13929</v>
      </c>
      <c r="L2959" s="4">
        <v>44150</v>
      </c>
      <c r="M2959" s="2" t="s">
        <v>423</v>
      </c>
      <c r="N2959" s="2" t="s">
        <v>10269</v>
      </c>
    </row>
    <row r="2960" spans="1:14">
      <c r="A2960" s="2">
        <v>2959</v>
      </c>
      <c r="B2960" s="3" t="s">
        <v>10363</v>
      </c>
      <c r="C2960" s="2" t="s">
        <v>10364</v>
      </c>
      <c r="D2960" s="2">
        <v>47</v>
      </c>
      <c r="E2960" s="2">
        <v>48</v>
      </c>
      <c r="F2960" s="2" t="s">
        <v>10364</v>
      </c>
      <c r="H2960" s="2" t="s">
        <v>17</v>
      </c>
      <c r="K2960" s="4">
        <v>15952</v>
      </c>
      <c r="M2960" s="2" t="s">
        <v>66</v>
      </c>
      <c r="N2960" s="2" t="s">
        <v>1756</v>
      </c>
    </row>
    <row r="2961" spans="1:14">
      <c r="A2961" s="2">
        <v>2960</v>
      </c>
      <c r="B2961" s="3" t="s">
        <v>10365</v>
      </c>
      <c r="C2961" s="2" t="s">
        <v>10366</v>
      </c>
      <c r="D2961" s="2">
        <v>44</v>
      </c>
      <c r="E2961" s="2">
        <v>48</v>
      </c>
      <c r="F2961" s="2" t="s">
        <v>10367</v>
      </c>
      <c r="H2961" s="2" t="s">
        <v>17</v>
      </c>
      <c r="K2961" s="4">
        <v>10987</v>
      </c>
      <c r="L2961" s="4">
        <v>39726</v>
      </c>
      <c r="M2961" s="2" t="s">
        <v>35</v>
      </c>
      <c r="N2961" s="2" t="s">
        <v>608</v>
      </c>
    </row>
    <row r="2962" spans="1:14">
      <c r="A2962" s="2">
        <v>2961</v>
      </c>
      <c r="B2962" s="3" t="s">
        <v>10368</v>
      </c>
      <c r="C2962" s="2" t="s">
        <v>10369</v>
      </c>
      <c r="D2962" s="2">
        <v>48</v>
      </c>
      <c r="E2962" s="2">
        <v>48</v>
      </c>
      <c r="F2962" s="2" t="s">
        <v>10370</v>
      </c>
      <c r="H2962" s="2" t="s">
        <v>17</v>
      </c>
      <c r="K2962" s="4">
        <v>12292</v>
      </c>
      <c r="L2962" s="4">
        <v>36909</v>
      </c>
      <c r="M2962" s="2" t="s">
        <v>198</v>
      </c>
      <c r="N2962" s="2" t="s">
        <v>10371</v>
      </c>
    </row>
    <row r="2963" spans="1:14">
      <c r="A2963" s="2">
        <v>2962</v>
      </c>
      <c r="B2963" s="3" t="s">
        <v>10372</v>
      </c>
      <c r="C2963" s="2" t="s">
        <v>10373</v>
      </c>
      <c r="D2963" s="2">
        <v>47</v>
      </c>
      <c r="E2963" s="2">
        <v>48</v>
      </c>
      <c r="F2963" s="2" t="s">
        <v>10374</v>
      </c>
      <c r="H2963" s="2" t="s">
        <v>17</v>
      </c>
      <c r="K2963" s="4">
        <v>13226</v>
      </c>
      <c r="M2963" s="2" t="s">
        <v>66</v>
      </c>
      <c r="N2963" s="2" t="s">
        <v>3640</v>
      </c>
    </row>
    <row r="2964" spans="1:14">
      <c r="A2964" s="2">
        <v>2963</v>
      </c>
      <c r="B2964" s="3" t="s">
        <v>10375</v>
      </c>
      <c r="C2964" s="2" t="s">
        <v>10376</v>
      </c>
      <c r="D2964" s="2">
        <v>46</v>
      </c>
      <c r="E2964" s="2">
        <v>48</v>
      </c>
      <c r="F2964" s="2" t="s">
        <v>10377</v>
      </c>
      <c r="H2964" s="2" t="s">
        <v>17</v>
      </c>
      <c r="K2964" s="4">
        <v>13868</v>
      </c>
      <c r="L2964" s="4">
        <v>44748</v>
      </c>
      <c r="M2964" s="2" t="s">
        <v>85</v>
      </c>
      <c r="N2964" s="2" t="s">
        <v>10287</v>
      </c>
    </row>
    <row r="2965" spans="1:14">
      <c r="A2965" s="2">
        <v>2964</v>
      </c>
      <c r="B2965" s="3" t="s">
        <v>10378</v>
      </c>
      <c r="C2965" s="2" t="s">
        <v>10379</v>
      </c>
      <c r="D2965" s="2">
        <v>48</v>
      </c>
      <c r="E2965" s="2">
        <v>48</v>
      </c>
      <c r="F2965" s="2" t="s">
        <v>10380</v>
      </c>
      <c r="H2965" s="2" t="s">
        <v>17</v>
      </c>
      <c r="K2965" s="4">
        <v>15421</v>
      </c>
      <c r="L2965" s="4">
        <v>43171</v>
      </c>
      <c r="M2965" s="2" t="s">
        <v>76</v>
      </c>
      <c r="N2965" s="2" t="s">
        <v>906</v>
      </c>
    </row>
    <row r="2966" spans="1:14">
      <c r="A2966" s="2">
        <v>2965</v>
      </c>
      <c r="B2966" s="3" t="s">
        <v>10381</v>
      </c>
      <c r="C2966" s="2" t="s">
        <v>10382</v>
      </c>
      <c r="D2966" s="2">
        <v>45</v>
      </c>
      <c r="E2966" s="2">
        <v>48</v>
      </c>
      <c r="F2966" s="2" t="s">
        <v>10383</v>
      </c>
      <c r="H2966" s="2" t="s">
        <v>17</v>
      </c>
      <c r="K2966" s="4">
        <v>12933</v>
      </c>
      <c r="L2966" s="4">
        <v>36528</v>
      </c>
      <c r="M2966" s="2" t="s">
        <v>53</v>
      </c>
      <c r="N2966" s="2" t="s">
        <v>686</v>
      </c>
    </row>
    <row r="2967" spans="1:14">
      <c r="A2967" s="2">
        <v>2966</v>
      </c>
      <c r="B2967" s="3" t="s">
        <v>10384</v>
      </c>
      <c r="C2967" s="2" t="s">
        <v>10385</v>
      </c>
      <c r="D2967" s="2">
        <v>48</v>
      </c>
      <c r="E2967" s="2">
        <v>48</v>
      </c>
      <c r="F2967" s="2" t="s">
        <v>10386</v>
      </c>
      <c r="H2967" s="2" t="s">
        <v>17</v>
      </c>
      <c r="K2967" s="4">
        <v>12737</v>
      </c>
      <c r="L2967" s="4">
        <v>38655</v>
      </c>
      <c r="M2967" s="2" t="s">
        <v>47</v>
      </c>
      <c r="N2967" s="2" t="s">
        <v>9096</v>
      </c>
    </row>
    <row r="2968" spans="1:14">
      <c r="A2968" s="2">
        <v>2967</v>
      </c>
      <c r="B2968" s="3" t="s">
        <v>10387</v>
      </c>
      <c r="C2968" s="2" t="s">
        <v>10388</v>
      </c>
      <c r="D2968" s="2">
        <v>48</v>
      </c>
      <c r="E2968" s="2">
        <v>48</v>
      </c>
      <c r="F2968" s="2" t="s">
        <v>10389</v>
      </c>
      <c r="H2968" s="2" t="s">
        <v>17</v>
      </c>
      <c r="K2968" s="4">
        <v>17672</v>
      </c>
      <c r="L2968" s="4">
        <v>45211</v>
      </c>
      <c r="M2968" s="2" t="s">
        <v>66</v>
      </c>
      <c r="N2968" s="2" t="s">
        <v>268</v>
      </c>
    </row>
    <row r="2969" spans="1:14">
      <c r="A2969" s="2">
        <v>2968</v>
      </c>
      <c r="B2969" s="3" t="s">
        <v>10390</v>
      </c>
      <c r="C2969" s="2" t="s">
        <v>10391</v>
      </c>
      <c r="D2969" s="2">
        <v>47</v>
      </c>
      <c r="E2969" s="2">
        <v>48</v>
      </c>
      <c r="F2969" s="2" t="s">
        <v>10392</v>
      </c>
      <c r="H2969" s="2" t="s">
        <v>17</v>
      </c>
      <c r="K2969" s="4">
        <v>15694</v>
      </c>
      <c r="M2969" s="2" t="s">
        <v>423</v>
      </c>
      <c r="N2969" s="2" t="s">
        <v>10393</v>
      </c>
    </row>
    <row r="2970" spans="1:14">
      <c r="A2970" s="2">
        <v>2969</v>
      </c>
      <c r="B2970" s="3" t="s">
        <v>10394</v>
      </c>
      <c r="C2970" s="2" t="s">
        <v>10395</v>
      </c>
      <c r="D2970" s="2">
        <v>48</v>
      </c>
      <c r="E2970" s="2">
        <v>48</v>
      </c>
      <c r="F2970" s="2" t="s">
        <v>10396</v>
      </c>
      <c r="H2970" s="2" t="s">
        <v>17</v>
      </c>
      <c r="K2970" s="4">
        <v>12689</v>
      </c>
      <c r="L2970" s="4">
        <v>45039</v>
      </c>
      <c r="M2970" s="2" t="s">
        <v>66</v>
      </c>
      <c r="N2970" s="2" t="s">
        <v>2349</v>
      </c>
    </row>
    <row r="2971" spans="1:14">
      <c r="A2971" s="2">
        <v>2970</v>
      </c>
      <c r="B2971" s="3" t="s">
        <v>10397</v>
      </c>
      <c r="C2971" s="2" t="s">
        <v>10398</v>
      </c>
      <c r="D2971" s="2">
        <v>48</v>
      </c>
      <c r="E2971" s="2">
        <v>48</v>
      </c>
      <c r="F2971" s="2" t="s">
        <v>10399</v>
      </c>
      <c r="H2971" s="2" t="s">
        <v>17</v>
      </c>
      <c r="K2971" s="4">
        <v>18514</v>
      </c>
      <c r="M2971" s="2" t="s">
        <v>35</v>
      </c>
      <c r="N2971" s="2" t="s">
        <v>2466</v>
      </c>
    </row>
    <row r="2972" spans="1:14">
      <c r="A2972" s="2">
        <v>2971</v>
      </c>
      <c r="B2972" s="3" t="s">
        <v>10400</v>
      </c>
      <c r="C2972" s="2" t="s">
        <v>10401</v>
      </c>
      <c r="D2972" s="2">
        <v>48</v>
      </c>
      <c r="E2972" s="2">
        <v>48</v>
      </c>
      <c r="F2972" s="2" t="s">
        <v>10402</v>
      </c>
      <c r="H2972" s="2" t="s">
        <v>17</v>
      </c>
      <c r="K2972" s="4">
        <v>12930</v>
      </c>
      <c r="L2972" s="4">
        <v>33887</v>
      </c>
      <c r="M2972" s="2" t="s">
        <v>170</v>
      </c>
      <c r="N2972" s="2" t="s">
        <v>2533</v>
      </c>
    </row>
    <row r="2973" spans="1:14">
      <c r="A2973" s="2">
        <v>2972</v>
      </c>
      <c r="B2973" s="3" t="s">
        <v>10403</v>
      </c>
      <c r="C2973" s="2" t="s">
        <v>10404</v>
      </c>
      <c r="D2973" s="2">
        <v>48</v>
      </c>
      <c r="E2973" s="2">
        <v>48</v>
      </c>
      <c r="F2973" s="2" t="s">
        <v>10405</v>
      </c>
      <c r="H2973" s="2" t="s">
        <v>17</v>
      </c>
      <c r="K2973" s="4">
        <v>11760</v>
      </c>
      <c r="L2973" s="4">
        <v>44146</v>
      </c>
      <c r="M2973" s="2" t="s">
        <v>47</v>
      </c>
      <c r="N2973" s="2" t="s">
        <v>5319</v>
      </c>
    </row>
    <row r="2974" spans="1:14">
      <c r="A2974" s="2">
        <v>2973</v>
      </c>
      <c r="B2974" s="3" t="s">
        <v>10406</v>
      </c>
      <c r="C2974" s="2" t="s">
        <v>10407</v>
      </c>
      <c r="D2974" s="2">
        <v>47</v>
      </c>
      <c r="E2974" s="2">
        <v>48</v>
      </c>
      <c r="F2974" s="2" t="s">
        <v>10408</v>
      </c>
      <c r="H2974" s="2" t="s">
        <v>17</v>
      </c>
      <c r="K2974" s="4">
        <v>21765</v>
      </c>
      <c r="L2974" s="4">
        <v>32459</v>
      </c>
      <c r="M2974" s="2" t="s">
        <v>170</v>
      </c>
      <c r="N2974" s="2" t="s">
        <v>323</v>
      </c>
    </row>
    <row r="2975" spans="1:14">
      <c r="A2975" s="2">
        <v>2974</v>
      </c>
      <c r="B2975" s="3" t="s">
        <v>10409</v>
      </c>
      <c r="C2975" s="2" t="s">
        <v>10410</v>
      </c>
      <c r="D2975" s="2">
        <v>48</v>
      </c>
      <c r="E2975" s="2">
        <v>48</v>
      </c>
      <c r="F2975" s="2" t="s">
        <v>10411</v>
      </c>
      <c r="H2975" s="2" t="s">
        <v>17</v>
      </c>
      <c r="K2975" s="4">
        <v>14659</v>
      </c>
      <c r="L2975" s="4">
        <v>43518</v>
      </c>
      <c r="M2975" s="2" t="s">
        <v>140</v>
      </c>
      <c r="N2975" s="2" t="s">
        <v>10412</v>
      </c>
    </row>
    <row r="2976" spans="1:14">
      <c r="A2976" s="2">
        <v>2975</v>
      </c>
      <c r="B2976" s="3" t="s">
        <v>10413</v>
      </c>
      <c r="C2976" s="2" t="s">
        <v>10414</v>
      </c>
      <c r="D2976" s="2">
        <v>48</v>
      </c>
      <c r="E2976" s="2">
        <v>48</v>
      </c>
      <c r="F2976" s="2" t="s">
        <v>10415</v>
      </c>
      <c r="H2976" s="2" t="s">
        <v>17</v>
      </c>
      <c r="K2976" s="4">
        <v>14117</v>
      </c>
      <c r="M2976" s="2" t="s">
        <v>40</v>
      </c>
      <c r="N2976" s="2" t="s">
        <v>10416</v>
      </c>
    </row>
    <row r="2977" spans="1:14">
      <c r="A2977" s="2">
        <v>2976</v>
      </c>
      <c r="B2977" s="3" t="s">
        <v>10417</v>
      </c>
      <c r="C2977" s="2" t="s">
        <v>10418</v>
      </c>
      <c r="D2977" s="2">
        <v>48</v>
      </c>
      <c r="E2977" s="2">
        <v>48</v>
      </c>
      <c r="F2977" s="2" t="s">
        <v>10419</v>
      </c>
      <c r="H2977" s="2" t="s">
        <v>17</v>
      </c>
      <c r="K2977" s="4">
        <v>14906</v>
      </c>
      <c r="M2977" s="2" t="s">
        <v>76</v>
      </c>
      <c r="N2977" s="2" t="s">
        <v>906</v>
      </c>
    </row>
    <row r="2978" spans="1:14">
      <c r="A2978" s="2">
        <v>2977</v>
      </c>
      <c r="B2978" s="3" t="s">
        <v>10420</v>
      </c>
      <c r="C2978" s="2" t="s">
        <v>10421</v>
      </c>
      <c r="D2978" s="2">
        <v>45</v>
      </c>
      <c r="E2978" s="2">
        <v>48</v>
      </c>
      <c r="F2978" s="2" t="s">
        <v>10422</v>
      </c>
      <c r="H2978" s="2" t="s">
        <v>17</v>
      </c>
      <c r="K2978" s="4">
        <v>14487</v>
      </c>
      <c r="L2978" s="4">
        <v>44149</v>
      </c>
      <c r="M2978" s="2" t="s">
        <v>47</v>
      </c>
      <c r="N2978" s="2" t="s">
        <v>417</v>
      </c>
    </row>
    <row r="2979" spans="1:14">
      <c r="A2979" s="2">
        <v>2978</v>
      </c>
      <c r="B2979" s="3" t="s">
        <v>10423</v>
      </c>
      <c r="C2979" s="2" t="s">
        <v>10424</v>
      </c>
      <c r="D2979" s="2">
        <v>48</v>
      </c>
      <c r="E2979" s="2">
        <v>48</v>
      </c>
      <c r="F2979" s="2" t="s">
        <v>10425</v>
      </c>
      <c r="H2979" s="2" t="s">
        <v>17</v>
      </c>
      <c r="K2979" s="4">
        <v>15015</v>
      </c>
      <c r="L2979" s="4">
        <v>42805</v>
      </c>
      <c r="M2979" s="2" t="s">
        <v>76</v>
      </c>
      <c r="N2979" s="2" t="s">
        <v>6628</v>
      </c>
    </row>
    <row r="2980" spans="1:14">
      <c r="A2980" s="2">
        <v>2979</v>
      </c>
      <c r="B2980" s="3" t="s">
        <v>10426</v>
      </c>
      <c r="C2980" s="2" t="s">
        <v>10427</v>
      </c>
      <c r="D2980" s="2">
        <v>42</v>
      </c>
      <c r="E2980" s="2">
        <v>48</v>
      </c>
      <c r="F2980" s="2" t="s">
        <v>10428</v>
      </c>
      <c r="H2980" s="2" t="s">
        <v>17</v>
      </c>
      <c r="K2980" s="4">
        <v>10064</v>
      </c>
      <c r="M2980" s="2" t="s">
        <v>91</v>
      </c>
      <c r="N2980" s="2" t="s">
        <v>10429</v>
      </c>
    </row>
    <row r="2981" spans="1:14">
      <c r="A2981" s="2">
        <v>2980</v>
      </c>
      <c r="B2981" s="3" t="s">
        <v>10430</v>
      </c>
      <c r="C2981" s="2" t="s">
        <v>10431</v>
      </c>
      <c r="D2981" s="2">
        <v>48</v>
      </c>
      <c r="E2981" s="2">
        <v>48</v>
      </c>
      <c r="F2981" s="2" t="s">
        <v>10432</v>
      </c>
      <c r="H2981" s="2" t="s">
        <v>17</v>
      </c>
      <c r="K2981" s="4">
        <v>11007</v>
      </c>
      <c r="L2981" s="4">
        <v>37647</v>
      </c>
      <c r="M2981" s="2" t="s">
        <v>47</v>
      </c>
      <c r="N2981" s="2" t="s">
        <v>9877</v>
      </c>
    </row>
    <row r="2982" spans="1:14">
      <c r="A2982" s="2">
        <v>2981</v>
      </c>
      <c r="B2982" s="3" t="s">
        <v>10433</v>
      </c>
      <c r="C2982" s="2" t="s">
        <v>10434</v>
      </c>
      <c r="D2982" s="2">
        <v>45</v>
      </c>
      <c r="E2982" s="2">
        <v>48</v>
      </c>
      <c r="F2982" s="2" t="s">
        <v>10435</v>
      </c>
      <c r="H2982" s="2" t="s">
        <v>17</v>
      </c>
      <c r="K2982" s="4">
        <v>16158</v>
      </c>
      <c r="M2982" s="2" t="s">
        <v>47</v>
      </c>
      <c r="N2982" s="2" t="s">
        <v>2861</v>
      </c>
    </row>
    <row r="2983" spans="1:14">
      <c r="A2983" s="2">
        <v>2982</v>
      </c>
      <c r="B2983" s="3" t="s">
        <v>10436</v>
      </c>
      <c r="C2983" s="2" t="s">
        <v>10437</v>
      </c>
      <c r="D2983" s="2">
        <v>48</v>
      </c>
      <c r="E2983" s="2">
        <v>48</v>
      </c>
      <c r="F2983" s="2" t="s">
        <v>10438</v>
      </c>
      <c r="H2983" s="2" t="s">
        <v>17</v>
      </c>
      <c r="K2983" s="4">
        <v>21897</v>
      </c>
      <c r="M2983" s="2" t="s">
        <v>185</v>
      </c>
      <c r="N2983" s="2" t="s">
        <v>838</v>
      </c>
    </row>
    <row r="2984" spans="1:14">
      <c r="A2984" s="2">
        <v>2983</v>
      </c>
      <c r="B2984" s="3" t="s">
        <v>10439</v>
      </c>
      <c r="C2984" s="2" t="s">
        <v>10440</v>
      </c>
      <c r="D2984" s="2">
        <v>45</v>
      </c>
      <c r="E2984" s="2">
        <v>48</v>
      </c>
      <c r="F2984" s="2" t="s">
        <v>10441</v>
      </c>
      <c r="H2984" s="2" t="s">
        <v>17</v>
      </c>
      <c r="K2984" s="4">
        <v>8814</v>
      </c>
      <c r="L2984" s="4">
        <v>44152</v>
      </c>
      <c r="M2984" s="2" t="s">
        <v>164</v>
      </c>
      <c r="N2984" s="2" t="s">
        <v>165</v>
      </c>
    </row>
    <row r="2985" spans="1:14">
      <c r="A2985" s="2">
        <v>2984</v>
      </c>
      <c r="B2985" s="3" t="s">
        <v>10442</v>
      </c>
      <c r="C2985" s="2" t="s">
        <v>10443</v>
      </c>
      <c r="D2985" s="2">
        <v>42</v>
      </c>
      <c r="E2985" s="2">
        <v>48</v>
      </c>
      <c r="F2985" s="2" t="s">
        <v>10444</v>
      </c>
      <c r="H2985" s="2" t="s">
        <v>17</v>
      </c>
      <c r="K2985" s="4">
        <v>9988</v>
      </c>
      <c r="L2985" s="4">
        <v>38581</v>
      </c>
      <c r="M2985" s="2" t="s">
        <v>170</v>
      </c>
      <c r="N2985" s="2" t="s">
        <v>171</v>
      </c>
    </row>
    <row r="2986" spans="1:14">
      <c r="A2986" s="2">
        <v>2985</v>
      </c>
      <c r="B2986" s="3" t="s">
        <v>10445</v>
      </c>
      <c r="C2986" s="2" t="s">
        <v>10446</v>
      </c>
      <c r="D2986" s="2">
        <v>46</v>
      </c>
      <c r="E2986" s="2">
        <v>48</v>
      </c>
      <c r="F2986" s="2" t="s">
        <v>10447</v>
      </c>
      <c r="H2986" s="2" t="s">
        <v>17</v>
      </c>
      <c r="K2986" s="4">
        <v>15601</v>
      </c>
      <c r="M2986" s="2" t="s">
        <v>170</v>
      </c>
      <c r="N2986" s="2" t="s">
        <v>323</v>
      </c>
    </row>
    <row r="2987" spans="1:14">
      <c r="A2987" s="2">
        <v>2986</v>
      </c>
      <c r="B2987" s="3" t="s">
        <v>10448</v>
      </c>
      <c r="C2987" s="2" t="s">
        <v>10449</v>
      </c>
      <c r="D2987" s="2">
        <v>48</v>
      </c>
      <c r="E2987" s="2">
        <v>48</v>
      </c>
      <c r="F2987" s="2" t="s">
        <v>10450</v>
      </c>
      <c r="H2987" s="2" t="s">
        <v>17</v>
      </c>
      <c r="K2987" s="4">
        <v>14005</v>
      </c>
      <c r="M2987" s="2" t="s">
        <v>40</v>
      </c>
      <c r="N2987" s="2" t="s">
        <v>1017</v>
      </c>
    </row>
    <row r="2988" spans="1:14">
      <c r="A2988" s="2">
        <v>2987</v>
      </c>
      <c r="B2988" s="3" t="s">
        <v>10451</v>
      </c>
      <c r="C2988" s="2" t="s">
        <v>10452</v>
      </c>
      <c r="D2988" s="2">
        <v>47</v>
      </c>
      <c r="E2988" s="2">
        <v>48</v>
      </c>
      <c r="F2988" s="2" t="s">
        <v>10453</v>
      </c>
      <c r="H2988" s="2" t="s">
        <v>17</v>
      </c>
      <c r="K2988" s="4">
        <v>11175</v>
      </c>
      <c r="L2988" s="4">
        <v>42212</v>
      </c>
      <c r="M2988" s="2" t="s">
        <v>170</v>
      </c>
      <c r="N2988" s="2" t="s">
        <v>323</v>
      </c>
    </row>
    <row r="2989" spans="1:14">
      <c r="A2989" s="2">
        <v>2988</v>
      </c>
      <c r="B2989" s="3" t="s">
        <v>10454</v>
      </c>
      <c r="C2989" s="2" t="s">
        <v>10455</v>
      </c>
      <c r="D2989" s="2">
        <v>47</v>
      </c>
      <c r="E2989" s="2">
        <v>48</v>
      </c>
      <c r="F2989" s="2" t="s">
        <v>10456</v>
      </c>
      <c r="H2989" s="2" t="s">
        <v>17</v>
      </c>
      <c r="K2989" s="4">
        <v>12966</v>
      </c>
      <c r="M2989" s="2" t="s">
        <v>40</v>
      </c>
      <c r="N2989" s="2" t="s">
        <v>6544</v>
      </c>
    </row>
    <row r="2990" spans="1:14">
      <c r="A2990" s="2">
        <v>2989</v>
      </c>
      <c r="B2990" s="3" t="s">
        <v>10457</v>
      </c>
      <c r="C2990" s="2" t="s">
        <v>10458</v>
      </c>
      <c r="D2990" s="2">
        <v>46</v>
      </c>
      <c r="E2990" s="2">
        <v>48</v>
      </c>
      <c r="F2990" s="2" t="s">
        <v>10459</v>
      </c>
      <c r="H2990" s="2" t="s">
        <v>17</v>
      </c>
      <c r="K2990" s="4">
        <v>14223</v>
      </c>
      <c r="M2990" s="2" t="s">
        <v>40</v>
      </c>
      <c r="N2990" s="2" t="s">
        <v>6544</v>
      </c>
    </row>
    <row r="2991" spans="1:14">
      <c r="A2991" s="2">
        <v>2990</v>
      </c>
      <c r="B2991" s="3" t="s">
        <v>10460</v>
      </c>
      <c r="C2991" s="2" t="s">
        <v>10461</v>
      </c>
      <c r="D2991" s="2">
        <v>47</v>
      </c>
      <c r="E2991" s="2">
        <v>48</v>
      </c>
      <c r="F2991" s="2" t="s">
        <v>10462</v>
      </c>
      <c r="H2991" s="2" t="s">
        <v>17</v>
      </c>
      <c r="K2991" s="4">
        <v>11813</v>
      </c>
      <c r="L2991" s="4">
        <v>45797</v>
      </c>
      <c r="M2991" s="2" t="s">
        <v>85</v>
      </c>
      <c r="N2991" s="2" t="s">
        <v>2120</v>
      </c>
    </row>
    <row r="2992" spans="1:14">
      <c r="A2992" s="2">
        <v>2991</v>
      </c>
      <c r="B2992" s="3" t="s">
        <v>10463</v>
      </c>
      <c r="C2992" s="2" t="s">
        <v>10464</v>
      </c>
      <c r="D2992" s="2">
        <v>44</v>
      </c>
      <c r="E2992" s="2">
        <v>48</v>
      </c>
      <c r="F2992" s="2" t="s">
        <v>10465</v>
      </c>
      <c r="H2992" s="2" t="s">
        <v>17</v>
      </c>
      <c r="K2992" s="4">
        <v>10395</v>
      </c>
      <c r="L2992" s="4">
        <v>43844</v>
      </c>
      <c r="M2992" s="2" t="s">
        <v>47</v>
      </c>
      <c r="N2992" s="2" t="s">
        <v>10466</v>
      </c>
    </row>
    <row r="2993" spans="1:14">
      <c r="A2993" s="2">
        <v>2992</v>
      </c>
      <c r="B2993" s="3" t="s">
        <v>10467</v>
      </c>
      <c r="C2993" s="2" t="s">
        <v>10468</v>
      </c>
      <c r="D2993" s="2">
        <v>48</v>
      </c>
      <c r="E2993" s="2">
        <v>48</v>
      </c>
      <c r="F2993" s="2" t="s">
        <v>10469</v>
      </c>
      <c r="H2993" s="2" t="s">
        <v>17</v>
      </c>
      <c r="K2993" s="4">
        <v>17962</v>
      </c>
      <c r="M2993" s="2" t="s">
        <v>47</v>
      </c>
      <c r="N2993" s="2" t="s">
        <v>10470</v>
      </c>
    </row>
    <row r="2994" spans="1:14">
      <c r="A2994" s="2">
        <v>2993</v>
      </c>
      <c r="B2994" s="3" t="s">
        <v>10471</v>
      </c>
      <c r="C2994" s="2" t="s">
        <v>10472</v>
      </c>
      <c r="D2994" s="2">
        <v>48</v>
      </c>
      <c r="E2994" s="2">
        <v>48</v>
      </c>
      <c r="F2994" s="2" t="s">
        <v>10473</v>
      </c>
      <c r="H2994" s="2" t="s">
        <v>17</v>
      </c>
      <c r="K2994" s="4">
        <v>16048</v>
      </c>
      <c r="M2994" s="2" t="s">
        <v>35</v>
      </c>
      <c r="N2994" s="2" t="s">
        <v>703</v>
      </c>
    </row>
    <row r="2995" spans="1:14">
      <c r="A2995" s="2">
        <v>2994</v>
      </c>
      <c r="B2995" s="3" t="s">
        <v>10474</v>
      </c>
      <c r="C2995" s="2" t="s">
        <v>10475</v>
      </c>
      <c r="D2995" s="2">
        <v>48</v>
      </c>
      <c r="E2995" s="2">
        <v>48</v>
      </c>
      <c r="F2995" s="2" t="s">
        <v>10476</v>
      </c>
      <c r="H2995" s="2" t="s">
        <v>17</v>
      </c>
      <c r="K2995" s="4">
        <v>10374</v>
      </c>
      <c r="L2995" s="4">
        <v>44165</v>
      </c>
      <c r="M2995" s="2" t="s">
        <v>47</v>
      </c>
      <c r="N2995" s="2" t="s">
        <v>10477</v>
      </c>
    </row>
    <row r="2996" spans="1:14">
      <c r="A2996" s="2">
        <v>2995</v>
      </c>
      <c r="B2996" s="3" t="s">
        <v>10478</v>
      </c>
      <c r="C2996" s="2" t="s">
        <v>10479</v>
      </c>
      <c r="D2996" s="2">
        <v>46</v>
      </c>
      <c r="E2996" s="2">
        <v>48</v>
      </c>
      <c r="F2996" s="2" t="s">
        <v>10480</v>
      </c>
      <c r="H2996" s="2" t="s">
        <v>17</v>
      </c>
      <c r="K2996" s="4">
        <v>16041</v>
      </c>
      <c r="L2996" s="4">
        <v>44116</v>
      </c>
      <c r="M2996" s="2" t="s">
        <v>30</v>
      </c>
      <c r="N2996" s="2" t="s">
        <v>10481</v>
      </c>
    </row>
    <row r="2997" spans="1:14">
      <c r="A2997" s="2">
        <v>2996</v>
      </c>
      <c r="B2997" s="3" t="s">
        <v>10482</v>
      </c>
      <c r="C2997" s="2" t="s">
        <v>10483</v>
      </c>
      <c r="D2997" s="2">
        <v>42</v>
      </c>
      <c r="E2997" s="2">
        <v>48</v>
      </c>
      <c r="F2997" s="2" t="s">
        <v>10484</v>
      </c>
      <c r="H2997" s="2" t="s">
        <v>17</v>
      </c>
      <c r="K2997" s="4">
        <v>10366</v>
      </c>
      <c r="M2997" s="2" t="s">
        <v>53</v>
      </c>
      <c r="N2997" s="2" t="s">
        <v>10485</v>
      </c>
    </row>
    <row r="2998" spans="1:14">
      <c r="A2998" s="2">
        <v>2997</v>
      </c>
      <c r="B2998" s="3" t="s">
        <v>10486</v>
      </c>
      <c r="C2998" s="2" t="s">
        <v>10487</v>
      </c>
      <c r="D2998" s="2">
        <v>48</v>
      </c>
      <c r="E2998" s="2">
        <v>48</v>
      </c>
      <c r="F2998" s="2" t="s">
        <v>10488</v>
      </c>
      <c r="H2998" s="2" t="s">
        <v>17</v>
      </c>
      <c r="K2998" s="4">
        <v>20030</v>
      </c>
      <c r="M2998" s="2" t="s">
        <v>53</v>
      </c>
      <c r="N2998" s="2" t="s">
        <v>10489</v>
      </c>
    </row>
    <row r="2999" spans="1:14">
      <c r="A2999" s="2">
        <v>2998</v>
      </c>
      <c r="B2999" s="3" t="s">
        <v>10490</v>
      </c>
      <c r="C2999" s="2" t="s">
        <v>10491</v>
      </c>
      <c r="D2999" s="2">
        <v>48</v>
      </c>
      <c r="E2999" s="2">
        <v>48</v>
      </c>
      <c r="F2999" s="2" t="s">
        <v>10492</v>
      </c>
      <c r="H2999" s="2" t="s">
        <v>17</v>
      </c>
      <c r="K2999" s="4">
        <v>7524</v>
      </c>
      <c r="L2999" s="4">
        <v>41946</v>
      </c>
      <c r="M2999" s="2" t="s">
        <v>85</v>
      </c>
      <c r="N2999" s="2" t="s">
        <v>2120</v>
      </c>
    </row>
    <row r="3000" spans="1:14">
      <c r="A3000" s="2">
        <v>2999</v>
      </c>
      <c r="B3000" s="3" t="s">
        <v>10493</v>
      </c>
      <c r="C3000" s="2" t="s">
        <v>10494</v>
      </c>
      <c r="D3000" s="2">
        <v>48</v>
      </c>
      <c r="E3000" s="2">
        <v>48</v>
      </c>
      <c r="F3000" s="2" t="s">
        <v>10495</v>
      </c>
      <c r="H3000" s="2" t="s">
        <v>17</v>
      </c>
      <c r="K3000" s="4">
        <v>18479</v>
      </c>
      <c r="L3000" s="4">
        <v>44146</v>
      </c>
      <c r="M3000" s="2" t="s">
        <v>170</v>
      </c>
      <c r="N3000" s="2" t="s">
        <v>3958</v>
      </c>
    </row>
    <row r="3001" spans="1:14">
      <c r="A3001" s="2">
        <v>3000</v>
      </c>
      <c r="B3001" s="3" t="s">
        <v>10496</v>
      </c>
      <c r="C3001" s="2" t="s">
        <v>10497</v>
      </c>
      <c r="D3001" s="2">
        <v>48</v>
      </c>
      <c r="E3001" s="2">
        <v>48</v>
      </c>
      <c r="F3001" s="2" t="s">
        <v>10498</v>
      </c>
      <c r="H3001" s="2" t="s">
        <v>17</v>
      </c>
      <c r="K3001" s="4">
        <v>18002</v>
      </c>
      <c r="M3001" s="2" t="s">
        <v>336</v>
      </c>
      <c r="N3001" s="2" t="s">
        <v>1883</v>
      </c>
    </row>
    <row r="3002" spans="1:14">
      <c r="A3002" s="2">
        <v>3001</v>
      </c>
      <c r="B3002" s="3" t="s">
        <v>10499</v>
      </c>
      <c r="C3002" s="2" t="s">
        <v>7857</v>
      </c>
      <c r="D3002" s="2">
        <v>47</v>
      </c>
      <c r="E3002" s="2">
        <v>48</v>
      </c>
      <c r="F3002" s="2" t="s">
        <v>10500</v>
      </c>
      <c r="H3002" s="2" t="s">
        <v>17</v>
      </c>
      <c r="K3002" s="4">
        <v>20991</v>
      </c>
      <c r="L3002" s="4">
        <v>40945</v>
      </c>
      <c r="M3002" s="2" t="s">
        <v>247</v>
      </c>
      <c r="N3002" s="2" t="s">
        <v>886</v>
      </c>
    </row>
    <row r="3003" spans="1:14">
      <c r="A3003" s="2">
        <v>3002</v>
      </c>
      <c r="B3003" s="3" t="s">
        <v>10501</v>
      </c>
      <c r="C3003" s="2" t="s">
        <v>10502</v>
      </c>
      <c r="D3003" s="2">
        <v>47</v>
      </c>
      <c r="E3003" s="2">
        <v>48</v>
      </c>
      <c r="F3003" s="2" t="s">
        <v>10503</v>
      </c>
      <c r="H3003" s="2" t="s">
        <v>17</v>
      </c>
      <c r="K3003" s="4">
        <v>11504</v>
      </c>
      <c r="L3003" s="4">
        <v>44759</v>
      </c>
      <c r="M3003" s="2" t="s">
        <v>35</v>
      </c>
      <c r="N3003" s="2" t="s">
        <v>1369</v>
      </c>
    </row>
    <row r="3004" spans="1:14">
      <c r="A3004" s="2">
        <v>3003</v>
      </c>
      <c r="B3004" s="3" t="s">
        <v>10504</v>
      </c>
      <c r="C3004" s="2" t="s">
        <v>10505</v>
      </c>
      <c r="D3004" s="2">
        <v>48</v>
      </c>
      <c r="E3004" s="2">
        <v>48</v>
      </c>
      <c r="F3004" s="2" t="s">
        <v>10506</v>
      </c>
      <c r="H3004" s="2" t="s">
        <v>17</v>
      </c>
      <c r="K3004" s="4">
        <v>13345</v>
      </c>
      <c r="L3004" s="4">
        <v>45614</v>
      </c>
      <c r="M3004" s="2" t="s">
        <v>91</v>
      </c>
      <c r="N3004" s="2" t="s">
        <v>368</v>
      </c>
    </row>
    <row r="3005" spans="1:14">
      <c r="A3005" s="2">
        <v>3004</v>
      </c>
      <c r="B3005" s="3" t="s">
        <v>10507</v>
      </c>
      <c r="C3005" s="2" t="s">
        <v>10508</v>
      </c>
      <c r="D3005" s="2">
        <v>47</v>
      </c>
      <c r="E3005" s="2">
        <v>48</v>
      </c>
      <c r="F3005" s="2" t="s">
        <v>10509</v>
      </c>
      <c r="H3005" s="2" t="s">
        <v>17</v>
      </c>
      <c r="K3005" s="4">
        <v>18040</v>
      </c>
      <c r="L3005" s="4">
        <v>44369</v>
      </c>
      <c r="M3005" s="2" t="s">
        <v>154</v>
      </c>
      <c r="N3005" s="2" t="s">
        <v>10510</v>
      </c>
    </row>
    <row r="3006" spans="1:14">
      <c r="A3006" s="2">
        <v>3005</v>
      </c>
      <c r="B3006" s="3" t="s">
        <v>10511</v>
      </c>
      <c r="C3006" s="2" t="s">
        <v>10512</v>
      </c>
      <c r="D3006" s="2">
        <v>48</v>
      </c>
      <c r="E3006" s="2">
        <v>48</v>
      </c>
      <c r="F3006" s="2" t="s">
        <v>10513</v>
      </c>
      <c r="H3006" s="2" t="s">
        <v>17</v>
      </c>
      <c r="K3006" s="4">
        <v>14920</v>
      </c>
      <c r="M3006" s="2" t="s">
        <v>140</v>
      </c>
      <c r="N3006" s="2" t="s">
        <v>294</v>
      </c>
    </row>
    <row r="3007" spans="1:14">
      <c r="A3007" s="2">
        <v>3006</v>
      </c>
      <c r="B3007" s="3" t="s">
        <v>10514</v>
      </c>
      <c r="C3007" s="2" t="s">
        <v>10515</v>
      </c>
      <c r="D3007" s="2">
        <v>48</v>
      </c>
      <c r="E3007" s="2">
        <v>48</v>
      </c>
      <c r="F3007" s="2" t="s">
        <v>10516</v>
      </c>
      <c r="H3007" s="2" t="s">
        <v>17</v>
      </c>
      <c r="K3007" s="4">
        <v>13872</v>
      </c>
      <c r="M3007" s="2" t="s">
        <v>198</v>
      </c>
      <c r="N3007" s="2" t="s">
        <v>199</v>
      </c>
    </row>
    <row r="3008" spans="1:14">
      <c r="A3008" s="2">
        <v>3007</v>
      </c>
      <c r="B3008" s="3" t="s">
        <v>10517</v>
      </c>
      <c r="C3008" s="2" t="s">
        <v>10518</v>
      </c>
      <c r="D3008" s="2">
        <v>48</v>
      </c>
      <c r="E3008" s="2">
        <v>48</v>
      </c>
      <c r="F3008" s="2" t="s">
        <v>10519</v>
      </c>
      <c r="H3008" s="2" t="s">
        <v>17</v>
      </c>
      <c r="K3008" s="4">
        <v>10388</v>
      </c>
      <c r="L3008" s="4">
        <v>45607</v>
      </c>
      <c r="M3008" s="2" t="s">
        <v>40</v>
      </c>
      <c r="N3008" s="2" t="s">
        <v>10520</v>
      </c>
    </row>
    <row r="3009" spans="1:14">
      <c r="A3009" s="2">
        <v>3008</v>
      </c>
      <c r="B3009" s="3" t="s">
        <v>10521</v>
      </c>
      <c r="C3009" s="2" t="s">
        <v>10522</v>
      </c>
      <c r="D3009" s="2">
        <v>48</v>
      </c>
      <c r="E3009" s="2">
        <v>48</v>
      </c>
      <c r="F3009" s="2" t="s">
        <v>10523</v>
      </c>
      <c r="H3009" s="2" t="s">
        <v>17</v>
      </c>
      <c r="K3009" s="4">
        <v>13385</v>
      </c>
      <c r="M3009" s="2" t="s">
        <v>47</v>
      </c>
      <c r="N3009" s="2" t="s">
        <v>48</v>
      </c>
    </row>
    <row r="3010" spans="1:14">
      <c r="A3010" s="2">
        <v>3009</v>
      </c>
      <c r="B3010" s="3" t="s">
        <v>10524</v>
      </c>
      <c r="C3010" s="2" t="s">
        <v>10525</v>
      </c>
      <c r="D3010" s="2">
        <v>48</v>
      </c>
      <c r="E3010" s="2">
        <v>48</v>
      </c>
      <c r="F3010" s="2" t="s">
        <v>10526</v>
      </c>
      <c r="H3010" s="2" t="s">
        <v>17</v>
      </c>
      <c r="K3010" s="4">
        <v>11135</v>
      </c>
      <c r="L3010" s="4">
        <v>40369</v>
      </c>
      <c r="M3010" s="2" t="s">
        <v>47</v>
      </c>
      <c r="N3010" s="2" t="s">
        <v>442</v>
      </c>
    </row>
    <row r="3011" spans="1:14">
      <c r="A3011" s="2">
        <v>3010</v>
      </c>
      <c r="B3011" s="3" t="s">
        <v>10527</v>
      </c>
      <c r="C3011" s="2" t="s">
        <v>10528</v>
      </c>
      <c r="D3011" s="2">
        <v>48</v>
      </c>
      <c r="E3011" s="2">
        <v>48</v>
      </c>
      <c r="F3011" s="2" t="s">
        <v>10529</v>
      </c>
      <c r="H3011" s="2" t="s">
        <v>17</v>
      </c>
      <c r="K3011" s="4">
        <v>12822</v>
      </c>
      <c r="L3011" s="4">
        <v>32560</v>
      </c>
      <c r="M3011" s="2" t="s">
        <v>35</v>
      </c>
    </row>
    <row r="3012" spans="1:14">
      <c r="A3012" s="2">
        <v>3011</v>
      </c>
      <c r="B3012" s="3" t="s">
        <v>10530</v>
      </c>
      <c r="C3012" s="2" t="s">
        <v>10531</v>
      </c>
      <c r="D3012" s="2">
        <v>48</v>
      </c>
      <c r="E3012" s="2">
        <v>48</v>
      </c>
      <c r="F3012" s="2" t="s">
        <v>10532</v>
      </c>
      <c r="H3012" s="2" t="s">
        <v>17</v>
      </c>
      <c r="K3012" s="4">
        <v>13304</v>
      </c>
      <c r="L3012" s="4">
        <v>44600</v>
      </c>
      <c r="M3012" s="2" t="s">
        <v>341</v>
      </c>
      <c r="N3012" s="2" t="s">
        <v>10533</v>
      </c>
    </row>
    <row r="3013" spans="1:14">
      <c r="A3013" s="2">
        <v>3012</v>
      </c>
      <c r="B3013" s="3" t="s">
        <v>10534</v>
      </c>
      <c r="C3013" s="2" t="s">
        <v>10535</v>
      </c>
      <c r="D3013" s="2">
        <v>46</v>
      </c>
      <c r="E3013" s="2">
        <v>48</v>
      </c>
      <c r="F3013" s="2" t="s">
        <v>10536</v>
      </c>
      <c r="H3013" s="2" t="s">
        <v>17</v>
      </c>
      <c r="K3013" s="4">
        <v>12601</v>
      </c>
      <c r="L3013" s="4">
        <v>45635</v>
      </c>
      <c r="M3013" s="2" t="s">
        <v>66</v>
      </c>
      <c r="N3013" s="2" t="s">
        <v>730</v>
      </c>
    </row>
    <row r="3014" spans="1:14">
      <c r="A3014" s="2">
        <v>3013</v>
      </c>
      <c r="B3014" s="3" t="s">
        <v>10537</v>
      </c>
      <c r="C3014" s="2" t="s">
        <v>10538</v>
      </c>
      <c r="D3014" s="2">
        <v>46</v>
      </c>
      <c r="E3014" s="2">
        <v>48</v>
      </c>
      <c r="F3014" s="2" t="s">
        <v>10539</v>
      </c>
      <c r="H3014" s="2" t="s">
        <v>17</v>
      </c>
      <c r="K3014" s="4">
        <v>13782</v>
      </c>
      <c r="M3014" s="2" t="s">
        <v>662</v>
      </c>
      <c r="N3014" s="2" t="s">
        <v>663</v>
      </c>
    </row>
    <row r="3015" spans="1:14">
      <c r="A3015" s="2">
        <v>3014</v>
      </c>
      <c r="B3015" s="3" t="s">
        <v>10540</v>
      </c>
      <c r="C3015" s="2" t="s">
        <v>10541</v>
      </c>
      <c r="D3015" s="2">
        <v>48</v>
      </c>
      <c r="E3015" s="2">
        <v>48</v>
      </c>
      <c r="F3015" s="2" t="s">
        <v>10542</v>
      </c>
      <c r="H3015" s="2" t="s">
        <v>17</v>
      </c>
      <c r="K3015" s="4">
        <v>20018</v>
      </c>
      <c r="L3015" s="4">
        <v>34539</v>
      </c>
      <c r="M3015" s="2" t="s">
        <v>24</v>
      </c>
      <c r="N3015" s="2" t="s">
        <v>25</v>
      </c>
    </row>
    <row r="3016" spans="1:14">
      <c r="A3016" s="2">
        <v>3015</v>
      </c>
      <c r="B3016" s="3" t="s">
        <v>10543</v>
      </c>
      <c r="C3016" s="2" t="s">
        <v>10544</v>
      </c>
      <c r="D3016" s="2">
        <v>48</v>
      </c>
      <c r="E3016" s="2">
        <v>48</v>
      </c>
      <c r="F3016" s="2" t="s">
        <v>10545</v>
      </c>
      <c r="H3016" s="2" t="s">
        <v>17</v>
      </c>
      <c r="K3016" s="4">
        <v>12565</v>
      </c>
      <c r="L3016" s="4">
        <v>33480</v>
      </c>
      <c r="M3016" s="2" t="s">
        <v>91</v>
      </c>
      <c r="N3016" s="2" t="s">
        <v>677</v>
      </c>
    </row>
    <row r="3017" spans="1:14">
      <c r="A3017" s="2">
        <v>3016</v>
      </c>
      <c r="B3017" s="3" t="s">
        <v>10546</v>
      </c>
      <c r="C3017" s="2" t="s">
        <v>10547</v>
      </c>
      <c r="D3017" s="2">
        <v>47</v>
      </c>
      <c r="E3017" s="2">
        <v>48</v>
      </c>
      <c r="F3017" s="2" t="s">
        <v>10548</v>
      </c>
      <c r="H3017" s="2" t="s">
        <v>17</v>
      </c>
      <c r="K3017" s="4">
        <v>13787</v>
      </c>
      <c r="M3017" s="2" t="s">
        <v>66</v>
      </c>
      <c r="N3017" s="2" t="s">
        <v>10549</v>
      </c>
    </row>
    <row r="3018" spans="1:14">
      <c r="A3018" s="2">
        <v>3017</v>
      </c>
      <c r="B3018" s="3" t="s">
        <v>10550</v>
      </c>
      <c r="C3018" s="2" t="s">
        <v>10551</v>
      </c>
      <c r="D3018" s="2">
        <v>48</v>
      </c>
      <c r="E3018" s="2">
        <v>48</v>
      </c>
      <c r="F3018" s="2" t="s">
        <v>10552</v>
      </c>
      <c r="H3018" s="2" t="s">
        <v>17</v>
      </c>
      <c r="K3018" s="4">
        <v>12996</v>
      </c>
      <c r="M3018" s="2" t="s">
        <v>47</v>
      </c>
      <c r="N3018" s="2" t="s">
        <v>10553</v>
      </c>
    </row>
    <row r="3019" spans="1:14">
      <c r="A3019" s="2">
        <v>3018</v>
      </c>
      <c r="B3019" s="3" t="s">
        <v>10554</v>
      </c>
      <c r="C3019" s="2" t="s">
        <v>10555</v>
      </c>
      <c r="D3019" s="2">
        <v>48</v>
      </c>
      <c r="E3019" s="2">
        <v>48</v>
      </c>
      <c r="F3019" s="2" t="s">
        <v>10556</v>
      </c>
      <c r="H3019" s="2" t="s">
        <v>17</v>
      </c>
      <c r="K3019" s="4">
        <v>13914</v>
      </c>
      <c r="M3019" s="2" t="s">
        <v>91</v>
      </c>
      <c r="N3019" s="2" t="s">
        <v>92</v>
      </c>
    </row>
    <row r="3020" spans="1:14">
      <c r="A3020" s="2">
        <v>3019</v>
      </c>
      <c r="B3020" s="3" t="s">
        <v>10557</v>
      </c>
      <c r="C3020" s="2" t="s">
        <v>10558</v>
      </c>
      <c r="D3020" s="2">
        <v>46</v>
      </c>
      <c r="E3020" s="2">
        <v>48</v>
      </c>
      <c r="F3020" s="2" t="s">
        <v>10558</v>
      </c>
      <c r="H3020" s="2" t="s">
        <v>17</v>
      </c>
      <c r="K3020" s="4">
        <v>14030</v>
      </c>
      <c r="M3020" s="2" t="s">
        <v>341</v>
      </c>
      <c r="N3020" s="2" t="s">
        <v>6390</v>
      </c>
    </row>
    <row r="3021" spans="1:14">
      <c r="A3021" s="2">
        <v>3020</v>
      </c>
      <c r="B3021" s="3" t="s">
        <v>10559</v>
      </c>
      <c r="C3021" s="2" t="s">
        <v>10560</v>
      </c>
      <c r="D3021" s="2">
        <v>47</v>
      </c>
      <c r="E3021" s="2">
        <v>48</v>
      </c>
      <c r="F3021" s="2" t="s">
        <v>10561</v>
      </c>
      <c r="H3021" s="2" t="s">
        <v>17</v>
      </c>
      <c r="K3021" s="4">
        <v>15842</v>
      </c>
      <c r="M3021" s="2" t="s">
        <v>85</v>
      </c>
      <c r="N3021" s="2" t="s">
        <v>86</v>
      </c>
    </row>
    <row r="3022" spans="1:14">
      <c r="A3022" s="2">
        <v>3021</v>
      </c>
      <c r="B3022" s="3" t="s">
        <v>10562</v>
      </c>
      <c r="C3022" s="2" t="s">
        <v>10563</v>
      </c>
      <c r="D3022" s="2">
        <v>48</v>
      </c>
      <c r="E3022" s="2">
        <v>48</v>
      </c>
      <c r="F3022" s="2" t="s">
        <v>10564</v>
      </c>
      <c r="H3022" s="2" t="s">
        <v>17</v>
      </c>
      <c r="K3022" s="4">
        <v>18470</v>
      </c>
      <c r="M3022" s="2" t="s">
        <v>53</v>
      </c>
      <c r="N3022" s="2" t="s">
        <v>9689</v>
      </c>
    </row>
    <row r="3023" spans="1:14">
      <c r="A3023" s="2">
        <v>3022</v>
      </c>
      <c r="B3023" s="3" t="s">
        <v>10565</v>
      </c>
      <c r="C3023" s="2" t="s">
        <v>10566</v>
      </c>
      <c r="D3023" s="2">
        <v>48</v>
      </c>
      <c r="E3023" s="2">
        <v>48</v>
      </c>
      <c r="F3023" s="2" t="s">
        <v>10567</v>
      </c>
      <c r="H3023" s="2" t="s">
        <v>17</v>
      </c>
      <c r="K3023" s="4">
        <v>20863</v>
      </c>
      <c r="M3023" s="2" t="s">
        <v>198</v>
      </c>
      <c r="N3023" s="2" t="s">
        <v>199</v>
      </c>
    </row>
    <row r="3024" spans="1:14">
      <c r="A3024" s="2">
        <v>3023</v>
      </c>
      <c r="B3024" s="3" t="s">
        <v>10568</v>
      </c>
      <c r="C3024" s="2" t="s">
        <v>10569</v>
      </c>
      <c r="D3024" s="2">
        <v>48</v>
      </c>
      <c r="E3024" s="2">
        <v>48</v>
      </c>
      <c r="F3024" s="2" t="s">
        <v>10570</v>
      </c>
      <c r="H3024" s="2" t="s">
        <v>17</v>
      </c>
      <c r="K3024" s="4">
        <v>16716</v>
      </c>
      <c r="M3024" s="2" t="s">
        <v>198</v>
      </c>
      <c r="N3024" s="2" t="s">
        <v>1040</v>
      </c>
    </row>
    <row r="3025" spans="1:14">
      <c r="A3025" s="2">
        <v>3024</v>
      </c>
      <c r="B3025" s="3" t="s">
        <v>10571</v>
      </c>
      <c r="C3025" s="2" t="s">
        <v>10572</v>
      </c>
      <c r="D3025" s="2">
        <v>46</v>
      </c>
      <c r="E3025" s="2">
        <v>48</v>
      </c>
      <c r="F3025" s="2" t="s">
        <v>10573</v>
      </c>
      <c r="H3025" s="2" t="s">
        <v>17</v>
      </c>
      <c r="K3025" s="4">
        <v>13379</v>
      </c>
      <c r="L3025" s="4">
        <v>43034</v>
      </c>
      <c r="M3025" s="2" t="s">
        <v>35</v>
      </c>
      <c r="N3025" s="2" t="s">
        <v>372</v>
      </c>
    </row>
    <row r="3026" spans="1:14">
      <c r="A3026" s="2">
        <v>3025</v>
      </c>
      <c r="B3026" s="3" t="s">
        <v>10574</v>
      </c>
      <c r="C3026" s="2" t="s">
        <v>10575</v>
      </c>
      <c r="D3026" s="2">
        <v>48</v>
      </c>
      <c r="E3026" s="2">
        <v>48</v>
      </c>
      <c r="F3026" s="2" t="s">
        <v>10576</v>
      </c>
      <c r="H3026" s="2" t="s">
        <v>17</v>
      </c>
      <c r="K3026" s="4">
        <v>13703</v>
      </c>
      <c r="M3026" s="2" t="s">
        <v>85</v>
      </c>
      <c r="N3026" s="2" t="s">
        <v>1887</v>
      </c>
    </row>
    <row r="3027" spans="1:14">
      <c r="A3027" s="2">
        <v>3026</v>
      </c>
      <c r="B3027" s="3" t="s">
        <v>10577</v>
      </c>
      <c r="C3027" s="2" t="s">
        <v>10578</v>
      </c>
      <c r="D3027" s="2">
        <v>48</v>
      </c>
      <c r="E3027" s="2">
        <v>48</v>
      </c>
      <c r="F3027" s="2" t="s">
        <v>10579</v>
      </c>
      <c r="H3027" s="2" t="s">
        <v>45</v>
      </c>
      <c r="K3027" s="4">
        <v>21164</v>
      </c>
      <c r="M3027" s="2" t="s">
        <v>192</v>
      </c>
      <c r="N3027" s="2" t="s">
        <v>3675</v>
      </c>
    </row>
    <row r="3028" spans="1:14">
      <c r="A3028" s="2">
        <v>3027</v>
      </c>
      <c r="B3028" s="3" t="s">
        <v>10580</v>
      </c>
      <c r="C3028" s="2" t="s">
        <v>10581</v>
      </c>
      <c r="D3028" s="2">
        <v>48</v>
      </c>
      <c r="E3028" s="2">
        <v>48</v>
      </c>
      <c r="F3028" s="2" t="s">
        <v>10582</v>
      </c>
      <c r="H3028" s="2" t="s">
        <v>17</v>
      </c>
      <c r="K3028" s="4">
        <v>17922</v>
      </c>
      <c r="L3028" s="4">
        <v>44209</v>
      </c>
      <c r="M3028" s="2" t="s">
        <v>53</v>
      </c>
      <c r="N3028" s="2" t="s">
        <v>3933</v>
      </c>
    </row>
    <row r="3029" spans="1:14">
      <c r="A3029" s="2">
        <v>3028</v>
      </c>
      <c r="B3029" s="3" t="s">
        <v>10583</v>
      </c>
      <c r="C3029" s="2" t="s">
        <v>10584</v>
      </c>
      <c r="D3029" s="2">
        <v>48</v>
      </c>
      <c r="E3029" s="2">
        <v>48</v>
      </c>
      <c r="F3029" s="2" t="s">
        <v>10585</v>
      </c>
      <c r="H3029" s="2" t="s">
        <v>17</v>
      </c>
      <c r="K3029" s="4">
        <v>18452</v>
      </c>
      <c r="M3029" s="2" t="s">
        <v>40</v>
      </c>
      <c r="N3029" s="2" t="s">
        <v>2125</v>
      </c>
    </row>
    <row r="3030" spans="1:14">
      <c r="A3030" s="2">
        <v>3029</v>
      </c>
      <c r="B3030" s="3" t="s">
        <v>10586</v>
      </c>
      <c r="C3030" s="2" t="s">
        <v>10587</v>
      </c>
      <c r="D3030" s="2">
        <v>48</v>
      </c>
      <c r="E3030" s="2">
        <v>48</v>
      </c>
      <c r="F3030" s="2" t="s">
        <v>10588</v>
      </c>
      <c r="H3030" s="2" t="s">
        <v>17</v>
      </c>
      <c r="K3030" s="4">
        <v>18237</v>
      </c>
      <c r="M3030" s="2" t="s">
        <v>85</v>
      </c>
      <c r="N3030" s="2" t="s">
        <v>86</v>
      </c>
    </row>
    <row r="3031" spans="1:14">
      <c r="A3031" s="2">
        <v>3030</v>
      </c>
      <c r="B3031" s="3" t="s">
        <v>10589</v>
      </c>
      <c r="C3031" s="2" t="s">
        <v>10590</v>
      </c>
      <c r="D3031" s="2">
        <v>46</v>
      </c>
      <c r="E3031" s="2">
        <v>48</v>
      </c>
      <c r="F3031" s="2" t="s">
        <v>10591</v>
      </c>
      <c r="H3031" s="2" t="s">
        <v>17</v>
      </c>
      <c r="K3031" s="4">
        <v>16909</v>
      </c>
      <c r="M3031" s="2" t="s">
        <v>40</v>
      </c>
      <c r="N3031" s="2" t="s">
        <v>41</v>
      </c>
    </row>
    <row r="3032" spans="1:14">
      <c r="A3032" s="2">
        <v>3031</v>
      </c>
      <c r="B3032" s="3" t="s">
        <v>10592</v>
      </c>
      <c r="C3032" s="2" t="s">
        <v>10593</v>
      </c>
      <c r="D3032" s="2">
        <v>48</v>
      </c>
      <c r="E3032" s="2">
        <v>48</v>
      </c>
      <c r="F3032" s="2" t="s">
        <v>10594</v>
      </c>
      <c r="H3032" s="2" t="s">
        <v>45</v>
      </c>
      <c r="K3032" s="4">
        <v>16001</v>
      </c>
      <c r="L3032" s="4">
        <v>36743</v>
      </c>
      <c r="M3032" s="2" t="s">
        <v>35</v>
      </c>
      <c r="N3032" s="2" t="s">
        <v>58</v>
      </c>
    </row>
    <row r="3033" spans="1:14">
      <c r="A3033" s="2">
        <v>3032</v>
      </c>
      <c r="B3033" s="3" t="s">
        <v>10595</v>
      </c>
      <c r="C3033" s="2" t="s">
        <v>10596</v>
      </c>
      <c r="D3033" s="2">
        <v>47</v>
      </c>
      <c r="E3033" s="2">
        <v>48</v>
      </c>
      <c r="F3033" s="2" t="s">
        <v>10597</v>
      </c>
      <c r="H3033" s="2" t="s">
        <v>17</v>
      </c>
      <c r="K3033" s="4">
        <v>13284</v>
      </c>
      <c r="M3033" s="2" t="s">
        <v>170</v>
      </c>
      <c r="N3033" s="2" t="s">
        <v>323</v>
      </c>
    </row>
    <row r="3034" spans="1:14">
      <c r="A3034" s="2">
        <v>3033</v>
      </c>
      <c r="B3034" s="3" t="s">
        <v>10598</v>
      </c>
      <c r="C3034" s="2" t="s">
        <v>10599</v>
      </c>
      <c r="D3034" s="2">
        <v>48</v>
      </c>
      <c r="E3034" s="2">
        <v>48</v>
      </c>
      <c r="F3034" s="2" t="s">
        <v>10600</v>
      </c>
      <c r="H3034" s="2" t="s">
        <v>17</v>
      </c>
      <c r="K3034" s="4">
        <v>20919</v>
      </c>
      <c r="M3034" s="2" t="s">
        <v>47</v>
      </c>
      <c r="N3034" s="2" t="s">
        <v>8985</v>
      </c>
    </row>
    <row r="3035" spans="1:14">
      <c r="A3035" s="2">
        <v>3034</v>
      </c>
      <c r="B3035" s="3" t="s">
        <v>10601</v>
      </c>
      <c r="C3035" s="2" t="s">
        <v>10602</v>
      </c>
      <c r="D3035" s="2">
        <v>48</v>
      </c>
      <c r="E3035" s="2">
        <v>48</v>
      </c>
      <c r="F3035" s="2" t="s">
        <v>10603</v>
      </c>
      <c r="H3035" s="2" t="s">
        <v>17</v>
      </c>
      <c r="K3035" s="4">
        <v>17029</v>
      </c>
      <c r="M3035" s="2" t="s">
        <v>198</v>
      </c>
      <c r="N3035" s="2" t="s">
        <v>199</v>
      </c>
    </row>
    <row r="3036" spans="1:14">
      <c r="A3036" s="2">
        <v>3035</v>
      </c>
      <c r="B3036" s="3" t="s">
        <v>10604</v>
      </c>
      <c r="C3036" s="2" t="s">
        <v>10605</v>
      </c>
      <c r="D3036" s="2">
        <v>43</v>
      </c>
      <c r="E3036" s="2">
        <v>48</v>
      </c>
      <c r="F3036" s="2" t="s">
        <v>10606</v>
      </c>
      <c r="H3036" s="2" t="s">
        <v>45</v>
      </c>
      <c r="K3036" s="4">
        <v>12891</v>
      </c>
      <c r="M3036" s="2" t="s">
        <v>76</v>
      </c>
      <c r="N3036" s="2" t="s">
        <v>906</v>
      </c>
    </row>
    <row r="3037" spans="1:14">
      <c r="A3037" s="2">
        <v>3036</v>
      </c>
      <c r="B3037" s="3" t="s">
        <v>10607</v>
      </c>
      <c r="C3037" s="2" t="s">
        <v>10608</v>
      </c>
      <c r="D3037" s="2">
        <v>48</v>
      </c>
      <c r="E3037" s="2">
        <v>48</v>
      </c>
      <c r="F3037" s="2" t="s">
        <v>10609</v>
      </c>
      <c r="H3037" s="2" t="s">
        <v>17</v>
      </c>
      <c r="K3037" s="4">
        <v>13712</v>
      </c>
      <c r="M3037" s="2" t="s">
        <v>35</v>
      </c>
      <c r="N3037" s="2" t="s">
        <v>10610</v>
      </c>
    </row>
    <row r="3038" spans="1:14">
      <c r="A3038" s="2">
        <v>3037</v>
      </c>
      <c r="B3038" s="3" t="s">
        <v>10611</v>
      </c>
      <c r="C3038" s="2" t="s">
        <v>10612</v>
      </c>
      <c r="D3038" s="2">
        <v>42</v>
      </c>
      <c r="E3038" s="2">
        <v>48</v>
      </c>
      <c r="F3038" s="2" t="s">
        <v>10613</v>
      </c>
      <c r="H3038" s="2" t="s">
        <v>17</v>
      </c>
      <c r="K3038" s="4">
        <v>12834</v>
      </c>
      <c r="L3038" s="4">
        <v>40004</v>
      </c>
      <c r="M3038" s="2" t="s">
        <v>40</v>
      </c>
      <c r="N3038" s="2" t="s">
        <v>10614</v>
      </c>
    </row>
    <row r="3039" spans="1:14">
      <c r="A3039" s="2">
        <v>3038</v>
      </c>
      <c r="B3039" s="3" t="s">
        <v>10615</v>
      </c>
      <c r="C3039" s="2" t="s">
        <v>10616</v>
      </c>
      <c r="D3039" s="2">
        <v>48</v>
      </c>
      <c r="E3039" s="2">
        <v>48</v>
      </c>
      <c r="F3039" s="2" t="s">
        <v>10617</v>
      </c>
      <c r="H3039" s="2" t="s">
        <v>45</v>
      </c>
      <c r="K3039" s="4">
        <v>14034</v>
      </c>
      <c r="M3039" s="2" t="s">
        <v>85</v>
      </c>
      <c r="N3039" s="2" t="s">
        <v>10618</v>
      </c>
    </row>
    <row r="3040" spans="1:14">
      <c r="A3040" s="2">
        <v>3039</v>
      </c>
      <c r="B3040" s="3" t="s">
        <v>10619</v>
      </c>
      <c r="C3040" s="2" t="s">
        <v>10620</v>
      </c>
      <c r="D3040" s="2">
        <v>47</v>
      </c>
      <c r="E3040" s="2">
        <v>48</v>
      </c>
      <c r="F3040" s="2" t="s">
        <v>10621</v>
      </c>
      <c r="H3040" s="2" t="s">
        <v>17</v>
      </c>
      <c r="K3040" s="4">
        <v>16987</v>
      </c>
      <c r="L3040" s="4">
        <v>36317</v>
      </c>
      <c r="M3040" s="2" t="s">
        <v>154</v>
      </c>
      <c r="N3040" s="2" t="s">
        <v>10622</v>
      </c>
    </row>
    <row r="3041" spans="1:14">
      <c r="A3041" s="2">
        <v>3040</v>
      </c>
      <c r="B3041" s="3" t="s">
        <v>10623</v>
      </c>
      <c r="C3041" s="2" t="s">
        <v>10624</v>
      </c>
      <c r="D3041" s="2">
        <v>46</v>
      </c>
      <c r="E3041" s="2">
        <v>48</v>
      </c>
      <c r="F3041" s="2" t="s">
        <v>10625</v>
      </c>
      <c r="H3041" s="2" t="s">
        <v>17</v>
      </c>
      <c r="K3041" s="4">
        <v>14469</v>
      </c>
      <c r="L3041" s="4">
        <v>36037</v>
      </c>
      <c r="M3041" s="2" t="s">
        <v>154</v>
      </c>
      <c r="N3041" s="2" t="s">
        <v>208</v>
      </c>
    </row>
    <row r="3042" spans="1:14">
      <c r="A3042" s="2">
        <v>3041</v>
      </c>
      <c r="B3042" s="3" t="s">
        <v>10626</v>
      </c>
      <c r="C3042" s="2" t="s">
        <v>10627</v>
      </c>
      <c r="D3042" s="2">
        <v>48</v>
      </c>
      <c r="E3042" s="2">
        <v>48</v>
      </c>
      <c r="F3042" s="2" t="s">
        <v>10628</v>
      </c>
      <c r="H3042" s="2" t="s">
        <v>17</v>
      </c>
      <c r="K3042" s="4">
        <v>19313</v>
      </c>
      <c r="L3042" s="4">
        <v>33923</v>
      </c>
      <c r="M3042" s="2" t="s">
        <v>47</v>
      </c>
      <c r="N3042" s="2" t="s">
        <v>10629</v>
      </c>
    </row>
    <row r="3043" spans="1:14">
      <c r="A3043" s="2">
        <v>3042</v>
      </c>
      <c r="B3043" s="3" t="s">
        <v>10630</v>
      </c>
      <c r="C3043" s="2" t="s">
        <v>10631</v>
      </c>
      <c r="D3043" s="2">
        <v>48</v>
      </c>
      <c r="E3043" s="2">
        <v>48</v>
      </c>
      <c r="F3043" s="2" t="s">
        <v>10632</v>
      </c>
      <c r="H3043" s="2" t="s">
        <v>17</v>
      </c>
      <c r="K3043" s="4">
        <v>16081</v>
      </c>
      <c r="M3043" s="2" t="s">
        <v>35</v>
      </c>
      <c r="N3043" s="2" t="s">
        <v>3929</v>
      </c>
    </row>
    <row r="3044" spans="1:14">
      <c r="A3044" s="2">
        <v>3043</v>
      </c>
      <c r="B3044" s="3" t="s">
        <v>10633</v>
      </c>
      <c r="C3044" s="2" t="s">
        <v>10634</v>
      </c>
      <c r="D3044" s="2">
        <v>48</v>
      </c>
      <c r="E3044" s="2">
        <v>48</v>
      </c>
      <c r="F3044" s="2" t="s">
        <v>10635</v>
      </c>
      <c r="H3044" s="2" t="s">
        <v>17</v>
      </c>
      <c r="K3044" s="4">
        <v>14515</v>
      </c>
      <c r="L3044" s="4">
        <v>43691</v>
      </c>
      <c r="M3044" s="2" t="s">
        <v>170</v>
      </c>
      <c r="N3044" s="2" t="s">
        <v>323</v>
      </c>
    </row>
    <row r="3045" spans="1:14">
      <c r="A3045" s="2">
        <v>3044</v>
      </c>
      <c r="B3045" s="3" t="s">
        <v>10636</v>
      </c>
      <c r="C3045" s="2" t="s">
        <v>10637</v>
      </c>
      <c r="D3045" s="2">
        <v>48</v>
      </c>
      <c r="E3045" s="2">
        <v>48</v>
      </c>
      <c r="F3045" s="2" t="s">
        <v>10638</v>
      </c>
      <c r="H3045" s="2" t="s">
        <v>17</v>
      </c>
      <c r="K3045" s="4">
        <v>13665</v>
      </c>
      <c r="L3045" s="4">
        <v>40506</v>
      </c>
      <c r="M3045" s="2" t="s">
        <v>35</v>
      </c>
      <c r="N3045" s="2" t="s">
        <v>1462</v>
      </c>
    </row>
    <row r="3046" spans="1:14">
      <c r="A3046" s="2">
        <v>3045</v>
      </c>
      <c r="B3046" s="3" t="s">
        <v>10639</v>
      </c>
      <c r="C3046" s="2" t="s">
        <v>10640</v>
      </c>
      <c r="D3046" s="2">
        <v>45</v>
      </c>
      <c r="E3046" s="2">
        <v>48</v>
      </c>
      <c r="F3046" s="2" t="s">
        <v>10641</v>
      </c>
      <c r="H3046" s="2" t="s">
        <v>17</v>
      </c>
      <c r="K3046" s="4">
        <v>9873</v>
      </c>
      <c r="M3046" s="2" t="s">
        <v>35</v>
      </c>
      <c r="N3046" s="2" t="s">
        <v>6651</v>
      </c>
    </row>
    <row r="3047" spans="1:14">
      <c r="A3047" s="2">
        <v>3046</v>
      </c>
      <c r="B3047" s="3" t="s">
        <v>10642</v>
      </c>
      <c r="C3047" s="2" t="s">
        <v>10643</v>
      </c>
      <c r="D3047" s="2">
        <v>48</v>
      </c>
      <c r="E3047" s="2">
        <v>48</v>
      </c>
      <c r="F3047" s="2" t="s">
        <v>10644</v>
      </c>
      <c r="H3047" s="2" t="s">
        <v>17</v>
      </c>
      <c r="K3047" s="4">
        <v>12593</v>
      </c>
      <c r="L3047" s="4">
        <v>43771</v>
      </c>
      <c r="M3047" s="2" t="s">
        <v>35</v>
      </c>
      <c r="N3047" s="2" t="s">
        <v>2585</v>
      </c>
    </row>
    <row r="3048" spans="1:14">
      <c r="A3048" s="2">
        <v>3047</v>
      </c>
      <c r="B3048" s="3" t="s">
        <v>10645</v>
      </c>
      <c r="C3048" s="2" t="s">
        <v>10646</v>
      </c>
      <c r="D3048" s="2">
        <v>41</v>
      </c>
      <c r="E3048" s="2">
        <v>48</v>
      </c>
      <c r="F3048" s="2" t="s">
        <v>10647</v>
      </c>
      <c r="H3048" s="2" t="s">
        <v>17</v>
      </c>
      <c r="K3048" s="4">
        <v>10714</v>
      </c>
      <c r="L3048" s="4">
        <v>42418</v>
      </c>
      <c r="M3048" s="2" t="s">
        <v>35</v>
      </c>
      <c r="N3048" s="2" t="s">
        <v>2152</v>
      </c>
    </row>
    <row r="3049" spans="1:14">
      <c r="A3049" s="2">
        <v>3048</v>
      </c>
      <c r="B3049" s="3" t="s">
        <v>10648</v>
      </c>
      <c r="C3049" s="2" t="s">
        <v>10649</v>
      </c>
      <c r="D3049" s="2">
        <v>48</v>
      </c>
      <c r="E3049" s="2">
        <v>48</v>
      </c>
      <c r="F3049" s="2" t="s">
        <v>10650</v>
      </c>
      <c r="H3049" s="2" t="s">
        <v>17</v>
      </c>
      <c r="K3049" s="4">
        <v>16142</v>
      </c>
      <c r="L3049" s="4">
        <v>41629</v>
      </c>
      <c r="M3049" s="2" t="s">
        <v>40</v>
      </c>
      <c r="N3049" s="2" t="s">
        <v>10651</v>
      </c>
    </row>
    <row r="3050" spans="1:14">
      <c r="A3050" s="2">
        <v>3049</v>
      </c>
      <c r="B3050" s="3" t="s">
        <v>10652</v>
      </c>
      <c r="C3050" s="2" t="s">
        <v>10653</v>
      </c>
      <c r="D3050" s="2">
        <v>48</v>
      </c>
      <c r="E3050" s="2">
        <v>48</v>
      </c>
      <c r="F3050" s="2" t="s">
        <v>10654</v>
      </c>
      <c r="H3050" s="2" t="s">
        <v>45</v>
      </c>
      <c r="K3050" s="4">
        <v>17626</v>
      </c>
      <c r="M3050" s="2" t="s">
        <v>35</v>
      </c>
      <c r="N3050" s="2" t="s">
        <v>10655</v>
      </c>
    </row>
    <row r="3051" spans="1:14">
      <c r="A3051" s="2">
        <v>3050</v>
      </c>
      <c r="B3051" s="3" t="s">
        <v>10656</v>
      </c>
      <c r="C3051" s="2" t="s">
        <v>10657</v>
      </c>
      <c r="D3051" s="2">
        <v>42</v>
      </c>
      <c r="E3051" s="2">
        <v>48</v>
      </c>
      <c r="F3051" s="2" t="s">
        <v>10658</v>
      </c>
      <c r="H3051" s="2" t="s">
        <v>17</v>
      </c>
      <c r="K3051" s="4">
        <v>3511</v>
      </c>
      <c r="L3051" s="4">
        <v>36604</v>
      </c>
      <c r="M3051" s="2" t="s">
        <v>85</v>
      </c>
      <c r="N3051" s="2" t="s">
        <v>2120</v>
      </c>
    </row>
    <row r="3052" spans="1:14">
      <c r="A3052" s="2">
        <v>3051</v>
      </c>
      <c r="B3052" s="3" t="s">
        <v>10659</v>
      </c>
      <c r="C3052" s="2" t="s">
        <v>10660</v>
      </c>
      <c r="D3052" s="2">
        <v>47</v>
      </c>
      <c r="E3052" s="2">
        <v>48</v>
      </c>
      <c r="F3052" s="2" t="s">
        <v>10661</v>
      </c>
      <c r="H3052" s="2" t="s">
        <v>17</v>
      </c>
      <c r="K3052" s="4">
        <v>16234</v>
      </c>
      <c r="M3052" s="2" t="s">
        <v>662</v>
      </c>
      <c r="N3052" s="2" t="s">
        <v>663</v>
      </c>
    </row>
    <row r="3053" spans="1:14">
      <c r="A3053" s="2">
        <v>3052</v>
      </c>
      <c r="B3053" s="3" t="s">
        <v>10662</v>
      </c>
      <c r="C3053" s="2" t="s">
        <v>10663</v>
      </c>
      <c r="D3053" s="2">
        <v>48</v>
      </c>
      <c r="E3053" s="2">
        <v>48</v>
      </c>
      <c r="F3053" s="2" t="s">
        <v>10664</v>
      </c>
      <c r="H3053" s="2" t="s">
        <v>17</v>
      </c>
      <c r="K3053" s="4">
        <v>16409</v>
      </c>
      <c r="M3053" s="2" t="s">
        <v>91</v>
      </c>
      <c r="N3053" s="2" t="s">
        <v>677</v>
      </c>
    </row>
    <row r="3054" spans="1:14">
      <c r="A3054" s="2">
        <v>3053</v>
      </c>
      <c r="B3054" s="3" t="s">
        <v>10665</v>
      </c>
      <c r="C3054" s="2" t="s">
        <v>10666</v>
      </c>
      <c r="D3054" s="2">
        <v>48</v>
      </c>
      <c r="E3054" s="2">
        <v>48</v>
      </c>
      <c r="F3054" s="2" t="s">
        <v>10667</v>
      </c>
      <c r="H3054" s="2" t="s">
        <v>45</v>
      </c>
      <c r="K3054" s="4">
        <v>12038</v>
      </c>
      <c r="L3054" s="4">
        <v>43928</v>
      </c>
      <c r="M3054" s="2" t="s">
        <v>170</v>
      </c>
      <c r="N3054" s="2" t="s">
        <v>323</v>
      </c>
    </row>
    <row r="3055" spans="1:14">
      <c r="A3055" s="2">
        <v>3054</v>
      </c>
      <c r="B3055" s="3" t="s">
        <v>10668</v>
      </c>
      <c r="C3055" s="2" t="s">
        <v>10669</v>
      </c>
      <c r="D3055" s="2">
        <v>47</v>
      </c>
      <c r="E3055" s="2">
        <v>48</v>
      </c>
      <c r="F3055" s="2" t="s">
        <v>10670</v>
      </c>
      <c r="H3055" s="2" t="s">
        <v>17</v>
      </c>
      <c r="K3055" s="4">
        <v>14736</v>
      </c>
      <c r="M3055" s="2" t="s">
        <v>40</v>
      </c>
      <c r="N3055" s="2" t="s">
        <v>5525</v>
      </c>
    </row>
    <row r="3056" spans="1:14">
      <c r="A3056" s="2">
        <v>3055</v>
      </c>
      <c r="B3056" s="3" t="s">
        <v>10671</v>
      </c>
      <c r="C3056" s="2" t="s">
        <v>10672</v>
      </c>
      <c r="D3056" s="2">
        <v>48</v>
      </c>
      <c r="E3056" s="2">
        <v>48</v>
      </c>
      <c r="F3056" s="2" t="s">
        <v>10673</v>
      </c>
      <c r="H3056" s="2" t="s">
        <v>17</v>
      </c>
      <c r="K3056" s="4">
        <v>17639</v>
      </c>
      <c r="M3056" s="2" t="s">
        <v>170</v>
      </c>
      <c r="N3056" s="2" t="s">
        <v>1624</v>
      </c>
    </row>
    <row r="3057" spans="1:14">
      <c r="A3057" s="2">
        <v>3056</v>
      </c>
      <c r="B3057" s="3" t="s">
        <v>10674</v>
      </c>
      <c r="C3057" s="2" t="s">
        <v>10675</v>
      </c>
      <c r="D3057" s="2">
        <v>47</v>
      </c>
      <c r="E3057" s="2">
        <v>48</v>
      </c>
      <c r="F3057" s="2" t="s">
        <v>10676</v>
      </c>
      <c r="H3057" s="2" t="s">
        <v>17</v>
      </c>
      <c r="K3057" s="4">
        <v>17439</v>
      </c>
    </row>
    <row r="3058" spans="1:14">
      <c r="A3058" s="2">
        <v>3057</v>
      </c>
      <c r="B3058" s="3" t="s">
        <v>10677</v>
      </c>
      <c r="C3058" s="2" t="s">
        <v>10678</v>
      </c>
      <c r="D3058" s="2">
        <v>48</v>
      </c>
      <c r="E3058" s="2">
        <v>48</v>
      </c>
      <c r="F3058" s="2" t="s">
        <v>10679</v>
      </c>
      <c r="H3058" s="2" t="s">
        <v>17</v>
      </c>
      <c r="K3058" s="4">
        <v>14912</v>
      </c>
      <c r="M3058" s="2" t="s">
        <v>66</v>
      </c>
      <c r="N3058" s="2" t="s">
        <v>3534</v>
      </c>
    </row>
    <row r="3059" spans="1:14">
      <c r="A3059" s="2">
        <v>3058</v>
      </c>
      <c r="B3059" s="3" t="s">
        <v>10680</v>
      </c>
      <c r="C3059" s="2" t="s">
        <v>10681</v>
      </c>
      <c r="D3059" s="2">
        <v>48</v>
      </c>
      <c r="E3059" s="2">
        <v>48</v>
      </c>
      <c r="F3059" s="2" t="s">
        <v>10682</v>
      </c>
      <c r="H3059" s="2" t="s">
        <v>17</v>
      </c>
      <c r="K3059" s="4">
        <v>11063</v>
      </c>
      <c r="L3059" s="4">
        <v>42984</v>
      </c>
      <c r="M3059" s="2" t="s">
        <v>53</v>
      </c>
      <c r="N3059" s="2" t="s">
        <v>54</v>
      </c>
    </row>
    <row r="3060" spans="1:14">
      <c r="A3060" s="2">
        <v>3059</v>
      </c>
      <c r="B3060" s="3" t="s">
        <v>10683</v>
      </c>
      <c r="C3060" s="2" t="s">
        <v>10684</v>
      </c>
      <c r="D3060" s="2">
        <v>48</v>
      </c>
      <c r="E3060" s="2">
        <v>48</v>
      </c>
      <c r="F3060" s="2" t="s">
        <v>10685</v>
      </c>
      <c r="H3060" s="2" t="s">
        <v>17</v>
      </c>
      <c r="K3060" s="4">
        <v>15770</v>
      </c>
      <c r="M3060" s="2" t="s">
        <v>170</v>
      </c>
      <c r="N3060" s="2" t="s">
        <v>355</v>
      </c>
    </row>
    <row r="3061" spans="1:14">
      <c r="A3061" s="2">
        <v>3060</v>
      </c>
      <c r="B3061" s="3" t="s">
        <v>10686</v>
      </c>
      <c r="C3061" s="2" t="s">
        <v>10687</v>
      </c>
      <c r="D3061" s="2">
        <v>48</v>
      </c>
      <c r="E3061" s="2">
        <v>48</v>
      </c>
      <c r="F3061" s="2" t="s">
        <v>10688</v>
      </c>
      <c r="H3061" s="2" t="s">
        <v>17</v>
      </c>
      <c r="K3061" s="4">
        <v>12861</v>
      </c>
      <c r="L3061" s="4">
        <v>32403</v>
      </c>
      <c r="M3061" s="2" t="s">
        <v>66</v>
      </c>
      <c r="N3061" s="2" t="s">
        <v>1693</v>
      </c>
    </row>
    <row r="3062" spans="1:14">
      <c r="A3062" s="2">
        <v>3061</v>
      </c>
      <c r="B3062" s="3" t="s">
        <v>10689</v>
      </c>
      <c r="C3062" s="2" t="s">
        <v>10690</v>
      </c>
      <c r="D3062" s="2">
        <v>43</v>
      </c>
      <c r="E3062" s="2">
        <v>48</v>
      </c>
      <c r="F3062" s="2" t="s">
        <v>10691</v>
      </c>
      <c r="H3062" s="2" t="s">
        <v>17</v>
      </c>
      <c r="K3062" s="4">
        <v>11053</v>
      </c>
      <c r="L3062" s="4">
        <v>40624</v>
      </c>
      <c r="M3062" s="2" t="s">
        <v>247</v>
      </c>
      <c r="N3062" s="2" t="s">
        <v>1109</v>
      </c>
    </row>
    <row r="3063" spans="1:14">
      <c r="A3063" s="2">
        <v>3062</v>
      </c>
      <c r="B3063" s="3" t="s">
        <v>10692</v>
      </c>
      <c r="C3063" s="2" t="s">
        <v>10693</v>
      </c>
      <c r="D3063" s="2">
        <v>47</v>
      </c>
      <c r="E3063" s="2">
        <v>48</v>
      </c>
      <c r="F3063" s="2" t="s">
        <v>10694</v>
      </c>
      <c r="H3063" s="2" t="s">
        <v>17</v>
      </c>
      <c r="K3063" s="4">
        <v>10604</v>
      </c>
      <c r="L3063" s="4">
        <v>40619</v>
      </c>
      <c r="M3063" s="2" t="s">
        <v>192</v>
      </c>
      <c r="N3063" s="2" t="s">
        <v>10695</v>
      </c>
    </row>
    <row r="3064" spans="1:14">
      <c r="A3064" s="2">
        <v>3063</v>
      </c>
      <c r="B3064" s="3" t="s">
        <v>10696</v>
      </c>
      <c r="C3064" s="2" t="s">
        <v>10697</v>
      </c>
      <c r="D3064" s="2">
        <v>48</v>
      </c>
      <c r="E3064" s="2">
        <v>48</v>
      </c>
      <c r="F3064" s="2" t="s">
        <v>10698</v>
      </c>
      <c r="H3064" s="2" t="s">
        <v>17</v>
      </c>
      <c r="K3064" s="4">
        <v>15137</v>
      </c>
      <c r="M3064" s="2" t="s">
        <v>66</v>
      </c>
      <c r="N3064" s="2" t="s">
        <v>3787</v>
      </c>
    </row>
    <row r="3065" spans="1:14">
      <c r="A3065" s="2">
        <v>3064</v>
      </c>
      <c r="B3065" s="3" t="s">
        <v>10699</v>
      </c>
      <c r="C3065" s="2" t="s">
        <v>10700</v>
      </c>
      <c r="D3065" s="2">
        <v>46</v>
      </c>
      <c r="E3065" s="2">
        <v>48</v>
      </c>
      <c r="F3065" s="2" t="s">
        <v>10701</v>
      </c>
      <c r="H3065" s="2" t="s">
        <v>17</v>
      </c>
      <c r="K3065" s="4">
        <v>11895</v>
      </c>
      <c r="L3065" s="4">
        <v>40746</v>
      </c>
      <c r="M3065" s="2" t="s">
        <v>247</v>
      </c>
      <c r="N3065" s="2" t="s">
        <v>886</v>
      </c>
    </row>
    <row r="3066" spans="1:14">
      <c r="A3066" s="2">
        <v>3065</v>
      </c>
      <c r="B3066" s="3" t="s">
        <v>10702</v>
      </c>
      <c r="C3066" s="2" t="s">
        <v>10703</v>
      </c>
      <c r="D3066" s="2">
        <v>48</v>
      </c>
      <c r="E3066" s="2">
        <v>48</v>
      </c>
      <c r="F3066" s="2" t="s">
        <v>10704</v>
      </c>
      <c r="H3066" s="2" t="s">
        <v>17</v>
      </c>
      <c r="K3066" s="4">
        <v>18169</v>
      </c>
      <c r="M3066" s="2" t="s">
        <v>35</v>
      </c>
      <c r="N3066" s="2" t="s">
        <v>10705</v>
      </c>
    </row>
    <row r="3067" spans="1:14">
      <c r="A3067" s="2">
        <v>3066</v>
      </c>
      <c r="B3067" s="3" t="s">
        <v>10706</v>
      </c>
      <c r="C3067" s="2" t="s">
        <v>10707</v>
      </c>
      <c r="D3067" s="2">
        <v>47</v>
      </c>
      <c r="E3067" s="2">
        <v>48</v>
      </c>
      <c r="F3067" s="2" t="s">
        <v>10708</v>
      </c>
      <c r="H3067" s="2" t="s">
        <v>17</v>
      </c>
      <c r="K3067" s="4">
        <v>18124</v>
      </c>
      <c r="M3067" s="2" t="s">
        <v>35</v>
      </c>
      <c r="N3067" s="2" t="s">
        <v>58</v>
      </c>
    </row>
    <row r="3068" spans="1:14">
      <c r="A3068" s="2">
        <v>3067</v>
      </c>
      <c r="B3068" s="3" t="s">
        <v>10709</v>
      </c>
      <c r="C3068" s="2" t="s">
        <v>10710</v>
      </c>
      <c r="D3068" s="2">
        <v>48</v>
      </c>
      <c r="E3068" s="2">
        <v>48</v>
      </c>
      <c r="F3068" s="2" t="s">
        <v>10711</v>
      </c>
      <c r="H3068" s="2" t="s">
        <v>17</v>
      </c>
      <c r="K3068" s="4">
        <v>15630</v>
      </c>
      <c r="M3068" s="2" t="s">
        <v>85</v>
      </c>
    </row>
    <row r="3069" spans="1:14">
      <c r="A3069" s="2">
        <v>3068</v>
      </c>
      <c r="B3069" s="3" t="s">
        <v>10712</v>
      </c>
      <c r="C3069" s="2" t="s">
        <v>10713</v>
      </c>
      <c r="D3069" s="2">
        <v>46</v>
      </c>
      <c r="E3069" s="2">
        <v>48</v>
      </c>
      <c r="F3069" s="2" t="s">
        <v>10714</v>
      </c>
      <c r="H3069" s="2" t="s">
        <v>17</v>
      </c>
      <c r="K3069" s="4">
        <v>15213</v>
      </c>
      <c r="L3069" s="4">
        <v>43853</v>
      </c>
      <c r="M3069" s="2" t="s">
        <v>154</v>
      </c>
      <c r="N3069" s="2" t="s">
        <v>3523</v>
      </c>
    </row>
    <row r="3070" spans="1:14">
      <c r="A3070" s="2">
        <v>3069</v>
      </c>
      <c r="B3070" s="3" t="s">
        <v>10715</v>
      </c>
      <c r="C3070" s="2" t="s">
        <v>10716</v>
      </c>
      <c r="D3070" s="2">
        <v>48</v>
      </c>
      <c r="E3070" s="2">
        <v>48</v>
      </c>
      <c r="F3070" s="2" t="s">
        <v>10717</v>
      </c>
      <c r="H3070" s="2" t="s">
        <v>17</v>
      </c>
      <c r="K3070" s="4">
        <v>12349</v>
      </c>
      <c r="M3070" s="2" t="s">
        <v>170</v>
      </c>
    </row>
    <row r="3071" spans="1:14">
      <c r="A3071" s="2">
        <v>3070</v>
      </c>
      <c r="B3071" s="3" t="s">
        <v>10718</v>
      </c>
      <c r="C3071" s="2" t="s">
        <v>10719</v>
      </c>
      <c r="D3071" s="2">
        <v>40</v>
      </c>
      <c r="E3071" s="2">
        <v>48</v>
      </c>
      <c r="F3071" s="2" t="s">
        <v>10720</v>
      </c>
      <c r="H3071" s="2" t="s">
        <v>17</v>
      </c>
      <c r="K3071" s="4">
        <v>7787</v>
      </c>
      <c r="L3071" s="4">
        <v>34649</v>
      </c>
      <c r="M3071" s="2" t="s">
        <v>198</v>
      </c>
    </row>
    <row r="3072" spans="1:14">
      <c r="A3072" s="2">
        <v>3071</v>
      </c>
      <c r="B3072" s="3" t="s">
        <v>10721</v>
      </c>
      <c r="C3072" s="2" t="s">
        <v>10722</v>
      </c>
      <c r="D3072" s="2">
        <v>47</v>
      </c>
      <c r="E3072" s="2">
        <v>48</v>
      </c>
      <c r="F3072" s="2" t="s">
        <v>10723</v>
      </c>
      <c r="H3072" s="2" t="s">
        <v>17</v>
      </c>
      <c r="K3072" s="4">
        <v>13828</v>
      </c>
      <c r="M3072" s="2" t="s">
        <v>47</v>
      </c>
      <c r="N3072" s="2" t="s">
        <v>7560</v>
      </c>
    </row>
    <row r="3073" spans="1:14">
      <c r="A3073" s="2">
        <v>3072</v>
      </c>
      <c r="B3073" s="3" t="s">
        <v>10724</v>
      </c>
      <c r="C3073" s="2" t="s">
        <v>10725</v>
      </c>
      <c r="D3073" s="2">
        <v>48</v>
      </c>
      <c r="E3073" s="2">
        <v>48</v>
      </c>
      <c r="F3073" s="2" t="s">
        <v>10726</v>
      </c>
      <c r="H3073" s="2" t="s">
        <v>17</v>
      </c>
      <c r="K3073" s="4">
        <v>13067</v>
      </c>
      <c r="L3073" s="4">
        <v>44916</v>
      </c>
      <c r="M3073" s="2" t="s">
        <v>76</v>
      </c>
      <c r="N3073" s="2" t="s">
        <v>10727</v>
      </c>
    </row>
    <row r="3074" spans="1:14">
      <c r="A3074" s="2">
        <v>3073</v>
      </c>
      <c r="B3074" s="3" t="s">
        <v>10728</v>
      </c>
      <c r="C3074" s="2" t="s">
        <v>10729</v>
      </c>
      <c r="D3074" s="2">
        <v>48</v>
      </c>
      <c r="E3074" s="2">
        <v>48</v>
      </c>
      <c r="F3074" s="2" t="s">
        <v>10730</v>
      </c>
      <c r="H3074" s="2" t="s">
        <v>17</v>
      </c>
      <c r="K3074" s="4">
        <v>11342</v>
      </c>
      <c r="L3074" s="4">
        <v>39427</v>
      </c>
      <c r="M3074" s="2" t="s">
        <v>198</v>
      </c>
      <c r="N3074" s="2" t="s">
        <v>9329</v>
      </c>
    </row>
    <row r="3075" spans="1:14">
      <c r="A3075" s="2">
        <v>3074</v>
      </c>
      <c r="B3075" s="3" t="s">
        <v>10731</v>
      </c>
      <c r="C3075" s="2" t="s">
        <v>10732</v>
      </c>
      <c r="D3075" s="2">
        <v>48</v>
      </c>
      <c r="E3075" s="2">
        <v>48</v>
      </c>
      <c r="F3075" s="2" t="s">
        <v>10733</v>
      </c>
      <c r="H3075" s="2" t="s">
        <v>17</v>
      </c>
      <c r="K3075" s="4">
        <v>16204</v>
      </c>
      <c r="M3075" s="2" t="s">
        <v>192</v>
      </c>
      <c r="N3075" s="2" t="s">
        <v>10734</v>
      </c>
    </row>
    <row r="3076" spans="1:14">
      <c r="A3076" s="2">
        <v>3075</v>
      </c>
      <c r="B3076" s="3" t="s">
        <v>10735</v>
      </c>
      <c r="C3076" s="2" t="s">
        <v>10736</v>
      </c>
      <c r="D3076" s="2">
        <v>46</v>
      </c>
      <c r="E3076" s="2">
        <v>48</v>
      </c>
      <c r="F3076" s="2" t="s">
        <v>10737</v>
      </c>
      <c r="H3076" s="2" t="s">
        <v>17</v>
      </c>
      <c r="K3076" s="4">
        <v>9923</v>
      </c>
      <c r="L3076" s="4">
        <v>35217</v>
      </c>
      <c r="M3076" s="2" t="s">
        <v>53</v>
      </c>
      <c r="N3076" s="2" t="s">
        <v>686</v>
      </c>
    </row>
    <row r="3077" spans="1:14">
      <c r="A3077" s="2">
        <v>3076</v>
      </c>
      <c r="B3077" s="3" t="s">
        <v>10738</v>
      </c>
      <c r="C3077" s="2" t="s">
        <v>10739</v>
      </c>
      <c r="D3077" s="2">
        <v>42</v>
      </c>
      <c r="E3077" s="2">
        <v>48</v>
      </c>
      <c r="F3077" s="2" t="s">
        <v>10740</v>
      </c>
      <c r="H3077" s="2" t="s">
        <v>17</v>
      </c>
      <c r="K3077" s="4">
        <v>11771</v>
      </c>
      <c r="L3077" s="4">
        <v>38757</v>
      </c>
      <c r="M3077" s="2" t="s">
        <v>423</v>
      </c>
      <c r="N3077" s="2" t="s">
        <v>10741</v>
      </c>
    </row>
    <row r="3078" spans="1:14">
      <c r="A3078" s="2">
        <v>3077</v>
      </c>
      <c r="B3078" s="3" t="s">
        <v>10742</v>
      </c>
      <c r="C3078" s="2" t="s">
        <v>10743</v>
      </c>
      <c r="D3078" s="2">
        <v>48</v>
      </c>
      <c r="E3078" s="2">
        <v>48</v>
      </c>
      <c r="F3078" s="2" t="s">
        <v>10744</v>
      </c>
      <c r="H3078" s="2" t="s">
        <v>17</v>
      </c>
      <c r="K3078" s="4">
        <v>17713</v>
      </c>
      <c r="L3078" s="4">
        <v>38974</v>
      </c>
      <c r="M3078" s="2" t="s">
        <v>198</v>
      </c>
      <c r="N3078" s="2" t="s">
        <v>10745</v>
      </c>
    </row>
    <row r="3079" spans="1:14">
      <c r="A3079" s="2">
        <v>3078</v>
      </c>
      <c r="B3079" s="3" t="s">
        <v>10746</v>
      </c>
      <c r="C3079" s="2" t="s">
        <v>10747</v>
      </c>
      <c r="D3079" s="2">
        <v>48</v>
      </c>
      <c r="E3079" s="2">
        <v>48</v>
      </c>
      <c r="F3079" s="2" t="s">
        <v>10748</v>
      </c>
      <c r="H3079" s="2" t="s">
        <v>17</v>
      </c>
      <c r="K3079" s="4">
        <v>16430</v>
      </c>
      <c r="M3079" s="2" t="s">
        <v>35</v>
      </c>
      <c r="N3079" s="2" t="s">
        <v>3929</v>
      </c>
    </row>
    <row r="3080" spans="1:14">
      <c r="A3080" s="2">
        <v>3079</v>
      </c>
      <c r="B3080" s="3" t="s">
        <v>10749</v>
      </c>
      <c r="C3080" s="2" t="s">
        <v>10750</v>
      </c>
      <c r="D3080" s="2">
        <v>41</v>
      </c>
      <c r="E3080" s="2">
        <v>48</v>
      </c>
      <c r="F3080" s="2" t="s">
        <v>10751</v>
      </c>
      <c r="H3080" s="2" t="s">
        <v>17</v>
      </c>
      <c r="K3080" s="4">
        <v>10908</v>
      </c>
      <c r="L3080" s="4">
        <v>35636</v>
      </c>
      <c r="M3080" s="2" t="s">
        <v>66</v>
      </c>
      <c r="N3080" s="2" t="s">
        <v>3384</v>
      </c>
    </row>
    <row r="3081" spans="1:14">
      <c r="A3081" s="2">
        <v>3080</v>
      </c>
      <c r="B3081" s="3" t="s">
        <v>10752</v>
      </c>
      <c r="C3081" s="2" t="s">
        <v>10753</v>
      </c>
      <c r="D3081" s="2">
        <v>46</v>
      </c>
      <c r="E3081" s="2">
        <v>48</v>
      </c>
      <c r="F3081" s="2" t="s">
        <v>10754</v>
      </c>
      <c r="H3081" s="2" t="s">
        <v>17</v>
      </c>
      <c r="K3081" s="4">
        <v>10447</v>
      </c>
      <c r="M3081" s="2" t="s">
        <v>47</v>
      </c>
      <c r="N3081" s="2" t="s">
        <v>9753</v>
      </c>
    </row>
    <row r="3082" spans="1:14">
      <c r="A3082" s="2">
        <v>3081</v>
      </c>
      <c r="B3082" s="3" t="s">
        <v>10755</v>
      </c>
      <c r="C3082" s="2" t="s">
        <v>10756</v>
      </c>
      <c r="D3082" s="2">
        <v>48</v>
      </c>
      <c r="E3082" s="2">
        <v>48</v>
      </c>
      <c r="F3082" s="2" t="s">
        <v>10757</v>
      </c>
      <c r="H3082" s="2" t="s">
        <v>17</v>
      </c>
      <c r="K3082" s="4">
        <v>16270</v>
      </c>
      <c r="L3082" s="4">
        <v>44954</v>
      </c>
      <c r="M3082" s="2" t="s">
        <v>164</v>
      </c>
      <c r="N3082" s="2" t="s">
        <v>1223</v>
      </c>
    </row>
    <row r="3083" spans="1:14">
      <c r="A3083" s="2">
        <v>3082</v>
      </c>
      <c r="B3083" s="3" t="s">
        <v>10758</v>
      </c>
      <c r="C3083" s="2" t="s">
        <v>10759</v>
      </c>
      <c r="D3083" s="2">
        <v>48</v>
      </c>
      <c r="E3083" s="2">
        <v>48</v>
      </c>
      <c r="F3083" s="2" t="s">
        <v>10760</v>
      </c>
      <c r="H3083" s="2" t="s">
        <v>17</v>
      </c>
      <c r="K3083" s="4">
        <v>15497</v>
      </c>
      <c r="L3083" s="4">
        <v>40697</v>
      </c>
      <c r="M3083" s="2" t="s">
        <v>53</v>
      </c>
      <c r="N3083" s="2" t="s">
        <v>686</v>
      </c>
    </row>
    <row r="3084" spans="1:14">
      <c r="A3084" s="2">
        <v>3083</v>
      </c>
      <c r="B3084" s="3" t="s">
        <v>10761</v>
      </c>
      <c r="C3084" s="2" t="s">
        <v>10762</v>
      </c>
      <c r="D3084" s="2">
        <v>48</v>
      </c>
      <c r="E3084" s="2">
        <v>48</v>
      </c>
      <c r="F3084" s="2" t="s">
        <v>10763</v>
      </c>
      <c r="H3084" s="2" t="s">
        <v>17</v>
      </c>
      <c r="K3084" s="4">
        <v>17291</v>
      </c>
      <c r="M3084" s="2" t="s">
        <v>53</v>
      </c>
      <c r="N3084" s="2" t="s">
        <v>4568</v>
      </c>
    </row>
    <row r="3085" spans="1:14">
      <c r="A3085" s="2">
        <v>3084</v>
      </c>
      <c r="B3085" s="3" t="s">
        <v>10764</v>
      </c>
      <c r="C3085" s="2" t="s">
        <v>10765</v>
      </c>
      <c r="D3085" s="2">
        <v>47</v>
      </c>
      <c r="E3085" s="2">
        <v>48</v>
      </c>
      <c r="F3085" s="2" t="s">
        <v>10766</v>
      </c>
      <c r="H3085" s="2" t="s">
        <v>17</v>
      </c>
      <c r="K3085" s="4">
        <v>15308</v>
      </c>
      <c r="M3085" s="2" t="s">
        <v>47</v>
      </c>
      <c r="N3085" s="2" t="s">
        <v>48</v>
      </c>
    </row>
    <row r="3086" spans="1:14">
      <c r="A3086" s="2">
        <v>3085</v>
      </c>
      <c r="B3086" s="3" t="s">
        <v>10767</v>
      </c>
      <c r="C3086" s="2" t="s">
        <v>10768</v>
      </c>
      <c r="D3086" s="2">
        <v>47</v>
      </c>
      <c r="E3086" s="2">
        <v>48</v>
      </c>
      <c r="F3086" s="2" t="s">
        <v>10769</v>
      </c>
      <c r="H3086" s="2" t="s">
        <v>17</v>
      </c>
      <c r="K3086" s="4">
        <v>11837</v>
      </c>
      <c r="L3086" s="4">
        <v>44506</v>
      </c>
      <c r="M3086" s="2" t="s">
        <v>192</v>
      </c>
      <c r="N3086" s="2" t="s">
        <v>577</v>
      </c>
    </row>
    <row r="3087" spans="1:14">
      <c r="A3087" s="2">
        <v>3086</v>
      </c>
      <c r="B3087" s="3" t="s">
        <v>10770</v>
      </c>
      <c r="C3087" s="2" t="s">
        <v>10771</v>
      </c>
      <c r="D3087" s="2">
        <v>48</v>
      </c>
      <c r="E3087" s="2">
        <v>48</v>
      </c>
      <c r="F3087" s="2" t="s">
        <v>10772</v>
      </c>
      <c r="H3087" s="2" t="s">
        <v>17</v>
      </c>
      <c r="K3087" s="4">
        <v>20525</v>
      </c>
      <c r="M3087" s="2" t="s">
        <v>18</v>
      </c>
      <c r="N3087" s="2" t="s">
        <v>10773</v>
      </c>
    </row>
    <row r="3088" spans="1:14">
      <c r="A3088" s="2">
        <v>3087</v>
      </c>
      <c r="B3088" s="3" t="s">
        <v>10774</v>
      </c>
      <c r="C3088" s="2" t="s">
        <v>10775</v>
      </c>
      <c r="D3088" s="2">
        <v>42</v>
      </c>
      <c r="E3088" s="2">
        <v>48</v>
      </c>
      <c r="F3088" s="2" t="s">
        <v>10776</v>
      </c>
      <c r="H3088" s="2" t="s">
        <v>17</v>
      </c>
      <c r="K3088" s="4">
        <v>11165</v>
      </c>
      <c r="L3088" s="4">
        <v>41828</v>
      </c>
      <c r="M3088" s="2" t="s">
        <v>47</v>
      </c>
      <c r="N3088" s="2" t="s">
        <v>48</v>
      </c>
    </row>
    <row r="3089" spans="1:14">
      <c r="A3089" s="2">
        <v>3088</v>
      </c>
      <c r="B3089" s="3" t="s">
        <v>10777</v>
      </c>
      <c r="C3089" s="2" t="s">
        <v>10778</v>
      </c>
      <c r="D3089" s="2">
        <v>47</v>
      </c>
      <c r="E3089" s="2">
        <v>48</v>
      </c>
      <c r="F3089" s="2" t="s">
        <v>10779</v>
      </c>
      <c r="H3089" s="2" t="s">
        <v>17</v>
      </c>
      <c r="K3089" s="4">
        <v>9756</v>
      </c>
      <c r="L3089" s="4">
        <v>36073</v>
      </c>
      <c r="M3089" s="2" t="s">
        <v>341</v>
      </c>
      <c r="N3089" s="2" t="s">
        <v>342</v>
      </c>
    </row>
    <row r="3090" spans="1:14">
      <c r="A3090" s="2">
        <v>3089</v>
      </c>
      <c r="B3090" s="3" t="s">
        <v>10780</v>
      </c>
      <c r="C3090" s="2" t="s">
        <v>10781</v>
      </c>
      <c r="D3090" s="2">
        <v>48</v>
      </c>
      <c r="E3090" s="2">
        <v>48</v>
      </c>
      <c r="F3090" s="2" t="s">
        <v>10782</v>
      </c>
      <c r="H3090" s="2" t="s">
        <v>17</v>
      </c>
      <c r="K3090" s="4">
        <v>8007</v>
      </c>
      <c r="L3090" s="4">
        <v>39640</v>
      </c>
      <c r="M3090" s="2" t="s">
        <v>35</v>
      </c>
      <c r="N3090" s="2" t="s">
        <v>10783</v>
      </c>
    </row>
    <row r="3091" spans="1:14">
      <c r="A3091" s="2">
        <v>3090</v>
      </c>
      <c r="B3091" s="3" t="s">
        <v>10784</v>
      </c>
      <c r="C3091" s="2" t="s">
        <v>10785</v>
      </c>
      <c r="D3091" s="2">
        <v>46</v>
      </c>
      <c r="E3091" s="2">
        <v>48</v>
      </c>
      <c r="F3091" s="2" t="s">
        <v>10786</v>
      </c>
      <c r="H3091" s="2" t="s">
        <v>17</v>
      </c>
      <c r="K3091" s="4">
        <v>17451</v>
      </c>
      <c r="L3091" s="4">
        <v>42952</v>
      </c>
      <c r="M3091" s="2" t="s">
        <v>47</v>
      </c>
      <c r="N3091" s="2" t="s">
        <v>3636</v>
      </c>
    </row>
    <row r="3092" spans="1:14">
      <c r="A3092" s="2">
        <v>3091</v>
      </c>
      <c r="B3092" s="3" t="s">
        <v>10787</v>
      </c>
      <c r="C3092" s="2" t="s">
        <v>10788</v>
      </c>
      <c r="D3092" s="2">
        <v>47</v>
      </c>
      <c r="E3092" s="2">
        <v>48</v>
      </c>
      <c r="F3092" s="2" t="s">
        <v>10789</v>
      </c>
      <c r="H3092" s="2" t="s">
        <v>17</v>
      </c>
      <c r="K3092" s="4">
        <v>13070</v>
      </c>
      <c r="M3092" s="2" t="s">
        <v>40</v>
      </c>
      <c r="N3092" s="2" t="s">
        <v>2376</v>
      </c>
    </row>
    <row r="3093" spans="1:14">
      <c r="A3093" s="2">
        <v>3092</v>
      </c>
      <c r="B3093" s="3" t="s">
        <v>10790</v>
      </c>
      <c r="C3093" s="2" t="s">
        <v>10791</v>
      </c>
      <c r="D3093" s="2">
        <v>47</v>
      </c>
      <c r="E3093" s="2">
        <v>48</v>
      </c>
      <c r="F3093" s="2" t="s">
        <v>10792</v>
      </c>
      <c r="H3093" s="2" t="s">
        <v>17</v>
      </c>
      <c r="K3093" s="4">
        <v>20348</v>
      </c>
      <c r="M3093" s="2" t="s">
        <v>146</v>
      </c>
      <c r="N3093" s="2" t="s">
        <v>2196</v>
      </c>
    </row>
    <row r="3094" spans="1:14">
      <c r="A3094" s="2">
        <v>3093</v>
      </c>
      <c r="B3094" s="3" t="s">
        <v>10793</v>
      </c>
      <c r="C3094" s="2" t="s">
        <v>10794</v>
      </c>
      <c r="D3094" s="2">
        <v>47</v>
      </c>
      <c r="E3094" s="2">
        <v>48</v>
      </c>
      <c r="F3094" s="2" t="s">
        <v>10795</v>
      </c>
      <c r="H3094" s="2" t="s">
        <v>17</v>
      </c>
      <c r="K3094" s="4">
        <v>13617</v>
      </c>
      <c r="L3094" s="4">
        <v>35396</v>
      </c>
      <c r="M3094" s="2" t="s">
        <v>47</v>
      </c>
      <c r="N3094" s="2" t="s">
        <v>10796</v>
      </c>
    </row>
    <row r="3095" spans="1:14">
      <c r="A3095" s="2">
        <v>3094</v>
      </c>
      <c r="B3095" s="3" t="s">
        <v>10797</v>
      </c>
      <c r="C3095" s="2" t="s">
        <v>10798</v>
      </c>
      <c r="D3095" s="2">
        <v>47</v>
      </c>
      <c r="E3095" s="2">
        <v>48</v>
      </c>
      <c r="F3095" s="2" t="s">
        <v>10799</v>
      </c>
      <c r="H3095" s="2" t="s">
        <v>45</v>
      </c>
      <c r="K3095" s="4">
        <v>15013</v>
      </c>
      <c r="L3095" s="4">
        <v>40781</v>
      </c>
      <c r="M3095" s="2" t="s">
        <v>170</v>
      </c>
    </row>
    <row r="3096" spans="1:14">
      <c r="A3096" s="2">
        <v>3095</v>
      </c>
      <c r="B3096" s="3" t="s">
        <v>10800</v>
      </c>
      <c r="C3096" s="2" t="s">
        <v>10801</v>
      </c>
      <c r="D3096" s="2">
        <v>48</v>
      </c>
      <c r="E3096" s="2">
        <v>48</v>
      </c>
      <c r="F3096" s="2" t="s">
        <v>10802</v>
      </c>
      <c r="H3096" s="2" t="s">
        <v>17</v>
      </c>
      <c r="K3096" s="4">
        <v>11464</v>
      </c>
      <c r="M3096" s="2" t="s">
        <v>18</v>
      </c>
      <c r="N3096" s="2" t="s">
        <v>5247</v>
      </c>
    </row>
    <row r="3097" spans="1:14">
      <c r="A3097" s="2">
        <v>3096</v>
      </c>
      <c r="B3097" s="3" t="s">
        <v>10803</v>
      </c>
      <c r="C3097" s="2" t="s">
        <v>10804</v>
      </c>
      <c r="D3097" s="2">
        <v>48</v>
      </c>
      <c r="E3097" s="2">
        <v>48</v>
      </c>
      <c r="F3097" s="2" t="s">
        <v>10805</v>
      </c>
      <c r="H3097" s="2" t="s">
        <v>17</v>
      </c>
      <c r="K3097" s="4">
        <v>17942</v>
      </c>
      <c r="M3097" s="2" t="s">
        <v>47</v>
      </c>
      <c r="N3097" s="2" t="s">
        <v>48</v>
      </c>
    </row>
    <row r="3098" spans="1:14">
      <c r="A3098" s="2">
        <v>3097</v>
      </c>
      <c r="B3098" s="3" t="s">
        <v>10806</v>
      </c>
      <c r="C3098" s="2" t="s">
        <v>10807</v>
      </c>
      <c r="D3098" s="2">
        <v>48</v>
      </c>
      <c r="E3098" s="2">
        <v>48</v>
      </c>
      <c r="F3098" s="2" t="s">
        <v>10808</v>
      </c>
      <c r="H3098" s="2" t="s">
        <v>17</v>
      </c>
      <c r="K3098" s="4">
        <v>18209</v>
      </c>
      <c r="M3098" s="2" t="s">
        <v>35</v>
      </c>
      <c r="N3098" s="2" t="s">
        <v>238</v>
      </c>
    </row>
    <row r="3099" spans="1:14">
      <c r="A3099" s="2">
        <v>3098</v>
      </c>
      <c r="B3099" s="3" t="s">
        <v>10809</v>
      </c>
      <c r="C3099" s="2" t="s">
        <v>10810</v>
      </c>
      <c r="D3099" s="2">
        <v>48</v>
      </c>
      <c r="E3099" s="2">
        <v>48</v>
      </c>
      <c r="F3099" s="2" t="s">
        <v>10811</v>
      </c>
      <c r="H3099" s="2" t="s">
        <v>17</v>
      </c>
      <c r="K3099" s="4">
        <v>18270</v>
      </c>
      <c r="M3099" s="2" t="s">
        <v>35</v>
      </c>
      <c r="N3099" s="2" t="s">
        <v>58</v>
      </c>
    </row>
    <row r="3100" spans="1:14">
      <c r="A3100" s="2">
        <v>3099</v>
      </c>
      <c r="B3100" s="3" t="s">
        <v>10812</v>
      </c>
      <c r="C3100" s="2" t="s">
        <v>10813</v>
      </c>
      <c r="D3100" s="2">
        <v>48</v>
      </c>
      <c r="E3100" s="2">
        <v>48</v>
      </c>
      <c r="F3100" s="2" t="s">
        <v>10814</v>
      </c>
      <c r="H3100" s="2" t="s">
        <v>17</v>
      </c>
      <c r="K3100" s="4">
        <v>15547</v>
      </c>
      <c r="L3100" s="4">
        <v>44835</v>
      </c>
      <c r="M3100" s="2" t="s">
        <v>35</v>
      </c>
      <c r="N3100" s="2" t="s">
        <v>10815</v>
      </c>
    </row>
    <row r="3101" spans="1:14">
      <c r="A3101" s="2">
        <v>3100</v>
      </c>
      <c r="B3101" s="3" t="s">
        <v>10816</v>
      </c>
      <c r="C3101" s="2" t="s">
        <v>10817</v>
      </c>
      <c r="D3101" s="2">
        <v>48</v>
      </c>
      <c r="E3101" s="2">
        <v>48</v>
      </c>
      <c r="F3101" s="2" t="s">
        <v>10818</v>
      </c>
      <c r="H3101" s="2" t="s">
        <v>17</v>
      </c>
      <c r="K3101" s="4">
        <v>15712</v>
      </c>
      <c r="M3101" s="2" t="s">
        <v>35</v>
      </c>
      <c r="N3101" s="2" t="s">
        <v>10819</v>
      </c>
    </row>
    <row r="3102" spans="1:14">
      <c r="A3102" s="2">
        <v>3101</v>
      </c>
      <c r="B3102" s="3" t="s">
        <v>10820</v>
      </c>
      <c r="C3102" s="2" t="s">
        <v>10821</v>
      </c>
      <c r="D3102" s="2">
        <v>48</v>
      </c>
      <c r="E3102" s="2">
        <v>48</v>
      </c>
      <c r="F3102" s="2" t="s">
        <v>10822</v>
      </c>
      <c r="H3102" s="2" t="s">
        <v>17</v>
      </c>
      <c r="K3102" s="4">
        <v>9962</v>
      </c>
      <c r="L3102" s="4">
        <v>44640</v>
      </c>
      <c r="M3102" s="2" t="s">
        <v>35</v>
      </c>
      <c r="N3102" s="2" t="s">
        <v>2466</v>
      </c>
    </row>
    <row r="3103" spans="1:14">
      <c r="A3103" s="2">
        <v>3102</v>
      </c>
      <c r="B3103" s="3" t="s">
        <v>10823</v>
      </c>
      <c r="C3103" s="2" t="s">
        <v>10824</v>
      </c>
      <c r="D3103" s="2">
        <v>47</v>
      </c>
      <c r="E3103" s="2">
        <v>48</v>
      </c>
      <c r="F3103" s="2" t="s">
        <v>10825</v>
      </c>
      <c r="H3103" s="2" t="s">
        <v>17</v>
      </c>
      <c r="K3103" s="4">
        <v>18929</v>
      </c>
      <c r="M3103" s="2" t="s">
        <v>47</v>
      </c>
      <c r="N3103" s="2" t="s">
        <v>651</v>
      </c>
    </row>
    <row r="3104" spans="1:14">
      <c r="A3104" s="2">
        <v>3103</v>
      </c>
      <c r="B3104" s="3" t="s">
        <v>10826</v>
      </c>
      <c r="C3104" s="2" t="s">
        <v>10827</v>
      </c>
      <c r="D3104" s="2">
        <v>48</v>
      </c>
      <c r="E3104" s="2">
        <v>48</v>
      </c>
      <c r="F3104" s="2" t="s">
        <v>10828</v>
      </c>
      <c r="H3104" s="2" t="s">
        <v>17</v>
      </c>
      <c r="K3104" s="4">
        <v>14210</v>
      </c>
      <c r="L3104" s="4">
        <v>43621</v>
      </c>
      <c r="M3104" s="2" t="s">
        <v>66</v>
      </c>
      <c r="N3104" s="2" t="s">
        <v>8181</v>
      </c>
    </row>
    <row r="3105" spans="1:14">
      <c r="A3105" s="2">
        <v>3104</v>
      </c>
      <c r="B3105" s="3" t="s">
        <v>10829</v>
      </c>
      <c r="C3105" s="2" t="s">
        <v>10830</v>
      </c>
      <c r="D3105" s="2">
        <v>48</v>
      </c>
      <c r="E3105" s="2">
        <v>48</v>
      </c>
      <c r="F3105" s="2" t="s">
        <v>10831</v>
      </c>
      <c r="H3105" s="2" t="s">
        <v>17</v>
      </c>
      <c r="K3105" s="4">
        <v>16238</v>
      </c>
      <c r="M3105" s="2" t="s">
        <v>35</v>
      </c>
      <c r="N3105" s="2" t="s">
        <v>10832</v>
      </c>
    </row>
    <row r="3106" spans="1:14">
      <c r="A3106" s="2">
        <v>3105</v>
      </c>
      <c r="B3106" s="3" t="s">
        <v>10833</v>
      </c>
      <c r="C3106" s="2" t="s">
        <v>10834</v>
      </c>
      <c r="D3106" s="2">
        <v>46</v>
      </c>
      <c r="E3106" s="2">
        <v>48</v>
      </c>
      <c r="F3106" s="2" t="s">
        <v>10835</v>
      </c>
      <c r="H3106" s="2" t="s">
        <v>17</v>
      </c>
      <c r="K3106" s="4">
        <v>11599</v>
      </c>
      <c r="M3106" s="2" t="s">
        <v>341</v>
      </c>
      <c r="N3106" s="2" t="s">
        <v>10836</v>
      </c>
    </row>
    <row r="3107" spans="1:14">
      <c r="A3107" s="2">
        <v>3106</v>
      </c>
      <c r="B3107" s="3" t="s">
        <v>10837</v>
      </c>
      <c r="C3107" s="2" t="s">
        <v>10838</v>
      </c>
      <c r="D3107" s="2">
        <v>48</v>
      </c>
      <c r="E3107" s="2">
        <v>48</v>
      </c>
      <c r="F3107" s="2" t="s">
        <v>10839</v>
      </c>
      <c r="H3107" s="2" t="s">
        <v>17</v>
      </c>
      <c r="K3107" s="4">
        <v>13671</v>
      </c>
      <c r="M3107" s="2" t="s">
        <v>66</v>
      </c>
      <c r="N3107" s="2" t="s">
        <v>10840</v>
      </c>
    </row>
    <row r="3108" spans="1:14">
      <c r="A3108" s="2">
        <v>3107</v>
      </c>
      <c r="B3108" s="3" t="s">
        <v>10841</v>
      </c>
      <c r="C3108" s="2" t="s">
        <v>10842</v>
      </c>
      <c r="D3108" s="2">
        <v>48</v>
      </c>
      <c r="E3108" s="2">
        <v>48</v>
      </c>
      <c r="F3108" s="2" t="s">
        <v>10843</v>
      </c>
      <c r="H3108" s="2" t="s">
        <v>45</v>
      </c>
      <c r="K3108" s="4">
        <v>11720</v>
      </c>
      <c r="M3108" s="2" t="s">
        <v>30</v>
      </c>
      <c r="N3108" s="2" t="s">
        <v>7668</v>
      </c>
    </row>
    <row r="3109" spans="1:14">
      <c r="A3109" s="2">
        <v>3108</v>
      </c>
      <c r="B3109" s="3" t="s">
        <v>10844</v>
      </c>
      <c r="C3109" s="2" t="s">
        <v>10845</v>
      </c>
      <c r="D3109" s="2">
        <v>46</v>
      </c>
      <c r="E3109" s="2">
        <v>48</v>
      </c>
      <c r="F3109" s="2" t="s">
        <v>10846</v>
      </c>
      <c r="H3109" s="2" t="s">
        <v>17</v>
      </c>
      <c r="K3109" s="4">
        <v>12303</v>
      </c>
      <c r="L3109" s="4">
        <v>39632</v>
      </c>
      <c r="M3109" s="2" t="s">
        <v>47</v>
      </c>
      <c r="N3109" s="2" t="s">
        <v>10847</v>
      </c>
    </row>
    <row r="3110" spans="1:14">
      <c r="A3110" s="2">
        <v>3109</v>
      </c>
      <c r="B3110" s="3" t="s">
        <v>10848</v>
      </c>
      <c r="C3110" s="2" t="s">
        <v>10849</v>
      </c>
      <c r="D3110" s="2">
        <v>47</v>
      </c>
      <c r="E3110" s="2">
        <v>48</v>
      </c>
      <c r="F3110" s="2" t="s">
        <v>10850</v>
      </c>
      <c r="H3110" s="2" t="s">
        <v>17</v>
      </c>
      <c r="K3110" s="4">
        <v>11440</v>
      </c>
      <c r="L3110" s="4">
        <v>42314</v>
      </c>
      <c r="M3110" s="2" t="s">
        <v>35</v>
      </c>
    </row>
    <row r="3111" spans="1:14">
      <c r="A3111" s="2">
        <v>3110</v>
      </c>
      <c r="B3111" s="3" t="s">
        <v>10851</v>
      </c>
      <c r="C3111" s="2" t="s">
        <v>7381</v>
      </c>
      <c r="D3111" s="2">
        <v>48</v>
      </c>
      <c r="E3111" s="2">
        <v>48</v>
      </c>
      <c r="F3111" s="2" t="s">
        <v>10852</v>
      </c>
      <c r="H3111" s="2" t="s">
        <v>17</v>
      </c>
      <c r="K3111" s="4">
        <v>11156</v>
      </c>
      <c r="L3111" s="4">
        <v>34370</v>
      </c>
      <c r="M3111" s="2" t="s">
        <v>170</v>
      </c>
      <c r="N3111" s="2" t="s">
        <v>323</v>
      </c>
    </row>
    <row r="3112" spans="1:14">
      <c r="A3112" s="2">
        <v>3111</v>
      </c>
      <c r="B3112" s="3" t="s">
        <v>10853</v>
      </c>
      <c r="C3112" s="2" t="s">
        <v>10854</v>
      </c>
      <c r="D3112" s="2">
        <v>47</v>
      </c>
      <c r="E3112" s="2">
        <v>48</v>
      </c>
      <c r="F3112" s="2" t="s">
        <v>10855</v>
      </c>
      <c r="H3112" s="2" t="s">
        <v>17</v>
      </c>
      <c r="K3112" s="4">
        <v>22128</v>
      </c>
      <c r="M3112" s="2" t="s">
        <v>146</v>
      </c>
      <c r="N3112" s="2" t="s">
        <v>10856</v>
      </c>
    </row>
    <row r="3113" spans="1:14">
      <c r="A3113" s="2">
        <v>3112</v>
      </c>
      <c r="B3113" s="3" t="s">
        <v>10857</v>
      </c>
      <c r="C3113" s="2" t="s">
        <v>10858</v>
      </c>
      <c r="D3113" s="2">
        <v>48</v>
      </c>
      <c r="E3113" s="2">
        <v>48</v>
      </c>
      <c r="F3113" s="2" t="s">
        <v>10859</v>
      </c>
      <c r="H3113" s="2" t="s">
        <v>17</v>
      </c>
      <c r="K3113" s="4">
        <v>14076</v>
      </c>
      <c r="M3113" s="2" t="s">
        <v>35</v>
      </c>
      <c r="N3113" s="2" t="s">
        <v>58</v>
      </c>
    </row>
    <row r="3114" spans="1:14">
      <c r="A3114" s="2">
        <v>3113</v>
      </c>
      <c r="B3114" s="3" t="s">
        <v>10860</v>
      </c>
      <c r="C3114" s="2" t="s">
        <v>10861</v>
      </c>
      <c r="D3114" s="2">
        <v>44</v>
      </c>
      <c r="E3114" s="2">
        <v>48</v>
      </c>
      <c r="F3114" s="2" t="s">
        <v>10862</v>
      </c>
      <c r="H3114" s="2" t="s">
        <v>17</v>
      </c>
      <c r="K3114" s="4">
        <v>10441</v>
      </c>
      <c r="L3114" s="4">
        <v>45111</v>
      </c>
      <c r="M3114" s="2" t="s">
        <v>85</v>
      </c>
      <c r="N3114" s="2" t="s">
        <v>1254</v>
      </c>
    </row>
    <row r="3115" spans="1:14">
      <c r="A3115" s="2">
        <v>3114</v>
      </c>
      <c r="B3115" s="3" t="s">
        <v>10863</v>
      </c>
      <c r="C3115" s="2" t="s">
        <v>10864</v>
      </c>
      <c r="D3115" s="2">
        <v>48</v>
      </c>
      <c r="E3115" s="2">
        <v>48</v>
      </c>
      <c r="F3115" s="2" t="s">
        <v>10865</v>
      </c>
      <c r="H3115" s="2" t="s">
        <v>17</v>
      </c>
      <c r="K3115" s="4">
        <v>9624</v>
      </c>
      <c r="L3115" s="4">
        <v>38353</v>
      </c>
      <c r="M3115" s="2" t="s">
        <v>336</v>
      </c>
      <c r="N3115" s="2" t="s">
        <v>1883</v>
      </c>
    </row>
    <row r="3116" spans="1:14">
      <c r="A3116" s="2">
        <v>3115</v>
      </c>
      <c r="B3116" s="3" t="s">
        <v>10866</v>
      </c>
      <c r="C3116" s="2" t="s">
        <v>10867</v>
      </c>
      <c r="D3116" s="2">
        <v>47</v>
      </c>
      <c r="E3116" s="2">
        <v>48</v>
      </c>
      <c r="F3116" s="2" t="s">
        <v>10868</v>
      </c>
      <c r="H3116" s="2" t="s">
        <v>17</v>
      </c>
      <c r="K3116" s="4">
        <v>14373</v>
      </c>
      <c r="M3116" s="2" t="s">
        <v>192</v>
      </c>
      <c r="N3116" s="2" t="s">
        <v>193</v>
      </c>
    </row>
    <row r="3117" spans="1:14">
      <c r="A3117" s="2">
        <v>3116</v>
      </c>
      <c r="B3117" s="3" t="s">
        <v>10869</v>
      </c>
      <c r="C3117" s="2" t="s">
        <v>10870</v>
      </c>
      <c r="D3117" s="2">
        <v>48</v>
      </c>
      <c r="E3117" s="2">
        <v>48</v>
      </c>
      <c r="F3117" s="2" t="s">
        <v>10871</v>
      </c>
      <c r="H3117" s="2" t="s">
        <v>17</v>
      </c>
      <c r="K3117" s="4">
        <v>16913</v>
      </c>
      <c r="M3117" s="2" t="s">
        <v>154</v>
      </c>
      <c r="N3117" s="2" t="s">
        <v>10872</v>
      </c>
    </row>
    <row r="3118" spans="1:14">
      <c r="A3118" s="2">
        <v>3117</v>
      </c>
      <c r="B3118" s="3" t="s">
        <v>10873</v>
      </c>
      <c r="C3118" s="2" t="s">
        <v>10874</v>
      </c>
      <c r="D3118" s="2">
        <v>48</v>
      </c>
      <c r="E3118" s="2">
        <v>48</v>
      </c>
      <c r="F3118" s="2" t="s">
        <v>10875</v>
      </c>
      <c r="H3118" s="2" t="s">
        <v>17</v>
      </c>
      <c r="K3118" s="4">
        <v>17232</v>
      </c>
      <c r="M3118" s="2" t="s">
        <v>66</v>
      </c>
      <c r="N3118" s="2" t="s">
        <v>6179</v>
      </c>
    </row>
    <row r="3119" spans="1:14">
      <c r="A3119" s="2">
        <v>3118</v>
      </c>
      <c r="B3119" s="3" t="s">
        <v>10876</v>
      </c>
      <c r="C3119" s="2" t="s">
        <v>10877</v>
      </c>
      <c r="D3119" s="2">
        <v>48</v>
      </c>
      <c r="E3119" s="2">
        <v>48</v>
      </c>
      <c r="F3119" s="2" t="s">
        <v>10878</v>
      </c>
      <c r="H3119" s="2" t="s">
        <v>17</v>
      </c>
      <c r="K3119" s="4">
        <v>14036</v>
      </c>
      <c r="M3119" s="2" t="s">
        <v>18</v>
      </c>
      <c r="N3119" s="2" t="s">
        <v>10879</v>
      </c>
    </row>
    <row r="3120" spans="1:14">
      <c r="A3120" s="2">
        <v>3119</v>
      </c>
      <c r="B3120" s="3" t="s">
        <v>10880</v>
      </c>
      <c r="C3120" s="2" t="s">
        <v>10881</v>
      </c>
      <c r="D3120" s="2">
        <v>45</v>
      </c>
      <c r="E3120" s="2">
        <v>48</v>
      </c>
      <c r="F3120" s="2" t="s">
        <v>10882</v>
      </c>
      <c r="H3120" s="2" t="s">
        <v>17</v>
      </c>
      <c r="K3120" s="4">
        <v>15174</v>
      </c>
      <c r="L3120" s="4">
        <v>43854</v>
      </c>
      <c r="M3120" s="2" t="s">
        <v>47</v>
      </c>
      <c r="N3120" s="2" t="s">
        <v>1181</v>
      </c>
    </row>
    <row r="3121" spans="1:14">
      <c r="A3121" s="2">
        <v>3120</v>
      </c>
      <c r="B3121" s="3" t="s">
        <v>10883</v>
      </c>
      <c r="C3121" s="2" t="s">
        <v>10884</v>
      </c>
      <c r="D3121" s="2">
        <v>48</v>
      </c>
      <c r="E3121" s="2">
        <v>48</v>
      </c>
      <c r="F3121" s="2" t="s">
        <v>10885</v>
      </c>
      <c r="H3121" s="2" t="s">
        <v>17</v>
      </c>
      <c r="K3121" s="4">
        <v>8401</v>
      </c>
      <c r="L3121" s="4">
        <v>45227</v>
      </c>
      <c r="M3121" s="2" t="s">
        <v>47</v>
      </c>
      <c r="N3121" s="2" t="s">
        <v>10886</v>
      </c>
    </row>
    <row r="3122" spans="1:14">
      <c r="A3122" s="2">
        <v>3121</v>
      </c>
      <c r="B3122" s="3" t="s">
        <v>10887</v>
      </c>
      <c r="C3122" s="2" t="s">
        <v>10888</v>
      </c>
      <c r="D3122" s="2">
        <v>48</v>
      </c>
      <c r="E3122" s="2">
        <v>48</v>
      </c>
      <c r="F3122" s="2" t="s">
        <v>10889</v>
      </c>
      <c r="H3122" s="2" t="s">
        <v>17</v>
      </c>
      <c r="K3122" s="4">
        <v>14029</v>
      </c>
      <c r="M3122" s="2" t="s">
        <v>18</v>
      </c>
      <c r="N3122" s="2" t="s">
        <v>10890</v>
      </c>
    </row>
    <row r="3123" spans="1:14">
      <c r="A3123" s="2">
        <v>3122</v>
      </c>
      <c r="B3123" s="3" t="s">
        <v>10891</v>
      </c>
      <c r="C3123" s="2" t="s">
        <v>10892</v>
      </c>
      <c r="D3123" s="2">
        <v>48</v>
      </c>
      <c r="E3123" s="2">
        <v>48</v>
      </c>
      <c r="F3123" s="2" t="s">
        <v>10893</v>
      </c>
      <c r="H3123" s="2" t="s">
        <v>17</v>
      </c>
      <c r="K3123" s="4">
        <v>16367</v>
      </c>
      <c r="M3123" s="2" t="s">
        <v>85</v>
      </c>
      <c r="N3123" s="2" t="s">
        <v>2120</v>
      </c>
    </row>
    <row r="3124" spans="1:14">
      <c r="A3124" s="2">
        <v>3123</v>
      </c>
      <c r="B3124" s="3" t="s">
        <v>10894</v>
      </c>
      <c r="C3124" s="2" t="s">
        <v>10895</v>
      </c>
      <c r="D3124" s="2">
        <v>48</v>
      </c>
      <c r="E3124" s="2">
        <v>48</v>
      </c>
      <c r="F3124" s="2" t="s">
        <v>10896</v>
      </c>
      <c r="H3124" s="2" t="s">
        <v>17</v>
      </c>
      <c r="K3124" s="4">
        <v>15194</v>
      </c>
      <c r="L3124" s="4">
        <v>43946</v>
      </c>
      <c r="M3124" s="2" t="s">
        <v>192</v>
      </c>
      <c r="N3124" s="2" t="s">
        <v>193</v>
      </c>
    </row>
    <row r="3125" spans="1:14">
      <c r="A3125" s="2">
        <v>3124</v>
      </c>
      <c r="B3125" s="3" t="s">
        <v>10897</v>
      </c>
      <c r="C3125" s="2" t="s">
        <v>10898</v>
      </c>
      <c r="D3125" s="2">
        <v>44</v>
      </c>
      <c r="E3125" s="2">
        <v>48</v>
      </c>
      <c r="F3125" s="2" t="s">
        <v>10899</v>
      </c>
      <c r="H3125" s="2" t="s">
        <v>17</v>
      </c>
      <c r="K3125" s="4">
        <v>5900</v>
      </c>
      <c r="L3125" s="4">
        <v>40451</v>
      </c>
      <c r="M3125" s="2" t="s">
        <v>35</v>
      </c>
      <c r="N3125" s="2" t="s">
        <v>10900</v>
      </c>
    </row>
    <row r="3126" spans="1:14">
      <c r="A3126" s="2">
        <v>3125</v>
      </c>
      <c r="B3126" s="3" t="s">
        <v>10901</v>
      </c>
      <c r="C3126" s="2" t="s">
        <v>10902</v>
      </c>
      <c r="D3126" s="2">
        <v>48</v>
      </c>
      <c r="E3126" s="2">
        <v>48</v>
      </c>
      <c r="F3126" s="2" t="s">
        <v>10903</v>
      </c>
      <c r="H3126" s="2" t="s">
        <v>17</v>
      </c>
      <c r="K3126" s="4">
        <v>20915</v>
      </c>
      <c r="M3126" s="2" t="s">
        <v>423</v>
      </c>
      <c r="N3126" s="2" t="s">
        <v>10904</v>
      </c>
    </row>
    <row r="3127" spans="1:14">
      <c r="A3127" s="2">
        <v>3126</v>
      </c>
      <c r="B3127" s="3" t="s">
        <v>10905</v>
      </c>
      <c r="C3127" s="2" t="s">
        <v>10906</v>
      </c>
      <c r="D3127" s="2">
        <v>46</v>
      </c>
      <c r="E3127" s="2">
        <v>48</v>
      </c>
      <c r="F3127" s="2" t="s">
        <v>10907</v>
      </c>
      <c r="H3127" s="2" t="s">
        <v>17</v>
      </c>
      <c r="K3127" s="4">
        <v>6058</v>
      </c>
      <c r="L3127" s="4">
        <v>43074</v>
      </c>
      <c r="M3127" s="2" t="s">
        <v>66</v>
      </c>
      <c r="N3127" s="2" t="s">
        <v>1069</v>
      </c>
    </row>
    <row r="3128" spans="1:14">
      <c r="A3128" s="2">
        <v>3127</v>
      </c>
      <c r="B3128" s="3" t="s">
        <v>10908</v>
      </c>
      <c r="C3128" s="2" t="s">
        <v>10909</v>
      </c>
      <c r="D3128" s="2">
        <v>43</v>
      </c>
      <c r="E3128" s="2">
        <v>48</v>
      </c>
      <c r="F3128" s="2" t="s">
        <v>10910</v>
      </c>
      <c r="H3128" s="2" t="s">
        <v>17</v>
      </c>
      <c r="K3128" s="4">
        <v>8078</v>
      </c>
      <c r="L3128" s="4">
        <v>39293</v>
      </c>
      <c r="M3128" s="2" t="s">
        <v>185</v>
      </c>
      <c r="N3128" s="2" t="s">
        <v>838</v>
      </c>
    </row>
    <row r="3129" spans="1:14">
      <c r="A3129" s="2">
        <v>3128</v>
      </c>
      <c r="B3129" s="3" t="s">
        <v>10911</v>
      </c>
      <c r="C3129" s="2" t="s">
        <v>10912</v>
      </c>
      <c r="D3129" s="2">
        <v>48</v>
      </c>
      <c r="E3129" s="2">
        <v>48</v>
      </c>
      <c r="F3129" s="2" t="s">
        <v>10913</v>
      </c>
      <c r="H3129" s="2" t="s">
        <v>17</v>
      </c>
      <c r="K3129" s="4">
        <v>18747</v>
      </c>
      <c r="M3129" s="2" t="s">
        <v>423</v>
      </c>
      <c r="N3129" s="2" t="s">
        <v>10914</v>
      </c>
    </row>
    <row r="3130" spans="1:14">
      <c r="A3130" s="2">
        <v>3129</v>
      </c>
      <c r="B3130" s="3" t="s">
        <v>10915</v>
      </c>
      <c r="C3130" s="2" t="s">
        <v>10916</v>
      </c>
      <c r="D3130" s="2">
        <v>42</v>
      </c>
      <c r="E3130" s="2">
        <v>48</v>
      </c>
      <c r="F3130" s="2" t="s">
        <v>10917</v>
      </c>
      <c r="H3130" s="2" t="s">
        <v>17</v>
      </c>
      <c r="K3130" s="4">
        <v>6588</v>
      </c>
      <c r="L3130" s="4">
        <v>34732</v>
      </c>
      <c r="M3130" s="2" t="s">
        <v>336</v>
      </c>
      <c r="N3130" s="2" t="s">
        <v>2681</v>
      </c>
    </row>
    <row r="3131" spans="1:14">
      <c r="A3131" s="2">
        <v>3130</v>
      </c>
      <c r="B3131" s="3" t="s">
        <v>10918</v>
      </c>
      <c r="C3131" s="2" t="s">
        <v>10919</v>
      </c>
      <c r="D3131" s="2">
        <v>43</v>
      </c>
      <c r="E3131" s="2">
        <v>48</v>
      </c>
      <c r="F3131" s="2" t="s">
        <v>10920</v>
      </c>
      <c r="H3131" s="2" t="s">
        <v>17</v>
      </c>
      <c r="K3131" s="4">
        <v>13018</v>
      </c>
      <c r="L3131" s="4">
        <v>45723</v>
      </c>
      <c r="M3131" s="2" t="s">
        <v>146</v>
      </c>
      <c r="N3131" s="2" t="s">
        <v>7497</v>
      </c>
    </row>
    <row r="3132" spans="1:14">
      <c r="A3132" s="2">
        <v>3131</v>
      </c>
      <c r="B3132" s="3" t="s">
        <v>10921</v>
      </c>
      <c r="C3132" s="2" t="s">
        <v>10922</v>
      </c>
      <c r="D3132" s="2">
        <v>47</v>
      </c>
      <c r="E3132" s="2">
        <v>48</v>
      </c>
      <c r="F3132" s="2" t="s">
        <v>10923</v>
      </c>
      <c r="H3132" s="2" t="s">
        <v>17</v>
      </c>
      <c r="K3132" s="4">
        <v>8708</v>
      </c>
      <c r="M3132" s="2" t="s">
        <v>40</v>
      </c>
      <c r="N3132" s="2" t="s">
        <v>9352</v>
      </c>
    </row>
    <row r="3133" spans="1:14">
      <c r="A3133" s="2">
        <v>3132</v>
      </c>
      <c r="B3133" s="3" t="s">
        <v>10924</v>
      </c>
      <c r="C3133" s="2" t="s">
        <v>10925</v>
      </c>
      <c r="D3133" s="2">
        <v>48</v>
      </c>
      <c r="E3133" s="2">
        <v>48</v>
      </c>
      <c r="F3133" s="2" t="s">
        <v>10926</v>
      </c>
      <c r="H3133" s="2" t="s">
        <v>17</v>
      </c>
      <c r="K3133" s="4">
        <v>8620</v>
      </c>
      <c r="L3133" s="4">
        <v>39450</v>
      </c>
      <c r="M3133" s="2" t="s">
        <v>47</v>
      </c>
      <c r="N3133" s="2" t="s">
        <v>48</v>
      </c>
    </row>
    <row r="3134" spans="1:14">
      <c r="A3134" s="2">
        <v>3133</v>
      </c>
      <c r="B3134" s="3" t="s">
        <v>10927</v>
      </c>
      <c r="C3134" s="2" t="s">
        <v>10928</v>
      </c>
      <c r="D3134" s="2">
        <v>48</v>
      </c>
      <c r="E3134" s="2">
        <v>48</v>
      </c>
      <c r="F3134" s="2" t="s">
        <v>10929</v>
      </c>
      <c r="H3134" s="2" t="s">
        <v>17</v>
      </c>
      <c r="K3134" s="4">
        <v>15937</v>
      </c>
      <c r="M3134" s="2" t="s">
        <v>192</v>
      </c>
      <c r="N3134" s="2" t="s">
        <v>193</v>
      </c>
    </row>
    <row r="3135" spans="1:14">
      <c r="A3135" s="2">
        <v>3134</v>
      </c>
      <c r="B3135" s="3" t="s">
        <v>10930</v>
      </c>
      <c r="C3135" s="2" t="s">
        <v>10931</v>
      </c>
      <c r="D3135" s="2">
        <v>46</v>
      </c>
      <c r="E3135" s="2">
        <v>48</v>
      </c>
      <c r="F3135" s="2" t="s">
        <v>10932</v>
      </c>
      <c r="H3135" s="2" t="s">
        <v>17</v>
      </c>
      <c r="K3135" s="4">
        <v>7837</v>
      </c>
      <c r="L3135" s="4">
        <v>40832</v>
      </c>
      <c r="M3135" s="2" t="s">
        <v>185</v>
      </c>
      <c r="N3135" s="2" t="s">
        <v>10933</v>
      </c>
    </row>
    <row r="3136" spans="1:14">
      <c r="A3136" s="2">
        <v>3135</v>
      </c>
      <c r="B3136" s="3" t="s">
        <v>10934</v>
      </c>
      <c r="C3136" s="2" t="s">
        <v>10935</v>
      </c>
      <c r="D3136" s="2">
        <v>48</v>
      </c>
      <c r="E3136" s="2">
        <v>48</v>
      </c>
      <c r="F3136" s="2" t="s">
        <v>10936</v>
      </c>
      <c r="H3136" s="2" t="s">
        <v>17</v>
      </c>
      <c r="K3136" s="4">
        <v>13176</v>
      </c>
      <c r="M3136" s="2" t="s">
        <v>47</v>
      </c>
      <c r="N3136" s="2" t="s">
        <v>10937</v>
      </c>
    </row>
    <row r="3137" spans="1:14">
      <c r="A3137" s="2">
        <v>3136</v>
      </c>
      <c r="B3137" s="3" t="s">
        <v>10938</v>
      </c>
      <c r="C3137" s="2" t="s">
        <v>10939</v>
      </c>
      <c r="D3137" s="2">
        <v>45</v>
      </c>
      <c r="E3137" s="2">
        <v>48</v>
      </c>
      <c r="F3137" s="2" t="s">
        <v>10940</v>
      </c>
      <c r="H3137" s="2" t="s">
        <v>17</v>
      </c>
      <c r="K3137" s="4">
        <v>13961</v>
      </c>
      <c r="L3137" s="4">
        <v>43717</v>
      </c>
      <c r="M3137" s="2" t="s">
        <v>423</v>
      </c>
      <c r="N3137" s="2" t="s">
        <v>621</v>
      </c>
    </row>
    <row r="3138" spans="1:14">
      <c r="A3138" s="2">
        <v>3137</v>
      </c>
      <c r="B3138" s="3" t="s">
        <v>10941</v>
      </c>
      <c r="C3138" s="2" t="s">
        <v>10942</v>
      </c>
      <c r="D3138" s="2">
        <v>48</v>
      </c>
      <c r="E3138" s="2">
        <v>48</v>
      </c>
      <c r="F3138" s="2" t="s">
        <v>10943</v>
      </c>
      <c r="H3138" s="2" t="s">
        <v>45</v>
      </c>
      <c r="K3138" s="4">
        <v>16485</v>
      </c>
      <c r="L3138" s="4">
        <v>42901</v>
      </c>
      <c r="M3138" s="2" t="s">
        <v>336</v>
      </c>
      <c r="N3138" s="2" t="s">
        <v>2681</v>
      </c>
    </row>
    <row r="3139" spans="1:14">
      <c r="A3139" s="2">
        <v>3138</v>
      </c>
      <c r="B3139" s="3" t="s">
        <v>10944</v>
      </c>
      <c r="C3139" s="2" t="s">
        <v>10945</v>
      </c>
      <c r="D3139" s="2">
        <v>48</v>
      </c>
      <c r="E3139" s="2">
        <v>48</v>
      </c>
      <c r="F3139" s="2" t="s">
        <v>10946</v>
      </c>
      <c r="H3139" s="2" t="s">
        <v>17</v>
      </c>
      <c r="K3139" s="4">
        <v>16724</v>
      </c>
      <c r="M3139" s="2" t="s">
        <v>35</v>
      </c>
      <c r="N3139" s="2" t="s">
        <v>1369</v>
      </c>
    </row>
    <row r="3140" spans="1:14">
      <c r="A3140" s="2">
        <v>3139</v>
      </c>
      <c r="B3140" s="3" t="s">
        <v>10947</v>
      </c>
      <c r="C3140" s="2" t="s">
        <v>10948</v>
      </c>
      <c r="D3140" s="2">
        <v>47</v>
      </c>
      <c r="E3140" s="2">
        <v>47</v>
      </c>
      <c r="F3140" s="2" t="s">
        <v>10949</v>
      </c>
      <c r="H3140" s="2" t="s">
        <v>17</v>
      </c>
      <c r="K3140" s="4">
        <v>5187</v>
      </c>
      <c r="L3140" s="4">
        <v>40687</v>
      </c>
      <c r="M3140" s="2" t="s">
        <v>47</v>
      </c>
      <c r="N3140" s="2" t="s">
        <v>3707</v>
      </c>
    </row>
    <row r="3141" spans="1:14">
      <c r="A3141" s="2">
        <v>3140</v>
      </c>
      <c r="B3141" s="3" t="s">
        <v>10950</v>
      </c>
      <c r="C3141" s="2" t="s">
        <v>10951</v>
      </c>
      <c r="D3141" s="2">
        <v>47</v>
      </c>
      <c r="E3141" s="2">
        <v>47</v>
      </c>
      <c r="F3141" s="2" t="s">
        <v>10952</v>
      </c>
      <c r="H3141" s="2" t="s">
        <v>17</v>
      </c>
      <c r="K3141" s="4">
        <v>11758</v>
      </c>
      <c r="M3141" s="2" t="s">
        <v>47</v>
      </c>
    </row>
    <row r="3142" spans="1:14">
      <c r="A3142" s="2">
        <v>3141</v>
      </c>
      <c r="B3142" s="3" t="s">
        <v>10953</v>
      </c>
      <c r="C3142" s="2" t="s">
        <v>10954</v>
      </c>
      <c r="D3142" s="2">
        <v>43</v>
      </c>
      <c r="E3142" s="2">
        <v>47</v>
      </c>
      <c r="F3142" s="2" t="s">
        <v>10955</v>
      </c>
      <c r="H3142" s="2" t="s">
        <v>17</v>
      </c>
      <c r="K3142" s="4">
        <v>11316</v>
      </c>
      <c r="L3142" s="4">
        <v>39631</v>
      </c>
      <c r="M3142" s="2" t="s">
        <v>423</v>
      </c>
      <c r="N3142" s="2" t="s">
        <v>10207</v>
      </c>
    </row>
    <row r="3143" spans="1:14">
      <c r="A3143" s="2">
        <v>3142</v>
      </c>
      <c r="B3143" s="3" t="s">
        <v>10956</v>
      </c>
      <c r="C3143" s="2" t="s">
        <v>10957</v>
      </c>
      <c r="D3143" s="2">
        <v>45</v>
      </c>
      <c r="E3143" s="2">
        <v>47</v>
      </c>
      <c r="F3143" s="2" t="s">
        <v>10957</v>
      </c>
      <c r="H3143" s="2" t="s">
        <v>17</v>
      </c>
      <c r="K3143" s="4">
        <v>14562</v>
      </c>
      <c r="L3143" s="4">
        <v>44264</v>
      </c>
      <c r="M3143" s="2" t="s">
        <v>47</v>
      </c>
      <c r="N3143" s="2" t="s">
        <v>417</v>
      </c>
    </row>
    <row r="3144" spans="1:14">
      <c r="A3144" s="2">
        <v>3143</v>
      </c>
      <c r="B3144" s="3" t="s">
        <v>10958</v>
      </c>
      <c r="C3144" s="2" t="s">
        <v>10959</v>
      </c>
      <c r="D3144" s="2">
        <v>46</v>
      </c>
      <c r="E3144" s="2">
        <v>47</v>
      </c>
      <c r="F3144" s="2" t="s">
        <v>10960</v>
      </c>
      <c r="H3144" s="2" t="s">
        <v>17</v>
      </c>
      <c r="K3144" s="4">
        <v>11617</v>
      </c>
      <c r="L3144" s="4">
        <v>35115</v>
      </c>
      <c r="M3144" s="2" t="s">
        <v>91</v>
      </c>
      <c r="N3144" s="2" t="s">
        <v>677</v>
      </c>
    </row>
    <row r="3145" spans="1:14">
      <c r="A3145" s="2">
        <v>3144</v>
      </c>
      <c r="B3145" s="3" t="s">
        <v>10961</v>
      </c>
      <c r="C3145" s="2" t="s">
        <v>10962</v>
      </c>
      <c r="D3145" s="2">
        <v>42</v>
      </c>
      <c r="E3145" s="2">
        <v>47</v>
      </c>
      <c r="F3145" s="2" t="s">
        <v>10963</v>
      </c>
      <c r="H3145" s="2" t="s">
        <v>17</v>
      </c>
      <c r="K3145" s="4">
        <v>9866</v>
      </c>
      <c r="L3145" s="4">
        <v>40454</v>
      </c>
      <c r="M3145" s="2" t="s">
        <v>35</v>
      </c>
      <c r="N3145" s="2" t="s">
        <v>372</v>
      </c>
    </row>
    <row r="3146" spans="1:14">
      <c r="A3146" s="2">
        <v>3145</v>
      </c>
      <c r="B3146" s="3" t="s">
        <v>10964</v>
      </c>
      <c r="C3146" s="2" t="s">
        <v>10965</v>
      </c>
      <c r="D3146" s="2">
        <v>43</v>
      </c>
      <c r="E3146" s="2">
        <v>47</v>
      </c>
      <c r="F3146" s="2" t="s">
        <v>10966</v>
      </c>
      <c r="H3146" s="2" t="s">
        <v>17</v>
      </c>
      <c r="K3146" s="4">
        <v>8995</v>
      </c>
      <c r="L3146" s="4">
        <v>35595</v>
      </c>
      <c r="M3146" s="2" t="s">
        <v>336</v>
      </c>
      <c r="N3146" s="2" t="s">
        <v>10967</v>
      </c>
    </row>
    <row r="3147" spans="1:14">
      <c r="A3147" s="2">
        <v>3146</v>
      </c>
      <c r="B3147" s="3" t="s">
        <v>10968</v>
      </c>
      <c r="C3147" s="2" t="s">
        <v>10969</v>
      </c>
      <c r="D3147" s="2">
        <v>44</v>
      </c>
      <c r="E3147" s="2">
        <v>47</v>
      </c>
      <c r="F3147" s="2" t="s">
        <v>10970</v>
      </c>
      <c r="H3147" s="2" t="s">
        <v>17</v>
      </c>
      <c r="K3147" s="4">
        <v>7844</v>
      </c>
      <c r="L3147" s="4">
        <v>41134</v>
      </c>
      <c r="M3147" s="2" t="s">
        <v>198</v>
      </c>
      <c r="N3147" s="2" t="s">
        <v>199</v>
      </c>
    </row>
    <row r="3148" spans="1:14">
      <c r="A3148" s="2">
        <v>3147</v>
      </c>
      <c r="B3148" s="3" t="s">
        <v>10971</v>
      </c>
      <c r="C3148" s="2" t="s">
        <v>10972</v>
      </c>
      <c r="D3148" s="2">
        <v>45</v>
      </c>
      <c r="E3148" s="2">
        <v>47</v>
      </c>
      <c r="F3148" s="2" t="s">
        <v>10973</v>
      </c>
      <c r="H3148" s="2" t="s">
        <v>17</v>
      </c>
      <c r="K3148" s="4">
        <v>16681</v>
      </c>
      <c r="M3148" s="2" t="s">
        <v>47</v>
      </c>
      <c r="N3148" s="2" t="s">
        <v>7409</v>
      </c>
    </row>
    <row r="3149" spans="1:14">
      <c r="A3149" s="2">
        <v>3148</v>
      </c>
      <c r="B3149" s="3" t="s">
        <v>10974</v>
      </c>
      <c r="C3149" s="2" t="s">
        <v>10975</v>
      </c>
      <c r="D3149" s="2">
        <v>47</v>
      </c>
      <c r="E3149" s="2">
        <v>47</v>
      </c>
      <c r="F3149" s="2" t="s">
        <v>10976</v>
      </c>
      <c r="H3149" s="2" t="s">
        <v>17</v>
      </c>
      <c r="K3149" s="4">
        <v>15788</v>
      </c>
      <c r="M3149" s="2" t="s">
        <v>341</v>
      </c>
      <c r="N3149" s="2" t="s">
        <v>10977</v>
      </c>
    </row>
    <row r="3150" spans="1:14">
      <c r="A3150" s="2">
        <v>3149</v>
      </c>
      <c r="B3150" s="3" t="s">
        <v>10978</v>
      </c>
      <c r="C3150" s="2" t="s">
        <v>10979</v>
      </c>
      <c r="D3150" s="2">
        <v>45</v>
      </c>
      <c r="E3150" s="2">
        <v>47</v>
      </c>
      <c r="F3150" s="2" t="s">
        <v>10980</v>
      </c>
      <c r="H3150" s="2" t="s">
        <v>17</v>
      </c>
      <c r="K3150" s="4">
        <v>11111</v>
      </c>
      <c r="L3150" s="4">
        <v>45238</v>
      </c>
      <c r="M3150" s="2" t="s">
        <v>47</v>
      </c>
      <c r="N3150" s="2" t="s">
        <v>3765</v>
      </c>
    </row>
    <row r="3151" spans="1:14">
      <c r="A3151" s="2">
        <v>3150</v>
      </c>
      <c r="B3151" s="3" t="s">
        <v>10981</v>
      </c>
      <c r="C3151" s="2" t="s">
        <v>10982</v>
      </c>
      <c r="D3151" s="2">
        <v>44</v>
      </c>
      <c r="E3151" s="2">
        <v>47</v>
      </c>
      <c r="F3151" s="2" t="s">
        <v>10983</v>
      </c>
      <c r="H3151" s="2" t="s">
        <v>17</v>
      </c>
      <c r="K3151" s="4">
        <v>9355</v>
      </c>
      <c r="L3151" s="4">
        <v>44207</v>
      </c>
      <c r="M3151" s="2" t="s">
        <v>85</v>
      </c>
      <c r="N3151" s="2" t="s">
        <v>7180</v>
      </c>
    </row>
    <row r="3152" spans="1:14">
      <c r="A3152" s="2">
        <v>3151</v>
      </c>
      <c r="B3152" s="3" t="s">
        <v>10984</v>
      </c>
      <c r="C3152" s="2" t="s">
        <v>10985</v>
      </c>
      <c r="D3152" s="2">
        <v>46</v>
      </c>
      <c r="E3152" s="2">
        <v>47</v>
      </c>
      <c r="F3152" s="2" t="s">
        <v>10986</v>
      </c>
      <c r="H3152" s="2" t="s">
        <v>17</v>
      </c>
      <c r="K3152" s="4">
        <v>9601</v>
      </c>
      <c r="L3152" s="4">
        <v>40278</v>
      </c>
      <c r="M3152" s="2" t="s">
        <v>85</v>
      </c>
      <c r="N3152" s="2" t="s">
        <v>9578</v>
      </c>
    </row>
    <row r="3153" spans="1:14">
      <c r="A3153" s="2">
        <v>3152</v>
      </c>
      <c r="B3153" s="3" t="s">
        <v>10987</v>
      </c>
      <c r="C3153" s="2" t="s">
        <v>10988</v>
      </c>
      <c r="D3153" s="2">
        <v>44</v>
      </c>
      <c r="E3153" s="2">
        <v>47</v>
      </c>
      <c r="F3153" s="2" t="s">
        <v>10989</v>
      </c>
      <c r="H3153" s="2" t="s">
        <v>17</v>
      </c>
      <c r="K3153" s="4">
        <v>12475</v>
      </c>
      <c r="L3153" s="4">
        <v>43704</v>
      </c>
      <c r="M3153" s="2" t="s">
        <v>35</v>
      </c>
      <c r="N3153" s="2" t="s">
        <v>10990</v>
      </c>
    </row>
    <row r="3154" spans="1:14">
      <c r="A3154" s="2">
        <v>3153</v>
      </c>
      <c r="B3154" s="3" t="s">
        <v>10991</v>
      </c>
      <c r="C3154" s="2" t="s">
        <v>10992</v>
      </c>
      <c r="D3154" s="2">
        <v>46</v>
      </c>
      <c r="E3154" s="2">
        <v>47</v>
      </c>
      <c r="F3154" s="2" t="s">
        <v>10993</v>
      </c>
      <c r="H3154" s="2" t="s">
        <v>17</v>
      </c>
      <c r="K3154" s="4">
        <v>14357</v>
      </c>
      <c r="L3154" s="4">
        <v>43824</v>
      </c>
      <c r="M3154" s="2" t="s">
        <v>247</v>
      </c>
      <c r="N3154" s="2" t="s">
        <v>562</v>
      </c>
    </row>
    <row r="3155" spans="1:14">
      <c r="A3155" s="2">
        <v>3154</v>
      </c>
      <c r="B3155" s="3" t="s">
        <v>10994</v>
      </c>
      <c r="C3155" s="2" t="s">
        <v>10995</v>
      </c>
      <c r="D3155" s="2">
        <v>44</v>
      </c>
      <c r="E3155" s="2">
        <v>47</v>
      </c>
      <c r="F3155" s="2" t="s">
        <v>10996</v>
      </c>
      <c r="H3155" s="2" t="s">
        <v>17</v>
      </c>
      <c r="K3155" s="4">
        <v>10997</v>
      </c>
      <c r="L3155" s="4">
        <v>38058</v>
      </c>
      <c r="M3155" s="2" t="s">
        <v>76</v>
      </c>
      <c r="N3155" s="2" t="s">
        <v>9298</v>
      </c>
    </row>
    <row r="3156" spans="1:14">
      <c r="A3156" s="2">
        <v>3155</v>
      </c>
      <c r="B3156" s="3" t="s">
        <v>10997</v>
      </c>
      <c r="C3156" s="2" t="s">
        <v>10998</v>
      </c>
      <c r="D3156" s="2">
        <v>46</v>
      </c>
      <c r="E3156" s="2">
        <v>47</v>
      </c>
      <c r="F3156" s="2" t="s">
        <v>10999</v>
      </c>
      <c r="H3156" s="2" t="s">
        <v>17</v>
      </c>
      <c r="K3156" s="4">
        <v>14721</v>
      </c>
      <c r="M3156" s="2" t="s">
        <v>154</v>
      </c>
      <c r="N3156" s="2" t="s">
        <v>208</v>
      </c>
    </row>
    <row r="3157" spans="1:14">
      <c r="A3157" s="2">
        <v>3156</v>
      </c>
      <c r="B3157" s="3" t="s">
        <v>11000</v>
      </c>
      <c r="C3157" s="2" t="s">
        <v>11001</v>
      </c>
      <c r="D3157" s="2">
        <v>47</v>
      </c>
      <c r="E3157" s="2">
        <v>47</v>
      </c>
      <c r="F3157" s="2" t="s">
        <v>11002</v>
      </c>
      <c r="H3157" s="2" t="s">
        <v>17</v>
      </c>
      <c r="K3157" s="4">
        <v>16377</v>
      </c>
      <c r="M3157" s="2" t="s">
        <v>154</v>
      </c>
      <c r="N3157" s="2" t="s">
        <v>9150</v>
      </c>
    </row>
    <row r="3158" spans="1:14">
      <c r="A3158" s="2">
        <v>3157</v>
      </c>
      <c r="B3158" s="3" t="s">
        <v>11003</v>
      </c>
      <c r="C3158" s="2" t="s">
        <v>11004</v>
      </c>
      <c r="D3158" s="2">
        <v>46</v>
      </c>
      <c r="E3158" s="2">
        <v>47</v>
      </c>
      <c r="F3158" s="2" t="s">
        <v>11005</v>
      </c>
      <c r="H3158" s="2" t="s">
        <v>17</v>
      </c>
      <c r="K3158" s="4">
        <v>9633</v>
      </c>
      <c r="M3158" s="2" t="s">
        <v>164</v>
      </c>
      <c r="N3158" s="2" t="s">
        <v>165</v>
      </c>
    </row>
    <row r="3159" spans="1:14">
      <c r="A3159" s="2">
        <v>3158</v>
      </c>
      <c r="B3159" s="3" t="s">
        <v>11006</v>
      </c>
      <c r="C3159" s="2" t="s">
        <v>11007</v>
      </c>
      <c r="D3159" s="2">
        <v>47</v>
      </c>
      <c r="E3159" s="2">
        <v>47</v>
      </c>
      <c r="F3159" s="2" t="s">
        <v>11008</v>
      </c>
      <c r="H3159" s="2" t="s">
        <v>17</v>
      </c>
    </row>
    <row r="3160" spans="1:14">
      <c r="A3160" s="2">
        <v>3159</v>
      </c>
      <c r="B3160" s="3" t="s">
        <v>11009</v>
      </c>
      <c r="C3160" s="2" t="s">
        <v>11010</v>
      </c>
      <c r="D3160" s="2">
        <v>46</v>
      </c>
      <c r="E3160" s="2">
        <v>47</v>
      </c>
      <c r="F3160" s="2" t="s">
        <v>11011</v>
      </c>
      <c r="H3160" s="2" t="s">
        <v>17</v>
      </c>
      <c r="K3160" s="4">
        <v>16595</v>
      </c>
      <c r="L3160" s="4">
        <v>44894</v>
      </c>
      <c r="M3160" s="2" t="s">
        <v>35</v>
      </c>
      <c r="N3160" s="2" t="s">
        <v>703</v>
      </c>
    </row>
    <row r="3161" spans="1:14">
      <c r="A3161" s="2">
        <v>3160</v>
      </c>
      <c r="B3161" s="3" t="s">
        <v>11012</v>
      </c>
      <c r="C3161" s="2" t="s">
        <v>11013</v>
      </c>
      <c r="D3161" s="2">
        <v>47</v>
      </c>
      <c r="E3161" s="2">
        <v>47</v>
      </c>
      <c r="F3161" s="2" t="s">
        <v>11014</v>
      </c>
      <c r="H3161" s="2" t="s">
        <v>17</v>
      </c>
      <c r="K3161" s="4">
        <v>12021</v>
      </c>
      <c r="L3161" s="4">
        <v>32246</v>
      </c>
      <c r="M3161" s="2" t="s">
        <v>198</v>
      </c>
      <c r="N3161" s="2" t="s">
        <v>2772</v>
      </c>
    </row>
    <row r="3162" spans="1:14">
      <c r="A3162" s="2">
        <v>3161</v>
      </c>
      <c r="B3162" s="3" t="s">
        <v>11015</v>
      </c>
      <c r="C3162" s="2" t="s">
        <v>11016</v>
      </c>
      <c r="D3162" s="2">
        <v>44</v>
      </c>
      <c r="E3162" s="2">
        <v>47</v>
      </c>
      <c r="F3162" s="2" t="s">
        <v>11017</v>
      </c>
      <c r="H3162" s="2" t="s">
        <v>17</v>
      </c>
      <c r="K3162" s="4">
        <v>9577</v>
      </c>
      <c r="L3162" s="4">
        <v>33339</v>
      </c>
      <c r="M3162" s="2" t="s">
        <v>336</v>
      </c>
      <c r="N3162" s="2" t="s">
        <v>11018</v>
      </c>
    </row>
    <row r="3163" spans="1:14">
      <c r="A3163" s="2">
        <v>3162</v>
      </c>
      <c r="B3163" s="3" t="s">
        <v>11019</v>
      </c>
      <c r="C3163" s="2" t="s">
        <v>11020</v>
      </c>
      <c r="D3163" s="2">
        <v>45</v>
      </c>
      <c r="E3163" s="2">
        <v>47</v>
      </c>
      <c r="F3163" s="2" t="s">
        <v>11021</v>
      </c>
      <c r="H3163" s="2" t="s">
        <v>17</v>
      </c>
      <c r="K3163" s="4">
        <v>6284</v>
      </c>
      <c r="L3163" s="4">
        <v>36844</v>
      </c>
      <c r="M3163" s="2" t="s">
        <v>76</v>
      </c>
      <c r="N3163" s="2" t="s">
        <v>11022</v>
      </c>
    </row>
    <row r="3164" spans="1:14">
      <c r="A3164" s="2">
        <v>3163</v>
      </c>
      <c r="B3164" s="3" t="s">
        <v>11023</v>
      </c>
      <c r="C3164" s="2" t="s">
        <v>11024</v>
      </c>
      <c r="D3164" s="2">
        <v>46</v>
      </c>
      <c r="E3164" s="2">
        <v>47</v>
      </c>
      <c r="F3164" s="2" t="s">
        <v>11025</v>
      </c>
      <c r="H3164" s="2" t="s">
        <v>17</v>
      </c>
      <c r="K3164" s="4">
        <v>15561</v>
      </c>
      <c r="M3164" s="2" t="s">
        <v>154</v>
      </c>
      <c r="N3164" s="2" t="s">
        <v>346</v>
      </c>
    </row>
    <row r="3165" spans="1:14">
      <c r="A3165" s="2">
        <v>3164</v>
      </c>
      <c r="B3165" s="3" t="s">
        <v>11026</v>
      </c>
      <c r="C3165" s="2" t="s">
        <v>11027</v>
      </c>
      <c r="D3165" s="2">
        <v>45</v>
      </c>
      <c r="E3165" s="2">
        <v>47</v>
      </c>
      <c r="F3165" s="2" t="s">
        <v>11028</v>
      </c>
      <c r="H3165" s="2" t="s">
        <v>17</v>
      </c>
      <c r="K3165" s="4">
        <v>15506</v>
      </c>
      <c r="M3165" s="2" t="s">
        <v>85</v>
      </c>
      <c r="N3165" s="2" t="s">
        <v>7824</v>
      </c>
    </row>
    <row r="3166" spans="1:14">
      <c r="A3166" s="2">
        <v>3165</v>
      </c>
      <c r="B3166" s="3" t="s">
        <v>11029</v>
      </c>
      <c r="C3166" s="2" t="s">
        <v>11030</v>
      </c>
      <c r="D3166" s="2">
        <v>47</v>
      </c>
      <c r="E3166" s="2">
        <v>47</v>
      </c>
      <c r="F3166" s="2" t="s">
        <v>11031</v>
      </c>
      <c r="H3166" s="2" t="s">
        <v>17</v>
      </c>
      <c r="K3166" s="4">
        <v>16263</v>
      </c>
      <c r="M3166" s="2" t="s">
        <v>40</v>
      </c>
      <c r="N3166" s="2" t="s">
        <v>11032</v>
      </c>
    </row>
    <row r="3167" spans="1:14">
      <c r="A3167" s="2">
        <v>3166</v>
      </c>
      <c r="B3167" s="3" t="s">
        <v>11033</v>
      </c>
      <c r="C3167" s="2" t="s">
        <v>11034</v>
      </c>
      <c r="D3167" s="2">
        <v>44</v>
      </c>
      <c r="E3167" s="2">
        <v>47</v>
      </c>
      <c r="F3167" s="2" t="s">
        <v>11035</v>
      </c>
      <c r="H3167" s="2" t="s">
        <v>17</v>
      </c>
      <c r="K3167" s="4">
        <v>13595</v>
      </c>
      <c r="L3167" s="4">
        <v>37007</v>
      </c>
      <c r="M3167" s="2" t="s">
        <v>24</v>
      </c>
      <c r="N3167" s="2" t="s">
        <v>3163</v>
      </c>
    </row>
    <row r="3168" spans="1:14">
      <c r="A3168" s="2">
        <v>3167</v>
      </c>
      <c r="B3168" s="3" t="s">
        <v>11036</v>
      </c>
      <c r="C3168" s="2" t="s">
        <v>11037</v>
      </c>
      <c r="D3168" s="2">
        <v>47</v>
      </c>
      <c r="E3168" s="2">
        <v>47</v>
      </c>
      <c r="F3168" s="2" t="s">
        <v>11038</v>
      </c>
      <c r="H3168" s="2" t="s">
        <v>17</v>
      </c>
      <c r="K3168" s="4">
        <v>14139</v>
      </c>
      <c r="M3168" s="2" t="s">
        <v>35</v>
      </c>
      <c r="N3168" s="2" t="s">
        <v>2849</v>
      </c>
    </row>
    <row r="3169" spans="1:14">
      <c r="A3169" s="2">
        <v>3168</v>
      </c>
      <c r="B3169" s="3" t="s">
        <v>11039</v>
      </c>
      <c r="C3169" s="2" t="s">
        <v>11040</v>
      </c>
      <c r="D3169" s="2">
        <v>42</v>
      </c>
      <c r="E3169" s="2">
        <v>47</v>
      </c>
      <c r="F3169" s="2" t="s">
        <v>11041</v>
      </c>
      <c r="H3169" s="2" t="s">
        <v>17</v>
      </c>
      <c r="K3169" s="4">
        <v>4923</v>
      </c>
      <c r="L3169" s="4">
        <v>33699</v>
      </c>
      <c r="M3169" s="2" t="s">
        <v>336</v>
      </c>
    </row>
    <row r="3170" spans="1:14">
      <c r="A3170" s="2">
        <v>3169</v>
      </c>
      <c r="B3170" s="3" t="s">
        <v>11042</v>
      </c>
      <c r="C3170" s="2" t="s">
        <v>11043</v>
      </c>
      <c r="D3170" s="2">
        <v>47</v>
      </c>
      <c r="E3170" s="2">
        <v>47</v>
      </c>
      <c r="F3170" s="2" t="s">
        <v>11044</v>
      </c>
      <c r="H3170" s="2" t="s">
        <v>17</v>
      </c>
      <c r="K3170" s="4">
        <v>12486</v>
      </c>
      <c r="M3170" s="2" t="s">
        <v>91</v>
      </c>
      <c r="N3170" s="2" t="s">
        <v>677</v>
      </c>
    </row>
    <row r="3171" spans="1:14">
      <c r="A3171" s="2">
        <v>3170</v>
      </c>
      <c r="B3171" s="3" t="s">
        <v>11045</v>
      </c>
      <c r="C3171" s="2" t="s">
        <v>11046</v>
      </c>
      <c r="D3171" s="2">
        <v>47</v>
      </c>
      <c r="E3171" s="2">
        <v>47</v>
      </c>
      <c r="F3171" s="2" t="s">
        <v>11047</v>
      </c>
      <c r="H3171" s="2" t="s">
        <v>17</v>
      </c>
      <c r="K3171" s="4">
        <v>10639</v>
      </c>
      <c r="M3171" s="2" t="s">
        <v>30</v>
      </c>
      <c r="N3171" s="2" t="s">
        <v>31</v>
      </c>
    </row>
    <row r="3172" spans="1:14">
      <c r="A3172" s="2">
        <v>3171</v>
      </c>
      <c r="B3172" s="3" t="s">
        <v>11048</v>
      </c>
      <c r="C3172" s="2" t="s">
        <v>11049</v>
      </c>
      <c r="D3172" s="2">
        <v>47</v>
      </c>
      <c r="E3172" s="2">
        <v>47</v>
      </c>
      <c r="F3172" s="2" t="s">
        <v>11050</v>
      </c>
      <c r="H3172" s="2" t="s">
        <v>17</v>
      </c>
      <c r="K3172" s="4">
        <v>8158</v>
      </c>
      <c r="L3172" s="4">
        <v>42331</v>
      </c>
      <c r="M3172" s="2" t="s">
        <v>198</v>
      </c>
      <c r="N3172" s="2" t="s">
        <v>6249</v>
      </c>
    </row>
    <row r="3173" spans="1:14">
      <c r="A3173" s="2">
        <v>3172</v>
      </c>
      <c r="B3173" s="3" t="s">
        <v>11051</v>
      </c>
      <c r="C3173" s="2" t="s">
        <v>11052</v>
      </c>
      <c r="D3173" s="2">
        <v>46</v>
      </c>
      <c r="E3173" s="2">
        <v>47</v>
      </c>
      <c r="F3173" s="2" t="s">
        <v>11053</v>
      </c>
      <c r="H3173" s="2" t="s">
        <v>17</v>
      </c>
      <c r="K3173" s="4">
        <v>13315</v>
      </c>
      <c r="L3173" s="4">
        <v>39395</v>
      </c>
      <c r="M3173" s="2" t="s">
        <v>154</v>
      </c>
      <c r="N3173" s="2" t="s">
        <v>11054</v>
      </c>
    </row>
    <row r="3174" spans="1:14">
      <c r="A3174" s="2">
        <v>3173</v>
      </c>
      <c r="B3174" s="3" t="s">
        <v>11055</v>
      </c>
      <c r="C3174" s="2" t="s">
        <v>11056</v>
      </c>
      <c r="D3174" s="2">
        <v>45</v>
      </c>
      <c r="E3174" s="2">
        <v>47</v>
      </c>
      <c r="F3174" s="2" t="s">
        <v>11057</v>
      </c>
      <c r="H3174" s="2" t="s">
        <v>17</v>
      </c>
      <c r="K3174" s="4">
        <v>10876</v>
      </c>
      <c r="L3174" s="4">
        <v>32898</v>
      </c>
      <c r="M3174" s="2" t="s">
        <v>154</v>
      </c>
      <c r="N3174" s="2" t="s">
        <v>8836</v>
      </c>
    </row>
    <row r="3175" spans="1:14">
      <c r="A3175" s="2">
        <v>3174</v>
      </c>
      <c r="B3175" s="3" t="s">
        <v>11058</v>
      </c>
      <c r="C3175" s="2" t="s">
        <v>11059</v>
      </c>
      <c r="D3175" s="2">
        <v>47</v>
      </c>
      <c r="E3175" s="2">
        <v>47</v>
      </c>
      <c r="F3175" s="2" t="s">
        <v>11060</v>
      </c>
      <c r="H3175" s="2" t="s">
        <v>17</v>
      </c>
      <c r="K3175" s="4">
        <v>11574</v>
      </c>
    </row>
    <row r="3176" spans="1:14">
      <c r="A3176" s="2">
        <v>3175</v>
      </c>
      <c r="B3176" s="3" t="s">
        <v>11061</v>
      </c>
      <c r="C3176" s="2" t="s">
        <v>7552</v>
      </c>
      <c r="D3176" s="2">
        <v>43</v>
      </c>
      <c r="E3176" s="2">
        <v>47</v>
      </c>
      <c r="F3176" s="2" t="s">
        <v>11062</v>
      </c>
      <c r="H3176" s="2" t="s">
        <v>17</v>
      </c>
      <c r="K3176" s="4">
        <v>4631</v>
      </c>
      <c r="L3176" s="4">
        <v>37970</v>
      </c>
      <c r="M3176" s="2" t="s">
        <v>91</v>
      </c>
      <c r="N3176" s="2" t="s">
        <v>11063</v>
      </c>
    </row>
    <row r="3177" spans="1:14">
      <c r="A3177" s="2">
        <v>3176</v>
      </c>
      <c r="B3177" s="3" t="s">
        <v>11064</v>
      </c>
      <c r="C3177" s="2" t="s">
        <v>11065</v>
      </c>
      <c r="D3177" s="2">
        <v>45</v>
      </c>
      <c r="E3177" s="2">
        <v>47</v>
      </c>
      <c r="F3177" s="2" t="s">
        <v>11066</v>
      </c>
      <c r="H3177" s="2" t="s">
        <v>17</v>
      </c>
      <c r="K3177" s="4">
        <v>10986</v>
      </c>
      <c r="L3177" s="4">
        <v>45047</v>
      </c>
      <c r="M3177" s="2" t="s">
        <v>66</v>
      </c>
      <c r="N3177" s="2" t="s">
        <v>1561</v>
      </c>
    </row>
    <row r="3178" spans="1:14">
      <c r="A3178" s="2">
        <v>3177</v>
      </c>
      <c r="B3178" s="3" t="s">
        <v>11067</v>
      </c>
      <c r="C3178" s="2" t="s">
        <v>11068</v>
      </c>
      <c r="D3178" s="2">
        <v>46</v>
      </c>
      <c r="E3178" s="2">
        <v>47</v>
      </c>
      <c r="F3178" s="2" t="s">
        <v>11069</v>
      </c>
      <c r="H3178" s="2" t="s">
        <v>17</v>
      </c>
      <c r="K3178" s="4">
        <v>14457</v>
      </c>
      <c r="M3178" s="2" t="s">
        <v>47</v>
      </c>
      <c r="N3178" s="2" t="s">
        <v>11070</v>
      </c>
    </row>
    <row r="3179" spans="1:14">
      <c r="A3179" s="2">
        <v>3178</v>
      </c>
      <c r="B3179" s="3" t="s">
        <v>11071</v>
      </c>
      <c r="C3179" s="2" t="s">
        <v>11072</v>
      </c>
      <c r="D3179" s="2">
        <v>47</v>
      </c>
      <c r="E3179" s="2">
        <v>47</v>
      </c>
      <c r="F3179" s="2" t="s">
        <v>11073</v>
      </c>
      <c r="H3179" s="2" t="s">
        <v>17</v>
      </c>
      <c r="K3179" s="4">
        <v>11522</v>
      </c>
      <c r="L3179" s="4">
        <v>41457</v>
      </c>
      <c r="M3179" s="2" t="s">
        <v>66</v>
      </c>
      <c r="N3179" s="2" t="s">
        <v>3262</v>
      </c>
    </row>
    <row r="3180" spans="1:14">
      <c r="A3180" s="2">
        <v>3179</v>
      </c>
      <c r="B3180" s="3" t="s">
        <v>11074</v>
      </c>
      <c r="C3180" s="2" t="s">
        <v>11075</v>
      </c>
      <c r="D3180" s="2">
        <v>47</v>
      </c>
      <c r="E3180" s="2">
        <v>47</v>
      </c>
      <c r="F3180" s="2" t="s">
        <v>11076</v>
      </c>
      <c r="H3180" s="2" t="s">
        <v>17</v>
      </c>
      <c r="K3180" s="4">
        <v>6865</v>
      </c>
      <c r="M3180" s="2" t="s">
        <v>91</v>
      </c>
      <c r="N3180" s="2" t="s">
        <v>11077</v>
      </c>
    </row>
    <row r="3181" spans="1:14">
      <c r="A3181" s="2">
        <v>3180</v>
      </c>
      <c r="B3181" s="3" t="s">
        <v>11078</v>
      </c>
      <c r="C3181" s="2" t="s">
        <v>11079</v>
      </c>
      <c r="D3181" s="2">
        <v>47</v>
      </c>
      <c r="E3181" s="2">
        <v>47</v>
      </c>
      <c r="F3181" s="2" t="s">
        <v>11080</v>
      </c>
      <c r="H3181" s="2" t="s">
        <v>17</v>
      </c>
      <c r="K3181" s="4">
        <v>16609</v>
      </c>
      <c r="M3181" s="2" t="s">
        <v>185</v>
      </c>
      <c r="N3181" s="2" t="s">
        <v>186</v>
      </c>
    </row>
    <row r="3182" spans="1:14">
      <c r="A3182" s="2">
        <v>3181</v>
      </c>
      <c r="B3182" s="3" t="s">
        <v>11081</v>
      </c>
      <c r="C3182" s="2" t="s">
        <v>11082</v>
      </c>
      <c r="D3182" s="2">
        <v>47</v>
      </c>
      <c r="E3182" s="2">
        <v>47</v>
      </c>
      <c r="F3182" s="2" t="s">
        <v>11083</v>
      </c>
      <c r="H3182" s="2" t="s">
        <v>17</v>
      </c>
      <c r="K3182" s="4">
        <v>15786</v>
      </c>
      <c r="M3182" s="2" t="s">
        <v>18</v>
      </c>
      <c r="N3182" s="2" t="s">
        <v>10890</v>
      </c>
    </row>
    <row r="3183" spans="1:14">
      <c r="A3183" s="2">
        <v>3182</v>
      </c>
      <c r="B3183" s="3" t="s">
        <v>11084</v>
      </c>
      <c r="C3183" s="2" t="s">
        <v>11085</v>
      </c>
      <c r="D3183" s="2">
        <v>46</v>
      </c>
      <c r="E3183" s="2">
        <v>47</v>
      </c>
      <c r="F3183" s="2" t="s">
        <v>11086</v>
      </c>
      <c r="H3183" s="2" t="s">
        <v>17</v>
      </c>
      <c r="K3183" s="4">
        <v>9256</v>
      </c>
      <c r="L3183" s="4">
        <v>42717</v>
      </c>
      <c r="M3183" s="2" t="s">
        <v>164</v>
      </c>
      <c r="N3183" s="2" t="s">
        <v>11087</v>
      </c>
    </row>
    <row r="3184" spans="1:14">
      <c r="A3184" s="2">
        <v>3183</v>
      </c>
      <c r="B3184" s="3" t="s">
        <v>11088</v>
      </c>
      <c r="C3184" s="2" t="s">
        <v>11089</v>
      </c>
      <c r="D3184" s="2">
        <v>44</v>
      </c>
      <c r="E3184" s="2">
        <v>47</v>
      </c>
      <c r="F3184" s="2" t="s">
        <v>11090</v>
      </c>
      <c r="H3184" s="2" t="s">
        <v>17</v>
      </c>
      <c r="K3184" s="4">
        <v>10813</v>
      </c>
      <c r="L3184" s="4">
        <v>38983</v>
      </c>
      <c r="M3184" s="2" t="s">
        <v>53</v>
      </c>
      <c r="N3184" s="2" t="s">
        <v>54</v>
      </c>
    </row>
    <row r="3185" spans="1:14">
      <c r="A3185" s="2">
        <v>3184</v>
      </c>
      <c r="B3185" s="3" t="s">
        <v>11091</v>
      </c>
      <c r="C3185" s="2" t="s">
        <v>11092</v>
      </c>
      <c r="D3185" s="2">
        <v>47</v>
      </c>
      <c r="E3185" s="2">
        <v>47</v>
      </c>
      <c r="F3185" s="2" t="s">
        <v>11093</v>
      </c>
      <c r="H3185" s="2" t="s">
        <v>17</v>
      </c>
      <c r="K3185" s="4">
        <v>15104</v>
      </c>
      <c r="M3185" s="2" t="s">
        <v>47</v>
      </c>
      <c r="N3185" s="2" t="s">
        <v>442</v>
      </c>
    </row>
    <row r="3186" spans="1:14">
      <c r="A3186" s="2">
        <v>3185</v>
      </c>
      <c r="B3186" s="3" t="s">
        <v>11094</v>
      </c>
      <c r="C3186" s="2" t="s">
        <v>11095</v>
      </c>
      <c r="D3186" s="2">
        <v>46</v>
      </c>
      <c r="E3186" s="2">
        <v>47</v>
      </c>
      <c r="F3186" s="2" t="s">
        <v>11096</v>
      </c>
      <c r="H3186" s="2" t="s">
        <v>17</v>
      </c>
      <c r="K3186" s="4">
        <v>12938</v>
      </c>
      <c r="M3186" s="2" t="s">
        <v>35</v>
      </c>
      <c r="N3186" s="2" t="s">
        <v>11097</v>
      </c>
    </row>
    <row r="3187" spans="1:14">
      <c r="A3187" s="2">
        <v>3186</v>
      </c>
      <c r="B3187" s="3" t="s">
        <v>11098</v>
      </c>
      <c r="C3187" s="2" t="s">
        <v>11099</v>
      </c>
      <c r="D3187" s="2">
        <v>47</v>
      </c>
      <c r="E3187" s="2">
        <v>47</v>
      </c>
      <c r="F3187" s="2" t="s">
        <v>11100</v>
      </c>
      <c r="H3187" s="2" t="s">
        <v>17</v>
      </c>
      <c r="K3187" s="4">
        <v>13963</v>
      </c>
      <c r="M3187" s="2" t="s">
        <v>91</v>
      </c>
      <c r="N3187" s="2" t="s">
        <v>3224</v>
      </c>
    </row>
    <row r="3188" spans="1:14">
      <c r="A3188" s="2">
        <v>3187</v>
      </c>
      <c r="B3188" s="3" t="s">
        <v>11101</v>
      </c>
      <c r="C3188" s="2" t="s">
        <v>11102</v>
      </c>
      <c r="D3188" s="2">
        <v>46</v>
      </c>
      <c r="E3188" s="2">
        <v>47</v>
      </c>
      <c r="F3188" s="2" t="s">
        <v>11103</v>
      </c>
      <c r="H3188" s="2" t="s">
        <v>17</v>
      </c>
      <c r="K3188" s="4">
        <v>12841</v>
      </c>
      <c r="M3188" s="2" t="s">
        <v>140</v>
      </c>
      <c r="N3188" s="2" t="s">
        <v>11104</v>
      </c>
    </row>
    <row r="3189" spans="1:14">
      <c r="A3189" s="2">
        <v>3188</v>
      </c>
      <c r="B3189" s="3" t="s">
        <v>11105</v>
      </c>
      <c r="C3189" s="2" t="s">
        <v>11106</v>
      </c>
      <c r="D3189" s="2">
        <v>47</v>
      </c>
      <c r="E3189" s="2">
        <v>47</v>
      </c>
      <c r="F3189" s="2" t="s">
        <v>11107</v>
      </c>
      <c r="H3189" s="2" t="s">
        <v>17</v>
      </c>
      <c r="K3189" s="4">
        <v>11294</v>
      </c>
      <c r="M3189" s="2" t="s">
        <v>170</v>
      </c>
    </row>
    <row r="3190" spans="1:14">
      <c r="A3190" s="2">
        <v>3189</v>
      </c>
      <c r="B3190" s="3" t="s">
        <v>11108</v>
      </c>
      <c r="C3190" s="2" t="s">
        <v>11109</v>
      </c>
      <c r="D3190" s="2">
        <v>46</v>
      </c>
      <c r="E3190" s="2">
        <v>47</v>
      </c>
      <c r="F3190" s="2" t="s">
        <v>11110</v>
      </c>
      <c r="H3190" s="2" t="s">
        <v>17</v>
      </c>
      <c r="K3190" s="4">
        <v>12395</v>
      </c>
      <c r="M3190" s="2" t="s">
        <v>76</v>
      </c>
      <c r="N3190" s="2" t="s">
        <v>6628</v>
      </c>
    </row>
    <row r="3191" spans="1:14">
      <c r="A3191" s="2">
        <v>3190</v>
      </c>
      <c r="B3191" s="3" t="s">
        <v>11111</v>
      </c>
      <c r="C3191" s="2" t="s">
        <v>11112</v>
      </c>
      <c r="D3191" s="2">
        <v>47</v>
      </c>
      <c r="E3191" s="2">
        <v>47</v>
      </c>
      <c r="F3191" s="2" t="s">
        <v>11113</v>
      </c>
      <c r="H3191" s="2" t="s">
        <v>17</v>
      </c>
      <c r="K3191" s="4">
        <v>15433</v>
      </c>
      <c r="L3191" s="4">
        <v>44333</v>
      </c>
      <c r="M3191" s="2" t="s">
        <v>66</v>
      </c>
      <c r="N3191" s="2" t="s">
        <v>1693</v>
      </c>
    </row>
    <row r="3192" spans="1:14">
      <c r="A3192" s="2">
        <v>3191</v>
      </c>
      <c r="B3192" s="3" t="s">
        <v>11114</v>
      </c>
      <c r="C3192" s="2" t="s">
        <v>11115</v>
      </c>
      <c r="D3192" s="2">
        <v>47</v>
      </c>
      <c r="E3192" s="2">
        <v>47</v>
      </c>
      <c r="F3192" s="2" t="s">
        <v>11116</v>
      </c>
      <c r="H3192" s="2" t="s">
        <v>17</v>
      </c>
      <c r="K3192" s="4">
        <v>13747</v>
      </c>
      <c r="M3192" s="2" t="s">
        <v>35</v>
      </c>
      <c r="N3192" s="2" t="s">
        <v>1158</v>
      </c>
    </row>
    <row r="3193" spans="1:14">
      <c r="A3193" s="2">
        <v>3192</v>
      </c>
      <c r="B3193" s="3" t="s">
        <v>11117</v>
      </c>
      <c r="C3193" s="2" t="s">
        <v>11118</v>
      </c>
      <c r="D3193" s="2">
        <v>46</v>
      </c>
      <c r="E3193" s="2">
        <v>47</v>
      </c>
      <c r="F3193" s="2" t="s">
        <v>11119</v>
      </c>
      <c r="H3193" s="2" t="s">
        <v>17</v>
      </c>
      <c r="K3193" s="4">
        <v>7022</v>
      </c>
      <c r="L3193" s="4">
        <v>31361</v>
      </c>
      <c r="M3193" s="2" t="s">
        <v>35</v>
      </c>
      <c r="N3193" s="2" t="s">
        <v>9780</v>
      </c>
    </row>
    <row r="3194" spans="1:14">
      <c r="A3194" s="2">
        <v>3193</v>
      </c>
      <c r="B3194" s="3" t="s">
        <v>11120</v>
      </c>
      <c r="C3194" s="2" t="s">
        <v>11121</v>
      </c>
      <c r="D3194" s="2">
        <v>42</v>
      </c>
      <c r="E3194" s="2">
        <v>47</v>
      </c>
      <c r="F3194" s="2" t="s">
        <v>11122</v>
      </c>
      <c r="H3194" s="2" t="s">
        <v>17</v>
      </c>
      <c r="K3194" s="4">
        <v>8934</v>
      </c>
      <c r="L3194" s="4">
        <v>33251</v>
      </c>
      <c r="M3194" s="2" t="s">
        <v>47</v>
      </c>
      <c r="N3194" s="2" t="s">
        <v>11123</v>
      </c>
    </row>
    <row r="3195" spans="1:14">
      <c r="A3195" s="2">
        <v>3194</v>
      </c>
      <c r="B3195" s="3" t="s">
        <v>11124</v>
      </c>
      <c r="C3195" s="2" t="s">
        <v>11125</v>
      </c>
      <c r="D3195" s="2">
        <v>45</v>
      </c>
      <c r="E3195" s="2">
        <v>47</v>
      </c>
      <c r="F3195" s="2" t="s">
        <v>11126</v>
      </c>
      <c r="H3195" s="2" t="s">
        <v>17</v>
      </c>
      <c r="K3195" s="4">
        <v>8167</v>
      </c>
      <c r="L3195" s="4">
        <v>45117</v>
      </c>
    </row>
    <row r="3196" spans="1:14">
      <c r="A3196" s="2">
        <v>3195</v>
      </c>
      <c r="B3196" s="3" t="s">
        <v>11127</v>
      </c>
      <c r="C3196" s="2" t="s">
        <v>11128</v>
      </c>
      <c r="D3196" s="2">
        <v>45</v>
      </c>
      <c r="E3196" s="2">
        <v>47</v>
      </c>
      <c r="F3196" s="2" t="s">
        <v>11129</v>
      </c>
      <c r="H3196" s="2" t="s">
        <v>17</v>
      </c>
      <c r="K3196" s="4">
        <v>8425</v>
      </c>
      <c r="L3196" s="4">
        <v>40039</v>
      </c>
      <c r="M3196" s="2" t="s">
        <v>91</v>
      </c>
      <c r="N3196" s="2" t="s">
        <v>975</v>
      </c>
    </row>
    <row r="3197" spans="1:14">
      <c r="A3197" s="2">
        <v>3196</v>
      </c>
      <c r="B3197" s="3" t="s">
        <v>11130</v>
      </c>
      <c r="C3197" s="2" t="s">
        <v>11131</v>
      </c>
      <c r="D3197" s="2">
        <v>39</v>
      </c>
      <c r="E3197" s="2">
        <v>47</v>
      </c>
      <c r="F3197" s="2" t="s">
        <v>11132</v>
      </c>
      <c r="H3197" s="2" t="s">
        <v>17</v>
      </c>
      <c r="K3197" s="4">
        <v>6059</v>
      </c>
      <c r="L3197" s="4">
        <v>42564</v>
      </c>
      <c r="M3197" s="2" t="s">
        <v>170</v>
      </c>
    </row>
    <row r="3198" spans="1:14">
      <c r="A3198" s="2">
        <v>3197</v>
      </c>
      <c r="B3198" s="3" t="s">
        <v>11133</v>
      </c>
      <c r="C3198" s="2" t="s">
        <v>11134</v>
      </c>
      <c r="D3198" s="2">
        <v>47</v>
      </c>
      <c r="E3198" s="2">
        <v>47</v>
      </c>
      <c r="F3198" s="2" t="s">
        <v>11135</v>
      </c>
      <c r="H3198" s="2" t="s">
        <v>17</v>
      </c>
      <c r="K3198" s="4">
        <v>6461</v>
      </c>
      <c r="L3198" s="4">
        <v>37856</v>
      </c>
      <c r="M3198" s="2" t="s">
        <v>154</v>
      </c>
      <c r="N3198" s="2" t="s">
        <v>7047</v>
      </c>
    </row>
    <row r="3199" spans="1:14">
      <c r="A3199" s="2">
        <v>3198</v>
      </c>
      <c r="B3199" s="3" t="s">
        <v>11136</v>
      </c>
      <c r="C3199" s="2" t="s">
        <v>11137</v>
      </c>
      <c r="D3199" s="2">
        <v>47</v>
      </c>
      <c r="E3199" s="2">
        <v>47</v>
      </c>
      <c r="F3199" s="2" t="s">
        <v>11138</v>
      </c>
      <c r="H3199" s="2" t="s">
        <v>17</v>
      </c>
      <c r="K3199" s="4">
        <v>11255</v>
      </c>
      <c r="M3199" s="2" t="s">
        <v>164</v>
      </c>
      <c r="N3199" s="2" t="s">
        <v>1223</v>
      </c>
    </row>
    <row r="3200" spans="1:14">
      <c r="A3200" s="2">
        <v>3199</v>
      </c>
      <c r="B3200" s="3" t="s">
        <v>11139</v>
      </c>
      <c r="C3200" s="2" t="s">
        <v>11140</v>
      </c>
      <c r="D3200" s="2">
        <v>45</v>
      </c>
      <c r="E3200" s="2">
        <v>47</v>
      </c>
      <c r="F3200" s="2" t="s">
        <v>11141</v>
      </c>
      <c r="H3200" s="2" t="s">
        <v>17</v>
      </c>
      <c r="K3200" s="4">
        <v>8079</v>
      </c>
      <c r="L3200" s="4">
        <v>39986</v>
      </c>
      <c r="M3200" s="2" t="s">
        <v>85</v>
      </c>
      <c r="N3200" s="2" t="s">
        <v>11142</v>
      </c>
    </row>
    <row r="3201" spans="1:14">
      <c r="A3201" s="2">
        <v>3200</v>
      </c>
      <c r="B3201" s="3" t="s">
        <v>11143</v>
      </c>
      <c r="C3201" s="2" t="s">
        <v>11144</v>
      </c>
      <c r="D3201" s="2">
        <v>46</v>
      </c>
      <c r="E3201" s="2">
        <v>47</v>
      </c>
      <c r="F3201" s="2" t="s">
        <v>11145</v>
      </c>
      <c r="H3201" s="2" t="s">
        <v>17</v>
      </c>
      <c r="K3201" s="4">
        <v>16067</v>
      </c>
      <c r="M3201" s="2" t="s">
        <v>85</v>
      </c>
      <c r="N3201" s="2" t="s">
        <v>86</v>
      </c>
    </row>
    <row r="3202" spans="1:14">
      <c r="A3202" s="2">
        <v>3201</v>
      </c>
      <c r="B3202" s="3" t="s">
        <v>11146</v>
      </c>
      <c r="C3202" s="2" t="s">
        <v>11147</v>
      </c>
      <c r="D3202" s="2">
        <v>47</v>
      </c>
      <c r="E3202" s="2">
        <v>47</v>
      </c>
      <c r="F3202" s="2" t="s">
        <v>11148</v>
      </c>
      <c r="H3202" s="2" t="s">
        <v>17</v>
      </c>
      <c r="K3202" s="4">
        <v>18252</v>
      </c>
      <c r="M3202" s="2" t="s">
        <v>170</v>
      </c>
      <c r="N3202" s="2" t="s">
        <v>323</v>
      </c>
    </row>
    <row r="3203" spans="1:14">
      <c r="A3203" s="2">
        <v>3202</v>
      </c>
      <c r="B3203" s="3" t="s">
        <v>11149</v>
      </c>
      <c r="C3203" s="2" t="s">
        <v>11150</v>
      </c>
      <c r="D3203" s="2">
        <v>44</v>
      </c>
      <c r="E3203" s="2">
        <v>47</v>
      </c>
      <c r="F3203" s="2" t="s">
        <v>11151</v>
      </c>
      <c r="H3203" s="2" t="s">
        <v>17</v>
      </c>
      <c r="K3203" s="4">
        <v>11328</v>
      </c>
      <c r="L3203" s="4">
        <v>34683</v>
      </c>
      <c r="M3203" s="2" t="s">
        <v>85</v>
      </c>
      <c r="N3203" s="2" t="s">
        <v>1887</v>
      </c>
    </row>
    <row r="3204" spans="1:14">
      <c r="A3204" s="2">
        <v>3203</v>
      </c>
      <c r="B3204" s="3" t="s">
        <v>11152</v>
      </c>
      <c r="C3204" s="2" t="s">
        <v>11153</v>
      </c>
      <c r="D3204" s="2">
        <v>47</v>
      </c>
      <c r="E3204" s="2">
        <v>47</v>
      </c>
      <c r="F3204" s="2" t="s">
        <v>11154</v>
      </c>
      <c r="H3204" s="2" t="s">
        <v>17</v>
      </c>
      <c r="K3204" s="4">
        <v>14395</v>
      </c>
      <c r="L3204" s="4">
        <v>43541</v>
      </c>
      <c r="M3204" s="2" t="s">
        <v>164</v>
      </c>
      <c r="N3204" s="2" t="s">
        <v>165</v>
      </c>
    </row>
    <row r="3205" spans="1:14">
      <c r="A3205" s="2">
        <v>3204</v>
      </c>
      <c r="B3205" s="3" t="s">
        <v>11155</v>
      </c>
      <c r="C3205" s="2" t="s">
        <v>11156</v>
      </c>
      <c r="D3205" s="2">
        <v>46</v>
      </c>
      <c r="E3205" s="2">
        <v>47</v>
      </c>
      <c r="F3205" s="2" t="s">
        <v>11157</v>
      </c>
      <c r="H3205" s="2" t="s">
        <v>17</v>
      </c>
      <c r="K3205" s="4">
        <v>9663</v>
      </c>
      <c r="L3205" s="4">
        <v>37059</v>
      </c>
      <c r="M3205" s="2" t="s">
        <v>18</v>
      </c>
      <c r="N3205" s="2" t="s">
        <v>9943</v>
      </c>
    </row>
    <row r="3206" spans="1:14">
      <c r="A3206" s="2">
        <v>3205</v>
      </c>
      <c r="B3206" s="3" t="s">
        <v>11158</v>
      </c>
      <c r="C3206" s="2" t="s">
        <v>11159</v>
      </c>
      <c r="D3206" s="2">
        <v>47</v>
      </c>
      <c r="E3206" s="2">
        <v>47</v>
      </c>
      <c r="F3206" s="2" t="s">
        <v>11160</v>
      </c>
      <c r="H3206" s="2" t="s">
        <v>17</v>
      </c>
      <c r="K3206" s="4">
        <v>19030</v>
      </c>
      <c r="L3206" s="4">
        <v>38904</v>
      </c>
      <c r="M3206" s="2" t="s">
        <v>18</v>
      </c>
      <c r="N3206" s="2" t="s">
        <v>19</v>
      </c>
    </row>
    <row r="3207" spans="1:14">
      <c r="A3207" s="2">
        <v>3206</v>
      </c>
      <c r="B3207" s="3" t="s">
        <v>11161</v>
      </c>
      <c r="C3207" s="2" t="s">
        <v>11162</v>
      </c>
      <c r="D3207" s="2">
        <v>45</v>
      </c>
      <c r="E3207" s="2">
        <v>47</v>
      </c>
      <c r="F3207" s="2" t="s">
        <v>11163</v>
      </c>
      <c r="H3207" s="2" t="s">
        <v>17</v>
      </c>
      <c r="K3207" s="4">
        <v>8881</v>
      </c>
      <c r="L3207" s="4">
        <v>31455</v>
      </c>
      <c r="M3207" s="2" t="s">
        <v>170</v>
      </c>
      <c r="N3207" s="2" t="s">
        <v>784</v>
      </c>
    </row>
    <row r="3208" spans="1:14">
      <c r="A3208" s="2">
        <v>3207</v>
      </c>
      <c r="B3208" s="3" t="s">
        <v>11164</v>
      </c>
      <c r="C3208" s="2" t="s">
        <v>11165</v>
      </c>
      <c r="D3208" s="2">
        <v>46</v>
      </c>
      <c r="E3208" s="2">
        <v>47</v>
      </c>
      <c r="F3208" s="2" t="s">
        <v>11166</v>
      </c>
      <c r="H3208" s="2" t="s">
        <v>17</v>
      </c>
      <c r="K3208" s="4">
        <v>10909</v>
      </c>
      <c r="L3208" s="4">
        <v>43768</v>
      </c>
      <c r="M3208" s="2" t="s">
        <v>47</v>
      </c>
      <c r="N3208" s="2" t="s">
        <v>48</v>
      </c>
    </row>
    <row r="3209" spans="1:14">
      <c r="A3209" s="2">
        <v>3208</v>
      </c>
      <c r="B3209" s="3" t="s">
        <v>11167</v>
      </c>
      <c r="C3209" s="2" t="s">
        <v>11168</v>
      </c>
      <c r="D3209" s="2">
        <v>46</v>
      </c>
      <c r="E3209" s="2">
        <v>47</v>
      </c>
      <c r="F3209" s="2" t="s">
        <v>11169</v>
      </c>
      <c r="H3209" s="2" t="s">
        <v>17</v>
      </c>
      <c r="K3209" s="4">
        <v>6935</v>
      </c>
      <c r="L3209" s="4">
        <v>35039</v>
      </c>
      <c r="M3209" s="2" t="s">
        <v>35</v>
      </c>
      <c r="N3209" s="2" t="s">
        <v>1105</v>
      </c>
    </row>
    <row r="3210" spans="1:14">
      <c r="A3210" s="2">
        <v>3209</v>
      </c>
      <c r="B3210" s="3" t="s">
        <v>11170</v>
      </c>
      <c r="C3210" s="2" t="s">
        <v>11171</v>
      </c>
      <c r="D3210" s="2">
        <v>46</v>
      </c>
      <c r="E3210" s="2">
        <v>47</v>
      </c>
      <c r="F3210" s="2" t="s">
        <v>11172</v>
      </c>
      <c r="H3210" s="2" t="s">
        <v>17</v>
      </c>
      <c r="K3210" s="4">
        <v>9047</v>
      </c>
      <c r="L3210" s="4">
        <v>44075</v>
      </c>
      <c r="M3210" s="2" t="s">
        <v>170</v>
      </c>
      <c r="N3210" s="2" t="s">
        <v>323</v>
      </c>
    </row>
    <row r="3211" spans="1:14">
      <c r="A3211" s="2">
        <v>3210</v>
      </c>
      <c r="B3211" s="3" t="s">
        <v>11173</v>
      </c>
      <c r="C3211" s="2" t="s">
        <v>11174</v>
      </c>
      <c r="D3211" s="2">
        <v>44</v>
      </c>
      <c r="E3211" s="2">
        <v>47</v>
      </c>
      <c r="F3211" s="2" t="s">
        <v>11175</v>
      </c>
      <c r="H3211" s="2" t="s">
        <v>17</v>
      </c>
      <c r="K3211" s="4">
        <v>10560</v>
      </c>
      <c r="L3211" s="4">
        <v>36488</v>
      </c>
      <c r="M3211" s="2" t="s">
        <v>35</v>
      </c>
      <c r="N3211" s="2" t="s">
        <v>11176</v>
      </c>
    </row>
    <row r="3212" spans="1:14">
      <c r="A3212" s="2">
        <v>3211</v>
      </c>
      <c r="B3212" s="3" t="s">
        <v>11177</v>
      </c>
      <c r="C3212" s="2" t="s">
        <v>11178</v>
      </c>
      <c r="D3212" s="2">
        <v>47</v>
      </c>
      <c r="E3212" s="2">
        <v>47</v>
      </c>
      <c r="F3212" s="2" t="s">
        <v>11179</v>
      </c>
      <c r="H3212" s="2" t="s">
        <v>17</v>
      </c>
      <c r="K3212" s="4">
        <v>14967</v>
      </c>
      <c r="M3212" s="2" t="s">
        <v>154</v>
      </c>
      <c r="N3212" s="2" t="s">
        <v>155</v>
      </c>
    </row>
    <row r="3213" spans="1:14">
      <c r="A3213" s="2">
        <v>3212</v>
      </c>
      <c r="B3213" s="3" t="s">
        <v>11180</v>
      </c>
      <c r="C3213" s="2" t="s">
        <v>11181</v>
      </c>
      <c r="D3213" s="2">
        <v>47</v>
      </c>
      <c r="E3213" s="2">
        <v>47</v>
      </c>
      <c r="F3213" s="2" t="s">
        <v>11182</v>
      </c>
      <c r="H3213" s="2" t="s">
        <v>17</v>
      </c>
      <c r="K3213" s="4">
        <v>8858</v>
      </c>
      <c r="M3213" s="2" t="s">
        <v>35</v>
      </c>
      <c r="N3213" s="2" t="s">
        <v>11183</v>
      </c>
    </row>
    <row r="3214" spans="1:14">
      <c r="A3214" s="2">
        <v>3213</v>
      </c>
      <c r="B3214" s="3" t="s">
        <v>11184</v>
      </c>
      <c r="C3214" s="2" t="s">
        <v>11185</v>
      </c>
      <c r="D3214" s="2">
        <v>47</v>
      </c>
      <c r="E3214" s="2">
        <v>47</v>
      </c>
      <c r="F3214" s="2" t="s">
        <v>11186</v>
      </c>
      <c r="H3214" s="2" t="s">
        <v>17</v>
      </c>
      <c r="K3214" s="4">
        <v>16519</v>
      </c>
      <c r="M3214" s="2" t="s">
        <v>423</v>
      </c>
      <c r="N3214" s="2" t="s">
        <v>11187</v>
      </c>
    </row>
    <row r="3215" spans="1:14">
      <c r="A3215" s="2">
        <v>3214</v>
      </c>
      <c r="B3215" s="3" t="s">
        <v>11188</v>
      </c>
      <c r="C3215" s="2" t="s">
        <v>11189</v>
      </c>
      <c r="D3215" s="2">
        <v>44</v>
      </c>
      <c r="E3215" s="2">
        <v>47</v>
      </c>
      <c r="F3215" s="2" t="s">
        <v>11190</v>
      </c>
      <c r="H3215" s="2" t="s">
        <v>17</v>
      </c>
      <c r="K3215" s="4">
        <v>8682</v>
      </c>
      <c r="L3215" s="4">
        <v>41320</v>
      </c>
      <c r="M3215" s="2" t="s">
        <v>40</v>
      </c>
      <c r="N3215" s="2" t="s">
        <v>2843</v>
      </c>
    </row>
    <row r="3216" spans="1:14">
      <c r="A3216" s="2">
        <v>3215</v>
      </c>
      <c r="B3216" s="3" t="s">
        <v>11191</v>
      </c>
      <c r="C3216" s="2" t="s">
        <v>11192</v>
      </c>
      <c r="D3216" s="2">
        <v>47</v>
      </c>
      <c r="E3216" s="2">
        <v>47</v>
      </c>
      <c r="F3216" s="2" t="s">
        <v>11193</v>
      </c>
      <c r="H3216" s="2" t="s">
        <v>17</v>
      </c>
      <c r="K3216" s="4">
        <v>14333</v>
      </c>
      <c r="M3216" s="2" t="s">
        <v>35</v>
      </c>
      <c r="N3216" s="2" t="s">
        <v>9363</v>
      </c>
    </row>
    <row r="3217" spans="1:14">
      <c r="A3217" s="2">
        <v>3216</v>
      </c>
      <c r="B3217" s="3" t="s">
        <v>11194</v>
      </c>
      <c r="C3217" s="2" t="s">
        <v>11195</v>
      </c>
      <c r="D3217" s="2">
        <v>43</v>
      </c>
      <c r="E3217" s="2">
        <v>47</v>
      </c>
      <c r="F3217" s="2" t="s">
        <v>11196</v>
      </c>
      <c r="H3217" s="2" t="s">
        <v>17</v>
      </c>
      <c r="K3217" s="4">
        <v>12419</v>
      </c>
      <c r="L3217" s="4">
        <v>42818</v>
      </c>
      <c r="M3217" s="2" t="s">
        <v>198</v>
      </c>
      <c r="N3217" s="2" t="s">
        <v>11197</v>
      </c>
    </row>
    <row r="3218" spans="1:14">
      <c r="A3218" s="2">
        <v>3217</v>
      </c>
      <c r="B3218" s="3" t="s">
        <v>11198</v>
      </c>
      <c r="C3218" s="2" t="s">
        <v>11199</v>
      </c>
      <c r="D3218" s="2">
        <v>42</v>
      </c>
      <c r="E3218" s="2">
        <v>47</v>
      </c>
      <c r="F3218" s="2" t="s">
        <v>11200</v>
      </c>
      <c r="H3218" s="2" t="s">
        <v>17</v>
      </c>
      <c r="K3218" s="4">
        <v>10546</v>
      </c>
      <c r="L3218" s="4">
        <v>31807</v>
      </c>
      <c r="M3218" s="2" t="s">
        <v>18</v>
      </c>
      <c r="N3218" s="2" t="s">
        <v>11201</v>
      </c>
    </row>
    <row r="3219" spans="1:14">
      <c r="A3219" s="2">
        <v>3218</v>
      </c>
      <c r="B3219" s="3" t="s">
        <v>11202</v>
      </c>
      <c r="C3219" s="2" t="s">
        <v>11203</v>
      </c>
      <c r="D3219" s="2">
        <v>46</v>
      </c>
      <c r="E3219" s="2">
        <v>47</v>
      </c>
      <c r="F3219" s="2" t="s">
        <v>11204</v>
      </c>
      <c r="H3219" s="2" t="s">
        <v>17</v>
      </c>
      <c r="K3219" s="4">
        <v>13489</v>
      </c>
      <c r="M3219" s="2" t="s">
        <v>185</v>
      </c>
      <c r="N3219" s="2" t="s">
        <v>7465</v>
      </c>
    </row>
    <row r="3220" spans="1:14">
      <c r="A3220" s="2">
        <v>3219</v>
      </c>
      <c r="B3220" s="3" t="s">
        <v>11205</v>
      </c>
      <c r="C3220" s="2" t="s">
        <v>11206</v>
      </c>
      <c r="D3220" s="2">
        <v>47</v>
      </c>
      <c r="E3220" s="2">
        <v>47</v>
      </c>
      <c r="F3220" s="2" t="s">
        <v>11207</v>
      </c>
      <c r="H3220" s="2" t="s">
        <v>17</v>
      </c>
      <c r="K3220" s="4">
        <v>15316</v>
      </c>
    </row>
    <row r="3221" spans="1:14">
      <c r="A3221" s="2">
        <v>3220</v>
      </c>
      <c r="B3221" s="3" t="s">
        <v>11208</v>
      </c>
      <c r="C3221" s="2" t="s">
        <v>11209</v>
      </c>
      <c r="D3221" s="2">
        <v>45</v>
      </c>
      <c r="E3221" s="2">
        <v>47</v>
      </c>
      <c r="F3221" s="2" t="s">
        <v>11210</v>
      </c>
      <c r="H3221" s="2" t="s">
        <v>17</v>
      </c>
      <c r="K3221" s="4">
        <v>16655</v>
      </c>
      <c r="M3221" s="2" t="s">
        <v>170</v>
      </c>
      <c r="N3221" s="2" t="s">
        <v>11211</v>
      </c>
    </row>
    <row r="3222" spans="1:14">
      <c r="A3222" s="2">
        <v>3221</v>
      </c>
      <c r="B3222" s="3" t="s">
        <v>11212</v>
      </c>
      <c r="C3222" s="2" t="s">
        <v>11213</v>
      </c>
      <c r="D3222" s="2">
        <v>47</v>
      </c>
      <c r="E3222" s="2">
        <v>47</v>
      </c>
      <c r="F3222" s="2" t="s">
        <v>11214</v>
      </c>
      <c r="H3222" s="2" t="s">
        <v>17</v>
      </c>
      <c r="K3222" s="4">
        <v>15148</v>
      </c>
      <c r="M3222" s="2" t="s">
        <v>47</v>
      </c>
      <c r="N3222" s="2" t="s">
        <v>48</v>
      </c>
    </row>
    <row r="3223" spans="1:14">
      <c r="A3223" s="2">
        <v>3222</v>
      </c>
      <c r="B3223" s="3" t="s">
        <v>11215</v>
      </c>
      <c r="C3223" s="2" t="s">
        <v>11216</v>
      </c>
      <c r="D3223" s="2">
        <v>46</v>
      </c>
      <c r="E3223" s="2">
        <v>47</v>
      </c>
      <c r="F3223" s="2" t="s">
        <v>11217</v>
      </c>
      <c r="H3223" s="2" t="s">
        <v>17</v>
      </c>
      <c r="K3223" s="4">
        <v>14789</v>
      </c>
      <c r="M3223" s="2" t="s">
        <v>40</v>
      </c>
      <c r="N3223" s="2" t="s">
        <v>11218</v>
      </c>
    </row>
    <row r="3224" spans="1:14">
      <c r="A3224" s="2">
        <v>3223</v>
      </c>
      <c r="B3224" s="3" t="s">
        <v>11219</v>
      </c>
      <c r="C3224" s="2" t="s">
        <v>11220</v>
      </c>
      <c r="D3224" s="2">
        <v>46</v>
      </c>
      <c r="E3224" s="2">
        <v>47</v>
      </c>
      <c r="F3224" s="2" t="s">
        <v>11221</v>
      </c>
      <c r="H3224" s="2" t="s">
        <v>17</v>
      </c>
      <c r="K3224" s="4">
        <v>14128</v>
      </c>
      <c r="L3224" s="4">
        <v>44079</v>
      </c>
      <c r="M3224" s="2" t="s">
        <v>66</v>
      </c>
      <c r="N3224" s="2" t="s">
        <v>9911</v>
      </c>
    </row>
    <row r="3225" spans="1:14">
      <c r="A3225" s="2">
        <v>3224</v>
      </c>
      <c r="B3225" s="3" t="s">
        <v>11222</v>
      </c>
      <c r="C3225" s="2" t="s">
        <v>11223</v>
      </c>
      <c r="D3225" s="2">
        <v>47</v>
      </c>
      <c r="E3225" s="2">
        <v>47</v>
      </c>
      <c r="F3225" s="2" t="s">
        <v>11224</v>
      </c>
      <c r="H3225" s="2" t="s">
        <v>17</v>
      </c>
      <c r="K3225" s="4">
        <v>13110</v>
      </c>
      <c r="M3225" s="2" t="s">
        <v>35</v>
      </c>
      <c r="N3225" s="2" t="s">
        <v>11225</v>
      </c>
    </row>
    <row r="3226" spans="1:14">
      <c r="A3226" s="2">
        <v>3225</v>
      </c>
      <c r="B3226" s="3" t="s">
        <v>11226</v>
      </c>
      <c r="C3226" s="2" t="s">
        <v>11227</v>
      </c>
      <c r="D3226" s="2">
        <v>47</v>
      </c>
      <c r="E3226" s="2">
        <v>47</v>
      </c>
      <c r="F3226" s="2" t="s">
        <v>11228</v>
      </c>
      <c r="H3226" s="2" t="s">
        <v>17</v>
      </c>
      <c r="K3226" s="4">
        <v>13976</v>
      </c>
      <c r="L3226" s="4">
        <v>39957</v>
      </c>
      <c r="M3226" s="2" t="s">
        <v>35</v>
      </c>
      <c r="N3226" s="2" t="s">
        <v>6880</v>
      </c>
    </row>
    <row r="3227" spans="1:14">
      <c r="A3227" s="2">
        <v>3226</v>
      </c>
      <c r="B3227" s="3" t="s">
        <v>11229</v>
      </c>
      <c r="C3227" s="2" t="s">
        <v>11230</v>
      </c>
      <c r="D3227" s="2">
        <v>47</v>
      </c>
      <c r="E3227" s="2">
        <v>47</v>
      </c>
      <c r="F3227" s="2" t="s">
        <v>11231</v>
      </c>
      <c r="H3227" s="2" t="s">
        <v>17</v>
      </c>
      <c r="K3227" s="4">
        <v>11594</v>
      </c>
      <c r="M3227" s="2" t="s">
        <v>170</v>
      </c>
      <c r="N3227" s="2" t="s">
        <v>323</v>
      </c>
    </row>
    <row r="3228" spans="1:14">
      <c r="A3228" s="2">
        <v>3227</v>
      </c>
      <c r="B3228" s="3" t="s">
        <v>11232</v>
      </c>
      <c r="C3228" s="2" t="s">
        <v>11233</v>
      </c>
      <c r="D3228" s="2">
        <v>47</v>
      </c>
      <c r="E3228" s="2">
        <v>47</v>
      </c>
      <c r="F3228" s="2" t="s">
        <v>11234</v>
      </c>
      <c r="H3228" s="2" t="s">
        <v>17</v>
      </c>
      <c r="K3228" s="4">
        <v>19154</v>
      </c>
      <c r="M3228" s="2" t="s">
        <v>423</v>
      </c>
      <c r="N3228" s="2" t="s">
        <v>456</v>
      </c>
    </row>
    <row r="3229" spans="1:14">
      <c r="A3229" s="2">
        <v>3228</v>
      </c>
      <c r="B3229" s="3" t="s">
        <v>11235</v>
      </c>
      <c r="C3229" s="2" t="s">
        <v>11236</v>
      </c>
      <c r="D3229" s="2">
        <v>47</v>
      </c>
      <c r="E3229" s="2">
        <v>47</v>
      </c>
      <c r="F3229" s="2" t="s">
        <v>11237</v>
      </c>
      <c r="H3229" s="2" t="s">
        <v>17</v>
      </c>
      <c r="K3229" s="4">
        <v>10562</v>
      </c>
      <c r="L3229" s="4">
        <v>34890</v>
      </c>
      <c r="M3229" s="2" t="s">
        <v>423</v>
      </c>
      <c r="N3229" s="2" t="s">
        <v>5145</v>
      </c>
    </row>
    <row r="3230" spans="1:14">
      <c r="A3230" s="2">
        <v>3229</v>
      </c>
      <c r="B3230" s="3" t="s">
        <v>11238</v>
      </c>
      <c r="C3230" s="2" t="s">
        <v>11239</v>
      </c>
      <c r="D3230" s="2">
        <v>42</v>
      </c>
      <c r="E3230" s="2">
        <v>47</v>
      </c>
      <c r="F3230" s="2" t="s">
        <v>11240</v>
      </c>
      <c r="H3230" s="2" t="s">
        <v>17</v>
      </c>
      <c r="K3230" s="4">
        <v>8945</v>
      </c>
      <c r="L3230" s="4">
        <v>43233</v>
      </c>
      <c r="M3230" s="2" t="s">
        <v>76</v>
      </c>
      <c r="N3230" s="2" t="s">
        <v>906</v>
      </c>
    </row>
    <row r="3231" spans="1:14">
      <c r="A3231" s="2">
        <v>3230</v>
      </c>
      <c r="B3231" s="3" t="s">
        <v>11241</v>
      </c>
      <c r="C3231" s="2" t="s">
        <v>11242</v>
      </c>
      <c r="D3231" s="2">
        <v>47</v>
      </c>
      <c r="E3231" s="2">
        <v>47</v>
      </c>
      <c r="F3231" s="2" t="s">
        <v>11243</v>
      </c>
      <c r="H3231" s="2" t="s">
        <v>17</v>
      </c>
      <c r="K3231" s="4">
        <v>15365</v>
      </c>
      <c r="L3231" s="4">
        <v>41871</v>
      </c>
      <c r="M3231" s="2" t="s">
        <v>66</v>
      </c>
      <c r="N3231" s="2" t="s">
        <v>359</v>
      </c>
    </row>
    <row r="3232" spans="1:14">
      <c r="A3232" s="2">
        <v>3231</v>
      </c>
      <c r="B3232" s="3" t="s">
        <v>11244</v>
      </c>
      <c r="C3232" s="2" t="s">
        <v>11245</v>
      </c>
      <c r="D3232" s="2">
        <v>38</v>
      </c>
      <c r="E3232" s="2">
        <v>47</v>
      </c>
      <c r="F3232" s="2" t="s">
        <v>11246</v>
      </c>
      <c r="H3232" s="2" t="s">
        <v>17</v>
      </c>
      <c r="K3232" s="4">
        <v>4272</v>
      </c>
      <c r="L3232" s="4">
        <v>31540</v>
      </c>
      <c r="M3232" s="2" t="s">
        <v>76</v>
      </c>
      <c r="N3232" s="2" t="s">
        <v>9251</v>
      </c>
    </row>
    <row r="3233" spans="1:14">
      <c r="A3233" s="2">
        <v>3232</v>
      </c>
      <c r="B3233" s="3" t="s">
        <v>11247</v>
      </c>
      <c r="C3233" s="2" t="s">
        <v>11248</v>
      </c>
      <c r="D3233" s="2">
        <v>45</v>
      </c>
      <c r="E3233" s="2">
        <v>47</v>
      </c>
      <c r="F3233" s="2" t="s">
        <v>11249</v>
      </c>
      <c r="H3233" s="2" t="s">
        <v>17</v>
      </c>
      <c r="K3233" s="4">
        <v>6873</v>
      </c>
      <c r="L3233" s="4">
        <v>39065</v>
      </c>
      <c r="M3233" s="2" t="s">
        <v>66</v>
      </c>
      <c r="N3233" s="2" t="s">
        <v>3384</v>
      </c>
    </row>
    <row r="3234" spans="1:14">
      <c r="A3234" s="2">
        <v>3233</v>
      </c>
      <c r="B3234" s="3" t="s">
        <v>11250</v>
      </c>
      <c r="C3234" s="2" t="s">
        <v>11251</v>
      </c>
      <c r="D3234" s="2">
        <v>47</v>
      </c>
      <c r="E3234" s="2">
        <v>47</v>
      </c>
      <c r="F3234" s="2" t="s">
        <v>11252</v>
      </c>
      <c r="H3234" s="2" t="s">
        <v>17</v>
      </c>
      <c r="K3234" s="4">
        <v>15568</v>
      </c>
      <c r="L3234" s="4">
        <v>45472</v>
      </c>
      <c r="M3234" s="2" t="s">
        <v>47</v>
      </c>
      <c r="N3234" s="2" t="s">
        <v>5798</v>
      </c>
    </row>
    <row r="3235" spans="1:14">
      <c r="A3235" s="2">
        <v>3234</v>
      </c>
      <c r="B3235" s="3" t="s">
        <v>11253</v>
      </c>
      <c r="C3235" s="2" t="s">
        <v>11254</v>
      </c>
      <c r="D3235" s="2">
        <v>47</v>
      </c>
      <c r="E3235" s="2">
        <v>47</v>
      </c>
      <c r="F3235" s="2" t="s">
        <v>11255</v>
      </c>
      <c r="H3235" s="2" t="s">
        <v>17</v>
      </c>
      <c r="K3235" s="4">
        <v>12800</v>
      </c>
      <c r="L3235" s="4">
        <v>45891</v>
      </c>
      <c r="M3235" s="2" t="s">
        <v>85</v>
      </c>
      <c r="N3235" s="2" t="s">
        <v>11256</v>
      </c>
    </row>
    <row r="3236" spans="1:14">
      <c r="A3236" s="2">
        <v>3235</v>
      </c>
      <c r="B3236" s="3" t="s">
        <v>11257</v>
      </c>
      <c r="C3236" s="2" t="s">
        <v>11258</v>
      </c>
      <c r="D3236" s="2">
        <v>46</v>
      </c>
      <c r="E3236" s="2">
        <v>47</v>
      </c>
      <c r="F3236" s="2" t="s">
        <v>11259</v>
      </c>
      <c r="H3236" s="2" t="s">
        <v>17</v>
      </c>
      <c r="K3236" s="4">
        <v>8957</v>
      </c>
      <c r="L3236" s="4">
        <v>42570</v>
      </c>
      <c r="M3236" s="2" t="s">
        <v>423</v>
      </c>
      <c r="N3236" s="2" t="s">
        <v>456</v>
      </c>
    </row>
    <row r="3237" spans="1:14">
      <c r="A3237" s="2">
        <v>3236</v>
      </c>
      <c r="B3237" s="3" t="s">
        <v>11260</v>
      </c>
      <c r="C3237" s="2" t="s">
        <v>11261</v>
      </c>
      <c r="D3237" s="2">
        <v>46</v>
      </c>
      <c r="E3237" s="2">
        <v>47</v>
      </c>
      <c r="F3237" s="2" t="s">
        <v>11262</v>
      </c>
      <c r="H3237" s="2" t="s">
        <v>17</v>
      </c>
      <c r="K3237" s="4">
        <v>8570</v>
      </c>
      <c r="L3237" s="4">
        <v>38031</v>
      </c>
      <c r="M3237" s="2" t="s">
        <v>76</v>
      </c>
      <c r="N3237" s="2" t="s">
        <v>11263</v>
      </c>
    </row>
    <row r="3238" spans="1:14">
      <c r="A3238" s="2">
        <v>3237</v>
      </c>
      <c r="B3238" s="3" t="s">
        <v>11264</v>
      </c>
      <c r="C3238" s="2" t="s">
        <v>11265</v>
      </c>
      <c r="D3238" s="2">
        <v>47</v>
      </c>
      <c r="E3238" s="2">
        <v>47</v>
      </c>
      <c r="F3238" s="2" t="s">
        <v>11266</v>
      </c>
      <c r="H3238" s="2" t="s">
        <v>17</v>
      </c>
      <c r="K3238" s="4">
        <v>12188</v>
      </c>
      <c r="L3238" s="4">
        <v>45304</v>
      </c>
      <c r="M3238" s="2" t="s">
        <v>154</v>
      </c>
      <c r="N3238" s="2" t="s">
        <v>10100</v>
      </c>
    </row>
    <row r="3239" spans="1:14">
      <c r="A3239" s="2">
        <v>3238</v>
      </c>
      <c r="B3239" s="3" t="s">
        <v>11267</v>
      </c>
      <c r="C3239" s="2" t="s">
        <v>11268</v>
      </c>
      <c r="D3239" s="2">
        <v>47</v>
      </c>
      <c r="E3239" s="2">
        <v>47</v>
      </c>
      <c r="F3239" s="2" t="s">
        <v>11269</v>
      </c>
      <c r="H3239" s="2" t="s">
        <v>17</v>
      </c>
      <c r="K3239" s="4">
        <v>15974</v>
      </c>
      <c r="M3239" s="2" t="s">
        <v>170</v>
      </c>
      <c r="N3239" s="2" t="s">
        <v>323</v>
      </c>
    </row>
    <row r="3240" spans="1:14">
      <c r="A3240" s="2">
        <v>3239</v>
      </c>
      <c r="B3240" s="3" t="s">
        <v>11270</v>
      </c>
      <c r="C3240" s="2" t="s">
        <v>11271</v>
      </c>
      <c r="D3240" s="2">
        <v>47</v>
      </c>
      <c r="E3240" s="2">
        <v>47</v>
      </c>
      <c r="F3240" s="2" t="s">
        <v>11272</v>
      </c>
      <c r="H3240" s="2" t="s">
        <v>17</v>
      </c>
      <c r="K3240" s="4">
        <v>18122</v>
      </c>
      <c r="M3240" s="2" t="s">
        <v>170</v>
      </c>
      <c r="N3240" s="2" t="s">
        <v>323</v>
      </c>
    </row>
    <row r="3241" spans="1:14">
      <c r="A3241" s="2">
        <v>3240</v>
      </c>
      <c r="B3241" s="3" t="s">
        <v>11273</v>
      </c>
      <c r="C3241" s="2" t="s">
        <v>11274</v>
      </c>
      <c r="D3241" s="2">
        <v>43</v>
      </c>
      <c r="E3241" s="2">
        <v>47</v>
      </c>
      <c r="F3241" s="2" t="s">
        <v>11275</v>
      </c>
      <c r="H3241" s="2" t="s">
        <v>17</v>
      </c>
      <c r="K3241" s="4">
        <v>9033</v>
      </c>
      <c r="M3241" s="2" t="s">
        <v>40</v>
      </c>
      <c r="N3241" s="2" t="s">
        <v>6094</v>
      </c>
    </row>
    <row r="3242" spans="1:14">
      <c r="A3242" s="2">
        <v>3241</v>
      </c>
      <c r="B3242" s="3" t="s">
        <v>11276</v>
      </c>
      <c r="C3242" s="2" t="s">
        <v>11277</v>
      </c>
      <c r="D3242" s="2">
        <v>47</v>
      </c>
      <c r="E3242" s="2">
        <v>47</v>
      </c>
      <c r="F3242" s="2" t="s">
        <v>11278</v>
      </c>
      <c r="H3242" s="2" t="s">
        <v>17</v>
      </c>
      <c r="K3242" s="4">
        <v>9345</v>
      </c>
      <c r="L3242" s="4">
        <v>32028</v>
      </c>
      <c r="M3242" s="2" t="s">
        <v>47</v>
      </c>
      <c r="N3242" s="2" t="s">
        <v>691</v>
      </c>
    </row>
    <row r="3243" spans="1:14">
      <c r="A3243" s="2">
        <v>3242</v>
      </c>
      <c r="B3243" s="3" t="s">
        <v>11279</v>
      </c>
      <c r="C3243" s="2" t="s">
        <v>11280</v>
      </c>
      <c r="D3243" s="2">
        <v>47</v>
      </c>
      <c r="E3243" s="2">
        <v>47</v>
      </c>
      <c r="F3243" s="2" t="s">
        <v>11281</v>
      </c>
      <c r="H3243" s="2" t="s">
        <v>17</v>
      </c>
      <c r="K3243" s="4">
        <v>12939</v>
      </c>
      <c r="L3243" s="4">
        <v>44275</v>
      </c>
      <c r="M3243" s="2" t="s">
        <v>47</v>
      </c>
      <c r="N3243" s="2" t="s">
        <v>11282</v>
      </c>
    </row>
    <row r="3244" spans="1:14">
      <c r="A3244" s="2">
        <v>3243</v>
      </c>
      <c r="B3244" s="3" t="s">
        <v>11283</v>
      </c>
      <c r="C3244" s="2" t="s">
        <v>11284</v>
      </c>
      <c r="D3244" s="2">
        <v>47</v>
      </c>
      <c r="E3244" s="2">
        <v>47</v>
      </c>
      <c r="F3244" s="2" t="s">
        <v>11285</v>
      </c>
      <c r="H3244" s="2" t="s">
        <v>17</v>
      </c>
      <c r="K3244" s="4">
        <v>8616</v>
      </c>
      <c r="M3244" s="2" t="s">
        <v>66</v>
      </c>
      <c r="N3244" s="2" t="s">
        <v>751</v>
      </c>
    </row>
    <row r="3245" spans="1:14">
      <c r="A3245" s="2">
        <v>3244</v>
      </c>
      <c r="B3245" s="3" t="s">
        <v>11286</v>
      </c>
      <c r="C3245" s="2" t="s">
        <v>11287</v>
      </c>
      <c r="D3245" s="2">
        <v>47</v>
      </c>
      <c r="E3245" s="2">
        <v>47</v>
      </c>
      <c r="F3245" s="2" t="s">
        <v>11288</v>
      </c>
      <c r="H3245" s="2" t="s">
        <v>17</v>
      </c>
      <c r="K3245" s="4">
        <v>14543</v>
      </c>
      <c r="M3245" s="2" t="s">
        <v>47</v>
      </c>
      <c r="N3245" s="2" t="s">
        <v>48</v>
      </c>
    </row>
    <row r="3246" spans="1:14">
      <c r="A3246" s="2">
        <v>3245</v>
      </c>
      <c r="B3246" s="3" t="s">
        <v>11289</v>
      </c>
      <c r="C3246" s="2" t="s">
        <v>11290</v>
      </c>
      <c r="D3246" s="2">
        <v>47</v>
      </c>
      <c r="E3246" s="2">
        <v>47</v>
      </c>
      <c r="F3246" s="2" t="s">
        <v>11291</v>
      </c>
      <c r="H3246" s="2" t="s">
        <v>17</v>
      </c>
      <c r="K3246" s="4">
        <v>18251</v>
      </c>
      <c r="M3246" s="2" t="s">
        <v>30</v>
      </c>
      <c r="N3246" s="2" t="s">
        <v>31</v>
      </c>
    </row>
    <row r="3247" spans="1:14">
      <c r="A3247" s="2">
        <v>3246</v>
      </c>
      <c r="B3247" s="3" t="s">
        <v>11292</v>
      </c>
      <c r="C3247" s="2" t="s">
        <v>11293</v>
      </c>
      <c r="D3247" s="2">
        <v>44</v>
      </c>
      <c r="E3247" s="2">
        <v>47</v>
      </c>
      <c r="F3247" s="2" t="s">
        <v>11294</v>
      </c>
      <c r="H3247" s="2" t="s">
        <v>17</v>
      </c>
      <c r="K3247" s="4">
        <v>12881</v>
      </c>
      <c r="M3247" s="2" t="s">
        <v>91</v>
      </c>
      <c r="N3247" s="2" t="s">
        <v>11063</v>
      </c>
    </row>
    <row r="3248" spans="1:14">
      <c r="A3248" s="2">
        <v>3247</v>
      </c>
      <c r="B3248" s="3" t="s">
        <v>11295</v>
      </c>
      <c r="C3248" s="2" t="s">
        <v>11296</v>
      </c>
      <c r="D3248" s="2">
        <v>44</v>
      </c>
      <c r="E3248" s="2">
        <v>47</v>
      </c>
      <c r="F3248" s="2" t="s">
        <v>11297</v>
      </c>
      <c r="H3248" s="2" t="s">
        <v>17</v>
      </c>
      <c r="K3248" s="4">
        <v>12275</v>
      </c>
      <c r="L3248" s="4">
        <v>36695</v>
      </c>
      <c r="M3248" s="2" t="s">
        <v>85</v>
      </c>
      <c r="N3248" s="2" t="s">
        <v>86</v>
      </c>
    </row>
    <row r="3249" spans="1:14">
      <c r="A3249" s="2">
        <v>3248</v>
      </c>
      <c r="B3249" s="3" t="s">
        <v>11298</v>
      </c>
      <c r="C3249" s="2" t="s">
        <v>11299</v>
      </c>
      <c r="D3249" s="2">
        <v>47</v>
      </c>
      <c r="E3249" s="2">
        <v>47</v>
      </c>
      <c r="F3249" s="2" t="s">
        <v>11300</v>
      </c>
      <c r="H3249" s="2" t="s">
        <v>17</v>
      </c>
      <c r="K3249" s="4">
        <v>17300</v>
      </c>
      <c r="M3249" s="2" t="s">
        <v>140</v>
      </c>
      <c r="N3249" s="2" t="s">
        <v>294</v>
      </c>
    </row>
    <row r="3250" spans="1:14">
      <c r="A3250" s="2">
        <v>3249</v>
      </c>
      <c r="B3250" s="3" t="s">
        <v>11301</v>
      </c>
      <c r="C3250" s="2" t="s">
        <v>11302</v>
      </c>
      <c r="D3250" s="2">
        <v>44</v>
      </c>
      <c r="E3250" s="2">
        <v>47</v>
      </c>
      <c r="F3250" s="2" t="s">
        <v>11303</v>
      </c>
      <c r="H3250" s="2" t="s">
        <v>17</v>
      </c>
      <c r="K3250" s="4">
        <v>7754</v>
      </c>
      <c r="L3250" s="4">
        <v>33196</v>
      </c>
      <c r="M3250" s="2" t="s">
        <v>85</v>
      </c>
      <c r="N3250" s="2" t="s">
        <v>86</v>
      </c>
    </row>
    <row r="3251" spans="1:14">
      <c r="A3251" s="2">
        <v>3250</v>
      </c>
      <c r="B3251" s="3" t="s">
        <v>11304</v>
      </c>
      <c r="C3251" s="2" t="s">
        <v>11305</v>
      </c>
      <c r="D3251" s="2">
        <v>46</v>
      </c>
      <c r="E3251" s="2">
        <v>47</v>
      </c>
      <c r="F3251" s="2" t="s">
        <v>11306</v>
      </c>
      <c r="H3251" s="2" t="s">
        <v>17</v>
      </c>
      <c r="K3251" s="4">
        <v>10941</v>
      </c>
      <c r="M3251" s="2" t="s">
        <v>35</v>
      </c>
      <c r="N3251" s="2" t="s">
        <v>238</v>
      </c>
    </row>
    <row r="3252" spans="1:14">
      <c r="A3252" s="2">
        <v>3251</v>
      </c>
      <c r="B3252" s="3" t="s">
        <v>11307</v>
      </c>
      <c r="C3252" s="2" t="s">
        <v>11308</v>
      </c>
      <c r="D3252" s="2">
        <v>46</v>
      </c>
      <c r="E3252" s="2">
        <v>47</v>
      </c>
      <c r="F3252" s="2" t="s">
        <v>11309</v>
      </c>
      <c r="H3252" s="2" t="s">
        <v>17</v>
      </c>
      <c r="K3252" s="4">
        <v>10853</v>
      </c>
      <c r="M3252" s="2" t="s">
        <v>35</v>
      </c>
      <c r="N3252" s="2" t="s">
        <v>58</v>
      </c>
    </row>
    <row r="3253" spans="1:14">
      <c r="A3253" s="2">
        <v>3252</v>
      </c>
      <c r="B3253" s="3" t="s">
        <v>11310</v>
      </c>
      <c r="C3253" s="2" t="s">
        <v>11311</v>
      </c>
      <c r="D3253" s="2">
        <v>46</v>
      </c>
      <c r="E3253" s="2">
        <v>47</v>
      </c>
      <c r="F3253" s="2" t="s">
        <v>11312</v>
      </c>
      <c r="H3253" s="2" t="s">
        <v>17</v>
      </c>
      <c r="K3253" s="4">
        <v>15035</v>
      </c>
      <c r="L3253" s="4">
        <v>39514</v>
      </c>
      <c r="M3253" s="2" t="s">
        <v>18</v>
      </c>
      <c r="N3253" s="2" t="s">
        <v>19</v>
      </c>
    </row>
    <row r="3254" spans="1:14">
      <c r="A3254" s="2">
        <v>3253</v>
      </c>
      <c r="B3254" s="3" t="s">
        <v>11313</v>
      </c>
      <c r="C3254" s="2" t="s">
        <v>11314</v>
      </c>
      <c r="D3254" s="2">
        <v>47</v>
      </c>
      <c r="E3254" s="2">
        <v>47</v>
      </c>
      <c r="F3254" s="2" t="s">
        <v>11315</v>
      </c>
      <c r="H3254" s="2" t="s">
        <v>17</v>
      </c>
      <c r="K3254" s="4">
        <v>14981</v>
      </c>
      <c r="M3254" s="2" t="s">
        <v>91</v>
      </c>
      <c r="N3254" s="2" t="s">
        <v>677</v>
      </c>
    </row>
    <row r="3255" spans="1:14">
      <c r="A3255" s="2">
        <v>3254</v>
      </c>
      <c r="B3255" s="3" t="s">
        <v>11316</v>
      </c>
      <c r="C3255" s="2" t="s">
        <v>11317</v>
      </c>
      <c r="D3255" s="2">
        <v>45</v>
      </c>
      <c r="E3255" s="2">
        <v>47</v>
      </c>
      <c r="F3255" s="2" t="s">
        <v>11318</v>
      </c>
      <c r="H3255" s="2" t="s">
        <v>17</v>
      </c>
      <c r="K3255" s="4">
        <v>11544</v>
      </c>
      <c r="L3255" s="4">
        <v>35159</v>
      </c>
      <c r="M3255" s="2" t="s">
        <v>47</v>
      </c>
      <c r="N3255" s="2" t="s">
        <v>442</v>
      </c>
    </row>
    <row r="3256" spans="1:14">
      <c r="A3256" s="2">
        <v>3255</v>
      </c>
      <c r="B3256" s="3" t="s">
        <v>11319</v>
      </c>
      <c r="C3256" s="2" t="s">
        <v>11320</v>
      </c>
      <c r="D3256" s="2">
        <v>45</v>
      </c>
      <c r="E3256" s="2">
        <v>47</v>
      </c>
      <c r="F3256" s="2" t="s">
        <v>11321</v>
      </c>
      <c r="H3256" s="2" t="s">
        <v>17</v>
      </c>
      <c r="K3256" s="4">
        <v>7549</v>
      </c>
      <c r="L3256" s="4">
        <v>39770</v>
      </c>
      <c r="M3256" s="2" t="s">
        <v>85</v>
      </c>
      <c r="N3256" s="2" t="s">
        <v>11322</v>
      </c>
    </row>
    <row r="3257" spans="1:14">
      <c r="A3257" s="2">
        <v>3256</v>
      </c>
      <c r="B3257" s="3" t="s">
        <v>11323</v>
      </c>
      <c r="C3257" s="2" t="s">
        <v>11324</v>
      </c>
      <c r="D3257" s="2">
        <v>44</v>
      </c>
      <c r="E3257" s="2">
        <v>47</v>
      </c>
      <c r="F3257" s="2" t="s">
        <v>11325</v>
      </c>
      <c r="H3257" s="2" t="s">
        <v>17</v>
      </c>
      <c r="K3257" s="4">
        <v>12262</v>
      </c>
      <c r="L3257" s="4">
        <v>40930</v>
      </c>
      <c r="M3257" s="2" t="s">
        <v>198</v>
      </c>
      <c r="N3257" s="2" t="s">
        <v>2772</v>
      </c>
    </row>
    <row r="3258" spans="1:14">
      <c r="A3258" s="2">
        <v>3257</v>
      </c>
      <c r="B3258" s="3" t="s">
        <v>11326</v>
      </c>
      <c r="C3258" s="2" t="s">
        <v>11327</v>
      </c>
      <c r="D3258" s="2">
        <v>47</v>
      </c>
      <c r="E3258" s="2">
        <v>47</v>
      </c>
      <c r="F3258" s="2" t="s">
        <v>11328</v>
      </c>
      <c r="H3258" s="2" t="s">
        <v>17</v>
      </c>
      <c r="K3258" s="4">
        <v>14323</v>
      </c>
      <c r="M3258" s="2" t="s">
        <v>40</v>
      </c>
      <c r="N3258" s="2" t="s">
        <v>41</v>
      </c>
    </row>
    <row r="3259" spans="1:14">
      <c r="A3259" s="2">
        <v>3258</v>
      </c>
      <c r="B3259" s="3" t="s">
        <v>11329</v>
      </c>
      <c r="C3259" s="2" t="s">
        <v>11330</v>
      </c>
      <c r="D3259" s="2">
        <v>47</v>
      </c>
      <c r="E3259" s="2">
        <v>47</v>
      </c>
      <c r="F3259" s="2" t="s">
        <v>11331</v>
      </c>
      <c r="H3259" s="2" t="s">
        <v>17</v>
      </c>
      <c r="K3259" s="4">
        <v>12076</v>
      </c>
      <c r="M3259" s="2" t="s">
        <v>66</v>
      </c>
      <c r="N3259" s="2" t="s">
        <v>3220</v>
      </c>
    </row>
    <row r="3260" spans="1:14">
      <c r="A3260" s="2">
        <v>3259</v>
      </c>
      <c r="B3260" s="3" t="s">
        <v>11332</v>
      </c>
      <c r="C3260" s="2" t="s">
        <v>11333</v>
      </c>
      <c r="D3260" s="2">
        <v>44</v>
      </c>
      <c r="E3260" s="2">
        <v>47</v>
      </c>
      <c r="F3260" s="2" t="s">
        <v>11334</v>
      </c>
      <c r="H3260" s="2" t="s">
        <v>17</v>
      </c>
      <c r="K3260" s="4">
        <v>6059</v>
      </c>
      <c r="L3260" s="4">
        <v>38751</v>
      </c>
      <c r="M3260" s="2" t="s">
        <v>170</v>
      </c>
      <c r="N3260" s="2" t="s">
        <v>171</v>
      </c>
    </row>
    <row r="3261" spans="1:14">
      <c r="A3261" s="2">
        <v>3260</v>
      </c>
      <c r="B3261" s="3" t="s">
        <v>11335</v>
      </c>
      <c r="C3261" s="2" t="s">
        <v>11336</v>
      </c>
      <c r="D3261" s="2">
        <v>47</v>
      </c>
      <c r="E3261" s="2">
        <v>47</v>
      </c>
      <c r="F3261" s="2" t="s">
        <v>11337</v>
      </c>
      <c r="H3261" s="2" t="s">
        <v>17</v>
      </c>
      <c r="K3261" s="4">
        <v>10005</v>
      </c>
      <c r="L3261" s="4">
        <v>32375</v>
      </c>
      <c r="M3261" s="2" t="s">
        <v>66</v>
      </c>
      <c r="N3261" s="2" t="s">
        <v>359</v>
      </c>
    </row>
    <row r="3262" spans="1:14">
      <c r="A3262" s="2">
        <v>3261</v>
      </c>
      <c r="B3262" s="3" t="s">
        <v>11338</v>
      </c>
      <c r="C3262" s="2" t="s">
        <v>11339</v>
      </c>
      <c r="D3262" s="2">
        <v>44</v>
      </c>
      <c r="E3262" s="2">
        <v>47</v>
      </c>
      <c r="F3262" s="2" t="s">
        <v>11340</v>
      </c>
      <c r="H3262" s="2" t="s">
        <v>17</v>
      </c>
      <c r="K3262" s="4">
        <v>9339</v>
      </c>
      <c r="L3262" s="4">
        <v>45643</v>
      </c>
      <c r="M3262" s="2" t="s">
        <v>66</v>
      </c>
      <c r="N3262" s="2" t="s">
        <v>8305</v>
      </c>
    </row>
    <row r="3263" spans="1:14">
      <c r="A3263" s="2">
        <v>3262</v>
      </c>
      <c r="B3263" s="3" t="s">
        <v>11341</v>
      </c>
      <c r="C3263" s="2" t="s">
        <v>11342</v>
      </c>
      <c r="D3263" s="2">
        <v>47</v>
      </c>
      <c r="E3263" s="2">
        <v>47</v>
      </c>
      <c r="F3263" s="2" t="s">
        <v>11343</v>
      </c>
      <c r="H3263" s="2" t="s">
        <v>17</v>
      </c>
      <c r="K3263" s="4">
        <v>13969</v>
      </c>
      <c r="M3263" s="2" t="s">
        <v>40</v>
      </c>
      <c r="N3263" s="2" t="s">
        <v>6040</v>
      </c>
    </row>
    <row r="3264" spans="1:14">
      <c r="A3264" s="2">
        <v>3263</v>
      </c>
      <c r="B3264" s="3" t="s">
        <v>11344</v>
      </c>
      <c r="C3264" s="2" t="s">
        <v>11345</v>
      </c>
      <c r="D3264" s="2">
        <v>47</v>
      </c>
      <c r="E3264" s="2">
        <v>47</v>
      </c>
      <c r="F3264" s="2" t="s">
        <v>11346</v>
      </c>
      <c r="H3264" s="2" t="s">
        <v>17</v>
      </c>
      <c r="K3264" s="4">
        <v>12656</v>
      </c>
      <c r="L3264" s="4">
        <v>41516</v>
      </c>
      <c r="M3264" s="2" t="s">
        <v>91</v>
      </c>
      <c r="N3264" s="2" t="s">
        <v>677</v>
      </c>
    </row>
    <row r="3265" spans="1:14">
      <c r="A3265" s="2">
        <v>3264</v>
      </c>
      <c r="B3265" s="3" t="s">
        <v>11347</v>
      </c>
      <c r="C3265" s="2" t="s">
        <v>11348</v>
      </c>
      <c r="D3265" s="2">
        <v>38</v>
      </c>
      <c r="E3265" s="2">
        <v>47</v>
      </c>
      <c r="F3265" s="2" t="s">
        <v>11349</v>
      </c>
      <c r="H3265" s="2" t="s">
        <v>17</v>
      </c>
      <c r="K3265" s="4">
        <v>4324</v>
      </c>
      <c r="L3265" s="4">
        <v>37271</v>
      </c>
      <c r="M3265" s="2" t="s">
        <v>47</v>
      </c>
      <c r="N3265" s="2" t="s">
        <v>48</v>
      </c>
    </row>
    <row r="3266" spans="1:14">
      <c r="A3266" s="2">
        <v>3265</v>
      </c>
      <c r="B3266" s="3" t="s">
        <v>11350</v>
      </c>
      <c r="C3266" s="2" t="s">
        <v>11351</v>
      </c>
      <c r="D3266" s="2">
        <v>47</v>
      </c>
      <c r="E3266" s="2">
        <v>47</v>
      </c>
      <c r="F3266" s="2" t="s">
        <v>11352</v>
      </c>
      <c r="H3266" s="2" t="s">
        <v>17</v>
      </c>
      <c r="K3266" s="4">
        <v>7400</v>
      </c>
      <c r="M3266" s="2" t="s">
        <v>198</v>
      </c>
    </row>
    <row r="3267" spans="1:14">
      <c r="A3267" s="2">
        <v>3266</v>
      </c>
      <c r="B3267" s="3" t="s">
        <v>11353</v>
      </c>
      <c r="C3267" s="2" t="s">
        <v>11354</v>
      </c>
      <c r="D3267" s="2">
        <v>45</v>
      </c>
      <c r="E3267" s="2">
        <v>47</v>
      </c>
      <c r="F3267" s="2" t="s">
        <v>11355</v>
      </c>
      <c r="H3267" s="2" t="s">
        <v>17</v>
      </c>
      <c r="K3267" s="4">
        <v>9934</v>
      </c>
      <c r="M3267" s="2" t="s">
        <v>40</v>
      </c>
      <c r="N3267" s="2" t="s">
        <v>11356</v>
      </c>
    </row>
    <row r="3268" spans="1:14">
      <c r="A3268" s="2">
        <v>3267</v>
      </c>
      <c r="B3268" s="3" t="s">
        <v>11357</v>
      </c>
      <c r="C3268" s="2" t="s">
        <v>11358</v>
      </c>
      <c r="D3268" s="2">
        <v>46</v>
      </c>
      <c r="E3268" s="2">
        <v>47</v>
      </c>
      <c r="F3268" s="2" t="s">
        <v>11359</v>
      </c>
      <c r="H3268" s="2" t="s">
        <v>17</v>
      </c>
      <c r="K3268" s="4">
        <v>9138</v>
      </c>
      <c r="L3268" s="4">
        <v>39312</v>
      </c>
      <c r="M3268" s="2" t="s">
        <v>47</v>
      </c>
      <c r="N3268" s="2" t="s">
        <v>11360</v>
      </c>
    </row>
    <row r="3269" spans="1:14">
      <c r="A3269" s="2">
        <v>3268</v>
      </c>
      <c r="B3269" s="3" t="s">
        <v>11361</v>
      </c>
      <c r="C3269" s="2" t="s">
        <v>11362</v>
      </c>
      <c r="D3269" s="2">
        <v>46</v>
      </c>
      <c r="E3269" s="2">
        <v>47</v>
      </c>
      <c r="F3269" s="2" t="s">
        <v>11363</v>
      </c>
      <c r="H3269" s="2" t="s">
        <v>17</v>
      </c>
      <c r="K3269" s="4">
        <v>14586</v>
      </c>
      <c r="L3269" s="4">
        <v>38047</v>
      </c>
      <c r="M3269" s="2" t="s">
        <v>66</v>
      </c>
      <c r="N3269" s="2" t="s">
        <v>71</v>
      </c>
    </row>
    <row r="3270" spans="1:14">
      <c r="A3270" s="2">
        <v>3269</v>
      </c>
      <c r="B3270" s="3" t="s">
        <v>11364</v>
      </c>
      <c r="C3270" s="2" t="s">
        <v>11365</v>
      </c>
      <c r="D3270" s="2">
        <v>47</v>
      </c>
      <c r="E3270" s="2">
        <v>47</v>
      </c>
      <c r="F3270" s="2" t="s">
        <v>11366</v>
      </c>
      <c r="H3270" s="2" t="s">
        <v>17</v>
      </c>
      <c r="K3270" s="4">
        <v>13897</v>
      </c>
      <c r="L3270" s="4">
        <v>44195</v>
      </c>
    </row>
    <row r="3271" spans="1:14">
      <c r="A3271" s="2">
        <v>3270</v>
      </c>
      <c r="B3271" s="3" t="s">
        <v>11367</v>
      </c>
      <c r="C3271" s="2" t="s">
        <v>11368</v>
      </c>
      <c r="D3271" s="2">
        <v>46</v>
      </c>
      <c r="E3271" s="2">
        <v>47</v>
      </c>
      <c r="F3271" s="2" t="s">
        <v>11369</v>
      </c>
      <c r="H3271" s="2" t="s">
        <v>17</v>
      </c>
      <c r="K3271" s="4">
        <v>16311</v>
      </c>
      <c r="L3271" s="4">
        <v>43930</v>
      </c>
      <c r="M3271" s="2" t="s">
        <v>53</v>
      </c>
      <c r="N3271" s="2" t="s">
        <v>847</v>
      </c>
    </row>
    <row r="3272" spans="1:14">
      <c r="A3272" s="2">
        <v>3271</v>
      </c>
      <c r="B3272" s="3" t="s">
        <v>11370</v>
      </c>
      <c r="C3272" s="2" t="s">
        <v>11371</v>
      </c>
      <c r="D3272" s="2">
        <v>47</v>
      </c>
      <c r="E3272" s="2">
        <v>47</v>
      </c>
      <c r="F3272" s="2" t="s">
        <v>11372</v>
      </c>
      <c r="H3272" s="2" t="s">
        <v>17</v>
      </c>
      <c r="K3272" s="4">
        <v>13872</v>
      </c>
      <c r="M3272" s="2" t="s">
        <v>53</v>
      </c>
      <c r="N3272" s="2" t="s">
        <v>847</v>
      </c>
    </row>
    <row r="3273" spans="1:14">
      <c r="A3273" s="2">
        <v>3272</v>
      </c>
      <c r="B3273" s="3" t="s">
        <v>11373</v>
      </c>
      <c r="C3273" s="2" t="s">
        <v>11374</v>
      </c>
      <c r="D3273" s="2">
        <v>47</v>
      </c>
      <c r="E3273" s="2">
        <v>47</v>
      </c>
      <c r="F3273" s="2" t="s">
        <v>11375</v>
      </c>
      <c r="H3273" s="2" t="s">
        <v>17</v>
      </c>
      <c r="K3273" s="4">
        <v>13610</v>
      </c>
      <c r="L3273" s="4">
        <v>41323</v>
      </c>
    </row>
    <row r="3274" spans="1:14">
      <c r="A3274" s="2">
        <v>3273</v>
      </c>
      <c r="B3274" s="3" t="s">
        <v>11376</v>
      </c>
      <c r="C3274" s="2" t="s">
        <v>11377</v>
      </c>
      <c r="D3274" s="2">
        <v>47</v>
      </c>
      <c r="E3274" s="2">
        <v>47</v>
      </c>
      <c r="F3274" s="2" t="s">
        <v>11378</v>
      </c>
      <c r="H3274" s="2" t="s">
        <v>17</v>
      </c>
      <c r="K3274" s="4">
        <v>16589</v>
      </c>
      <c r="M3274" s="2" t="s">
        <v>66</v>
      </c>
      <c r="N3274" s="2" t="s">
        <v>1918</v>
      </c>
    </row>
    <row r="3275" spans="1:14">
      <c r="A3275" s="2">
        <v>3274</v>
      </c>
      <c r="B3275" s="3" t="s">
        <v>11379</v>
      </c>
      <c r="C3275" s="2" t="s">
        <v>11380</v>
      </c>
      <c r="D3275" s="2">
        <v>43</v>
      </c>
      <c r="E3275" s="2">
        <v>47</v>
      </c>
      <c r="F3275" s="2" t="s">
        <v>11381</v>
      </c>
      <c r="H3275" s="2" t="s">
        <v>17</v>
      </c>
      <c r="K3275" s="4">
        <v>7426</v>
      </c>
      <c r="L3275" s="4">
        <v>39970</v>
      </c>
      <c r="M3275" s="2" t="s">
        <v>47</v>
      </c>
      <c r="N3275" s="2" t="s">
        <v>9753</v>
      </c>
    </row>
    <row r="3276" spans="1:14">
      <c r="A3276" s="2">
        <v>3275</v>
      </c>
      <c r="B3276" s="3" t="s">
        <v>11382</v>
      </c>
      <c r="C3276" s="2" t="s">
        <v>11383</v>
      </c>
      <c r="D3276" s="2">
        <v>44</v>
      </c>
      <c r="E3276" s="2">
        <v>47</v>
      </c>
      <c r="F3276" s="2" t="s">
        <v>11384</v>
      </c>
      <c r="H3276" s="2" t="s">
        <v>17</v>
      </c>
      <c r="K3276" s="4">
        <v>5751</v>
      </c>
      <c r="L3276" s="4">
        <v>41220</v>
      </c>
      <c r="M3276" s="2" t="s">
        <v>154</v>
      </c>
      <c r="N3276" s="2" t="s">
        <v>11385</v>
      </c>
    </row>
    <row r="3277" spans="1:14">
      <c r="A3277" s="2">
        <v>3276</v>
      </c>
      <c r="B3277" s="3" t="s">
        <v>11386</v>
      </c>
      <c r="C3277" s="2" t="s">
        <v>11387</v>
      </c>
      <c r="D3277" s="2">
        <v>39</v>
      </c>
      <c r="E3277" s="2">
        <v>47</v>
      </c>
      <c r="F3277" s="2" t="s">
        <v>11388</v>
      </c>
      <c r="H3277" s="2" t="s">
        <v>45</v>
      </c>
      <c r="K3277" s="4">
        <v>10060</v>
      </c>
      <c r="L3277" s="4">
        <v>30684</v>
      </c>
      <c r="M3277" s="2" t="s">
        <v>66</v>
      </c>
      <c r="N3277" s="2" t="s">
        <v>6179</v>
      </c>
    </row>
    <row r="3278" spans="1:14">
      <c r="A3278" s="2">
        <v>3277</v>
      </c>
      <c r="B3278" s="3" t="s">
        <v>11389</v>
      </c>
      <c r="C3278" s="2" t="s">
        <v>11390</v>
      </c>
      <c r="D3278" s="2">
        <v>47</v>
      </c>
      <c r="E3278" s="2">
        <v>47</v>
      </c>
      <c r="F3278" s="2" t="s">
        <v>11391</v>
      </c>
      <c r="H3278" s="2" t="s">
        <v>17</v>
      </c>
    </row>
    <row r="3279" spans="1:14">
      <c r="A3279" s="2">
        <v>3278</v>
      </c>
      <c r="B3279" s="3" t="s">
        <v>11392</v>
      </c>
      <c r="C3279" s="2" t="s">
        <v>11393</v>
      </c>
      <c r="D3279" s="2">
        <v>47</v>
      </c>
      <c r="E3279" s="2">
        <v>47</v>
      </c>
      <c r="F3279" s="2" t="s">
        <v>11394</v>
      </c>
      <c r="H3279" s="2" t="s">
        <v>17</v>
      </c>
      <c r="K3279" s="4">
        <v>14295</v>
      </c>
      <c r="M3279" s="2" t="s">
        <v>66</v>
      </c>
      <c r="N3279" s="2" t="s">
        <v>6179</v>
      </c>
    </row>
    <row r="3280" spans="1:14">
      <c r="A3280" s="2">
        <v>3279</v>
      </c>
      <c r="B3280" s="3" t="s">
        <v>11395</v>
      </c>
      <c r="C3280" s="2" t="s">
        <v>11396</v>
      </c>
      <c r="D3280" s="2">
        <v>43</v>
      </c>
      <c r="E3280" s="2">
        <v>47</v>
      </c>
      <c r="F3280" s="2" t="s">
        <v>11397</v>
      </c>
      <c r="H3280" s="2" t="s">
        <v>17</v>
      </c>
      <c r="K3280" s="4">
        <v>3485</v>
      </c>
      <c r="L3280" s="4">
        <v>32810</v>
      </c>
      <c r="M3280" s="2" t="s">
        <v>336</v>
      </c>
    </row>
    <row r="3281" spans="1:14">
      <c r="A3281" s="2">
        <v>3280</v>
      </c>
      <c r="B3281" s="3" t="s">
        <v>11398</v>
      </c>
      <c r="C3281" s="2" t="s">
        <v>11399</v>
      </c>
      <c r="D3281" s="2">
        <v>44</v>
      </c>
      <c r="E3281" s="2">
        <v>47</v>
      </c>
      <c r="F3281" s="2" t="s">
        <v>11400</v>
      </c>
      <c r="H3281" s="2" t="s">
        <v>17</v>
      </c>
      <c r="K3281" s="4">
        <v>10847</v>
      </c>
      <c r="M3281" s="2" t="s">
        <v>35</v>
      </c>
      <c r="N3281" s="2" t="s">
        <v>11401</v>
      </c>
    </row>
    <row r="3282" spans="1:14">
      <c r="A3282" s="2">
        <v>3281</v>
      </c>
      <c r="B3282" s="3" t="s">
        <v>11402</v>
      </c>
      <c r="C3282" s="2" t="s">
        <v>11403</v>
      </c>
      <c r="D3282" s="2">
        <v>44</v>
      </c>
      <c r="E3282" s="2">
        <v>47</v>
      </c>
      <c r="F3282" s="2" t="s">
        <v>11404</v>
      </c>
      <c r="H3282" s="2" t="s">
        <v>17</v>
      </c>
      <c r="K3282" s="4">
        <v>5254</v>
      </c>
      <c r="L3282" s="4">
        <v>31804</v>
      </c>
      <c r="M3282" s="2" t="s">
        <v>247</v>
      </c>
      <c r="N3282" s="2" t="s">
        <v>2414</v>
      </c>
    </row>
    <row r="3283" spans="1:14">
      <c r="A3283" s="2">
        <v>3282</v>
      </c>
      <c r="B3283" s="3" t="s">
        <v>11405</v>
      </c>
      <c r="C3283" s="2" t="s">
        <v>11406</v>
      </c>
      <c r="D3283" s="2">
        <v>47</v>
      </c>
      <c r="E3283" s="2">
        <v>47</v>
      </c>
      <c r="F3283" s="2" t="s">
        <v>11407</v>
      </c>
      <c r="H3283" s="2" t="s">
        <v>17</v>
      </c>
      <c r="K3283" s="4">
        <v>18108</v>
      </c>
      <c r="L3283" s="4">
        <v>32813</v>
      </c>
      <c r="M3283" s="2" t="s">
        <v>170</v>
      </c>
      <c r="N3283" s="2" t="s">
        <v>3958</v>
      </c>
    </row>
    <row r="3284" spans="1:14">
      <c r="A3284" s="2">
        <v>3283</v>
      </c>
      <c r="B3284" s="3" t="s">
        <v>11408</v>
      </c>
      <c r="C3284" s="2" t="s">
        <v>11409</v>
      </c>
      <c r="D3284" s="2">
        <v>46</v>
      </c>
      <c r="E3284" s="2">
        <v>47</v>
      </c>
      <c r="F3284" s="2" t="s">
        <v>11410</v>
      </c>
      <c r="H3284" s="2" t="s">
        <v>17</v>
      </c>
      <c r="K3284" s="4">
        <v>8445</v>
      </c>
      <c r="L3284" s="4">
        <v>41150</v>
      </c>
      <c r="M3284" s="2" t="s">
        <v>336</v>
      </c>
      <c r="N3284" s="2" t="s">
        <v>1364</v>
      </c>
    </row>
    <row r="3285" spans="1:14">
      <c r="A3285" s="2">
        <v>3284</v>
      </c>
      <c r="B3285" s="3" t="s">
        <v>11411</v>
      </c>
      <c r="C3285" s="2" t="s">
        <v>10418</v>
      </c>
      <c r="D3285" s="2">
        <v>38</v>
      </c>
      <c r="E3285" s="2">
        <v>47</v>
      </c>
      <c r="F3285" s="2" t="s">
        <v>11412</v>
      </c>
      <c r="H3285" s="2" t="s">
        <v>17</v>
      </c>
      <c r="K3285" s="4">
        <v>5174</v>
      </c>
      <c r="L3285" s="4">
        <v>32179</v>
      </c>
      <c r="M3285" s="2" t="s">
        <v>76</v>
      </c>
      <c r="N3285" s="2" t="s">
        <v>1326</v>
      </c>
    </row>
    <row r="3286" spans="1:14">
      <c r="A3286" s="2">
        <v>3285</v>
      </c>
      <c r="B3286" s="3" t="s">
        <v>11413</v>
      </c>
      <c r="C3286" s="2" t="s">
        <v>11414</v>
      </c>
      <c r="D3286" s="2">
        <v>47</v>
      </c>
      <c r="E3286" s="2">
        <v>47</v>
      </c>
      <c r="F3286" s="2" t="s">
        <v>11415</v>
      </c>
      <c r="H3286" s="2" t="s">
        <v>17</v>
      </c>
      <c r="K3286" s="4">
        <v>13331</v>
      </c>
      <c r="M3286" s="2" t="s">
        <v>164</v>
      </c>
      <c r="N3286" s="2" t="s">
        <v>1446</v>
      </c>
    </row>
    <row r="3287" spans="1:14">
      <c r="A3287" s="2">
        <v>3286</v>
      </c>
      <c r="B3287" s="3" t="s">
        <v>11416</v>
      </c>
      <c r="C3287" s="2" t="s">
        <v>11417</v>
      </c>
      <c r="D3287" s="2">
        <v>47</v>
      </c>
      <c r="E3287" s="2">
        <v>47</v>
      </c>
      <c r="F3287" s="2" t="s">
        <v>11418</v>
      </c>
      <c r="H3287" s="2" t="s">
        <v>17</v>
      </c>
      <c r="K3287" s="4">
        <v>17054</v>
      </c>
      <c r="M3287" s="2" t="s">
        <v>47</v>
      </c>
      <c r="N3287" s="2" t="s">
        <v>11419</v>
      </c>
    </row>
    <row r="3288" spans="1:14">
      <c r="A3288" s="2">
        <v>3287</v>
      </c>
      <c r="B3288" s="3" t="s">
        <v>11420</v>
      </c>
      <c r="C3288" s="2" t="s">
        <v>11421</v>
      </c>
      <c r="D3288" s="2">
        <v>46</v>
      </c>
      <c r="E3288" s="2">
        <v>47</v>
      </c>
      <c r="F3288" s="2" t="s">
        <v>11422</v>
      </c>
      <c r="H3288" s="2" t="s">
        <v>17</v>
      </c>
      <c r="K3288" s="4">
        <v>13244</v>
      </c>
      <c r="L3288" s="4">
        <v>37466</v>
      </c>
      <c r="M3288" s="2" t="s">
        <v>170</v>
      </c>
      <c r="N3288" s="2" t="s">
        <v>323</v>
      </c>
    </row>
    <row r="3289" spans="1:14">
      <c r="A3289" s="2">
        <v>3288</v>
      </c>
      <c r="B3289" s="3" t="s">
        <v>11423</v>
      </c>
      <c r="C3289" s="2" t="s">
        <v>11424</v>
      </c>
      <c r="D3289" s="2">
        <v>47</v>
      </c>
      <c r="E3289" s="2">
        <v>47</v>
      </c>
      <c r="F3289" s="2" t="s">
        <v>11425</v>
      </c>
      <c r="H3289" s="2" t="s">
        <v>17</v>
      </c>
      <c r="K3289" s="4">
        <v>12199</v>
      </c>
      <c r="L3289" s="4">
        <v>34048</v>
      </c>
      <c r="M3289" s="2" t="s">
        <v>53</v>
      </c>
      <c r="N3289" s="2" t="s">
        <v>847</v>
      </c>
    </row>
    <row r="3290" spans="1:14">
      <c r="A3290" s="2">
        <v>3289</v>
      </c>
      <c r="B3290" s="3" t="s">
        <v>11426</v>
      </c>
      <c r="C3290" s="2" t="s">
        <v>11427</v>
      </c>
      <c r="D3290" s="2">
        <v>45</v>
      </c>
      <c r="E3290" s="2">
        <v>47</v>
      </c>
      <c r="F3290" s="2" t="s">
        <v>11428</v>
      </c>
      <c r="H3290" s="2" t="s">
        <v>17</v>
      </c>
      <c r="K3290" s="4">
        <v>16552</v>
      </c>
      <c r="M3290" s="2" t="s">
        <v>66</v>
      </c>
      <c r="N3290" s="2" t="s">
        <v>11429</v>
      </c>
    </row>
    <row r="3291" spans="1:14">
      <c r="A3291" s="2">
        <v>3290</v>
      </c>
      <c r="B3291" s="3" t="s">
        <v>11430</v>
      </c>
      <c r="C3291" s="2" t="s">
        <v>11431</v>
      </c>
      <c r="D3291" s="2">
        <v>42</v>
      </c>
      <c r="E3291" s="2">
        <v>47</v>
      </c>
      <c r="F3291" s="2" t="s">
        <v>11432</v>
      </c>
      <c r="H3291" s="2" t="s">
        <v>17</v>
      </c>
      <c r="K3291" s="4">
        <v>9913</v>
      </c>
      <c r="L3291" s="4">
        <v>37743</v>
      </c>
      <c r="M3291" s="2" t="s">
        <v>35</v>
      </c>
      <c r="N3291" s="2" t="s">
        <v>5456</v>
      </c>
    </row>
    <row r="3292" spans="1:14">
      <c r="A3292" s="2">
        <v>3291</v>
      </c>
      <c r="B3292" s="3" t="s">
        <v>11433</v>
      </c>
      <c r="C3292" s="2" t="s">
        <v>11434</v>
      </c>
      <c r="D3292" s="2">
        <v>47</v>
      </c>
      <c r="E3292" s="2">
        <v>47</v>
      </c>
      <c r="F3292" s="2" t="s">
        <v>11435</v>
      </c>
      <c r="H3292" s="2" t="s">
        <v>17</v>
      </c>
      <c r="K3292" s="4">
        <v>11441</v>
      </c>
      <c r="M3292" s="2" t="s">
        <v>164</v>
      </c>
      <c r="N3292" s="2" t="s">
        <v>165</v>
      </c>
    </row>
    <row r="3293" spans="1:14">
      <c r="A3293" s="2">
        <v>3292</v>
      </c>
      <c r="B3293" s="3" t="s">
        <v>11436</v>
      </c>
      <c r="C3293" s="2" t="s">
        <v>11437</v>
      </c>
      <c r="D3293" s="2">
        <v>47</v>
      </c>
      <c r="E3293" s="2">
        <v>47</v>
      </c>
      <c r="F3293" s="2" t="s">
        <v>11438</v>
      </c>
      <c r="H3293" s="2" t="s">
        <v>17</v>
      </c>
      <c r="K3293" s="4">
        <v>11819</v>
      </c>
      <c r="L3293" s="4">
        <v>45738</v>
      </c>
      <c r="M3293" s="2" t="s">
        <v>66</v>
      </c>
      <c r="N3293" s="2" t="s">
        <v>11439</v>
      </c>
    </row>
    <row r="3294" spans="1:14">
      <c r="A3294" s="2">
        <v>3293</v>
      </c>
      <c r="B3294" s="3" t="s">
        <v>11440</v>
      </c>
      <c r="C3294" s="2" t="s">
        <v>11441</v>
      </c>
      <c r="D3294" s="2">
        <v>47</v>
      </c>
      <c r="E3294" s="2">
        <v>47</v>
      </c>
      <c r="F3294" s="2" t="s">
        <v>11442</v>
      </c>
      <c r="H3294" s="2" t="s">
        <v>17</v>
      </c>
      <c r="K3294" s="4">
        <v>14663</v>
      </c>
      <c r="M3294" s="2" t="s">
        <v>164</v>
      </c>
      <c r="N3294" s="2" t="s">
        <v>1223</v>
      </c>
    </row>
    <row r="3295" spans="1:14">
      <c r="A3295" s="2">
        <v>3294</v>
      </c>
      <c r="B3295" s="3" t="s">
        <v>11443</v>
      </c>
      <c r="C3295" s="2" t="s">
        <v>11444</v>
      </c>
      <c r="D3295" s="2">
        <v>47</v>
      </c>
      <c r="E3295" s="2">
        <v>47</v>
      </c>
      <c r="F3295" s="2" t="s">
        <v>11445</v>
      </c>
      <c r="H3295" s="2" t="s">
        <v>17</v>
      </c>
      <c r="K3295" s="4">
        <v>13366</v>
      </c>
      <c r="L3295" s="4">
        <v>43370</v>
      </c>
      <c r="M3295" s="2" t="s">
        <v>53</v>
      </c>
      <c r="N3295" s="2" t="s">
        <v>475</v>
      </c>
    </row>
    <row r="3296" spans="1:14">
      <c r="A3296" s="2">
        <v>3295</v>
      </c>
      <c r="B3296" s="3" t="s">
        <v>11446</v>
      </c>
      <c r="C3296" s="2" t="s">
        <v>11447</v>
      </c>
      <c r="D3296" s="2">
        <v>47</v>
      </c>
      <c r="E3296" s="2">
        <v>47</v>
      </c>
      <c r="F3296" s="2" t="s">
        <v>11448</v>
      </c>
      <c r="H3296" s="2" t="s">
        <v>17</v>
      </c>
      <c r="K3296" s="4">
        <v>12575</v>
      </c>
    </row>
    <row r="3297" spans="1:14">
      <c r="A3297" s="2">
        <v>3296</v>
      </c>
      <c r="B3297" s="3" t="s">
        <v>11449</v>
      </c>
      <c r="C3297" s="2" t="s">
        <v>11450</v>
      </c>
      <c r="D3297" s="2">
        <v>47</v>
      </c>
      <c r="E3297" s="2">
        <v>47</v>
      </c>
      <c r="F3297" s="2" t="s">
        <v>11451</v>
      </c>
      <c r="H3297" s="2" t="s">
        <v>17</v>
      </c>
      <c r="K3297" s="4">
        <v>7120</v>
      </c>
      <c r="L3297" s="4">
        <v>40501</v>
      </c>
      <c r="M3297" s="2" t="s">
        <v>35</v>
      </c>
      <c r="N3297" s="2" t="s">
        <v>10610</v>
      </c>
    </row>
    <row r="3298" spans="1:14">
      <c r="A3298" s="2">
        <v>3297</v>
      </c>
      <c r="B3298" s="3" t="s">
        <v>11452</v>
      </c>
      <c r="C3298" s="2" t="s">
        <v>11453</v>
      </c>
      <c r="D3298" s="2">
        <v>44</v>
      </c>
      <c r="E3298" s="2">
        <v>47</v>
      </c>
      <c r="F3298" s="2" t="s">
        <v>11454</v>
      </c>
      <c r="H3298" s="2" t="s">
        <v>17</v>
      </c>
      <c r="K3298" s="4">
        <v>5236</v>
      </c>
      <c r="L3298" s="4">
        <v>34442</v>
      </c>
      <c r="M3298" s="2" t="s">
        <v>35</v>
      </c>
      <c r="N3298" s="2" t="s">
        <v>58</v>
      </c>
    </row>
    <row r="3299" spans="1:14">
      <c r="A3299" s="2">
        <v>3298</v>
      </c>
      <c r="B3299" s="3" t="s">
        <v>11455</v>
      </c>
      <c r="C3299" s="2" t="s">
        <v>11456</v>
      </c>
      <c r="D3299" s="2">
        <v>44</v>
      </c>
      <c r="E3299" s="2">
        <v>47</v>
      </c>
      <c r="F3299" s="2" t="s">
        <v>11457</v>
      </c>
      <c r="H3299" s="2" t="s">
        <v>17</v>
      </c>
      <c r="K3299" s="4">
        <v>9525</v>
      </c>
      <c r="L3299" s="4">
        <v>32408</v>
      </c>
      <c r="M3299" s="2" t="s">
        <v>35</v>
      </c>
      <c r="N3299" s="2" t="s">
        <v>11458</v>
      </c>
    </row>
    <row r="3300" spans="1:14">
      <c r="A3300" s="2">
        <v>3299</v>
      </c>
      <c r="B3300" s="3" t="s">
        <v>11459</v>
      </c>
      <c r="C3300" s="2" t="s">
        <v>11460</v>
      </c>
      <c r="D3300" s="2">
        <v>42</v>
      </c>
      <c r="E3300" s="2">
        <v>47</v>
      </c>
      <c r="F3300" s="2" t="s">
        <v>11461</v>
      </c>
      <c r="H3300" s="2" t="s">
        <v>17</v>
      </c>
      <c r="K3300" s="4">
        <v>10641</v>
      </c>
      <c r="L3300" s="4">
        <v>39374</v>
      </c>
      <c r="M3300" s="2" t="s">
        <v>35</v>
      </c>
      <c r="N3300" s="2" t="s">
        <v>2178</v>
      </c>
    </row>
    <row r="3301" spans="1:14">
      <c r="A3301" s="2">
        <v>3300</v>
      </c>
      <c r="B3301" s="3" t="s">
        <v>11462</v>
      </c>
      <c r="C3301" s="2" t="s">
        <v>11463</v>
      </c>
      <c r="D3301" s="2">
        <v>46</v>
      </c>
      <c r="E3301" s="2">
        <v>47</v>
      </c>
      <c r="F3301" s="2" t="s">
        <v>11464</v>
      </c>
      <c r="H3301" s="2" t="s">
        <v>17</v>
      </c>
      <c r="K3301" s="4">
        <v>16555</v>
      </c>
      <c r="M3301" s="2" t="s">
        <v>35</v>
      </c>
      <c r="N3301" s="2" t="s">
        <v>1462</v>
      </c>
    </row>
    <row r="3302" spans="1:14">
      <c r="A3302" s="2">
        <v>3301</v>
      </c>
      <c r="B3302" s="3" t="s">
        <v>11465</v>
      </c>
      <c r="C3302" s="2" t="s">
        <v>11466</v>
      </c>
      <c r="D3302" s="2">
        <v>44</v>
      </c>
      <c r="E3302" s="2">
        <v>47</v>
      </c>
      <c r="F3302" s="2" t="s">
        <v>11467</v>
      </c>
      <c r="H3302" s="2" t="s">
        <v>17</v>
      </c>
      <c r="K3302" s="4">
        <v>11495</v>
      </c>
      <c r="L3302" s="4">
        <v>39381</v>
      </c>
      <c r="M3302" s="2" t="s">
        <v>192</v>
      </c>
      <c r="N3302" s="2" t="s">
        <v>11468</v>
      </c>
    </row>
    <row r="3303" spans="1:14">
      <c r="A3303" s="2">
        <v>3302</v>
      </c>
      <c r="B3303" s="3" t="s">
        <v>11469</v>
      </c>
      <c r="C3303" s="2" t="s">
        <v>11470</v>
      </c>
      <c r="D3303" s="2">
        <v>42</v>
      </c>
      <c r="E3303" s="2">
        <v>47</v>
      </c>
      <c r="F3303" s="2" t="s">
        <v>11471</v>
      </c>
      <c r="H3303" s="2" t="s">
        <v>17</v>
      </c>
      <c r="K3303" s="4">
        <v>13273</v>
      </c>
      <c r="L3303" s="4">
        <v>43249</v>
      </c>
      <c r="M3303" s="2" t="s">
        <v>91</v>
      </c>
      <c r="N3303" s="2" t="s">
        <v>368</v>
      </c>
    </row>
    <row r="3304" spans="1:14">
      <c r="A3304" s="2">
        <v>3303</v>
      </c>
      <c r="B3304" s="3" t="s">
        <v>11472</v>
      </c>
      <c r="C3304" s="2" t="s">
        <v>11473</v>
      </c>
      <c r="D3304" s="2">
        <v>43</v>
      </c>
      <c r="E3304" s="2">
        <v>47</v>
      </c>
      <c r="F3304" s="2" t="s">
        <v>11474</v>
      </c>
      <c r="H3304" s="2" t="s">
        <v>17</v>
      </c>
      <c r="K3304" s="4">
        <v>9744</v>
      </c>
      <c r="L3304" s="4">
        <v>36029</v>
      </c>
      <c r="M3304" s="2" t="s">
        <v>47</v>
      </c>
      <c r="N3304" s="2" t="s">
        <v>11475</v>
      </c>
    </row>
    <row r="3305" spans="1:14">
      <c r="A3305" s="2">
        <v>3304</v>
      </c>
      <c r="B3305" s="3" t="s">
        <v>11476</v>
      </c>
      <c r="C3305" s="2" t="s">
        <v>11477</v>
      </c>
      <c r="D3305" s="2">
        <v>47</v>
      </c>
      <c r="E3305" s="2">
        <v>47</v>
      </c>
      <c r="F3305" s="2" t="s">
        <v>11478</v>
      </c>
      <c r="H3305" s="2" t="s">
        <v>17</v>
      </c>
      <c r="K3305" s="4">
        <v>17066</v>
      </c>
      <c r="M3305" s="2" t="s">
        <v>198</v>
      </c>
      <c r="N3305" s="2" t="s">
        <v>11479</v>
      </c>
    </row>
    <row r="3306" spans="1:14">
      <c r="A3306" s="2">
        <v>3305</v>
      </c>
      <c r="B3306" s="3" t="s">
        <v>11480</v>
      </c>
      <c r="C3306" s="2" t="s">
        <v>11481</v>
      </c>
      <c r="D3306" s="2">
        <v>46</v>
      </c>
      <c r="E3306" s="2">
        <v>47</v>
      </c>
      <c r="F3306" s="2" t="s">
        <v>11482</v>
      </c>
      <c r="H3306" s="2" t="s">
        <v>17</v>
      </c>
      <c r="K3306" s="4">
        <v>8850</v>
      </c>
      <c r="M3306" s="2" t="s">
        <v>185</v>
      </c>
      <c r="N3306" s="2" t="s">
        <v>11483</v>
      </c>
    </row>
    <row r="3307" spans="1:14">
      <c r="A3307" s="2">
        <v>3306</v>
      </c>
      <c r="B3307" s="3" t="s">
        <v>11484</v>
      </c>
      <c r="C3307" s="2" t="s">
        <v>11485</v>
      </c>
      <c r="D3307" s="2">
        <v>47</v>
      </c>
      <c r="E3307" s="2">
        <v>47</v>
      </c>
      <c r="F3307" s="2" t="s">
        <v>11486</v>
      </c>
      <c r="H3307" s="2" t="s">
        <v>17</v>
      </c>
      <c r="K3307" s="4">
        <v>17607</v>
      </c>
      <c r="L3307" s="4">
        <v>35112</v>
      </c>
      <c r="M3307" s="2" t="s">
        <v>30</v>
      </c>
      <c r="N3307" s="2" t="s">
        <v>289</v>
      </c>
    </row>
    <row r="3308" spans="1:14">
      <c r="A3308" s="2">
        <v>3307</v>
      </c>
      <c r="B3308" s="3" t="s">
        <v>11487</v>
      </c>
      <c r="C3308" s="2" t="s">
        <v>7852</v>
      </c>
      <c r="D3308" s="2">
        <v>44</v>
      </c>
      <c r="E3308" s="2">
        <v>47</v>
      </c>
      <c r="F3308" s="2" t="s">
        <v>11488</v>
      </c>
      <c r="H3308" s="2" t="s">
        <v>17</v>
      </c>
      <c r="K3308" s="4">
        <v>12035</v>
      </c>
      <c r="L3308" s="4">
        <v>40249</v>
      </c>
      <c r="M3308" s="2" t="s">
        <v>35</v>
      </c>
      <c r="N3308" s="2" t="s">
        <v>11489</v>
      </c>
    </row>
    <row r="3309" spans="1:14">
      <c r="A3309" s="2">
        <v>3308</v>
      </c>
      <c r="B3309" s="3" t="s">
        <v>11490</v>
      </c>
      <c r="C3309" s="2" t="s">
        <v>11491</v>
      </c>
      <c r="D3309" s="2">
        <v>43</v>
      </c>
      <c r="E3309" s="2">
        <v>47</v>
      </c>
      <c r="F3309" s="2" t="s">
        <v>11492</v>
      </c>
      <c r="H3309" s="2" t="s">
        <v>17</v>
      </c>
      <c r="K3309" s="4">
        <v>8316</v>
      </c>
      <c r="L3309" s="4">
        <v>39351</v>
      </c>
      <c r="M3309" s="2" t="s">
        <v>35</v>
      </c>
      <c r="N3309" s="2" t="s">
        <v>11401</v>
      </c>
    </row>
    <row r="3310" spans="1:14">
      <c r="A3310" s="2">
        <v>3309</v>
      </c>
      <c r="B3310" s="3" t="s">
        <v>11493</v>
      </c>
      <c r="C3310" s="2" t="s">
        <v>11494</v>
      </c>
      <c r="D3310" s="2">
        <v>45</v>
      </c>
      <c r="E3310" s="2">
        <v>47</v>
      </c>
      <c r="F3310" s="2" t="s">
        <v>11495</v>
      </c>
      <c r="H3310" s="2" t="s">
        <v>17</v>
      </c>
      <c r="K3310" s="4">
        <v>8316</v>
      </c>
      <c r="L3310" s="4">
        <v>42505</v>
      </c>
      <c r="M3310" s="2" t="s">
        <v>185</v>
      </c>
      <c r="N3310" s="2" t="s">
        <v>5014</v>
      </c>
    </row>
    <row r="3311" spans="1:14">
      <c r="A3311" s="2">
        <v>3310</v>
      </c>
      <c r="B3311" s="3" t="s">
        <v>11496</v>
      </c>
      <c r="C3311" s="2" t="s">
        <v>11497</v>
      </c>
      <c r="D3311" s="2">
        <v>43</v>
      </c>
      <c r="E3311" s="2">
        <v>47</v>
      </c>
      <c r="F3311" s="2" t="s">
        <v>11498</v>
      </c>
      <c r="H3311" s="2" t="s">
        <v>17</v>
      </c>
      <c r="K3311" s="4">
        <v>10914</v>
      </c>
      <c r="L3311" s="4">
        <v>37741</v>
      </c>
      <c r="M3311" s="2" t="s">
        <v>198</v>
      </c>
      <c r="N3311" s="2" t="s">
        <v>11499</v>
      </c>
    </row>
    <row r="3312" spans="1:14">
      <c r="A3312" s="2">
        <v>3311</v>
      </c>
      <c r="B3312" s="3" t="s">
        <v>11500</v>
      </c>
      <c r="C3312" s="2" t="s">
        <v>11501</v>
      </c>
      <c r="D3312" s="2">
        <v>40</v>
      </c>
      <c r="E3312" s="2">
        <v>47</v>
      </c>
      <c r="F3312" s="2" t="s">
        <v>11502</v>
      </c>
      <c r="H3312" s="2" t="s">
        <v>17</v>
      </c>
      <c r="K3312" s="4">
        <v>3977</v>
      </c>
      <c r="L3312" s="4">
        <v>33829</v>
      </c>
      <c r="M3312" s="2" t="s">
        <v>423</v>
      </c>
      <c r="N3312" s="2" t="s">
        <v>3942</v>
      </c>
    </row>
    <row r="3313" spans="1:14">
      <c r="A3313" s="2">
        <v>3312</v>
      </c>
      <c r="B3313" s="3" t="s">
        <v>11503</v>
      </c>
      <c r="C3313" s="2" t="s">
        <v>11504</v>
      </c>
      <c r="D3313" s="2">
        <v>45</v>
      </c>
      <c r="E3313" s="2">
        <v>47</v>
      </c>
      <c r="F3313" s="2" t="s">
        <v>11505</v>
      </c>
      <c r="H3313" s="2" t="s">
        <v>17</v>
      </c>
      <c r="K3313" s="4">
        <v>13295</v>
      </c>
      <c r="L3313" s="4">
        <v>45850</v>
      </c>
      <c r="M3313" s="2" t="s">
        <v>35</v>
      </c>
      <c r="N3313" s="2" t="s">
        <v>2466</v>
      </c>
    </row>
    <row r="3314" spans="1:14">
      <c r="A3314" s="2">
        <v>3313</v>
      </c>
      <c r="B3314" s="3" t="s">
        <v>11506</v>
      </c>
      <c r="C3314" s="2" t="s">
        <v>11507</v>
      </c>
      <c r="D3314" s="2">
        <v>44</v>
      </c>
      <c r="E3314" s="2">
        <v>47</v>
      </c>
      <c r="F3314" s="2" t="s">
        <v>11508</v>
      </c>
      <c r="H3314" s="2" t="s">
        <v>17</v>
      </c>
      <c r="K3314" s="4">
        <v>11288</v>
      </c>
      <c r="L3314" s="4">
        <v>37422</v>
      </c>
      <c r="M3314" s="2" t="s">
        <v>53</v>
      </c>
      <c r="N3314" s="2" t="s">
        <v>11509</v>
      </c>
    </row>
    <row r="3315" spans="1:14">
      <c r="A3315" s="2">
        <v>3314</v>
      </c>
      <c r="B3315" s="3" t="s">
        <v>11510</v>
      </c>
      <c r="C3315" s="2" t="s">
        <v>11511</v>
      </c>
      <c r="D3315" s="2">
        <v>46</v>
      </c>
      <c r="E3315" s="2">
        <v>47</v>
      </c>
      <c r="F3315" s="2" t="s">
        <v>11512</v>
      </c>
      <c r="H3315" s="2" t="s">
        <v>45</v>
      </c>
      <c r="K3315" s="4">
        <v>16609</v>
      </c>
      <c r="M3315" s="2" t="s">
        <v>35</v>
      </c>
      <c r="N3315" s="2" t="s">
        <v>58</v>
      </c>
    </row>
    <row r="3316" spans="1:14">
      <c r="A3316" s="2">
        <v>3315</v>
      </c>
      <c r="B3316" s="3" t="s">
        <v>11513</v>
      </c>
      <c r="C3316" s="2" t="s">
        <v>11514</v>
      </c>
      <c r="D3316" s="2">
        <v>47</v>
      </c>
      <c r="E3316" s="2">
        <v>47</v>
      </c>
      <c r="F3316" s="2" t="s">
        <v>11515</v>
      </c>
      <c r="H3316" s="2" t="s">
        <v>17</v>
      </c>
      <c r="K3316" s="4">
        <v>12954</v>
      </c>
      <c r="M3316" s="2" t="s">
        <v>76</v>
      </c>
      <c r="N3316" s="2" t="s">
        <v>11516</v>
      </c>
    </row>
    <row r="3317" spans="1:14">
      <c r="A3317" s="2">
        <v>3316</v>
      </c>
      <c r="B3317" s="3" t="s">
        <v>11517</v>
      </c>
      <c r="C3317" s="2" t="s">
        <v>11518</v>
      </c>
      <c r="D3317" s="2">
        <v>46</v>
      </c>
      <c r="E3317" s="2">
        <v>47</v>
      </c>
      <c r="F3317" s="2" t="s">
        <v>11519</v>
      </c>
      <c r="H3317" s="2" t="s">
        <v>17</v>
      </c>
      <c r="K3317" s="4">
        <v>9118</v>
      </c>
      <c r="L3317" s="4">
        <v>36614</v>
      </c>
      <c r="M3317" s="2" t="s">
        <v>35</v>
      </c>
      <c r="N3317" s="2" t="s">
        <v>3885</v>
      </c>
    </row>
    <row r="3318" spans="1:14">
      <c r="A3318" s="2">
        <v>3317</v>
      </c>
      <c r="B3318" s="3" t="s">
        <v>11520</v>
      </c>
      <c r="C3318" s="2" t="s">
        <v>11521</v>
      </c>
      <c r="D3318" s="2">
        <v>43</v>
      </c>
      <c r="E3318" s="2">
        <v>47</v>
      </c>
      <c r="F3318" s="2" t="s">
        <v>11522</v>
      </c>
      <c r="H3318" s="2" t="s">
        <v>17</v>
      </c>
      <c r="K3318" s="4">
        <v>11770</v>
      </c>
      <c r="L3318" s="4">
        <v>44137</v>
      </c>
      <c r="M3318" s="2" t="s">
        <v>154</v>
      </c>
      <c r="N3318" s="2" t="s">
        <v>155</v>
      </c>
    </row>
    <row r="3319" spans="1:14">
      <c r="A3319" s="2">
        <v>3318</v>
      </c>
      <c r="B3319" s="3" t="s">
        <v>11523</v>
      </c>
      <c r="C3319" s="2" t="s">
        <v>11524</v>
      </c>
      <c r="D3319" s="2">
        <v>44</v>
      </c>
      <c r="E3319" s="2">
        <v>47</v>
      </c>
      <c r="F3319" s="2" t="s">
        <v>11525</v>
      </c>
      <c r="H3319" s="2" t="s">
        <v>17</v>
      </c>
      <c r="K3319" s="4">
        <v>10623</v>
      </c>
      <c r="L3319" s="4">
        <v>40688</v>
      </c>
      <c r="M3319" s="2" t="s">
        <v>35</v>
      </c>
      <c r="N3319" s="2" t="s">
        <v>1616</v>
      </c>
    </row>
    <row r="3320" spans="1:14">
      <c r="A3320" s="2">
        <v>3319</v>
      </c>
      <c r="B3320" s="3" t="s">
        <v>11526</v>
      </c>
      <c r="C3320" s="2" t="s">
        <v>11527</v>
      </c>
      <c r="D3320" s="2">
        <v>47</v>
      </c>
      <c r="E3320" s="2">
        <v>47</v>
      </c>
      <c r="F3320" s="2" t="s">
        <v>11528</v>
      </c>
      <c r="H3320" s="2" t="s">
        <v>17</v>
      </c>
      <c r="K3320" s="4">
        <v>11886</v>
      </c>
      <c r="L3320" s="4">
        <v>41849</v>
      </c>
      <c r="M3320" s="2" t="s">
        <v>18</v>
      </c>
    </row>
    <row r="3321" spans="1:14">
      <c r="A3321" s="2">
        <v>3320</v>
      </c>
      <c r="B3321" s="3" t="s">
        <v>11529</v>
      </c>
      <c r="C3321" s="2" t="s">
        <v>11530</v>
      </c>
      <c r="D3321" s="2">
        <v>45</v>
      </c>
      <c r="E3321" s="2">
        <v>47</v>
      </c>
      <c r="F3321" s="2" t="s">
        <v>11531</v>
      </c>
      <c r="H3321" s="2" t="s">
        <v>17</v>
      </c>
      <c r="K3321" s="4">
        <v>11850</v>
      </c>
      <c r="L3321" s="4">
        <v>34191</v>
      </c>
      <c r="M3321" s="2" t="s">
        <v>170</v>
      </c>
      <c r="N3321" s="2" t="s">
        <v>1624</v>
      </c>
    </row>
    <row r="3322" spans="1:14">
      <c r="A3322" s="2">
        <v>3321</v>
      </c>
      <c r="B3322" s="3" t="s">
        <v>11532</v>
      </c>
      <c r="C3322" s="2" t="s">
        <v>11533</v>
      </c>
      <c r="D3322" s="2">
        <v>46</v>
      </c>
      <c r="E3322" s="2">
        <v>47</v>
      </c>
      <c r="F3322" s="2" t="s">
        <v>11534</v>
      </c>
      <c r="H3322" s="2" t="s">
        <v>17</v>
      </c>
      <c r="K3322" s="4">
        <v>13993</v>
      </c>
      <c r="L3322" s="4">
        <v>45806</v>
      </c>
      <c r="M3322" s="2" t="s">
        <v>85</v>
      </c>
      <c r="N3322" s="2" t="s">
        <v>1360</v>
      </c>
    </row>
    <row r="3323" spans="1:14">
      <c r="A3323" s="2">
        <v>3322</v>
      </c>
      <c r="B3323" s="3" t="s">
        <v>11535</v>
      </c>
      <c r="C3323" s="2" t="s">
        <v>11536</v>
      </c>
      <c r="D3323" s="2">
        <v>47</v>
      </c>
      <c r="E3323" s="2">
        <v>47</v>
      </c>
      <c r="F3323" s="2" t="s">
        <v>11537</v>
      </c>
      <c r="H3323" s="2" t="s">
        <v>17</v>
      </c>
      <c r="K3323" s="4">
        <v>14510</v>
      </c>
      <c r="M3323" s="2" t="s">
        <v>85</v>
      </c>
      <c r="N3323" s="2" t="s">
        <v>11538</v>
      </c>
    </row>
    <row r="3324" spans="1:14">
      <c r="A3324" s="2">
        <v>3323</v>
      </c>
      <c r="B3324" s="3" t="s">
        <v>11539</v>
      </c>
      <c r="C3324" s="2" t="s">
        <v>11540</v>
      </c>
      <c r="D3324" s="2">
        <v>46</v>
      </c>
      <c r="E3324" s="2">
        <v>47</v>
      </c>
      <c r="F3324" s="2" t="s">
        <v>11541</v>
      </c>
      <c r="H3324" s="2" t="s">
        <v>45</v>
      </c>
      <c r="K3324" s="4">
        <v>12887</v>
      </c>
      <c r="M3324" s="2" t="s">
        <v>164</v>
      </c>
      <c r="N3324" s="2" t="s">
        <v>165</v>
      </c>
    </row>
    <row r="3325" spans="1:14">
      <c r="A3325" s="2">
        <v>3324</v>
      </c>
      <c r="B3325" s="3" t="s">
        <v>11542</v>
      </c>
      <c r="C3325" s="2" t="s">
        <v>11543</v>
      </c>
      <c r="D3325" s="2">
        <v>46</v>
      </c>
      <c r="E3325" s="2">
        <v>47</v>
      </c>
      <c r="F3325" s="2" t="s">
        <v>11544</v>
      </c>
      <c r="H3325" s="2" t="s">
        <v>17</v>
      </c>
      <c r="K3325" s="4">
        <v>11148</v>
      </c>
      <c r="M3325" s="2" t="s">
        <v>140</v>
      </c>
      <c r="N3325" s="2" t="s">
        <v>11545</v>
      </c>
    </row>
    <row r="3326" spans="1:14">
      <c r="A3326" s="2">
        <v>3325</v>
      </c>
      <c r="B3326" s="3" t="s">
        <v>11546</v>
      </c>
      <c r="C3326" s="2" t="s">
        <v>11547</v>
      </c>
      <c r="D3326" s="2">
        <v>47</v>
      </c>
      <c r="E3326" s="2">
        <v>47</v>
      </c>
      <c r="F3326" s="2" t="s">
        <v>11548</v>
      </c>
      <c r="H3326" s="2" t="s">
        <v>17</v>
      </c>
      <c r="K3326" s="4">
        <v>13784</v>
      </c>
      <c r="M3326" s="2" t="s">
        <v>154</v>
      </c>
      <c r="N3326" s="2" t="s">
        <v>208</v>
      </c>
    </row>
    <row r="3327" spans="1:14">
      <c r="A3327" s="2">
        <v>3326</v>
      </c>
      <c r="B3327" s="3" t="s">
        <v>11549</v>
      </c>
      <c r="C3327" s="2" t="s">
        <v>11550</v>
      </c>
      <c r="D3327" s="2">
        <v>46</v>
      </c>
      <c r="E3327" s="2">
        <v>47</v>
      </c>
      <c r="F3327" s="2" t="s">
        <v>11551</v>
      </c>
      <c r="H3327" s="2" t="s">
        <v>17</v>
      </c>
      <c r="K3327" s="4">
        <v>9859</v>
      </c>
      <c r="L3327" s="4">
        <v>40775</v>
      </c>
      <c r="M3327" s="2" t="s">
        <v>35</v>
      </c>
      <c r="N3327" s="2" t="s">
        <v>11552</v>
      </c>
    </row>
    <row r="3328" spans="1:14">
      <c r="A3328" s="2">
        <v>3327</v>
      </c>
      <c r="B3328" s="3" t="s">
        <v>11553</v>
      </c>
      <c r="C3328" s="2" t="s">
        <v>11554</v>
      </c>
      <c r="D3328" s="2">
        <v>46</v>
      </c>
      <c r="E3328" s="2">
        <v>47</v>
      </c>
      <c r="F3328" s="2" t="s">
        <v>11555</v>
      </c>
      <c r="H3328" s="2" t="s">
        <v>17</v>
      </c>
      <c r="K3328" s="4">
        <v>5566</v>
      </c>
      <c r="L3328" s="4">
        <v>33115</v>
      </c>
      <c r="M3328" s="2" t="s">
        <v>192</v>
      </c>
      <c r="N3328" s="2" t="s">
        <v>4400</v>
      </c>
    </row>
    <row r="3329" spans="1:14">
      <c r="A3329" s="2">
        <v>3328</v>
      </c>
      <c r="B3329" s="3" t="s">
        <v>11556</v>
      </c>
      <c r="C3329" s="2" t="s">
        <v>11557</v>
      </c>
      <c r="D3329" s="2">
        <v>47</v>
      </c>
      <c r="E3329" s="2">
        <v>47</v>
      </c>
      <c r="F3329" s="2" t="s">
        <v>11558</v>
      </c>
      <c r="H3329" s="2" t="s">
        <v>17</v>
      </c>
      <c r="K3329" s="4">
        <v>20461</v>
      </c>
      <c r="M3329" s="2" t="s">
        <v>35</v>
      </c>
      <c r="N3329" s="2" t="s">
        <v>1616</v>
      </c>
    </row>
    <row r="3330" spans="1:14">
      <c r="A3330" s="2">
        <v>3329</v>
      </c>
      <c r="B3330" s="3" t="s">
        <v>11559</v>
      </c>
      <c r="C3330" s="2" t="s">
        <v>11560</v>
      </c>
      <c r="D3330" s="2">
        <v>47</v>
      </c>
      <c r="E3330" s="2">
        <v>47</v>
      </c>
      <c r="F3330" s="2" t="s">
        <v>11561</v>
      </c>
      <c r="H3330" s="2" t="s">
        <v>17</v>
      </c>
      <c r="K3330" s="4">
        <v>15410</v>
      </c>
      <c r="M3330" s="2" t="s">
        <v>35</v>
      </c>
      <c r="N3330" s="2" t="s">
        <v>1462</v>
      </c>
    </row>
    <row r="3331" spans="1:14">
      <c r="A3331" s="2">
        <v>3330</v>
      </c>
      <c r="B3331" s="3" t="s">
        <v>11562</v>
      </c>
      <c r="C3331" s="2" t="s">
        <v>11563</v>
      </c>
      <c r="D3331" s="2">
        <v>47</v>
      </c>
      <c r="E3331" s="2">
        <v>47</v>
      </c>
      <c r="F3331" s="2" t="s">
        <v>11564</v>
      </c>
      <c r="H3331" s="2" t="s">
        <v>17</v>
      </c>
      <c r="K3331" s="4">
        <v>14802</v>
      </c>
      <c r="M3331" s="2" t="s">
        <v>35</v>
      </c>
      <c r="N3331" s="2" t="s">
        <v>1462</v>
      </c>
    </row>
    <row r="3332" spans="1:14">
      <c r="A3332" s="2">
        <v>3331</v>
      </c>
      <c r="B3332" s="3" t="s">
        <v>11565</v>
      </c>
      <c r="C3332" s="2" t="s">
        <v>11566</v>
      </c>
      <c r="D3332" s="2">
        <v>45</v>
      </c>
      <c r="E3332" s="2">
        <v>47</v>
      </c>
      <c r="F3332" s="2" t="s">
        <v>11567</v>
      </c>
      <c r="H3332" s="2" t="s">
        <v>17</v>
      </c>
      <c r="K3332" s="4">
        <v>12622</v>
      </c>
      <c r="L3332" s="4">
        <v>39587</v>
      </c>
      <c r="M3332" s="2" t="s">
        <v>170</v>
      </c>
      <c r="N3332" s="2" t="s">
        <v>323</v>
      </c>
    </row>
    <row r="3333" spans="1:14">
      <c r="A3333" s="2">
        <v>3332</v>
      </c>
      <c r="B3333" s="3" t="s">
        <v>11568</v>
      </c>
      <c r="C3333" s="2" t="s">
        <v>11569</v>
      </c>
      <c r="D3333" s="2">
        <v>47</v>
      </c>
      <c r="E3333" s="2">
        <v>47</v>
      </c>
      <c r="F3333" s="2" t="s">
        <v>11570</v>
      </c>
      <c r="H3333" s="2" t="s">
        <v>17</v>
      </c>
      <c r="K3333" s="4">
        <v>14643</v>
      </c>
      <c r="M3333" s="2" t="s">
        <v>154</v>
      </c>
      <c r="N3333" s="2" t="s">
        <v>11571</v>
      </c>
    </row>
    <row r="3334" spans="1:14">
      <c r="A3334" s="2">
        <v>3333</v>
      </c>
      <c r="B3334" s="3" t="s">
        <v>11572</v>
      </c>
      <c r="C3334" s="2" t="s">
        <v>11573</v>
      </c>
      <c r="D3334" s="2">
        <v>38</v>
      </c>
      <c r="E3334" s="2">
        <v>47</v>
      </c>
      <c r="F3334" s="2" t="s">
        <v>11574</v>
      </c>
      <c r="H3334" s="2" t="s">
        <v>17</v>
      </c>
      <c r="K3334" s="4">
        <v>3467</v>
      </c>
      <c r="L3334" s="4">
        <v>35130</v>
      </c>
      <c r="M3334" s="2" t="s">
        <v>35</v>
      </c>
      <c r="N3334" s="2" t="s">
        <v>9543</v>
      </c>
    </row>
    <row r="3335" spans="1:14">
      <c r="A3335" s="2">
        <v>3334</v>
      </c>
      <c r="B3335" s="3" t="s">
        <v>11575</v>
      </c>
      <c r="C3335" s="2" t="s">
        <v>11576</v>
      </c>
      <c r="D3335" s="2">
        <v>47</v>
      </c>
      <c r="E3335" s="2">
        <v>47</v>
      </c>
      <c r="F3335" s="2" t="s">
        <v>11577</v>
      </c>
      <c r="H3335" s="2" t="s">
        <v>17</v>
      </c>
      <c r="K3335" s="4">
        <v>15816</v>
      </c>
      <c r="M3335" s="2" t="s">
        <v>146</v>
      </c>
      <c r="N3335" s="2" t="s">
        <v>147</v>
      </c>
    </row>
    <row r="3336" spans="1:14">
      <c r="A3336" s="2">
        <v>3335</v>
      </c>
      <c r="B3336" s="3" t="s">
        <v>11578</v>
      </c>
      <c r="C3336" s="2" t="s">
        <v>11579</v>
      </c>
      <c r="D3336" s="2">
        <v>47</v>
      </c>
      <c r="E3336" s="2">
        <v>47</v>
      </c>
      <c r="F3336" s="2" t="s">
        <v>11580</v>
      </c>
      <c r="H3336" s="2" t="s">
        <v>17</v>
      </c>
      <c r="K3336" s="4">
        <v>16582</v>
      </c>
      <c r="M3336" s="2" t="s">
        <v>35</v>
      </c>
      <c r="N3336" s="2" t="s">
        <v>11581</v>
      </c>
    </row>
    <row r="3337" spans="1:14">
      <c r="A3337" s="2">
        <v>3336</v>
      </c>
      <c r="B3337" s="3" t="s">
        <v>11582</v>
      </c>
      <c r="C3337" s="2" t="s">
        <v>11583</v>
      </c>
      <c r="D3337" s="2">
        <v>47</v>
      </c>
      <c r="E3337" s="2">
        <v>47</v>
      </c>
      <c r="F3337" s="2" t="s">
        <v>11584</v>
      </c>
      <c r="H3337" s="2" t="s">
        <v>17</v>
      </c>
      <c r="K3337" s="4">
        <v>8384</v>
      </c>
      <c r="M3337" s="2" t="s">
        <v>423</v>
      </c>
      <c r="N3337" s="2" t="s">
        <v>11585</v>
      </c>
    </row>
    <row r="3338" spans="1:14">
      <c r="A3338" s="2">
        <v>3337</v>
      </c>
      <c r="B3338" s="3" t="s">
        <v>11586</v>
      </c>
      <c r="C3338" s="2" t="s">
        <v>11587</v>
      </c>
      <c r="D3338" s="2">
        <v>46</v>
      </c>
      <c r="E3338" s="2">
        <v>47</v>
      </c>
      <c r="F3338" s="2" t="s">
        <v>11588</v>
      </c>
      <c r="H3338" s="2" t="s">
        <v>17</v>
      </c>
      <c r="K3338" s="4">
        <v>10313</v>
      </c>
      <c r="L3338" s="4">
        <v>32071</v>
      </c>
      <c r="M3338" s="2" t="s">
        <v>85</v>
      </c>
      <c r="N3338" s="2" t="s">
        <v>11589</v>
      </c>
    </row>
    <row r="3339" spans="1:14">
      <c r="A3339" s="2">
        <v>3338</v>
      </c>
      <c r="B3339" s="3" t="s">
        <v>11590</v>
      </c>
      <c r="C3339" s="2" t="s">
        <v>11591</v>
      </c>
      <c r="D3339" s="2">
        <v>36</v>
      </c>
      <c r="E3339" s="2">
        <v>47</v>
      </c>
      <c r="F3339" s="2" t="s">
        <v>11592</v>
      </c>
      <c r="H3339" s="2" t="s">
        <v>17</v>
      </c>
      <c r="K3339" s="4">
        <v>2988</v>
      </c>
      <c r="L3339" s="4">
        <v>33626</v>
      </c>
      <c r="M3339" s="2" t="s">
        <v>198</v>
      </c>
      <c r="N3339" s="2" t="s">
        <v>10371</v>
      </c>
    </row>
    <row r="3340" spans="1:14">
      <c r="A3340" s="2">
        <v>3339</v>
      </c>
      <c r="B3340" s="3" t="s">
        <v>11593</v>
      </c>
      <c r="C3340" s="2" t="s">
        <v>11594</v>
      </c>
      <c r="D3340" s="2">
        <v>47</v>
      </c>
      <c r="E3340" s="2">
        <v>47</v>
      </c>
      <c r="F3340" s="2" t="s">
        <v>11595</v>
      </c>
      <c r="H3340" s="2" t="s">
        <v>17</v>
      </c>
      <c r="K3340" s="4">
        <v>12386</v>
      </c>
      <c r="L3340" s="4">
        <v>36032</v>
      </c>
      <c r="M3340" s="2" t="s">
        <v>85</v>
      </c>
      <c r="N3340" s="2" t="s">
        <v>11596</v>
      </c>
    </row>
    <row r="3341" spans="1:14">
      <c r="A3341" s="2">
        <v>3340</v>
      </c>
      <c r="B3341" s="3" t="s">
        <v>11597</v>
      </c>
      <c r="C3341" s="2" t="s">
        <v>11598</v>
      </c>
      <c r="D3341" s="2">
        <v>45</v>
      </c>
      <c r="E3341" s="2">
        <v>47</v>
      </c>
      <c r="F3341" s="2" t="s">
        <v>11599</v>
      </c>
      <c r="H3341" s="2" t="s">
        <v>17</v>
      </c>
      <c r="K3341" s="4">
        <v>14992</v>
      </c>
      <c r="L3341" s="4">
        <v>41239</v>
      </c>
      <c r="M3341" s="2" t="s">
        <v>47</v>
      </c>
      <c r="N3341" s="2" t="s">
        <v>11600</v>
      </c>
    </row>
    <row r="3342" spans="1:14">
      <c r="A3342" s="2">
        <v>3341</v>
      </c>
      <c r="B3342" s="3" t="s">
        <v>11601</v>
      </c>
      <c r="C3342" s="2" t="s">
        <v>11602</v>
      </c>
      <c r="D3342" s="2">
        <v>44</v>
      </c>
      <c r="E3342" s="2">
        <v>47</v>
      </c>
      <c r="F3342" s="2" t="s">
        <v>11603</v>
      </c>
      <c r="H3342" s="2" t="s">
        <v>17</v>
      </c>
      <c r="K3342" s="4">
        <v>8841</v>
      </c>
      <c r="L3342" s="4">
        <v>39308</v>
      </c>
      <c r="M3342" s="2" t="s">
        <v>85</v>
      </c>
      <c r="N3342" s="2" t="s">
        <v>86</v>
      </c>
    </row>
    <row r="3343" spans="1:14">
      <c r="A3343" s="2">
        <v>3342</v>
      </c>
      <c r="B3343" s="3" t="s">
        <v>11604</v>
      </c>
      <c r="C3343" s="2" t="s">
        <v>11605</v>
      </c>
      <c r="D3343" s="2">
        <v>44</v>
      </c>
      <c r="E3343" s="2">
        <v>47</v>
      </c>
      <c r="F3343" s="2" t="s">
        <v>11606</v>
      </c>
      <c r="H3343" s="2" t="s">
        <v>17</v>
      </c>
      <c r="K3343" s="4">
        <v>16696</v>
      </c>
      <c r="L3343" s="4">
        <v>40149</v>
      </c>
      <c r="M3343" s="2" t="s">
        <v>35</v>
      </c>
      <c r="N3343" s="2" t="s">
        <v>1462</v>
      </c>
    </row>
    <row r="3344" spans="1:14">
      <c r="A3344" s="2">
        <v>3343</v>
      </c>
      <c r="B3344" s="3" t="s">
        <v>11607</v>
      </c>
      <c r="C3344" s="2" t="s">
        <v>11608</v>
      </c>
      <c r="D3344" s="2">
        <v>47</v>
      </c>
      <c r="E3344" s="2">
        <v>47</v>
      </c>
      <c r="F3344" s="2" t="s">
        <v>11609</v>
      </c>
      <c r="H3344" s="2" t="s">
        <v>17</v>
      </c>
      <c r="K3344" s="4">
        <v>15832</v>
      </c>
      <c r="M3344" s="2" t="s">
        <v>341</v>
      </c>
      <c r="N3344" s="2" t="s">
        <v>834</v>
      </c>
    </row>
    <row r="3345" spans="1:14">
      <c r="A3345" s="2">
        <v>3344</v>
      </c>
      <c r="B3345" s="3" t="s">
        <v>11610</v>
      </c>
      <c r="C3345" s="2" t="s">
        <v>11611</v>
      </c>
      <c r="D3345" s="2">
        <v>46</v>
      </c>
      <c r="E3345" s="2">
        <v>47</v>
      </c>
      <c r="F3345" s="2" t="s">
        <v>11612</v>
      </c>
      <c r="H3345" s="2" t="s">
        <v>17</v>
      </c>
      <c r="K3345" s="4">
        <v>15191</v>
      </c>
      <c r="M3345" s="2" t="s">
        <v>170</v>
      </c>
      <c r="N3345" s="2" t="s">
        <v>3654</v>
      </c>
    </row>
    <row r="3346" spans="1:14">
      <c r="A3346" s="2">
        <v>3345</v>
      </c>
      <c r="B3346" s="3" t="s">
        <v>11613</v>
      </c>
      <c r="C3346" s="2" t="s">
        <v>11614</v>
      </c>
      <c r="D3346" s="2">
        <v>47</v>
      </c>
      <c r="E3346" s="2">
        <v>47</v>
      </c>
      <c r="F3346" s="2" t="s">
        <v>11615</v>
      </c>
      <c r="H3346" s="2" t="s">
        <v>17</v>
      </c>
      <c r="K3346" s="4">
        <v>20372</v>
      </c>
      <c r="M3346" s="2" t="s">
        <v>47</v>
      </c>
      <c r="N3346" s="2" t="s">
        <v>48</v>
      </c>
    </row>
    <row r="3347" spans="1:14">
      <c r="A3347" s="2">
        <v>3346</v>
      </c>
      <c r="B3347" s="3" t="s">
        <v>11616</v>
      </c>
      <c r="C3347" s="2" t="s">
        <v>11617</v>
      </c>
      <c r="D3347" s="2">
        <v>47</v>
      </c>
      <c r="E3347" s="2">
        <v>47</v>
      </c>
      <c r="F3347" s="2" t="s">
        <v>11618</v>
      </c>
      <c r="H3347" s="2" t="s">
        <v>17</v>
      </c>
      <c r="K3347" s="4">
        <v>8535</v>
      </c>
      <c r="L3347" s="4">
        <v>39355</v>
      </c>
      <c r="M3347" s="2" t="s">
        <v>47</v>
      </c>
      <c r="N3347" s="2" t="s">
        <v>2861</v>
      </c>
    </row>
    <row r="3348" spans="1:14">
      <c r="A3348" s="2">
        <v>3347</v>
      </c>
      <c r="B3348" s="3" t="s">
        <v>11619</v>
      </c>
      <c r="C3348" s="2" t="s">
        <v>11620</v>
      </c>
      <c r="D3348" s="2">
        <v>42</v>
      </c>
      <c r="E3348" s="2">
        <v>47</v>
      </c>
      <c r="F3348" s="2" t="s">
        <v>11621</v>
      </c>
      <c r="H3348" s="2" t="s">
        <v>17</v>
      </c>
      <c r="K3348" s="4">
        <v>11069</v>
      </c>
      <c r="L3348" s="4">
        <v>36956</v>
      </c>
      <c r="M3348" s="2" t="s">
        <v>47</v>
      </c>
      <c r="N3348" s="2" t="s">
        <v>691</v>
      </c>
    </row>
    <row r="3349" spans="1:14">
      <c r="A3349" s="2">
        <v>3348</v>
      </c>
      <c r="B3349" s="3" t="s">
        <v>11622</v>
      </c>
      <c r="C3349" s="2" t="s">
        <v>11623</v>
      </c>
      <c r="D3349" s="2">
        <v>45</v>
      </c>
      <c r="E3349" s="2">
        <v>47</v>
      </c>
      <c r="F3349" s="2" t="s">
        <v>11624</v>
      </c>
      <c r="H3349" s="2" t="s">
        <v>17</v>
      </c>
      <c r="K3349" s="4">
        <v>15759</v>
      </c>
      <c r="M3349" s="2" t="s">
        <v>85</v>
      </c>
      <c r="N3349" s="2" t="s">
        <v>4721</v>
      </c>
    </row>
    <row r="3350" spans="1:14">
      <c r="A3350" s="2">
        <v>3349</v>
      </c>
      <c r="B3350" s="3" t="s">
        <v>11625</v>
      </c>
      <c r="C3350" s="2" t="s">
        <v>11626</v>
      </c>
      <c r="D3350" s="2">
        <v>46</v>
      </c>
      <c r="E3350" s="2">
        <v>47</v>
      </c>
      <c r="F3350" s="2" t="s">
        <v>11627</v>
      </c>
      <c r="H3350" s="2" t="s">
        <v>17</v>
      </c>
      <c r="K3350" s="4">
        <v>16299</v>
      </c>
      <c r="M3350" s="2" t="s">
        <v>47</v>
      </c>
      <c r="N3350" s="2" t="s">
        <v>10847</v>
      </c>
    </row>
    <row r="3351" spans="1:14">
      <c r="A3351" s="2">
        <v>3350</v>
      </c>
      <c r="B3351" s="3" t="s">
        <v>11628</v>
      </c>
      <c r="C3351" s="2" t="s">
        <v>11629</v>
      </c>
      <c r="D3351" s="2">
        <v>47</v>
      </c>
      <c r="E3351" s="2">
        <v>47</v>
      </c>
      <c r="F3351" s="2" t="s">
        <v>11630</v>
      </c>
      <c r="H3351" s="2" t="s">
        <v>17</v>
      </c>
      <c r="K3351" s="4">
        <v>15952</v>
      </c>
      <c r="L3351" s="4">
        <v>37454</v>
      </c>
      <c r="M3351" s="2" t="s">
        <v>18</v>
      </c>
    </row>
    <row r="3352" spans="1:14">
      <c r="A3352" s="2">
        <v>3351</v>
      </c>
      <c r="B3352" s="3" t="s">
        <v>11631</v>
      </c>
      <c r="C3352" s="2" t="s">
        <v>11632</v>
      </c>
      <c r="D3352" s="2">
        <v>47</v>
      </c>
      <c r="E3352" s="2">
        <v>47</v>
      </c>
      <c r="F3352" s="2" t="s">
        <v>11633</v>
      </c>
      <c r="H3352" s="2" t="s">
        <v>17</v>
      </c>
      <c r="K3352" s="4">
        <v>6579</v>
      </c>
      <c r="L3352" s="4">
        <v>35443</v>
      </c>
      <c r="M3352" s="2" t="s">
        <v>47</v>
      </c>
      <c r="N3352" s="2" t="s">
        <v>48</v>
      </c>
    </row>
    <row r="3353" spans="1:14">
      <c r="A3353" s="2">
        <v>3352</v>
      </c>
      <c r="B3353" s="3" t="s">
        <v>11634</v>
      </c>
      <c r="C3353" s="2" t="s">
        <v>11635</v>
      </c>
      <c r="D3353" s="2">
        <v>40</v>
      </c>
      <c r="E3353" s="2">
        <v>47</v>
      </c>
      <c r="F3353" s="2" t="s">
        <v>11636</v>
      </c>
      <c r="H3353" s="2" t="s">
        <v>17</v>
      </c>
      <c r="K3353" s="4">
        <v>6055</v>
      </c>
      <c r="L3353" s="4">
        <v>31199</v>
      </c>
      <c r="M3353" s="2" t="s">
        <v>140</v>
      </c>
      <c r="N3353" s="2" t="s">
        <v>9189</v>
      </c>
    </row>
    <row r="3354" spans="1:14">
      <c r="A3354" s="2">
        <v>3353</v>
      </c>
      <c r="B3354" s="3" t="s">
        <v>11637</v>
      </c>
      <c r="C3354" s="2" t="s">
        <v>11638</v>
      </c>
      <c r="D3354" s="2">
        <v>46</v>
      </c>
      <c r="E3354" s="2">
        <v>47</v>
      </c>
      <c r="F3354" s="2" t="s">
        <v>11639</v>
      </c>
      <c r="H3354" s="2" t="s">
        <v>17</v>
      </c>
      <c r="K3354" s="4">
        <v>10467</v>
      </c>
      <c r="L3354" s="4">
        <v>33993</v>
      </c>
      <c r="M3354" s="2" t="s">
        <v>18</v>
      </c>
      <c r="N3354" s="2" t="s">
        <v>11640</v>
      </c>
    </row>
    <row r="3355" spans="1:14">
      <c r="A3355" s="2">
        <v>3354</v>
      </c>
      <c r="B3355" s="3" t="s">
        <v>11641</v>
      </c>
      <c r="C3355" s="2" t="s">
        <v>11642</v>
      </c>
      <c r="D3355" s="2">
        <v>47</v>
      </c>
      <c r="E3355" s="2">
        <v>47</v>
      </c>
      <c r="F3355" s="2" t="s">
        <v>11643</v>
      </c>
      <c r="H3355" s="2" t="s">
        <v>17</v>
      </c>
      <c r="K3355" s="4">
        <v>13428</v>
      </c>
      <c r="M3355" s="2" t="s">
        <v>35</v>
      </c>
      <c r="N3355" s="2" t="s">
        <v>238</v>
      </c>
    </row>
    <row r="3356" spans="1:14">
      <c r="A3356" s="2">
        <v>3355</v>
      </c>
      <c r="B3356" s="3" t="s">
        <v>11644</v>
      </c>
      <c r="C3356" s="2" t="s">
        <v>11645</v>
      </c>
      <c r="D3356" s="2">
        <v>42</v>
      </c>
      <c r="E3356" s="2">
        <v>47</v>
      </c>
      <c r="F3356" s="2" t="s">
        <v>11646</v>
      </c>
      <c r="H3356" s="2" t="s">
        <v>17</v>
      </c>
      <c r="K3356" s="4">
        <v>13387</v>
      </c>
      <c r="L3356" s="4">
        <v>40432</v>
      </c>
      <c r="M3356" s="2" t="s">
        <v>35</v>
      </c>
      <c r="N3356" s="2" t="s">
        <v>703</v>
      </c>
    </row>
    <row r="3357" spans="1:14">
      <c r="A3357" s="2">
        <v>3356</v>
      </c>
      <c r="B3357" s="3" t="s">
        <v>11647</v>
      </c>
      <c r="C3357" s="2" t="s">
        <v>11648</v>
      </c>
      <c r="D3357" s="2">
        <v>47</v>
      </c>
      <c r="E3357" s="2">
        <v>47</v>
      </c>
      <c r="F3357" s="2" t="s">
        <v>11649</v>
      </c>
      <c r="H3357" s="2" t="s">
        <v>45</v>
      </c>
      <c r="K3357" s="4">
        <v>14279</v>
      </c>
      <c r="M3357" s="2" t="s">
        <v>192</v>
      </c>
      <c r="N3357" s="2" t="s">
        <v>193</v>
      </c>
    </row>
    <row r="3358" spans="1:14">
      <c r="A3358" s="2">
        <v>3357</v>
      </c>
      <c r="B3358" s="3" t="s">
        <v>11650</v>
      </c>
      <c r="C3358" s="2" t="s">
        <v>11651</v>
      </c>
      <c r="D3358" s="2">
        <v>43</v>
      </c>
      <c r="E3358" s="2">
        <v>47</v>
      </c>
      <c r="F3358" s="2" t="s">
        <v>11652</v>
      </c>
      <c r="H3358" s="2" t="s">
        <v>17</v>
      </c>
      <c r="K3358" s="4">
        <v>13713</v>
      </c>
      <c r="L3358" s="4">
        <v>35719</v>
      </c>
      <c r="M3358" s="2" t="s">
        <v>66</v>
      </c>
      <c r="N3358" s="2" t="s">
        <v>10075</v>
      </c>
    </row>
    <row r="3359" spans="1:14">
      <c r="A3359" s="2">
        <v>3358</v>
      </c>
      <c r="B3359" s="3" t="s">
        <v>11653</v>
      </c>
      <c r="C3359" s="2" t="s">
        <v>11654</v>
      </c>
      <c r="D3359" s="2">
        <v>46</v>
      </c>
      <c r="E3359" s="2">
        <v>47</v>
      </c>
      <c r="F3359" s="2" t="s">
        <v>11655</v>
      </c>
      <c r="H3359" s="2" t="s">
        <v>17</v>
      </c>
      <c r="K3359" s="4">
        <v>12407</v>
      </c>
      <c r="L3359" s="4">
        <v>34219</v>
      </c>
      <c r="M3359" s="2" t="s">
        <v>185</v>
      </c>
    </row>
    <row r="3360" spans="1:14">
      <c r="A3360" s="2">
        <v>3359</v>
      </c>
      <c r="B3360" s="3" t="s">
        <v>11656</v>
      </c>
      <c r="C3360" s="2" t="s">
        <v>11657</v>
      </c>
      <c r="D3360" s="2">
        <v>46</v>
      </c>
      <c r="E3360" s="2">
        <v>47</v>
      </c>
      <c r="F3360" s="2" t="s">
        <v>11658</v>
      </c>
      <c r="H3360" s="2" t="s">
        <v>17</v>
      </c>
      <c r="K3360" s="4">
        <v>13872</v>
      </c>
      <c r="L3360" s="4">
        <v>40358</v>
      </c>
      <c r="M3360" s="2" t="s">
        <v>47</v>
      </c>
      <c r="N3360" s="2" t="s">
        <v>2107</v>
      </c>
    </row>
    <row r="3361" spans="1:14">
      <c r="A3361" s="2">
        <v>3360</v>
      </c>
      <c r="B3361" s="3" t="s">
        <v>11659</v>
      </c>
      <c r="C3361" s="2" t="s">
        <v>11660</v>
      </c>
      <c r="D3361" s="2">
        <v>46</v>
      </c>
      <c r="E3361" s="2">
        <v>47</v>
      </c>
      <c r="F3361" s="2" t="s">
        <v>11661</v>
      </c>
      <c r="H3361" s="2" t="s">
        <v>17</v>
      </c>
      <c r="K3361" s="4">
        <v>13788</v>
      </c>
      <c r="L3361" s="4">
        <v>43001</v>
      </c>
      <c r="M3361" s="2" t="s">
        <v>35</v>
      </c>
      <c r="N3361" s="2" t="s">
        <v>11662</v>
      </c>
    </row>
    <row r="3362" spans="1:14">
      <c r="A3362" s="2">
        <v>3361</v>
      </c>
      <c r="B3362" s="3" t="s">
        <v>11663</v>
      </c>
      <c r="C3362" s="2" t="s">
        <v>11664</v>
      </c>
      <c r="D3362" s="2">
        <v>47</v>
      </c>
      <c r="E3362" s="2">
        <v>47</v>
      </c>
      <c r="F3362" s="2" t="s">
        <v>11665</v>
      </c>
      <c r="H3362" s="2" t="s">
        <v>17</v>
      </c>
      <c r="K3362" s="4">
        <v>8525</v>
      </c>
      <c r="L3362" s="4">
        <v>41051</v>
      </c>
      <c r="M3362" s="2" t="s">
        <v>146</v>
      </c>
      <c r="N3362" s="2" t="s">
        <v>11666</v>
      </c>
    </row>
    <row r="3363" spans="1:14">
      <c r="A3363" s="2">
        <v>3362</v>
      </c>
      <c r="B3363" s="3" t="s">
        <v>11667</v>
      </c>
      <c r="C3363" s="2" t="s">
        <v>11668</v>
      </c>
      <c r="D3363" s="2">
        <v>47</v>
      </c>
      <c r="E3363" s="2">
        <v>47</v>
      </c>
      <c r="F3363" s="2" t="s">
        <v>11669</v>
      </c>
      <c r="H3363" s="2" t="s">
        <v>17</v>
      </c>
      <c r="K3363" s="4">
        <v>11681</v>
      </c>
      <c r="L3363" s="4">
        <v>43887</v>
      </c>
      <c r="M3363" s="2" t="s">
        <v>47</v>
      </c>
      <c r="N3363" s="2" t="s">
        <v>582</v>
      </c>
    </row>
    <row r="3364" spans="1:14">
      <c r="A3364" s="2">
        <v>3363</v>
      </c>
      <c r="B3364" s="3" t="s">
        <v>11670</v>
      </c>
      <c r="C3364" s="2" t="s">
        <v>11671</v>
      </c>
      <c r="D3364" s="2">
        <v>47</v>
      </c>
      <c r="E3364" s="2">
        <v>47</v>
      </c>
      <c r="F3364" s="2" t="s">
        <v>11672</v>
      </c>
      <c r="H3364" s="2" t="s">
        <v>17</v>
      </c>
      <c r="K3364" s="4">
        <v>16346</v>
      </c>
      <c r="M3364" s="2" t="s">
        <v>423</v>
      </c>
      <c r="N3364" s="2" t="s">
        <v>11673</v>
      </c>
    </row>
    <row r="3365" spans="1:14">
      <c r="A3365" s="2">
        <v>3364</v>
      </c>
      <c r="B3365" s="3" t="s">
        <v>11674</v>
      </c>
      <c r="C3365" s="2" t="s">
        <v>11675</v>
      </c>
      <c r="D3365" s="2">
        <v>47</v>
      </c>
      <c r="E3365" s="2">
        <v>47</v>
      </c>
      <c r="F3365" s="2" t="s">
        <v>11676</v>
      </c>
      <c r="H3365" s="2" t="s">
        <v>17</v>
      </c>
      <c r="K3365" s="4">
        <v>9345</v>
      </c>
      <c r="L3365" s="4">
        <v>44831</v>
      </c>
      <c r="M3365" s="2" t="s">
        <v>53</v>
      </c>
      <c r="N3365" s="2" t="s">
        <v>9382</v>
      </c>
    </row>
    <row r="3366" spans="1:14">
      <c r="A3366" s="2">
        <v>3365</v>
      </c>
      <c r="B3366" s="3" t="s">
        <v>11677</v>
      </c>
      <c r="C3366" s="2" t="s">
        <v>11678</v>
      </c>
      <c r="D3366" s="2">
        <v>43</v>
      </c>
      <c r="E3366" s="2">
        <v>47</v>
      </c>
      <c r="F3366" s="2" t="s">
        <v>11679</v>
      </c>
      <c r="H3366" s="2" t="s">
        <v>17</v>
      </c>
      <c r="K3366" s="4">
        <v>10797</v>
      </c>
      <c r="L3366" s="4">
        <v>40899</v>
      </c>
      <c r="M3366" s="2" t="s">
        <v>40</v>
      </c>
      <c r="N3366" s="2" t="s">
        <v>41</v>
      </c>
    </row>
    <row r="3367" spans="1:14">
      <c r="A3367" s="2">
        <v>3366</v>
      </c>
      <c r="B3367" s="3" t="s">
        <v>11680</v>
      </c>
      <c r="C3367" s="2" t="s">
        <v>11681</v>
      </c>
      <c r="D3367" s="2">
        <v>47</v>
      </c>
      <c r="E3367" s="2">
        <v>47</v>
      </c>
      <c r="F3367" s="2" t="s">
        <v>11682</v>
      </c>
      <c r="H3367" s="2" t="s">
        <v>17</v>
      </c>
      <c r="K3367" s="4">
        <v>14353</v>
      </c>
      <c r="L3367" s="4">
        <v>44101</v>
      </c>
      <c r="M3367" s="2" t="s">
        <v>66</v>
      </c>
      <c r="N3367" s="2" t="s">
        <v>5573</v>
      </c>
    </row>
    <row r="3368" spans="1:14">
      <c r="A3368" s="2">
        <v>3367</v>
      </c>
      <c r="B3368" s="3" t="s">
        <v>11683</v>
      </c>
      <c r="C3368" s="2" t="s">
        <v>11684</v>
      </c>
      <c r="D3368" s="2">
        <v>45</v>
      </c>
      <c r="E3368" s="2">
        <v>47</v>
      </c>
      <c r="F3368" s="2" t="s">
        <v>11685</v>
      </c>
      <c r="H3368" s="2" t="s">
        <v>17</v>
      </c>
      <c r="K3368" s="4">
        <v>13084</v>
      </c>
      <c r="L3368" s="4">
        <v>40395</v>
      </c>
      <c r="M3368" s="2" t="s">
        <v>154</v>
      </c>
      <c r="N3368" s="2" t="s">
        <v>208</v>
      </c>
    </row>
    <row r="3369" spans="1:14">
      <c r="A3369" s="2">
        <v>3368</v>
      </c>
      <c r="B3369" s="3" t="s">
        <v>11686</v>
      </c>
      <c r="C3369" s="2" t="s">
        <v>11687</v>
      </c>
      <c r="D3369" s="2">
        <v>47</v>
      </c>
      <c r="E3369" s="2">
        <v>47</v>
      </c>
      <c r="F3369" s="2" t="s">
        <v>11688</v>
      </c>
      <c r="H3369" s="2" t="s">
        <v>17</v>
      </c>
      <c r="K3369" s="4">
        <v>7444</v>
      </c>
      <c r="L3369" s="4">
        <v>34607</v>
      </c>
      <c r="M3369" s="2" t="s">
        <v>35</v>
      </c>
      <c r="N3369" s="2" t="s">
        <v>58</v>
      </c>
    </row>
    <row r="3370" spans="1:14">
      <c r="A3370" s="2">
        <v>3369</v>
      </c>
      <c r="B3370" s="3" t="s">
        <v>11689</v>
      </c>
      <c r="C3370" s="2" t="s">
        <v>11690</v>
      </c>
      <c r="D3370" s="2">
        <v>45</v>
      </c>
      <c r="E3370" s="2">
        <v>47</v>
      </c>
      <c r="F3370" s="2" t="s">
        <v>11691</v>
      </c>
      <c r="H3370" s="2" t="s">
        <v>17</v>
      </c>
      <c r="K3370" s="4">
        <v>4039</v>
      </c>
      <c r="L3370" s="4">
        <v>34670</v>
      </c>
      <c r="M3370" s="2" t="s">
        <v>47</v>
      </c>
      <c r="N3370" s="2" t="s">
        <v>6363</v>
      </c>
    </row>
    <row r="3371" spans="1:14">
      <c r="A3371" s="2">
        <v>3370</v>
      </c>
      <c r="B3371" s="3" t="s">
        <v>11692</v>
      </c>
      <c r="C3371" s="2" t="s">
        <v>11693</v>
      </c>
      <c r="D3371" s="2">
        <v>45</v>
      </c>
      <c r="E3371" s="2">
        <v>47</v>
      </c>
      <c r="F3371" s="2" t="s">
        <v>11694</v>
      </c>
      <c r="H3371" s="2" t="s">
        <v>17</v>
      </c>
      <c r="K3371" s="4">
        <v>4992</v>
      </c>
      <c r="L3371" s="4">
        <v>36067</v>
      </c>
      <c r="M3371" s="2" t="s">
        <v>76</v>
      </c>
      <c r="N3371" s="2" t="s">
        <v>9251</v>
      </c>
    </row>
    <row r="3372" spans="1:14">
      <c r="A3372" s="2">
        <v>3371</v>
      </c>
      <c r="B3372" s="3" t="s">
        <v>11695</v>
      </c>
      <c r="C3372" s="2" t="s">
        <v>11696</v>
      </c>
      <c r="D3372" s="2">
        <v>42</v>
      </c>
      <c r="E3372" s="2">
        <v>47</v>
      </c>
      <c r="F3372" s="2" t="s">
        <v>11697</v>
      </c>
      <c r="H3372" s="2" t="s">
        <v>17</v>
      </c>
      <c r="K3372" s="4">
        <v>9535</v>
      </c>
      <c r="L3372" s="4">
        <v>37948</v>
      </c>
      <c r="M3372" s="2" t="s">
        <v>423</v>
      </c>
      <c r="N3372" s="2" t="s">
        <v>3942</v>
      </c>
    </row>
    <row r="3373" spans="1:14">
      <c r="A3373" s="2">
        <v>3372</v>
      </c>
      <c r="B3373" s="3" t="s">
        <v>11698</v>
      </c>
      <c r="C3373" s="2" t="s">
        <v>11699</v>
      </c>
      <c r="D3373" s="2">
        <v>47</v>
      </c>
      <c r="E3373" s="2">
        <v>47</v>
      </c>
      <c r="F3373" s="2" t="s">
        <v>11700</v>
      </c>
      <c r="H3373" s="2" t="s">
        <v>17</v>
      </c>
      <c r="K3373" s="4">
        <v>16994</v>
      </c>
      <c r="M3373" s="2" t="s">
        <v>423</v>
      </c>
      <c r="N3373" s="2" t="s">
        <v>6575</v>
      </c>
    </row>
    <row r="3374" spans="1:14">
      <c r="A3374" s="2">
        <v>3373</v>
      </c>
      <c r="B3374" s="3" t="s">
        <v>11701</v>
      </c>
      <c r="C3374" s="2" t="s">
        <v>11702</v>
      </c>
      <c r="D3374" s="2">
        <v>47</v>
      </c>
      <c r="E3374" s="2">
        <v>47</v>
      </c>
      <c r="F3374" s="2" t="s">
        <v>11703</v>
      </c>
      <c r="H3374" s="2" t="s">
        <v>17</v>
      </c>
      <c r="K3374" s="4">
        <v>14121</v>
      </c>
      <c r="L3374" s="4">
        <v>33162</v>
      </c>
      <c r="M3374" s="2" t="s">
        <v>53</v>
      </c>
      <c r="N3374" s="2" t="s">
        <v>9382</v>
      </c>
    </row>
    <row r="3375" spans="1:14">
      <c r="A3375" s="2">
        <v>3374</v>
      </c>
      <c r="B3375" s="3" t="s">
        <v>11704</v>
      </c>
      <c r="C3375" s="2" t="s">
        <v>11705</v>
      </c>
      <c r="D3375" s="2">
        <v>44</v>
      </c>
      <c r="E3375" s="2">
        <v>47</v>
      </c>
      <c r="F3375" s="2" t="s">
        <v>11706</v>
      </c>
      <c r="H3375" s="2" t="s">
        <v>17</v>
      </c>
      <c r="K3375" s="4">
        <v>11646</v>
      </c>
      <c r="M3375" s="2" t="s">
        <v>154</v>
      </c>
      <c r="N3375" s="2" t="s">
        <v>2446</v>
      </c>
    </row>
    <row r="3376" spans="1:14">
      <c r="A3376" s="2">
        <v>3375</v>
      </c>
      <c r="B3376" s="3" t="s">
        <v>11707</v>
      </c>
      <c r="C3376" s="2" t="s">
        <v>11708</v>
      </c>
      <c r="D3376" s="2">
        <v>47</v>
      </c>
      <c r="E3376" s="2">
        <v>47</v>
      </c>
      <c r="F3376" s="2" t="s">
        <v>11709</v>
      </c>
      <c r="H3376" s="2" t="s">
        <v>17</v>
      </c>
      <c r="K3376" s="4">
        <v>10838</v>
      </c>
      <c r="L3376" s="4">
        <v>43247</v>
      </c>
      <c r="M3376" s="2" t="s">
        <v>66</v>
      </c>
      <c r="N3376" s="2" t="s">
        <v>11710</v>
      </c>
    </row>
    <row r="3377" spans="1:14">
      <c r="A3377" s="2">
        <v>3376</v>
      </c>
      <c r="B3377" s="3" t="s">
        <v>11711</v>
      </c>
      <c r="C3377" s="2" t="s">
        <v>11712</v>
      </c>
      <c r="D3377" s="2">
        <v>45</v>
      </c>
      <c r="E3377" s="2">
        <v>47</v>
      </c>
      <c r="F3377" s="2" t="s">
        <v>11713</v>
      </c>
      <c r="H3377" s="2" t="s">
        <v>17</v>
      </c>
      <c r="K3377" s="4">
        <v>12988</v>
      </c>
      <c r="M3377" s="2" t="s">
        <v>53</v>
      </c>
      <c r="N3377" s="2" t="s">
        <v>11714</v>
      </c>
    </row>
    <row r="3378" spans="1:14">
      <c r="A3378" s="2">
        <v>3377</v>
      </c>
      <c r="B3378" s="3" t="s">
        <v>11715</v>
      </c>
      <c r="C3378" s="2" t="s">
        <v>11716</v>
      </c>
      <c r="D3378" s="2">
        <v>47</v>
      </c>
      <c r="E3378" s="2">
        <v>47</v>
      </c>
      <c r="F3378" s="2" t="s">
        <v>11717</v>
      </c>
      <c r="H3378" s="2" t="s">
        <v>17</v>
      </c>
      <c r="K3378" s="4">
        <v>19034</v>
      </c>
      <c r="M3378" s="2" t="s">
        <v>35</v>
      </c>
      <c r="N3378" s="2" t="s">
        <v>11718</v>
      </c>
    </row>
    <row r="3379" spans="1:14">
      <c r="A3379" s="2">
        <v>3378</v>
      </c>
      <c r="B3379" s="3" t="s">
        <v>11719</v>
      </c>
      <c r="C3379" s="2" t="s">
        <v>11720</v>
      </c>
      <c r="D3379" s="2">
        <v>47</v>
      </c>
      <c r="E3379" s="2">
        <v>47</v>
      </c>
      <c r="F3379" s="2" t="s">
        <v>11721</v>
      </c>
      <c r="H3379" s="2" t="s">
        <v>17</v>
      </c>
      <c r="K3379" s="4">
        <v>13949</v>
      </c>
      <c r="M3379" s="2" t="s">
        <v>47</v>
      </c>
      <c r="N3379" s="2" t="s">
        <v>11722</v>
      </c>
    </row>
    <row r="3380" spans="1:14">
      <c r="A3380" s="2">
        <v>3379</v>
      </c>
      <c r="B3380" s="3" t="s">
        <v>11723</v>
      </c>
      <c r="C3380" s="2" t="s">
        <v>11724</v>
      </c>
      <c r="D3380" s="2">
        <v>42</v>
      </c>
      <c r="E3380" s="2">
        <v>47</v>
      </c>
      <c r="F3380" s="2" t="s">
        <v>11725</v>
      </c>
      <c r="H3380" s="2" t="s">
        <v>17</v>
      </c>
      <c r="K3380" s="4">
        <v>5043</v>
      </c>
      <c r="L3380" s="4">
        <v>39964</v>
      </c>
      <c r="M3380" s="2" t="s">
        <v>146</v>
      </c>
      <c r="N3380" s="2" t="s">
        <v>2261</v>
      </c>
    </row>
    <row r="3381" spans="1:14">
      <c r="A3381" s="2">
        <v>3380</v>
      </c>
      <c r="B3381" s="3" t="s">
        <v>11726</v>
      </c>
      <c r="C3381" s="2" t="s">
        <v>11727</v>
      </c>
      <c r="D3381" s="2">
        <v>42</v>
      </c>
      <c r="E3381" s="2">
        <v>47</v>
      </c>
      <c r="F3381" s="2" t="s">
        <v>11728</v>
      </c>
      <c r="H3381" s="2" t="s">
        <v>17</v>
      </c>
      <c r="K3381" s="4">
        <v>8673</v>
      </c>
      <c r="L3381" s="4">
        <v>39167</v>
      </c>
      <c r="M3381" s="2" t="s">
        <v>85</v>
      </c>
      <c r="N3381" s="2" t="s">
        <v>1254</v>
      </c>
    </row>
    <row r="3382" spans="1:14">
      <c r="A3382" s="2">
        <v>3381</v>
      </c>
      <c r="B3382" s="3" t="s">
        <v>11729</v>
      </c>
      <c r="C3382" s="2" t="s">
        <v>11730</v>
      </c>
      <c r="D3382" s="2">
        <v>47</v>
      </c>
      <c r="E3382" s="2">
        <v>47</v>
      </c>
      <c r="F3382" s="2" t="s">
        <v>11731</v>
      </c>
      <c r="H3382" s="2" t="s">
        <v>17</v>
      </c>
      <c r="K3382" s="4">
        <v>9172</v>
      </c>
      <c r="M3382" s="2" t="s">
        <v>35</v>
      </c>
      <c r="N3382" s="2" t="s">
        <v>11732</v>
      </c>
    </row>
    <row r="3383" spans="1:14">
      <c r="A3383" s="2">
        <v>3382</v>
      </c>
      <c r="B3383" s="3" t="s">
        <v>11733</v>
      </c>
      <c r="C3383" s="2" t="s">
        <v>11734</v>
      </c>
      <c r="D3383" s="2">
        <v>47</v>
      </c>
      <c r="E3383" s="2">
        <v>47</v>
      </c>
      <c r="F3383" s="2" t="s">
        <v>11735</v>
      </c>
      <c r="H3383" s="2" t="s">
        <v>17</v>
      </c>
      <c r="K3383" s="4">
        <v>13050</v>
      </c>
      <c r="M3383" s="2" t="s">
        <v>66</v>
      </c>
      <c r="N3383" s="2" t="s">
        <v>1069</v>
      </c>
    </row>
    <row r="3384" spans="1:14">
      <c r="A3384" s="2">
        <v>3383</v>
      </c>
      <c r="B3384" s="3" t="s">
        <v>11736</v>
      </c>
      <c r="C3384" s="2" t="s">
        <v>11737</v>
      </c>
      <c r="D3384" s="2">
        <v>41</v>
      </c>
      <c r="E3384" s="2">
        <v>47</v>
      </c>
      <c r="F3384" s="2" t="s">
        <v>11738</v>
      </c>
      <c r="H3384" s="2" t="s">
        <v>17</v>
      </c>
      <c r="K3384" s="4">
        <v>5251</v>
      </c>
      <c r="L3384" s="4">
        <v>30771</v>
      </c>
      <c r="M3384" s="2" t="s">
        <v>35</v>
      </c>
      <c r="N3384" s="2" t="s">
        <v>5201</v>
      </c>
    </row>
    <row r="3385" spans="1:14">
      <c r="A3385" s="2">
        <v>3384</v>
      </c>
      <c r="B3385" s="3" t="s">
        <v>11739</v>
      </c>
      <c r="C3385" s="2" t="s">
        <v>11740</v>
      </c>
      <c r="D3385" s="2">
        <v>40</v>
      </c>
      <c r="E3385" s="2">
        <v>47</v>
      </c>
      <c r="F3385" s="2" t="s">
        <v>11741</v>
      </c>
      <c r="H3385" s="2" t="s">
        <v>17</v>
      </c>
      <c r="K3385" s="4">
        <v>5871</v>
      </c>
      <c r="L3385" s="4">
        <v>34736</v>
      </c>
      <c r="M3385" s="2" t="s">
        <v>47</v>
      </c>
      <c r="N3385" s="2" t="s">
        <v>48</v>
      </c>
    </row>
    <row r="3386" spans="1:14">
      <c r="A3386" s="2">
        <v>3385</v>
      </c>
      <c r="B3386" s="3" t="s">
        <v>11742</v>
      </c>
      <c r="C3386" s="2" t="s">
        <v>11743</v>
      </c>
      <c r="D3386" s="2">
        <v>47</v>
      </c>
      <c r="E3386" s="2">
        <v>47</v>
      </c>
      <c r="F3386" s="2" t="s">
        <v>11744</v>
      </c>
      <c r="H3386" s="2" t="s">
        <v>17</v>
      </c>
      <c r="K3386" s="4">
        <v>18299</v>
      </c>
      <c r="M3386" s="2" t="s">
        <v>76</v>
      </c>
      <c r="N3386" s="2" t="s">
        <v>906</v>
      </c>
    </row>
    <row r="3387" spans="1:14">
      <c r="A3387" s="2">
        <v>3386</v>
      </c>
      <c r="B3387" s="3" t="s">
        <v>11745</v>
      </c>
      <c r="C3387" s="2" t="s">
        <v>11746</v>
      </c>
      <c r="D3387" s="2">
        <v>46</v>
      </c>
      <c r="E3387" s="2">
        <v>47</v>
      </c>
      <c r="F3387" s="2" t="s">
        <v>11747</v>
      </c>
      <c r="H3387" s="2" t="s">
        <v>17</v>
      </c>
      <c r="K3387" s="4">
        <v>17086</v>
      </c>
      <c r="M3387" s="2" t="s">
        <v>24</v>
      </c>
      <c r="N3387" s="2" t="s">
        <v>25</v>
      </c>
    </row>
    <row r="3388" spans="1:14">
      <c r="A3388" s="2">
        <v>3387</v>
      </c>
      <c r="B3388" s="3" t="s">
        <v>11748</v>
      </c>
      <c r="C3388" s="2" t="s">
        <v>10743</v>
      </c>
      <c r="D3388" s="2">
        <v>45</v>
      </c>
      <c r="E3388" s="2">
        <v>47</v>
      </c>
      <c r="F3388" s="2" t="s">
        <v>11749</v>
      </c>
      <c r="H3388" s="2" t="s">
        <v>17</v>
      </c>
      <c r="K3388" s="4">
        <v>12139</v>
      </c>
      <c r="L3388" s="4">
        <v>43442</v>
      </c>
      <c r="M3388" s="2" t="s">
        <v>423</v>
      </c>
      <c r="N3388" s="2" t="s">
        <v>3005</v>
      </c>
    </row>
    <row r="3389" spans="1:14">
      <c r="A3389" s="2">
        <v>3388</v>
      </c>
      <c r="B3389" s="3" t="s">
        <v>11750</v>
      </c>
      <c r="C3389" s="2" t="s">
        <v>11751</v>
      </c>
      <c r="D3389" s="2">
        <v>47</v>
      </c>
      <c r="E3389" s="2">
        <v>47</v>
      </c>
      <c r="F3389" s="2" t="s">
        <v>11752</v>
      </c>
      <c r="H3389" s="2" t="s">
        <v>17</v>
      </c>
      <c r="K3389" s="4">
        <v>10294</v>
      </c>
      <c r="L3389" s="4">
        <v>40586</v>
      </c>
      <c r="M3389" s="2" t="s">
        <v>423</v>
      </c>
      <c r="N3389" s="2" t="s">
        <v>1264</v>
      </c>
    </row>
    <row r="3390" spans="1:14">
      <c r="A3390" s="2">
        <v>3389</v>
      </c>
      <c r="B3390" s="3" t="s">
        <v>11753</v>
      </c>
      <c r="C3390" s="2" t="s">
        <v>11754</v>
      </c>
      <c r="D3390" s="2">
        <v>47</v>
      </c>
      <c r="E3390" s="2">
        <v>47</v>
      </c>
      <c r="F3390" s="2" t="s">
        <v>11755</v>
      </c>
      <c r="H3390" s="2" t="s">
        <v>17</v>
      </c>
      <c r="K3390" s="4">
        <v>12520</v>
      </c>
      <c r="L3390" s="4">
        <v>42157</v>
      </c>
      <c r="M3390" s="2" t="s">
        <v>18</v>
      </c>
      <c r="N3390" s="2" t="s">
        <v>11756</v>
      </c>
    </row>
    <row r="3391" spans="1:14">
      <c r="A3391" s="2">
        <v>3390</v>
      </c>
      <c r="B3391" s="3" t="s">
        <v>11757</v>
      </c>
      <c r="C3391" s="2" t="s">
        <v>11758</v>
      </c>
      <c r="D3391" s="2">
        <v>47</v>
      </c>
      <c r="E3391" s="2">
        <v>47</v>
      </c>
      <c r="F3391" s="2" t="s">
        <v>11759</v>
      </c>
      <c r="H3391" s="2" t="s">
        <v>17</v>
      </c>
      <c r="M3391" s="2" t="s">
        <v>76</v>
      </c>
      <c r="N3391" s="2" t="s">
        <v>9251</v>
      </c>
    </row>
    <row r="3392" spans="1:14">
      <c r="A3392" s="2">
        <v>3391</v>
      </c>
      <c r="B3392" s="3" t="s">
        <v>11760</v>
      </c>
      <c r="C3392" s="2" t="s">
        <v>11761</v>
      </c>
      <c r="D3392" s="2">
        <v>44</v>
      </c>
      <c r="E3392" s="2">
        <v>47</v>
      </c>
      <c r="F3392" s="2" t="s">
        <v>11762</v>
      </c>
      <c r="H3392" s="2" t="s">
        <v>17</v>
      </c>
      <c r="K3392" s="4">
        <v>10123</v>
      </c>
      <c r="L3392" s="4">
        <v>39539</v>
      </c>
      <c r="M3392" s="2" t="s">
        <v>66</v>
      </c>
      <c r="N3392" s="2" t="s">
        <v>71</v>
      </c>
    </row>
    <row r="3393" spans="1:14">
      <c r="A3393" s="2">
        <v>3392</v>
      </c>
      <c r="B3393" s="3" t="s">
        <v>11763</v>
      </c>
      <c r="C3393" s="2" t="s">
        <v>11764</v>
      </c>
      <c r="D3393" s="2">
        <v>46</v>
      </c>
      <c r="E3393" s="2">
        <v>47</v>
      </c>
      <c r="F3393" s="2" t="s">
        <v>11765</v>
      </c>
      <c r="H3393" s="2" t="s">
        <v>17</v>
      </c>
      <c r="K3393" s="4">
        <v>11054</v>
      </c>
      <c r="L3393" s="4">
        <v>38823</v>
      </c>
      <c r="M3393" s="2" t="s">
        <v>66</v>
      </c>
      <c r="N3393" s="2" t="s">
        <v>3262</v>
      </c>
    </row>
    <row r="3394" spans="1:14">
      <c r="A3394" s="2">
        <v>3393</v>
      </c>
      <c r="B3394" s="3" t="s">
        <v>11766</v>
      </c>
      <c r="C3394" s="2" t="s">
        <v>11767</v>
      </c>
      <c r="D3394" s="2">
        <v>46</v>
      </c>
      <c r="E3394" s="2">
        <v>47</v>
      </c>
      <c r="F3394" s="2" t="s">
        <v>11768</v>
      </c>
      <c r="H3394" s="2" t="s">
        <v>17</v>
      </c>
      <c r="K3394" s="4">
        <v>10773</v>
      </c>
      <c r="L3394" s="4">
        <v>45199</v>
      </c>
      <c r="M3394" s="2" t="s">
        <v>154</v>
      </c>
      <c r="N3394" s="2" t="s">
        <v>9233</v>
      </c>
    </row>
    <row r="3395" spans="1:14">
      <c r="A3395" s="2">
        <v>3394</v>
      </c>
      <c r="B3395" s="3" t="s">
        <v>11769</v>
      </c>
      <c r="C3395" s="2" t="s">
        <v>11770</v>
      </c>
      <c r="D3395" s="2">
        <v>47</v>
      </c>
      <c r="E3395" s="2">
        <v>47</v>
      </c>
      <c r="F3395" s="2" t="s">
        <v>11771</v>
      </c>
      <c r="H3395" s="2" t="s">
        <v>17</v>
      </c>
      <c r="K3395" s="4">
        <v>8646</v>
      </c>
      <c r="L3395" s="4">
        <v>42848</v>
      </c>
      <c r="M3395" s="2" t="s">
        <v>40</v>
      </c>
      <c r="N3395" s="2" t="s">
        <v>3693</v>
      </c>
    </row>
    <row r="3396" spans="1:14">
      <c r="A3396" s="2">
        <v>3395</v>
      </c>
      <c r="B3396" s="3" t="s">
        <v>11772</v>
      </c>
      <c r="C3396" s="2" t="s">
        <v>11773</v>
      </c>
      <c r="D3396" s="2">
        <v>47</v>
      </c>
      <c r="E3396" s="2">
        <v>47</v>
      </c>
      <c r="F3396" s="2" t="s">
        <v>11774</v>
      </c>
      <c r="H3396" s="2" t="s">
        <v>17</v>
      </c>
      <c r="K3396" s="4">
        <v>14219</v>
      </c>
      <c r="L3396" s="4">
        <v>45764</v>
      </c>
      <c r="M3396" s="2" t="s">
        <v>30</v>
      </c>
      <c r="N3396" s="2" t="s">
        <v>31</v>
      </c>
    </row>
    <row r="3397" spans="1:14">
      <c r="A3397" s="2">
        <v>3396</v>
      </c>
      <c r="B3397" s="3" t="s">
        <v>11775</v>
      </c>
      <c r="C3397" s="2" t="s">
        <v>11776</v>
      </c>
      <c r="D3397" s="2">
        <v>45</v>
      </c>
      <c r="E3397" s="2">
        <v>47</v>
      </c>
      <c r="F3397" s="2" t="s">
        <v>11777</v>
      </c>
      <c r="H3397" s="2" t="s">
        <v>17</v>
      </c>
      <c r="K3397" s="4">
        <v>11556</v>
      </c>
      <c r="L3397" s="4">
        <v>41573</v>
      </c>
      <c r="M3397" s="2" t="s">
        <v>35</v>
      </c>
      <c r="N3397" s="2" t="s">
        <v>58</v>
      </c>
    </row>
    <row r="3398" spans="1:14">
      <c r="A3398" s="2">
        <v>3397</v>
      </c>
      <c r="B3398" s="3" t="s">
        <v>11778</v>
      </c>
      <c r="C3398" s="2" t="s">
        <v>11779</v>
      </c>
      <c r="D3398" s="2">
        <v>42</v>
      </c>
      <c r="E3398" s="2">
        <v>47</v>
      </c>
      <c r="F3398" s="2" t="s">
        <v>11780</v>
      </c>
      <c r="H3398" s="2" t="s">
        <v>17</v>
      </c>
      <c r="K3398" s="4">
        <v>11288</v>
      </c>
      <c r="L3398" s="4">
        <v>31842</v>
      </c>
      <c r="M3398" s="2" t="s">
        <v>85</v>
      </c>
      <c r="N3398" s="2" t="s">
        <v>86</v>
      </c>
    </row>
    <row r="3399" spans="1:14">
      <c r="A3399" s="2">
        <v>3398</v>
      </c>
      <c r="B3399" s="3" t="s">
        <v>11781</v>
      </c>
      <c r="C3399" s="2" t="s">
        <v>11782</v>
      </c>
      <c r="D3399" s="2">
        <v>46</v>
      </c>
      <c r="E3399" s="2">
        <v>47</v>
      </c>
      <c r="F3399" s="2" t="s">
        <v>11783</v>
      </c>
      <c r="H3399" s="2" t="s">
        <v>17</v>
      </c>
      <c r="K3399" s="4">
        <v>13771</v>
      </c>
      <c r="M3399" s="2" t="s">
        <v>40</v>
      </c>
      <c r="N3399" s="2" t="s">
        <v>41</v>
      </c>
    </row>
    <row r="3400" spans="1:14">
      <c r="A3400" s="2">
        <v>3399</v>
      </c>
      <c r="B3400" s="3" t="s">
        <v>11784</v>
      </c>
      <c r="C3400" s="2" t="s">
        <v>11785</v>
      </c>
      <c r="D3400" s="2">
        <v>42</v>
      </c>
      <c r="E3400" s="2">
        <v>47</v>
      </c>
      <c r="F3400" s="2" t="s">
        <v>11786</v>
      </c>
      <c r="H3400" s="2" t="s">
        <v>17</v>
      </c>
      <c r="K3400" s="4">
        <v>7222</v>
      </c>
      <c r="L3400" s="4">
        <v>30513</v>
      </c>
      <c r="M3400" s="2" t="s">
        <v>35</v>
      </c>
      <c r="N3400" s="2" t="s">
        <v>5456</v>
      </c>
    </row>
    <row r="3401" spans="1:14">
      <c r="A3401" s="2">
        <v>3400</v>
      </c>
      <c r="B3401" s="3" t="s">
        <v>11787</v>
      </c>
      <c r="C3401" s="2" t="s">
        <v>11788</v>
      </c>
      <c r="D3401" s="2">
        <v>47</v>
      </c>
      <c r="E3401" s="2">
        <v>47</v>
      </c>
      <c r="F3401" s="2" t="s">
        <v>11789</v>
      </c>
      <c r="H3401" s="2" t="s">
        <v>17</v>
      </c>
      <c r="K3401" s="4">
        <v>9343</v>
      </c>
      <c r="L3401" s="4">
        <v>37280</v>
      </c>
      <c r="M3401" s="2" t="s">
        <v>154</v>
      </c>
      <c r="N3401" s="2" t="s">
        <v>1413</v>
      </c>
    </row>
    <row r="3402" spans="1:14">
      <c r="A3402" s="2">
        <v>3401</v>
      </c>
      <c r="B3402" s="3" t="s">
        <v>11790</v>
      </c>
      <c r="C3402" s="2" t="s">
        <v>11791</v>
      </c>
      <c r="D3402" s="2">
        <v>47</v>
      </c>
      <c r="E3402" s="2">
        <v>47</v>
      </c>
      <c r="F3402" s="2" t="s">
        <v>11792</v>
      </c>
      <c r="H3402" s="2" t="s">
        <v>17</v>
      </c>
      <c r="K3402" s="4">
        <v>10435</v>
      </c>
      <c r="L3402" s="4">
        <v>39127</v>
      </c>
      <c r="M3402" s="2" t="s">
        <v>47</v>
      </c>
      <c r="N3402" s="2" t="s">
        <v>11722</v>
      </c>
    </row>
    <row r="3403" spans="1:14">
      <c r="A3403" s="2">
        <v>3402</v>
      </c>
      <c r="B3403" s="3" t="s">
        <v>11793</v>
      </c>
      <c r="C3403" s="2" t="s">
        <v>11794</v>
      </c>
      <c r="D3403" s="2">
        <v>47</v>
      </c>
      <c r="E3403" s="2">
        <v>47</v>
      </c>
      <c r="F3403" s="2" t="s">
        <v>11795</v>
      </c>
      <c r="H3403" s="2" t="s">
        <v>17</v>
      </c>
      <c r="K3403" s="4">
        <v>14809</v>
      </c>
      <c r="L3403" s="4">
        <v>44001</v>
      </c>
      <c r="M3403" s="2" t="s">
        <v>47</v>
      </c>
      <c r="N3403" s="2" t="s">
        <v>417</v>
      </c>
    </row>
    <row r="3404" spans="1:14">
      <c r="A3404" s="2">
        <v>3403</v>
      </c>
      <c r="B3404" s="3" t="s">
        <v>11796</v>
      </c>
      <c r="C3404" s="2" t="s">
        <v>11797</v>
      </c>
      <c r="D3404" s="2">
        <v>45</v>
      </c>
      <c r="E3404" s="2">
        <v>47</v>
      </c>
      <c r="F3404" s="2" t="s">
        <v>11798</v>
      </c>
      <c r="H3404" s="2" t="s">
        <v>17</v>
      </c>
      <c r="K3404" s="4">
        <v>11223</v>
      </c>
      <c r="L3404" s="4">
        <v>36053</v>
      </c>
      <c r="M3404" s="2" t="s">
        <v>40</v>
      </c>
      <c r="N3404" s="2" t="s">
        <v>910</v>
      </c>
    </row>
    <row r="3405" spans="1:14">
      <c r="A3405" s="2">
        <v>3404</v>
      </c>
      <c r="B3405" s="3" t="s">
        <v>11799</v>
      </c>
      <c r="C3405" s="2" t="s">
        <v>11800</v>
      </c>
      <c r="D3405" s="2">
        <v>47</v>
      </c>
      <c r="E3405" s="2">
        <v>47</v>
      </c>
      <c r="F3405" s="2" t="s">
        <v>11801</v>
      </c>
      <c r="H3405" s="2" t="s">
        <v>17</v>
      </c>
      <c r="K3405" s="4">
        <v>15393</v>
      </c>
      <c r="L3405" s="4">
        <v>42761</v>
      </c>
      <c r="M3405" s="2" t="s">
        <v>164</v>
      </c>
      <c r="N3405" s="2" t="s">
        <v>1223</v>
      </c>
    </row>
    <row r="3406" spans="1:14">
      <c r="A3406" s="2">
        <v>3405</v>
      </c>
      <c r="B3406" s="3" t="s">
        <v>11802</v>
      </c>
      <c r="C3406" s="2" t="s">
        <v>11803</v>
      </c>
      <c r="D3406" s="2">
        <v>47</v>
      </c>
      <c r="E3406" s="2">
        <v>47</v>
      </c>
      <c r="F3406" s="2" t="s">
        <v>11804</v>
      </c>
      <c r="H3406" s="2" t="s">
        <v>17</v>
      </c>
      <c r="K3406" s="4">
        <v>11808</v>
      </c>
      <c r="L3406" s="4">
        <v>38733</v>
      </c>
      <c r="M3406" s="2" t="s">
        <v>35</v>
      </c>
      <c r="N3406" s="2" t="s">
        <v>328</v>
      </c>
    </row>
    <row r="3407" spans="1:14">
      <c r="A3407" s="2">
        <v>3406</v>
      </c>
      <c r="B3407" s="3" t="s">
        <v>11805</v>
      </c>
      <c r="C3407" s="2" t="s">
        <v>11806</v>
      </c>
      <c r="D3407" s="2">
        <v>46</v>
      </c>
      <c r="E3407" s="2">
        <v>47</v>
      </c>
      <c r="F3407" s="2" t="s">
        <v>11807</v>
      </c>
      <c r="H3407" s="2" t="s">
        <v>17</v>
      </c>
      <c r="K3407" s="4">
        <v>11557</v>
      </c>
      <c r="L3407" s="4">
        <v>45757</v>
      </c>
      <c r="M3407" s="2" t="s">
        <v>35</v>
      </c>
      <c r="N3407" s="2" t="s">
        <v>11808</v>
      </c>
    </row>
    <row r="3408" spans="1:14">
      <c r="A3408" s="2">
        <v>3407</v>
      </c>
      <c r="B3408" s="3" t="s">
        <v>11809</v>
      </c>
      <c r="C3408" s="2" t="s">
        <v>11810</v>
      </c>
      <c r="D3408" s="2">
        <v>39</v>
      </c>
      <c r="E3408" s="2">
        <v>47</v>
      </c>
      <c r="F3408" s="2" t="s">
        <v>11811</v>
      </c>
      <c r="H3408" s="2" t="s">
        <v>17</v>
      </c>
      <c r="K3408" s="4">
        <v>7152</v>
      </c>
      <c r="L3408" s="4">
        <v>42555</v>
      </c>
      <c r="M3408" s="2" t="s">
        <v>35</v>
      </c>
      <c r="N3408" s="2" t="s">
        <v>608</v>
      </c>
    </row>
    <row r="3409" spans="1:14">
      <c r="A3409" s="2">
        <v>3408</v>
      </c>
      <c r="B3409" s="3" t="s">
        <v>11812</v>
      </c>
      <c r="C3409" s="2" t="s">
        <v>11813</v>
      </c>
      <c r="D3409" s="2">
        <v>45</v>
      </c>
      <c r="E3409" s="2">
        <v>47</v>
      </c>
      <c r="F3409" s="2" t="s">
        <v>11814</v>
      </c>
      <c r="H3409" s="2" t="s">
        <v>17</v>
      </c>
      <c r="K3409" s="4">
        <v>11513</v>
      </c>
      <c r="M3409" s="2" t="s">
        <v>66</v>
      </c>
      <c r="N3409" s="2" t="s">
        <v>3096</v>
      </c>
    </row>
    <row r="3410" spans="1:14">
      <c r="A3410" s="2">
        <v>3409</v>
      </c>
      <c r="B3410" s="3" t="s">
        <v>11815</v>
      </c>
      <c r="C3410" s="2" t="s">
        <v>11816</v>
      </c>
      <c r="D3410" s="2">
        <v>46</v>
      </c>
      <c r="E3410" s="2">
        <v>47</v>
      </c>
      <c r="F3410" s="2" t="s">
        <v>11817</v>
      </c>
      <c r="H3410" s="2" t="s">
        <v>17</v>
      </c>
      <c r="K3410" s="4">
        <v>11342</v>
      </c>
      <c r="L3410" s="4">
        <v>43608</v>
      </c>
      <c r="M3410" s="2" t="s">
        <v>35</v>
      </c>
      <c r="N3410" s="2" t="s">
        <v>11818</v>
      </c>
    </row>
    <row r="3411" spans="1:14">
      <c r="A3411" s="2">
        <v>3410</v>
      </c>
      <c r="B3411" s="3" t="s">
        <v>11819</v>
      </c>
      <c r="C3411" s="2" t="s">
        <v>11820</v>
      </c>
      <c r="D3411" s="2">
        <v>47</v>
      </c>
      <c r="E3411" s="2">
        <v>47</v>
      </c>
      <c r="F3411" s="2" t="s">
        <v>11821</v>
      </c>
      <c r="H3411" s="2" t="s">
        <v>17</v>
      </c>
      <c r="K3411" s="4">
        <v>16201</v>
      </c>
      <c r="M3411" s="2" t="s">
        <v>66</v>
      </c>
      <c r="N3411" s="2" t="s">
        <v>3043</v>
      </c>
    </row>
    <row r="3412" spans="1:14">
      <c r="A3412" s="2">
        <v>3411</v>
      </c>
      <c r="B3412" s="3" t="s">
        <v>11822</v>
      </c>
      <c r="C3412" s="2" t="s">
        <v>11823</v>
      </c>
      <c r="D3412" s="2">
        <v>44</v>
      </c>
      <c r="E3412" s="2">
        <v>47</v>
      </c>
      <c r="F3412" s="2" t="s">
        <v>11824</v>
      </c>
      <c r="H3412" s="2" t="s">
        <v>17</v>
      </c>
      <c r="K3412" s="4">
        <v>13082</v>
      </c>
      <c r="M3412" s="2" t="s">
        <v>40</v>
      </c>
      <c r="N3412" s="2" t="s">
        <v>5394</v>
      </c>
    </row>
    <row r="3413" spans="1:14">
      <c r="A3413" s="2">
        <v>3412</v>
      </c>
      <c r="B3413" s="3" t="s">
        <v>11825</v>
      </c>
      <c r="C3413" s="2" t="s">
        <v>11826</v>
      </c>
      <c r="D3413" s="2">
        <v>45</v>
      </c>
      <c r="E3413" s="2">
        <v>47</v>
      </c>
      <c r="F3413" s="2" t="s">
        <v>11827</v>
      </c>
      <c r="H3413" s="2" t="s">
        <v>17</v>
      </c>
      <c r="K3413" s="4">
        <v>10846</v>
      </c>
      <c r="L3413" s="4">
        <v>44595</v>
      </c>
      <c r="M3413" s="2" t="s">
        <v>47</v>
      </c>
      <c r="N3413" s="2" t="s">
        <v>11828</v>
      </c>
    </row>
    <row r="3414" spans="1:14">
      <c r="A3414" s="2">
        <v>3413</v>
      </c>
      <c r="B3414" s="3" t="s">
        <v>11829</v>
      </c>
      <c r="C3414" s="2" t="s">
        <v>11830</v>
      </c>
      <c r="D3414" s="2">
        <v>42</v>
      </c>
      <c r="E3414" s="2">
        <v>47</v>
      </c>
      <c r="F3414" s="2" t="s">
        <v>11831</v>
      </c>
      <c r="H3414" s="2" t="s">
        <v>17</v>
      </c>
      <c r="K3414" s="4">
        <v>8992</v>
      </c>
      <c r="L3414" s="4">
        <v>31965</v>
      </c>
      <c r="M3414" s="2" t="s">
        <v>247</v>
      </c>
      <c r="N3414" s="2" t="s">
        <v>2414</v>
      </c>
    </row>
    <row r="3415" spans="1:14">
      <c r="A3415" s="2">
        <v>3414</v>
      </c>
      <c r="B3415" s="3" t="s">
        <v>11832</v>
      </c>
      <c r="C3415" s="2" t="s">
        <v>11833</v>
      </c>
      <c r="D3415" s="2">
        <v>47</v>
      </c>
      <c r="E3415" s="2">
        <v>47</v>
      </c>
      <c r="F3415" s="2" t="s">
        <v>11834</v>
      </c>
      <c r="H3415" s="2" t="s">
        <v>17</v>
      </c>
      <c r="K3415" s="4">
        <v>11495</v>
      </c>
      <c r="L3415" s="4">
        <v>39277</v>
      </c>
      <c r="M3415" s="2" t="s">
        <v>47</v>
      </c>
      <c r="N3415" s="2" t="s">
        <v>48</v>
      </c>
    </row>
    <row r="3416" spans="1:14">
      <c r="A3416" s="2">
        <v>3415</v>
      </c>
      <c r="B3416" s="3" t="s">
        <v>11835</v>
      </c>
      <c r="C3416" s="2" t="s">
        <v>11836</v>
      </c>
      <c r="D3416" s="2">
        <v>45</v>
      </c>
      <c r="E3416" s="2">
        <v>47</v>
      </c>
      <c r="F3416" s="2" t="s">
        <v>11837</v>
      </c>
      <c r="H3416" s="2" t="s">
        <v>17</v>
      </c>
      <c r="K3416" s="4">
        <v>6298</v>
      </c>
      <c r="L3416" s="4">
        <v>33050</v>
      </c>
      <c r="M3416" s="2" t="s">
        <v>47</v>
      </c>
      <c r="N3416" s="2" t="s">
        <v>48</v>
      </c>
    </row>
    <row r="3417" spans="1:14">
      <c r="A3417" s="2">
        <v>3416</v>
      </c>
      <c r="B3417" s="3" t="s">
        <v>11838</v>
      </c>
      <c r="C3417" s="2" t="s">
        <v>11839</v>
      </c>
      <c r="D3417" s="2">
        <v>46</v>
      </c>
      <c r="E3417" s="2">
        <v>47</v>
      </c>
      <c r="F3417" s="2" t="s">
        <v>11840</v>
      </c>
      <c r="H3417" s="2" t="s">
        <v>17</v>
      </c>
      <c r="K3417" s="4">
        <v>5311</v>
      </c>
      <c r="L3417" s="4">
        <v>41635</v>
      </c>
      <c r="M3417" s="2" t="s">
        <v>170</v>
      </c>
      <c r="N3417" s="2" t="s">
        <v>171</v>
      </c>
    </row>
    <row r="3418" spans="1:14">
      <c r="A3418" s="2">
        <v>3417</v>
      </c>
      <c r="B3418" s="3" t="s">
        <v>11841</v>
      </c>
      <c r="C3418" s="2" t="s">
        <v>11842</v>
      </c>
      <c r="D3418" s="2">
        <v>47</v>
      </c>
      <c r="E3418" s="2">
        <v>47</v>
      </c>
      <c r="F3418" s="2" t="s">
        <v>11843</v>
      </c>
      <c r="H3418" s="2" t="s">
        <v>17</v>
      </c>
      <c r="K3418" s="4">
        <v>13469</v>
      </c>
      <c r="M3418" s="2" t="s">
        <v>423</v>
      </c>
      <c r="N3418" s="2" t="s">
        <v>11844</v>
      </c>
    </row>
    <row r="3419" spans="1:14">
      <c r="A3419" s="2">
        <v>3418</v>
      </c>
      <c r="B3419" s="3" t="s">
        <v>11845</v>
      </c>
      <c r="C3419" s="2" t="s">
        <v>11846</v>
      </c>
      <c r="D3419" s="2">
        <v>47</v>
      </c>
      <c r="E3419" s="2">
        <v>47</v>
      </c>
      <c r="F3419" s="2" t="s">
        <v>11847</v>
      </c>
      <c r="H3419" s="2" t="s">
        <v>17</v>
      </c>
      <c r="K3419" s="4">
        <v>11132</v>
      </c>
      <c r="M3419" s="2" t="s">
        <v>76</v>
      </c>
      <c r="N3419" s="2" t="s">
        <v>9526</v>
      </c>
    </row>
    <row r="3420" spans="1:14">
      <c r="A3420" s="2">
        <v>3419</v>
      </c>
      <c r="B3420" s="3" t="s">
        <v>11848</v>
      </c>
      <c r="C3420" s="2" t="s">
        <v>11849</v>
      </c>
      <c r="D3420" s="2">
        <v>47</v>
      </c>
      <c r="E3420" s="2">
        <v>47</v>
      </c>
      <c r="F3420" s="2" t="s">
        <v>11850</v>
      </c>
      <c r="H3420" s="2" t="s">
        <v>17</v>
      </c>
      <c r="K3420" s="4">
        <v>12768</v>
      </c>
      <c r="L3420" s="4">
        <v>44790</v>
      </c>
      <c r="M3420" s="2" t="s">
        <v>35</v>
      </c>
      <c r="N3420" s="2" t="s">
        <v>3885</v>
      </c>
    </row>
    <row r="3421" spans="1:14">
      <c r="A3421" s="2">
        <v>3420</v>
      </c>
      <c r="B3421" s="3" t="s">
        <v>11851</v>
      </c>
      <c r="C3421" s="2" t="s">
        <v>11852</v>
      </c>
      <c r="D3421" s="2">
        <v>47</v>
      </c>
      <c r="E3421" s="2">
        <v>47</v>
      </c>
      <c r="F3421" s="2" t="s">
        <v>11853</v>
      </c>
      <c r="H3421" s="2" t="s">
        <v>17</v>
      </c>
      <c r="K3421" s="4">
        <v>11756</v>
      </c>
      <c r="L3421" s="4">
        <v>45557</v>
      </c>
      <c r="M3421" s="2" t="s">
        <v>40</v>
      </c>
      <c r="N3421" s="2" t="s">
        <v>11854</v>
      </c>
    </row>
    <row r="3422" spans="1:14">
      <c r="A3422" s="2">
        <v>3421</v>
      </c>
      <c r="B3422" s="3" t="s">
        <v>11855</v>
      </c>
      <c r="C3422" s="2" t="s">
        <v>11856</v>
      </c>
      <c r="D3422" s="2">
        <v>45</v>
      </c>
      <c r="E3422" s="2">
        <v>47</v>
      </c>
      <c r="F3422" s="2" t="s">
        <v>11857</v>
      </c>
      <c r="H3422" s="2" t="s">
        <v>17</v>
      </c>
      <c r="K3422" s="4">
        <v>13676</v>
      </c>
      <c r="L3422" s="4">
        <v>33809</v>
      </c>
      <c r="M3422" s="2" t="s">
        <v>35</v>
      </c>
      <c r="N3422" s="2" t="s">
        <v>1462</v>
      </c>
    </row>
    <row r="3423" spans="1:14">
      <c r="A3423" s="2">
        <v>3422</v>
      </c>
      <c r="B3423" s="3" t="s">
        <v>11858</v>
      </c>
      <c r="C3423" s="2" t="s">
        <v>11859</v>
      </c>
      <c r="D3423" s="2">
        <v>40</v>
      </c>
      <c r="E3423" s="2">
        <v>47</v>
      </c>
      <c r="F3423" s="2" t="s">
        <v>11860</v>
      </c>
      <c r="H3423" s="2" t="s">
        <v>17</v>
      </c>
      <c r="K3423" s="4">
        <v>6264</v>
      </c>
      <c r="L3423" s="4">
        <v>40939</v>
      </c>
      <c r="M3423" s="2" t="s">
        <v>91</v>
      </c>
      <c r="N3423" s="2" t="s">
        <v>3224</v>
      </c>
    </row>
    <row r="3424" spans="1:14">
      <c r="A3424" s="2">
        <v>3423</v>
      </c>
      <c r="B3424" s="3" t="s">
        <v>11861</v>
      </c>
      <c r="C3424" s="2" t="s">
        <v>11862</v>
      </c>
      <c r="D3424" s="2">
        <v>47</v>
      </c>
      <c r="E3424" s="2">
        <v>47</v>
      </c>
      <c r="F3424" s="2" t="s">
        <v>11863</v>
      </c>
      <c r="H3424" s="2" t="s">
        <v>17</v>
      </c>
      <c r="K3424" s="4">
        <v>15559</v>
      </c>
      <c r="M3424" s="2" t="s">
        <v>198</v>
      </c>
      <c r="N3424" s="2" t="s">
        <v>3922</v>
      </c>
    </row>
    <row r="3425" spans="1:14">
      <c r="A3425" s="2">
        <v>3424</v>
      </c>
      <c r="B3425" s="3" t="s">
        <v>11864</v>
      </c>
      <c r="C3425" s="2" t="s">
        <v>11865</v>
      </c>
      <c r="D3425" s="2">
        <v>47</v>
      </c>
      <c r="E3425" s="2">
        <v>47</v>
      </c>
      <c r="F3425" s="2" t="s">
        <v>11866</v>
      </c>
      <c r="H3425" s="2" t="s">
        <v>17</v>
      </c>
      <c r="K3425" s="4">
        <v>16224</v>
      </c>
      <c r="L3425" s="4">
        <v>40736</v>
      </c>
      <c r="M3425" s="2" t="s">
        <v>170</v>
      </c>
      <c r="N3425" s="2" t="s">
        <v>323</v>
      </c>
    </row>
    <row r="3426" spans="1:14">
      <c r="A3426" s="2">
        <v>3425</v>
      </c>
      <c r="B3426" s="3" t="s">
        <v>11867</v>
      </c>
      <c r="C3426" s="2" t="s">
        <v>11868</v>
      </c>
      <c r="D3426" s="2">
        <v>45</v>
      </c>
      <c r="E3426" s="2">
        <v>47</v>
      </c>
      <c r="F3426" s="2" t="s">
        <v>11869</v>
      </c>
      <c r="H3426" s="2" t="s">
        <v>17</v>
      </c>
      <c r="K3426" s="4">
        <v>11559</v>
      </c>
      <c r="L3426" s="4">
        <v>40226</v>
      </c>
      <c r="M3426" s="2" t="s">
        <v>198</v>
      </c>
      <c r="N3426" s="2" t="s">
        <v>10745</v>
      </c>
    </row>
    <row r="3427" spans="1:14">
      <c r="A3427" s="2">
        <v>3426</v>
      </c>
      <c r="B3427" s="3" t="s">
        <v>11870</v>
      </c>
      <c r="C3427" s="2" t="s">
        <v>11871</v>
      </c>
      <c r="D3427" s="2">
        <v>47</v>
      </c>
      <c r="E3427" s="2">
        <v>47</v>
      </c>
      <c r="F3427" s="2" t="s">
        <v>11872</v>
      </c>
      <c r="H3427" s="2" t="s">
        <v>17</v>
      </c>
      <c r="K3427" s="4">
        <v>15037</v>
      </c>
      <c r="L3427" s="4">
        <v>31891</v>
      </c>
      <c r="M3427" s="2" t="s">
        <v>85</v>
      </c>
      <c r="N3427" s="2" t="s">
        <v>86</v>
      </c>
    </row>
    <row r="3428" spans="1:14">
      <c r="A3428" s="2">
        <v>3427</v>
      </c>
      <c r="B3428" s="3" t="s">
        <v>11873</v>
      </c>
      <c r="C3428" s="2" t="s">
        <v>11874</v>
      </c>
      <c r="D3428" s="2">
        <v>47</v>
      </c>
      <c r="E3428" s="2">
        <v>47</v>
      </c>
      <c r="F3428" s="2" t="s">
        <v>11875</v>
      </c>
      <c r="H3428" s="2" t="s">
        <v>17</v>
      </c>
      <c r="K3428" s="4">
        <v>7235</v>
      </c>
      <c r="L3428" s="4">
        <v>31531</v>
      </c>
      <c r="M3428" s="2" t="s">
        <v>66</v>
      </c>
      <c r="N3428" s="2" t="s">
        <v>1201</v>
      </c>
    </row>
    <row r="3429" spans="1:14">
      <c r="A3429" s="2">
        <v>3428</v>
      </c>
      <c r="B3429" s="3" t="s">
        <v>11876</v>
      </c>
      <c r="C3429" s="2" t="s">
        <v>11877</v>
      </c>
      <c r="D3429" s="2">
        <v>47</v>
      </c>
      <c r="E3429" s="2">
        <v>47</v>
      </c>
      <c r="F3429" s="2" t="s">
        <v>11878</v>
      </c>
      <c r="H3429" s="2" t="s">
        <v>17</v>
      </c>
      <c r="K3429" s="4">
        <v>12068</v>
      </c>
      <c r="M3429" s="2" t="s">
        <v>140</v>
      </c>
      <c r="N3429" s="2" t="s">
        <v>141</v>
      </c>
    </row>
    <row r="3430" spans="1:14">
      <c r="A3430" s="2">
        <v>3429</v>
      </c>
      <c r="B3430" s="3" t="s">
        <v>11879</v>
      </c>
      <c r="C3430" s="2" t="s">
        <v>11880</v>
      </c>
      <c r="D3430" s="2">
        <v>47</v>
      </c>
      <c r="E3430" s="2">
        <v>47</v>
      </c>
      <c r="F3430" s="2" t="s">
        <v>11881</v>
      </c>
      <c r="H3430" s="2" t="s">
        <v>17</v>
      </c>
      <c r="K3430" s="4">
        <v>14212</v>
      </c>
      <c r="L3430" s="4">
        <v>37810</v>
      </c>
      <c r="M3430" s="2" t="s">
        <v>76</v>
      </c>
      <c r="N3430" s="2" t="s">
        <v>906</v>
      </c>
    </row>
    <row r="3431" spans="1:14">
      <c r="A3431" s="2">
        <v>3430</v>
      </c>
      <c r="B3431" s="3" t="s">
        <v>11882</v>
      </c>
      <c r="C3431" s="2" t="s">
        <v>11883</v>
      </c>
      <c r="D3431" s="2">
        <v>43</v>
      </c>
      <c r="E3431" s="2">
        <v>47</v>
      </c>
      <c r="F3431" s="2" t="s">
        <v>11884</v>
      </c>
      <c r="H3431" s="2" t="s">
        <v>17</v>
      </c>
      <c r="K3431" s="4">
        <v>8589</v>
      </c>
      <c r="L3431" s="4">
        <v>38214</v>
      </c>
      <c r="M3431" s="2" t="s">
        <v>76</v>
      </c>
      <c r="N3431" s="2" t="s">
        <v>906</v>
      </c>
    </row>
    <row r="3432" spans="1:14">
      <c r="A3432" s="2">
        <v>3431</v>
      </c>
      <c r="B3432" s="3" t="s">
        <v>11885</v>
      </c>
      <c r="C3432" s="2" t="s">
        <v>11886</v>
      </c>
      <c r="D3432" s="2">
        <v>47</v>
      </c>
      <c r="E3432" s="2">
        <v>47</v>
      </c>
      <c r="F3432" s="2" t="s">
        <v>11887</v>
      </c>
      <c r="H3432" s="2" t="s">
        <v>17</v>
      </c>
      <c r="K3432" s="4">
        <v>16427</v>
      </c>
      <c r="L3432" s="4">
        <v>31996</v>
      </c>
      <c r="M3432" s="2" t="s">
        <v>198</v>
      </c>
      <c r="N3432" s="2" t="s">
        <v>199</v>
      </c>
    </row>
    <row r="3433" spans="1:14">
      <c r="A3433" s="2">
        <v>3432</v>
      </c>
      <c r="B3433" s="3" t="s">
        <v>11888</v>
      </c>
      <c r="C3433" s="2" t="s">
        <v>11889</v>
      </c>
      <c r="D3433" s="2">
        <v>46</v>
      </c>
      <c r="E3433" s="2">
        <v>47</v>
      </c>
      <c r="F3433" s="2" t="s">
        <v>11890</v>
      </c>
      <c r="H3433" s="2" t="s">
        <v>17</v>
      </c>
      <c r="K3433" s="4">
        <v>12258</v>
      </c>
      <c r="L3433" s="4">
        <v>41994</v>
      </c>
      <c r="M3433" s="2" t="s">
        <v>47</v>
      </c>
      <c r="N3433" s="2" t="s">
        <v>11891</v>
      </c>
    </row>
    <row r="3434" spans="1:14">
      <c r="A3434" s="2">
        <v>3433</v>
      </c>
      <c r="B3434" s="3" t="s">
        <v>11892</v>
      </c>
      <c r="C3434" s="2" t="s">
        <v>11893</v>
      </c>
      <c r="D3434" s="2">
        <v>46</v>
      </c>
      <c r="E3434" s="2">
        <v>47</v>
      </c>
      <c r="F3434" s="2" t="s">
        <v>11894</v>
      </c>
      <c r="H3434" s="2" t="s">
        <v>17</v>
      </c>
      <c r="K3434" s="4">
        <v>12239</v>
      </c>
      <c r="M3434" s="2" t="s">
        <v>30</v>
      </c>
      <c r="N3434" s="2" t="s">
        <v>8379</v>
      </c>
    </row>
    <row r="3435" spans="1:14">
      <c r="A3435" s="2">
        <v>3434</v>
      </c>
      <c r="B3435" s="3" t="s">
        <v>11895</v>
      </c>
      <c r="C3435" s="2" t="s">
        <v>11896</v>
      </c>
      <c r="D3435" s="2">
        <v>44</v>
      </c>
      <c r="E3435" s="2">
        <v>47</v>
      </c>
      <c r="F3435" s="2" t="s">
        <v>11897</v>
      </c>
      <c r="H3435" s="2" t="s">
        <v>17</v>
      </c>
      <c r="K3435" s="4">
        <v>11459</v>
      </c>
      <c r="L3435" s="4">
        <v>33910</v>
      </c>
      <c r="M3435" s="2" t="s">
        <v>341</v>
      </c>
      <c r="N3435" s="2" t="s">
        <v>4191</v>
      </c>
    </row>
    <row r="3436" spans="1:14">
      <c r="A3436" s="2">
        <v>3435</v>
      </c>
      <c r="B3436" s="3" t="s">
        <v>11898</v>
      </c>
      <c r="C3436" s="2" t="s">
        <v>11899</v>
      </c>
      <c r="D3436" s="2">
        <v>47</v>
      </c>
      <c r="E3436" s="2">
        <v>47</v>
      </c>
      <c r="F3436" s="2" t="s">
        <v>11900</v>
      </c>
      <c r="H3436" s="2" t="s">
        <v>17</v>
      </c>
      <c r="K3436" s="4">
        <v>8750</v>
      </c>
      <c r="L3436" s="4">
        <v>39481</v>
      </c>
      <c r="M3436" s="2" t="s">
        <v>85</v>
      </c>
      <c r="N3436" s="2" t="s">
        <v>735</v>
      </c>
    </row>
    <row r="3437" spans="1:14">
      <c r="A3437" s="2">
        <v>3436</v>
      </c>
      <c r="B3437" s="3" t="s">
        <v>11901</v>
      </c>
      <c r="C3437" s="2" t="s">
        <v>11902</v>
      </c>
      <c r="D3437" s="2">
        <v>47</v>
      </c>
      <c r="E3437" s="2">
        <v>47</v>
      </c>
      <c r="F3437" s="2" t="s">
        <v>11903</v>
      </c>
      <c r="H3437" s="2" t="s">
        <v>17</v>
      </c>
      <c r="K3437" s="4">
        <v>12353</v>
      </c>
      <c r="M3437" s="2" t="s">
        <v>423</v>
      </c>
      <c r="N3437" s="2" t="s">
        <v>10741</v>
      </c>
    </row>
    <row r="3438" spans="1:14">
      <c r="A3438" s="2">
        <v>3437</v>
      </c>
      <c r="B3438" s="3" t="s">
        <v>11904</v>
      </c>
      <c r="C3438" s="2" t="s">
        <v>11905</v>
      </c>
      <c r="D3438" s="2">
        <v>46</v>
      </c>
      <c r="E3438" s="2">
        <v>47</v>
      </c>
      <c r="F3438" s="2" t="s">
        <v>11906</v>
      </c>
      <c r="H3438" s="2" t="s">
        <v>17</v>
      </c>
      <c r="K3438" s="4">
        <v>8141</v>
      </c>
      <c r="L3438" s="4">
        <v>40769</v>
      </c>
      <c r="M3438" s="2" t="s">
        <v>35</v>
      </c>
      <c r="N3438" s="2" t="s">
        <v>11907</v>
      </c>
    </row>
    <row r="3439" spans="1:14">
      <c r="A3439" s="2">
        <v>3438</v>
      </c>
      <c r="B3439" s="3" t="s">
        <v>11908</v>
      </c>
      <c r="C3439" s="2" t="s">
        <v>11909</v>
      </c>
      <c r="D3439" s="2">
        <v>47</v>
      </c>
      <c r="E3439" s="2">
        <v>47</v>
      </c>
      <c r="F3439" s="2" t="s">
        <v>11910</v>
      </c>
      <c r="H3439" s="2" t="s">
        <v>17</v>
      </c>
      <c r="K3439" s="4">
        <v>11211</v>
      </c>
      <c r="L3439" s="4">
        <v>30831</v>
      </c>
      <c r="M3439" s="2" t="s">
        <v>35</v>
      </c>
      <c r="N3439" s="2" t="s">
        <v>11911</v>
      </c>
    </row>
    <row r="3440" spans="1:14">
      <c r="A3440" s="2">
        <v>3439</v>
      </c>
      <c r="B3440" s="3" t="s">
        <v>11912</v>
      </c>
      <c r="C3440" s="2" t="s">
        <v>11913</v>
      </c>
      <c r="D3440" s="2">
        <v>47</v>
      </c>
      <c r="E3440" s="2">
        <v>47</v>
      </c>
      <c r="F3440" s="2" t="s">
        <v>11914</v>
      </c>
      <c r="H3440" s="2" t="s">
        <v>17</v>
      </c>
      <c r="K3440" s="4">
        <v>9999</v>
      </c>
      <c r="L3440" s="4">
        <v>39884</v>
      </c>
      <c r="M3440" s="2" t="s">
        <v>164</v>
      </c>
      <c r="N3440" s="2" t="s">
        <v>11915</v>
      </c>
    </row>
    <row r="3441" spans="1:14">
      <c r="A3441" s="2">
        <v>3440</v>
      </c>
      <c r="B3441" s="3" t="s">
        <v>11916</v>
      </c>
      <c r="C3441" s="2" t="s">
        <v>11917</v>
      </c>
      <c r="D3441" s="2">
        <v>47</v>
      </c>
      <c r="E3441" s="2">
        <v>47</v>
      </c>
      <c r="F3441" s="2" t="s">
        <v>11918</v>
      </c>
      <c r="H3441" s="2" t="s">
        <v>17</v>
      </c>
      <c r="K3441" s="4">
        <v>16324</v>
      </c>
      <c r="L3441" s="4">
        <v>36091</v>
      </c>
      <c r="M3441" s="2" t="s">
        <v>66</v>
      </c>
      <c r="N3441" s="2" t="s">
        <v>3096</v>
      </c>
    </row>
    <row r="3442" spans="1:14">
      <c r="A3442" s="2">
        <v>3441</v>
      </c>
      <c r="B3442" s="3" t="s">
        <v>11919</v>
      </c>
      <c r="C3442" s="2" t="s">
        <v>11920</v>
      </c>
      <c r="D3442" s="2">
        <v>46</v>
      </c>
      <c r="E3442" s="2">
        <v>47</v>
      </c>
      <c r="F3442" s="2" t="s">
        <v>11921</v>
      </c>
      <c r="H3442" s="2" t="s">
        <v>17</v>
      </c>
      <c r="K3442" s="4">
        <v>10569</v>
      </c>
      <c r="L3442" s="4">
        <v>42020</v>
      </c>
      <c r="M3442" s="2" t="s">
        <v>30</v>
      </c>
      <c r="N3442" s="2" t="s">
        <v>4003</v>
      </c>
    </row>
    <row r="3443" spans="1:14">
      <c r="A3443" s="2">
        <v>3442</v>
      </c>
      <c r="B3443" s="3" t="s">
        <v>11922</v>
      </c>
      <c r="C3443" s="2" t="s">
        <v>11923</v>
      </c>
      <c r="D3443" s="2">
        <v>45</v>
      </c>
      <c r="E3443" s="2">
        <v>47</v>
      </c>
      <c r="F3443" s="2" t="s">
        <v>11924</v>
      </c>
      <c r="H3443" s="2" t="s">
        <v>17</v>
      </c>
      <c r="K3443" s="4">
        <v>12061</v>
      </c>
      <c r="L3443" s="4">
        <v>43226</v>
      </c>
      <c r="M3443" s="2" t="s">
        <v>185</v>
      </c>
      <c r="N3443" s="2" t="s">
        <v>1706</v>
      </c>
    </row>
    <row r="3444" spans="1:14">
      <c r="A3444" s="2">
        <v>3443</v>
      </c>
      <c r="B3444" s="3" t="s">
        <v>11925</v>
      </c>
      <c r="C3444" s="2" t="s">
        <v>11926</v>
      </c>
      <c r="D3444" s="2">
        <v>47</v>
      </c>
      <c r="E3444" s="2">
        <v>47</v>
      </c>
      <c r="F3444" s="2" t="s">
        <v>11927</v>
      </c>
      <c r="H3444" s="2" t="s">
        <v>17</v>
      </c>
      <c r="K3444" s="4">
        <v>11762</v>
      </c>
      <c r="L3444" s="4">
        <v>34780</v>
      </c>
      <c r="M3444" s="2" t="s">
        <v>140</v>
      </c>
      <c r="N3444" s="2" t="s">
        <v>294</v>
      </c>
    </row>
    <row r="3445" spans="1:14">
      <c r="A3445" s="2">
        <v>3444</v>
      </c>
      <c r="B3445" s="3" t="s">
        <v>11928</v>
      </c>
      <c r="C3445" s="2" t="s">
        <v>11929</v>
      </c>
      <c r="D3445" s="2">
        <v>42</v>
      </c>
      <c r="E3445" s="2">
        <v>47</v>
      </c>
      <c r="F3445" s="2" t="s">
        <v>11930</v>
      </c>
      <c r="H3445" s="2" t="s">
        <v>17</v>
      </c>
      <c r="K3445" s="4">
        <v>6449</v>
      </c>
      <c r="L3445" s="4">
        <v>35811</v>
      </c>
      <c r="M3445" s="2" t="s">
        <v>40</v>
      </c>
      <c r="N3445" s="2" t="s">
        <v>592</v>
      </c>
    </row>
    <row r="3446" spans="1:14">
      <c r="A3446" s="2">
        <v>3445</v>
      </c>
      <c r="B3446" s="3" t="s">
        <v>11931</v>
      </c>
      <c r="C3446" s="2" t="s">
        <v>11932</v>
      </c>
      <c r="D3446" s="2">
        <v>47</v>
      </c>
      <c r="E3446" s="2">
        <v>47</v>
      </c>
      <c r="F3446" s="2" t="s">
        <v>11933</v>
      </c>
      <c r="H3446" s="2" t="s">
        <v>17</v>
      </c>
      <c r="K3446" s="4">
        <v>13861</v>
      </c>
      <c r="M3446" s="2" t="s">
        <v>66</v>
      </c>
      <c r="N3446" s="2" t="s">
        <v>9055</v>
      </c>
    </row>
    <row r="3447" spans="1:14">
      <c r="A3447" s="2">
        <v>3446</v>
      </c>
      <c r="B3447" s="3" t="s">
        <v>11934</v>
      </c>
      <c r="C3447" s="2" t="s">
        <v>11935</v>
      </c>
      <c r="D3447" s="2">
        <v>45</v>
      </c>
      <c r="E3447" s="2">
        <v>47</v>
      </c>
      <c r="F3447" s="2" t="s">
        <v>11936</v>
      </c>
      <c r="H3447" s="2" t="s">
        <v>17</v>
      </c>
      <c r="K3447" s="4">
        <v>14917</v>
      </c>
      <c r="L3447" s="4">
        <v>44014</v>
      </c>
      <c r="M3447" s="2" t="s">
        <v>336</v>
      </c>
      <c r="N3447" s="2" t="s">
        <v>1364</v>
      </c>
    </row>
    <row r="3448" spans="1:14">
      <c r="A3448" s="2">
        <v>3447</v>
      </c>
      <c r="B3448" s="3" t="s">
        <v>11937</v>
      </c>
      <c r="C3448" s="2" t="s">
        <v>11938</v>
      </c>
      <c r="D3448" s="2">
        <v>46</v>
      </c>
      <c r="E3448" s="2">
        <v>47</v>
      </c>
      <c r="F3448" s="2" t="s">
        <v>11939</v>
      </c>
      <c r="H3448" s="2" t="s">
        <v>17</v>
      </c>
      <c r="K3448" s="4">
        <v>10709</v>
      </c>
      <c r="L3448" s="4">
        <v>42807</v>
      </c>
      <c r="M3448" s="2" t="s">
        <v>247</v>
      </c>
      <c r="N3448" s="2" t="s">
        <v>7472</v>
      </c>
    </row>
    <row r="3449" spans="1:14">
      <c r="A3449" s="2">
        <v>3448</v>
      </c>
      <c r="B3449" s="3" t="s">
        <v>11940</v>
      </c>
      <c r="C3449" s="2" t="s">
        <v>11941</v>
      </c>
      <c r="D3449" s="2">
        <v>47</v>
      </c>
      <c r="E3449" s="2">
        <v>47</v>
      </c>
      <c r="F3449" s="2" t="s">
        <v>11942</v>
      </c>
      <c r="H3449" s="2" t="s">
        <v>17</v>
      </c>
      <c r="K3449" s="4">
        <v>10386</v>
      </c>
      <c r="M3449" s="2" t="s">
        <v>35</v>
      </c>
      <c r="N3449" s="2" t="s">
        <v>2466</v>
      </c>
    </row>
    <row r="3450" spans="1:14">
      <c r="A3450" s="2">
        <v>3449</v>
      </c>
      <c r="B3450" s="3" t="s">
        <v>11943</v>
      </c>
      <c r="C3450" s="2" t="s">
        <v>11944</v>
      </c>
      <c r="D3450" s="2">
        <v>42</v>
      </c>
      <c r="E3450" s="2">
        <v>47</v>
      </c>
      <c r="F3450" s="2" t="s">
        <v>11945</v>
      </c>
      <c r="H3450" s="2" t="s">
        <v>17</v>
      </c>
      <c r="K3450" s="4">
        <v>6932</v>
      </c>
      <c r="L3450" s="4">
        <v>39189</v>
      </c>
      <c r="M3450" s="2" t="s">
        <v>40</v>
      </c>
      <c r="N3450" s="2" t="s">
        <v>2573</v>
      </c>
    </row>
    <row r="3451" spans="1:14">
      <c r="A3451" s="2">
        <v>3450</v>
      </c>
      <c r="B3451" s="3" t="s">
        <v>11946</v>
      </c>
      <c r="C3451" s="2" t="s">
        <v>11947</v>
      </c>
      <c r="D3451" s="2">
        <v>47</v>
      </c>
      <c r="E3451" s="2">
        <v>47</v>
      </c>
      <c r="F3451" s="2" t="s">
        <v>11948</v>
      </c>
      <c r="H3451" s="2" t="s">
        <v>17</v>
      </c>
      <c r="K3451" s="4">
        <v>15831</v>
      </c>
      <c r="M3451" s="2" t="s">
        <v>192</v>
      </c>
      <c r="N3451" s="2" t="s">
        <v>11949</v>
      </c>
    </row>
    <row r="3452" spans="1:14">
      <c r="A3452" s="2">
        <v>3451</v>
      </c>
      <c r="B3452" s="3" t="s">
        <v>11950</v>
      </c>
      <c r="C3452" s="2" t="s">
        <v>11951</v>
      </c>
      <c r="D3452" s="2">
        <v>47</v>
      </c>
      <c r="E3452" s="2">
        <v>47</v>
      </c>
      <c r="F3452" s="2" t="s">
        <v>11952</v>
      </c>
      <c r="H3452" s="2" t="s">
        <v>17</v>
      </c>
      <c r="K3452" s="4">
        <v>10360</v>
      </c>
      <c r="M3452" s="2" t="s">
        <v>192</v>
      </c>
      <c r="N3452" s="2" t="s">
        <v>577</v>
      </c>
    </row>
    <row r="3453" spans="1:14">
      <c r="A3453" s="2">
        <v>3452</v>
      </c>
      <c r="B3453" s="3" t="s">
        <v>11953</v>
      </c>
      <c r="C3453" s="2" t="s">
        <v>11954</v>
      </c>
      <c r="D3453" s="2">
        <v>47</v>
      </c>
      <c r="E3453" s="2">
        <v>47</v>
      </c>
      <c r="F3453" s="2" t="s">
        <v>11955</v>
      </c>
      <c r="H3453" s="2" t="s">
        <v>17</v>
      </c>
      <c r="K3453" s="4">
        <v>16746</v>
      </c>
      <c r="M3453" s="2" t="s">
        <v>53</v>
      </c>
      <c r="N3453" s="2" t="s">
        <v>11956</v>
      </c>
    </row>
    <row r="3454" spans="1:14">
      <c r="A3454" s="2">
        <v>3453</v>
      </c>
      <c r="B3454" s="3" t="s">
        <v>11957</v>
      </c>
      <c r="C3454" s="2" t="s">
        <v>11958</v>
      </c>
      <c r="D3454" s="2">
        <v>44</v>
      </c>
      <c r="E3454" s="2">
        <v>46</v>
      </c>
      <c r="F3454" s="2" t="s">
        <v>11959</v>
      </c>
      <c r="H3454" s="2" t="s">
        <v>17</v>
      </c>
      <c r="K3454" s="4">
        <v>6409</v>
      </c>
      <c r="L3454" s="4">
        <v>40012</v>
      </c>
      <c r="M3454" s="2" t="s">
        <v>423</v>
      </c>
      <c r="N3454" s="2" t="s">
        <v>11844</v>
      </c>
    </row>
    <row r="3455" spans="1:14">
      <c r="A3455" s="2">
        <v>3454</v>
      </c>
      <c r="B3455" s="3" t="s">
        <v>11960</v>
      </c>
      <c r="C3455" s="2" t="s">
        <v>11961</v>
      </c>
      <c r="D3455" s="2">
        <v>46</v>
      </c>
      <c r="E3455" s="2">
        <v>46</v>
      </c>
      <c r="F3455" s="2" t="s">
        <v>11962</v>
      </c>
      <c r="H3455" s="2" t="s">
        <v>17</v>
      </c>
      <c r="K3455" s="4">
        <v>9622</v>
      </c>
      <c r="L3455" s="4">
        <v>40876</v>
      </c>
      <c r="M3455" s="2" t="s">
        <v>423</v>
      </c>
      <c r="N3455" s="2" t="s">
        <v>11963</v>
      </c>
    </row>
    <row r="3456" spans="1:14">
      <c r="A3456" s="2">
        <v>3455</v>
      </c>
      <c r="B3456" s="3" t="s">
        <v>11964</v>
      </c>
      <c r="C3456" s="2" t="s">
        <v>11965</v>
      </c>
      <c r="D3456" s="2">
        <v>43</v>
      </c>
      <c r="E3456" s="2">
        <v>46</v>
      </c>
      <c r="F3456" s="2" t="s">
        <v>11966</v>
      </c>
      <c r="H3456" s="2" t="s">
        <v>17</v>
      </c>
      <c r="K3456" s="4">
        <v>8742</v>
      </c>
      <c r="L3456" s="4">
        <v>39676</v>
      </c>
      <c r="M3456" s="2" t="s">
        <v>47</v>
      </c>
      <c r="N3456" s="2" t="s">
        <v>7150</v>
      </c>
    </row>
    <row r="3457" spans="1:14">
      <c r="A3457" s="2">
        <v>3456</v>
      </c>
      <c r="B3457" s="3" t="s">
        <v>11967</v>
      </c>
      <c r="C3457" s="2" t="s">
        <v>11968</v>
      </c>
      <c r="D3457" s="2">
        <v>46</v>
      </c>
      <c r="E3457" s="2">
        <v>46</v>
      </c>
      <c r="F3457" s="2" t="s">
        <v>11969</v>
      </c>
      <c r="H3457" s="2" t="s">
        <v>17</v>
      </c>
      <c r="K3457" s="4">
        <v>9681</v>
      </c>
      <c r="L3457" s="4">
        <v>44289</v>
      </c>
      <c r="M3457" s="2" t="s">
        <v>85</v>
      </c>
      <c r="N3457" s="2" t="s">
        <v>2563</v>
      </c>
    </row>
    <row r="3458" spans="1:14">
      <c r="A3458" s="2">
        <v>3457</v>
      </c>
      <c r="B3458" s="3" t="s">
        <v>11970</v>
      </c>
      <c r="C3458" s="2" t="s">
        <v>11971</v>
      </c>
      <c r="D3458" s="2">
        <v>45</v>
      </c>
      <c r="E3458" s="2">
        <v>46</v>
      </c>
      <c r="F3458" s="2" t="s">
        <v>11972</v>
      </c>
      <c r="H3458" s="2" t="s">
        <v>17</v>
      </c>
      <c r="K3458" s="4">
        <v>12658</v>
      </c>
      <c r="L3458" s="4">
        <v>40049</v>
      </c>
      <c r="M3458" s="2" t="s">
        <v>76</v>
      </c>
      <c r="N3458" s="2" t="s">
        <v>6628</v>
      </c>
    </row>
    <row r="3459" spans="1:14">
      <c r="A3459" s="2">
        <v>3458</v>
      </c>
      <c r="B3459" s="3" t="s">
        <v>11973</v>
      </c>
      <c r="C3459" s="2" t="s">
        <v>11974</v>
      </c>
      <c r="D3459" s="2">
        <v>46</v>
      </c>
      <c r="E3459" s="2">
        <v>46</v>
      </c>
      <c r="F3459" s="2" t="s">
        <v>11975</v>
      </c>
      <c r="H3459" s="2" t="s">
        <v>17</v>
      </c>
      <c r="K3459" s="4">
        <v>15117</v>
      </c>
      <c r="L3459" s="4">
        <v>43676</v>
      </c>
      <c r="M3459" s="2" t="s">
        <v>154</v>
      </c>
      <c r="N3459" s="2" t="s">
        <v>208</v>
      </c>
    </row>
    <row r="3460" spans="1:14">
      <c r="A3460" s="2">
        <v>3459</v>
      </c>
      <c r="B3460" s="3" t="s">
        <v>11976</v>
      </c>
      <c r="C3460" s="2" t="s">
        <v>11977</v>
      </c>
      <c r="D3460" s="2">
        <v>45</v>
      </c>
      <c r="E3460" s="2">
        <v>46</v>
      </c>
      <c r="F3460" s="2" t="s">
        <v>11978</v>
      </c>
      <c r="H3460" s="2" t="s">
        <v>17</v>
      </c>
      <c r="K3460" s="4">
        <v>8025</v>
      </c>
      <c r="L3460" s="4">
        <v>40215</v>
      </c>
      <c r="M3460" s="2" t="s">
        <v>47</v>
      </c>
      <c r="N3460" s="2" t="s">
        <v>48</v>
      </c>
    </row>
    <row r="3461" spans="1:14">
      <c r="A3461" s="2">
        <v>3460</v>
      </c>
      <c r="B3461" s="3" t="s">
        <v>11979</v>
      </c>
      <c r="C3461" s="2" t="s">
        <v>11980</v>
      </c>
      <c r="D3461" s="2">
        <v>46</v>
      </c>
      <c r="E3461" s="2">
        <v>46</v>
      </c>
      <c r="F3461" s="2" t="s">
        <v>11981</v>
      </c>
      <c r="H3461" s="2" t="s">
        <v>17</v>
      </c>
      <c r="K3461" s="4">
        <v>8403</v>
      </c>
      <c r="L3461" s="4">
        <v>39593</v>
      </c>
      <c r="M3461" s="2" t="s">
        <v>18</v>
      </c>
    </row>
    <row r="3462" spans="1:14">
      <c r="A3462" s="2">
        <v>3461</v>
      </c>
      <c r="B3462" s="3" t="s">
        <v>11982</v>
      </c>
      <c r="C3462" s="2" t="s">
        <v>11983</v>
      </c>
      <c r="D3462" s="2">
        <v>46</v>
      </c>
      <c r="E3462" s="2">
        <v>46</v>
      </c>
      <c r="F3462" s="2" t="s">
        <v>11984</v>
      </c>
      <c r="H3462" s="2" t="s">
        <v>17</v>
      </c>
      <c r="K3462" s="4">
        <v>14547</v>
      </c>
      <c r="M3462" s="2" t="s">
        <v>341</v>
      </c>
      <c r="N3462" s="2" t="s">
        <v>342</v>
      </c>
    </row>
    <row r="3463" spans="1:14">
      <c r="A3463" s="2">
        <v>3462</v>
      </c>
      <c r="B3463" s="3" t="s">
        <v>11985</v>
      </c>
      <c r="C3463" s="2" t="s">
        <v>11986</v>
      </c>
      <c r="D3463" s="2">
        <v>41</v>
      </c>
      <c r="E3463" s="2">
        <v>46</v>
      </c>
      <c r="F3463" s="2" t="s">
        <v>11987</v>
      </c>
      <c r="H3463" s="2" t="s">
        <v>17</v>
      </c>
      <c r="K3463" s="4">
        <v>7640</v>
      </c>
      <c r="L3463" s="4">
        <v>41648</v>
      </c>
      <c r="M3463" s="2" t="s">
        <v>66</v>
      </c>
      <c r="N3463" s="2" t="s">
        <v>1918</v>
      </c>
    </row>
    <row r="3464" spans="1:14">
      <c r="A3464" s="2">
        <v>3463</v>
      </c>
      <c r="B3464" s="3" t="s">
        <v>11988</v>
      </c>
      <c r="C3464" s="2" t="s">
        <v>11989</v>
      </c>
      <c r="D3464" s="2">
        <v>46</v>
      </c>
      <c r="E3464" s="2">
        <v>46</v>
      </c>
      <c r="F3464" s="2" t="s">
        <v>11990</v>
      </c>
      <c r="H3464" s="2" t="s">
        <v>17</v>
      </c>
      <c r="K3464" s="4">
        <v>11688</v>
      </c>
      <c r="L3464" s="4">
        <v>31280</v>
      </c>
      <c r="M3464" s="2" t="s">
        <v>66</v>
      </c>
      <c r="N3464" s="2" t="s">
        <v>3865</v>
      </c>
    </row>
    <row r="3465" spans="1:14">
      <c r="A3465" s="2">
        <v>3464</v>
      </c>
      <c r="B3465" s="3" t="s">
        <v>11991</v>
      </c>
      <c r="C3465" s="2" t="s">
        <v>11992</v>
      </c>
      <c r="D3465" s="2">
        <v>44</v>
      </c>
      <c r="E3465" s="2">
        <v>46</v>
      </c>
      <c r="F3465" s="2" t="s">
        <v>11993</v>
      </c>
      <c r="H3465" s="2" t="s">
        <v>17</v>
      </c>
      <c r="K3465" s="4">
        <v>12363</v>
      </c>
      <c r="L3465" s="4">
        <v>43754</v>
      </c>
      <c r="M3465" s="2" t="s">
        <v>170</v>
      </c>
      <c r="N3465" s="2" t="s">
        <v>323</v>
      </c>
    </row>
    <row r="3466" spans="1:14">
      <c r="A3466" s="2">
        <v>3465</v>
      </c>
      <c r="B3466" s="3" t="s">
        <v>11994</v>
      </c>
      <c r="C3466" s="2" t="s">
        <v>11995</v>
      </c>
      <c r="D3466" s="2">
        <v>43</v>
      </c>
      <c r="E3466" s="2">
        <v>46</v>
      </c>
      <c r="F3466" s="2" t="s">
        <v>11996</v>
      </c>
      <c r="H3466" s="2" t="s">
        <v>17</v>
      </c>
      <c r="K3466" s="4">
        <v>11470</v>
      </c>
      <c r="L3466" s="4">
        <v>44171</v>
      </c>
      <c r="M3466" s="2" t="s">
        <v>66</v>
      </c>
      <c r="N3466" s="2" t="s">
        <v>1021</v>
      </c>
    </row>
    <row r="3467" spans="1:14">
      <c r="A3467" s="2">
        <v>3466</v>
      </c>
      <c r="B3467" s="3" t="s">
        <v>11997</v>
      </c>
      <c r="C3467" s="2" t="s">
        <v>11998</v>
      </c>
      <c r="D3467" s="2">
        <v>45</v>
      </c>
      <c r="E3467" s="2">
        <v>46</v>
      </c>
      <c r="F3467" s="2" t="s">
        <v>11999</v>
      </c>
      <c r="H3467" s="2" t="s">
        <v>17</v>
      </c>
      <c r="K3467" s="4">
        <v>11082</v>
      </c>
      <c r="L3467" s="4">
        <v>43484</v>
      </c>
      <c r="M3467" s="2" t="s">
        <v>66</v>
      </c>
      <c r="N3467" s="2" t="s">
        <v>12000</v>
      </c>
    </row>
    <row r="3468" spans="1:14">
      <c r="A3468" s="2">
        <v>3467</v>
      </c>
      <c r="B3468" s="3" t="s">
        <v>12001</v>
      </c>
      <c r="C3468" s="2" t="s">
        <v>12002</v>
      </c>
      <c r="D3468" s="2">
        <v>43</v>
      </c>
      <c r="E3468" s="2">
        <v>46</v>
      </c>
      <c r="F3468" s="2" t="s">
        <v>12003</v>
      </c>
      <c r="H3468" s="2" t="s">
        <v>17</v>
      </c>
      <c r="K3468" s="4">
        <v>6144</v>
      </c>
      <c r="L3468" s="4">
        <v>39598</v>
      </c>
      <c r="M3468" s="2" t="s">
        <v>185</v>
      </c>
      <c r="N3468" s="2" t="s">
        <v>12004</v>
      </c>
    </row>
    <row r="3469" spans="1:14">
      <c r="A3469" s="2">
        <v>3468</v>
      </c>
      <c r="B3469" s="3" t="s">
        <v>12005</v>
      </c>
      <c r="C3469" s="2" t="s">
        <v>12006</v>
      </c>
      <c r="D3469" s="2">
        <v>45</v>
      </c>
      <c r="E3469" s="2">
        <v>46</v>
      </c>
      <c r="F3469" s="2" t="s">
        <v>12007</v>
      </c>
      <c r="H3469" s="2" t="s">
        <v>17</v>
      </c>
      <c r="K3469" s="4">
        <v>12126</v>
      </c>
      <c r="L3469" s="4">
        <v>41320</v>
      </c>
      <c r="M3469" s="2" t="s">
        <v>66</v>
      </c>
      <c r="N3469" s="2" t="s">
        <v>71</v>
      </c>
    </row>
    <row r="3470" spans="1:14">
      <c r="A3470" s="2">
        <v>3469</v>
      </c>
      <c r="B3470" s="3" t="s">
        <v>12008</v>
      </c>
      <c r="C3470" s="2" t="s">
        <v>12009</v>
      </c>
      <c r="D3470" s="2">
        <v>45</v>
      </c>
      <c r="E3470" s="2">
        <v>46</v>
      </c>
      <c r="F3470" s="2" t="s">
        <v>12010</v>
      </c>
      <c r="H3470" s="2" t="s">
        <v>17</v>
      </c>
      <c r="K3470" s="4">
        <v>16413</v>
      </c>
      <c r="M3470" s="2" t="s">
        <v>47</v>
      </c>
      <c r="N3470" s="2" t="s">
        <v>12011</v>
      </c>
    </row>
    <row r="3471" spans="1:14">
      <c r="A3471" s="2">
        <v>3470</v>
      </c>
      <c r="B3471" s="3" t="s">
        <v>12012</v>
      </c>
      <c r="C3471" s="2" t="s">
        <v>12013</v>
      </c>
      <c r="D3471" s="2">
        <v>46</v>
      </c>
      <c r="E3471" s="2">
        <v>46</v>
      </c>
      <c r="F3471" s="2" t="s">
        <v>12014</v>
      </c>
      <c r="H3471" s="2" t="s">
        <v>17</v>
      </c>
      <c r="K3471" s="4">
        <v>6563</v>
      </c>
      <c r="L3471" s="4">
        <v>29202</v>
      </c>
      <c r="M3471" s="2" t="s">
        <v>170</v>
      </c>
      <c r="N3471" s="2" t="s">
        <v>323</v>
      </c>
    </row>
    <row r="3472" spans="1:14">
      <c r="A3472" s="2">
        <v>3471</v>
      </c>
      <c r="B3472" s="3" t="s">
        <v>12015</v>
      </c>
      <c r="C3472" s="2" t="s">
        <v>12016</v>
      </c>
      <c r="D3472" s="2">
        <v>45</v>
      </c>
      <c r="E3472" s="2">
        <v>46</v>
      </c>
      <c r="F3472" s="2" t="s">
        <v>12017</v>
      </c>
      <c r="H3472" s="2" t="s">
        <v>17</v>
      </c>
      <c r="K3472" s="4">
        <v>10324</v>
      </c>
      <c r="M3472" s="2" t="s">
        <v>66</v>
      </c>
      <c r="N3472" s="2" t="s">
        <v>2349</v>
      </c>
    </row>
    <row r="3473" spans="1:14">
      <c r="A3473" s="2">
        <v>3472</v>
      </c>
      <c r="B3473" s="3" t="s">
        <v>12018</v>
      </c>
      <c r="C3473" s="2" t="s">
        <v>12019</v>
      </c>
      <c r="D3473" s="2">
        <v>46</v>
      </c>
      <c r="E3473" s="2">
        <v>46</v>
      </c>
      <c r="F3473" s="2" t="s">
        <v>12020</v>
      </c>
      <c r="H3473" s="2" t="s">
        <v>17</v>
      </c>
      <c r="K3473" s="4">
        <v>13247</v>
      </c>
      <c r="L3473" s="4">
        <v>41848</v>
      </c>
      <c r="M3473" s="2" t="s">
        <v>53</v>
      </c>
      <c r="N3473" s="2" t="s">
        <v>11956</v>
      </c>
    </row>
    <row r="3474" spans="1:14">
      <c r="A3474" s="2">
        <v>3473</v>
      </c>
      <c r="B3474" s="3" t="s">
        <v>12021</v>
      </c>
      <c r="C3474" s="2" t="s">
        <v>12022</v>
      </c>
      <c r="D3474" s="2">
        <v>45</v>
      </c>
      <c r="E3474" s="2">
        <v>46</v>
      </c>
      <c r="F3474" s="2" t="s">
        <v>12023</v>
      </c>
      <c r="H3474" s="2" t="s">
        <v>17</v>
      </c>
      <c r="K3474" s="4">
        <v>16024</v>
      </c>
      <c r="M3474" s="2" t="s">
        <v>154</v>
      </c>
      <c r="N3474" s="2" t="s">
        <v>5689</v>
      </c>
    </row>
    <row r="3475" spans="1:14">
      <c r="A3475" s="2">
        <v>3474</v>
      </c>
      <c r="B3475" s="3" t="s">
        <v>12024</v>
      </c>
      <c r="C3475" s="2" t="s">
        <v>12025</v>
      </c>
      <c r="D3475" s="2">
        <v>42</v>
      </c>
      <c r="E3475" s="2">
        <v>46</v>
      </c>
      <c r="F3475" s="2" t="s">
        <v>12026</v>
      </c>
      <c r="H3475" s="2" t="s">
        <v>17</v>
      </c>
      <c r="K3475" s="4">
        <v>5015</v>
      </c>
      <c r="L3475" s="4">
        <v>34081</v>
      </c>
      <c r="M3475" s="2" t="s">
        <v>66</v>
      </c>
      <c r="N3475" s="2" t="s">
        <v>359</v>
      </c>
    </row>
    <row r="3476" spans="1:14">
      <c r="A3476" s="2">
        <v>3475</v>
      </c>
      <c r="B3476" s="3" t="s">
        <v>12027</v>
      </c>
      <c r="C3476" s="2" t="s">
        <v>12028</v>
      </c>
      <c r="D3476" s="2">
        <v>45</v>
      </c>
      <c r="E3476" s="2">
        <v>46</v>
      </c>
      <c r="F3476" s="2" t="s">
        <v>12029</v>
      </c>
      <c r="H3476" s="2" t="s">
        <v>17</v>
      </c>
      <c r="K3476" s="4">
        <v>17833</v>
      </c>
      <c r="M3476" s="2" t="s">
        <v>341</v>
      </c>
      <c r="N3476" s="2" t="s">
        <v>342</v>
      </c>
    </row>
    <row r="3477" spans="1:14">
      <c r="A3477" s="2">
        <v>3476</v>
      </c>
      <c r="B3477" s="3" t="s">
        <v>12030</v>
      </c>
      <c r="C3477" s="2" t="s">
        <v>12031</v>
      </c>
      <c r="D3477" s="2">
        <v>46</v>
      </c>
      <c r="E3477" s="2">
        <v>46</v>
      </c>
      <c r="F3477" s="2" t="s">
        <v>12032</v>
      </c>
      <c r="H3477" s="2" t="s">
        <v>17</v>
      </c>
      <c r="K3477" s="4">
        <v>12034</v>
      </c>
      <c r="L3477" s="4">
        <v>39941</v>
      </c>
    </row>
    <row r="3478" spans="1:14">
      <c r="A3478" s="2">
        <v>3477</v>
      </c>
      <c r="B3478" s="3" t="s">
        <v>12033</v>
      </c>
      <c r="C3478" s="2" t="s">
        <v>12034</v>
      </c>
      <c r="D3478" s="2">
        <v>46</v>
      </c>
      <c r="E3478" s="2">
        <v>46</v>
      </c>
      <c r="F3478" s="2" t="s">
        <v>12035</v>
      </c>
      <c r="H3478" s="2" t="s">
        <v>17</v>
      </c>
      <c r="K3478" s="4">
        <v>15802</v>
      </c>
      <c r="M3478" s="2" t="s">
        <v>91</v>
      </c>
      <c r="N3478" s="2" t="s">
        <v>975</v>
      </c>
    </row>
    <row r="3479" spans="1:14">
      <c r="A3479" s="2">
        <v>3478</v>
      </c>
      <c r="B3479" s="3" t="s">
        <v>12036</v>
      </c>
      <c r="C3479" s="2" t="s">
        <v>12037</v>
      </c>
      <c r="D3479" s="2">
        <v>46</v>
      </c>
      <c r="E3479" s="2">
        <v>46</v>
      </c>
      <c r="F3479" s="2" t="s">
        <v>12037</v>
      </c>
      <c r="H3479" s="2" t="s">
        <v>17</v>
      </c>
      <c r="K3479" s="4">
        <v>9412</v>
      </c>
      <c r="L3479" s="4">
        <v>38526</v>
      </c>
    </row>
    <row r="3480" spans="1:14">
      <c r="A3480" s="2">
        <v>3479</v>
      </c>
      <c r="B3480" s="3" t="s">
        <v>12038</v>
      </c>
      <c r="C3480" s="2" t="s">
        <v>12039</v>
      </c>
      <c r="D3480" s="2">
        <v>44</v>
      </c>
      <c r="E3480" s="2">
        <v>46</v>
      </c>
      <c r="F3480" s="2" t="s">
        <v>12040</v>
      </c>
      <c r="H3480" s="2" t="s">
        <v>17</v>
      </c>
      <c r="K3480" s="4">
        <v>12558</v>
      </c>
      <c r="L3480" s="4">
        <v>29281</v>
      </c>
      <c r="M3480" s="2" t="s">
        <v>47</v>
      </c>
      <c r="N3480" s="2" t="s">
        <v>6256</v>
      </c>
    </row>
    <row r="3481" spans="1:14">
      <c r="A3481" s="2">
        <v>3480</v>
      </c>
      <c r="B3481" s="3" t="s">
        <v>12041</v>
      </c>
      <c r="C3481" s="2" t="s">
        <v>12042</v>
      </c>
      <c r="D3481" s="2">
        <v>42</v>
      </c>
      <c r="E3481" s="2">
        <v>46</v>
      </c>
      <c r="F3481" s="2" t="s">
        <v>12043</v>
      </c>
      <c r="H3481" s="2" t="s">
        <v>17</v>
      </c>
      <c r="K3481" s="4">
        <v>5915</v>
      </c>
      <c r="L3481" s="4">
        <v>34135</v>
      </c>
      <c r="M3481" s="2" t="s">
        <v>76</v>
      </c>
      <c r="N3481" s="2" t="s">
        <v>12044</v>
      </c>
    </row>
    <row r="3482" spans="1:14">
      <c r="A3482" s="2">
        <v>3481</v>
      </c>
      <c r="B3482" s="3" t="s">
        <v>12045</v>
      </c>
      <c r="C3482" s="2" t="s">
        <v>12046</v>
      </c>
      <c r="D3482" s="2">
        <v>46</v>
      </c>
      <c r="E3482" s="2">
        <v>46</v>
      </c>
      <c r="F3482" s="2" t="s">
        <v>12047</v>
      </c>
      <c r="H3482" s="2" t="s">
        <v>17</v>
      </c>
      <c r="K3482" s="4">
        <v>15580</v>
      </c>
      <c r="M3482" s="2" t="s">
        <v>423</v>
      </c>
      <c r="N3482" s="2" t="s">
        <v>3942</v>
      </c>
    </row>
    <row r="3483" spans="1:14">
      <c r="A3483" s="2">
        <v>3482</v>
      </c>
      <c r="B3483" s="3" t="s">
        <v>12048</v>
      </c>
      <c r="C3483" s="2" t="s">
        <v>12049</v>
      </c>
      <c r="D3483" s="2">
        <v>42</v>
      </c>
      <c r="E3483" s="2">
        <v>46</v>
      </c>
      <c r="F3483" s="2" t="s">
        <v>12050</v>
      </c>
      <c r="H3483" s="2" t="s">
        <v>17</v>
      </c>
      <c r="K3483" s="4">
        <v>7607</v>
      </c>
      <c r="L3483" s="4">
        <v>37636</v>
      </c>
      <c r="M3483" s="2" t="s">
        <v>66</v>
      </c>
      <c r="N3483" s="2" t="s">
        <v>3640</v>
      </c>
    </row>
    <row r="3484" spans="1:14">
      <c r="A3484" s="2">
        <v>3483</v>
      </c>
      <c r="B3484" s="3" t="s">
        <v>12051</v>
      </c>
      <c r="C3484" s="2" t="s">
        <v>12052</v>
      </c>
      <c r="D3484" s="2">
        <v>42</v>
      </c>
      <c r="E3484" s="2">
        <v>46</v>
      </c>
      <c r="F3484" s="2" t="s">
        <v>12053</v>
      </c>
      <c r="H3484" s="2" t="s">
        <v>17</v>
      </c>
      <c r="K3484" s="4">
        <v>2405</v>
      </c>
      <c r="L3484" s="4">
        <v>33939</v>
      </c>
      <c r="M3484" s="2" t="s">
        <v>47</v>
      </c>
      <c r="N3484" s="2" t="s">
        <v>1863</v>
      </c>
    </row>
    <row r="3485" spans="1:14">
      <c r="A3485" s="2">
        <v>3484</v>
      </c>
      <c r="B3485" s="3" t="s">
        <v>12054</v>
      </c>
      <c r="C3485" s="2" t="s">
        <v>12055</v>
      </c>
      <c r="D3485" s="2">
        <v>46</v>
      </c>
      <c r="E3485" s="2">
        <v>46</v>
      </c>
      <c r="F3485" s="2" t="s">
        <v>12056</v>
      </c>
      <c r="H3485" s="2" t="s">
        <v>17</v>
      </c>
      <c r="K3485" s="4">
        <v>10782</v>
      </c>
      <c r="L3485" s="4">
        <v>43250</v>
      </c>
    </row>
    <row r="3486" spans="1:14">
      <c r="A3486" s="2">
        <v>3485</v>
      </c>
      <c r="B3486" s="3" t="s">
        <v>12057</v>
      </c>
      <c r="C3486" s="2" t="s">
        <v>12058</v>
      </c>
      <c r="D3486" s="2">
        <v>44</v>
      </c>
      <c r="E3486" s="2">
        <v>46</v>
      </c>
      <c r="F3486" s="2" t="s">
        <v>12059</v>
      </c>
      <c r="H3486" s="2" t="s">
        <v>17</v>
      </c>
      <c r="K3486" s="4">
        <v>5889</v>
      </c>
      <c r="L3486" s="4">
        <v>34994</v>
      </c>
      <c r="M3486" s="2" t="s">
        <v>76</v>
      </c>
      <c r="N3486" s="2" t="s">
        <v>6506</v>
      </c>
    </row>
    <row r="3487" spans="1:14">
      <c r="A3487" s="2">
        <v>3486</v>
      </c>
      <c r="B3487" s="3" t="s">
        <v>12060</v>
      </c>
      <c r="C3487" s="2" t="s">
        <v>12061</v>
      </c>
      <c r="D3487" s="2">
        <v>43</v>
      </c>
      <c r="E3487" s="2">
        <v>46</v>
      </c>
      <c r="F3487" s="2" t="s">
        <v>12062</v>
      </c>
      <c r="H3487" s="2" t="s">
        <v>17</v>
      </c>
      <c r="K3487" s="4">
        <v>10515</v>
      </c>
      <c r="L3487" s="4">
        <v>43464</v>
      </c>
      <c r="M3487" s="2" t="s">
        <v>47</v>
      </c>
      <c r="N3487" s="2" t="s">
        <v>6137</v>
      </c>
    </row>
    <row r="3488" spans="1:14">
      <c r="A3488" s="2">
        <v>3487</v>
      </c>
      <c r="B3488" s="3" t="s">
        <v>12063</v>
      </c>
      <c r="C3488" s="2" t="s">
        <v>12064</v>
      </c>
      <c r="D3488" s="2">
        <v>43</v>
      </c>
      <c r="E3488" s="2">
        <v>46</v>
      </c>
      <c r="F3488" s="2" t="s">
        <v>12065</v>
      </c>
      <c r="H3488" s="2" t="s">
        <v>17</v>
      </c>
      <c r="K3488" s="4">
        <v>7405</v>
      </c>
      <c r="L3488" s="4">
        <v>30661</v>
      </c>
      <c r="M3488" s="2" t="s">
        <v>35</v>
      </c>
      <c r="N3488" s="2" t="s">
        <v>9568</v>
      </c>
    </row>
    <row r="3489" spans="1:14">
      <c r="A3489" s="2">
        <v>3488</v>
      </c>
      <c r="B3489" s="3" t="s">
        <v>12066</v>
      </c>
      <c r="C3489" s="2" t="s">
        <v>12067</v>
      </c>
      <c r="D3489" s="2">
        <v>46</v>
      </c>
      <c r="E3489" s="2">
        <v>46</v>
      </c>
      <c r="F3489" s="2" t="s">
        <v>12068</v>
      </c>
      <c r="H3489" s="2" t="s">
        <v>17</v>
      </c>
      <c r="K3489" s="4">
        <v>12243</v>
      </c>
      <c r="L3489" s="4">
        <v>29380</v>
      </c>
      <c r="M3489" s="2" t="s">
        <v>192</v>
      </c>
      <c r="N3489" s="2" t="s">
        <v>4095</v>
      </c>
    </row>
    <row r="3490" spans="1:14">
      <c r="A3490" s="2">
        <v>3489</v>
      </c>
      <c r="B3490" s="3" t="s">
        <v>12069</v>
      </c>
      <c r="C3490" s="2" t="s">
        <v>12070</v>
      </c>
      <c r="D3490" s="2">
        <v>46</v>
      </c>
      <c r="E3490" s="2">
        <v>46</v>
      </c>
      <c r="F3490" s="2" t="s">
        <v>12071</v>
      </c>
      <c r="H3490" s="2" t="s">
        <v>17</v>
      </c>
      <c r="K3490" s="4">
        <v>13969</v>
      </c>
      <c r="L3490" s="4">
        <v>45769</v>
      </c>
    </row>
    <row r="3491" spans="1:14">
      <c r="A3491" s="2">
        <v>3490</v>
      </c>
      <c r="B3491" s="3" t="s">
        <v>12072</v>
      </c>
      <c r="C3491" s="2" t="s">
        <v>12073</v>
      </c>
      <c r="D3491" s="2">
        <v>38</v>
      </c>
      <c r="E3491" s="2">
        <v>46</v>
      </c>
      <c r="F3491" s="2" t="s">
        <v>12074</v>
      </c>
      <c r="H3491" s="2" t="s">
        <v>17</v>
      </c>
      <c r="K3491" s="4">
        <v>4108</v>
      </c>
      <c r="L3491" s="4">
        <v>35550</v>
      </c>
      <c r="M3491" s="2" t="s">
        <v>341</v>
      </c>
      <c r="N3491" s="2" t="s">
        <v>834</v>
      </c>
    </row>
    <row r="3492" spans="1:14">
      <c r="A3492" s="2">
        <v>3491</v>
      </c>
      <c r="B3492" s="3" t="s">
        <v>12075</v>
      </c>
      <c r="C3492" s="2" t="s">
        <v>12076</v>
      </c>
      <c r="D3492" s="2">
        <v>39</v>
      </c>
      <c r="E3492" s="2">
        <v>46</v>
      </c>
      <c r="F3492" s="2" t="s">
        <v>12077</v>
      </c>
      <c r="H3492" s="2" t="s">
        <v>17</v>
      </c>
      <c r="K3492" s="4">
        <v>4464</v>
      </c>
      <c r="L3492" s="4">
        <v>31020</v>
      </c>
      <c r="M3492" s="2" t="s">
        <v>35</v>
      </c>
      <c r="N3492" s="2" t="s">
        <v>12078</v>
      </c>
    </row>
    <row r="3493" spans="1:14">
      <c r="A3493" s="2">
        <v>3492</v>
      </c>
      <c r="B3493" s="3" t="s">
        <v>12079</v>
      </c>
      <c r="C3493" s="2" t="s">
        <v>12080</v>
      </c>
      <c r="D3493" s="2">
        <v>46</v>
      </c>
      <c r="E3493" s="2">
        <v>46</v>
      </c>
      <c r="F3493" s="2" t="s">
        <v>12081</v>
      </c>
      <c r="H3493" s="2" t="s">
        <v>17</v>
      </c>
      <c r="K3493" s="4">
        <v>11028</v>
      </c>
      <c r="L3493" s="4">
        <v>39483</v>
      </c>
    </row>
    <row r="3494" spans="1:14">
      <c r="A3494" s="2">
        <v>3493</v>
      </c>
      <c r="B3494" s="3" t="s">
        <v>12082</v>
      </c>
      <c r="C3494" s="2" t="s">
        <v>12083</v>
      </c>
      <c r="D3494" s="2">
        <v>39</v>
      </c>
      <c r="E3494" s="2">
        <v>46</v>
      </c>
      <c r="F3494" s="2" t="s">
        <v>12084</v>
      </c>
      <c r="H3494" s="2" t="s">
        <v>17</v>
      </c>
      <c r="K3494" s="4">
        <v>8486</v>
      </c>
      <c r="L3494" s="4">
        <v>39995</v>
      </c>
      <c r="M3494" s="2" t="s">
        <v>35</v>
      </c>
      <c r="N3494" s="2" t="s">
        <v>672</v>
      </c>
    </row>
    <row r="3495" spans="1:14">
      <c r="A3495" s="2">
        <v>3494</v>
      </c>
      <c r="B3495" s="3" t="s">
        <v>12085</v>
      </c>
      <c r="C3495" s="2" t="s">
        <v>12086</v>
      </c>
      <c r="D3495" s="2">
        <v>42</v>
      </c>
      <c r="E3495" s="2">
        <v>46</v>
      </c>
      <c r="F3495" s="2" t="s">
        <v>12087</v>
      </c>
      <c r="H3495" s="2" t="s">
        <v>17</v>
      </c>
      <c r="K3495" s="4">
        <v>7990</v>
      </c>
      <c r="L3495" s="4">
        <v>34179</v>
      </c>
      <c r="M3495" s="2" t="s">
        <v>154</v>
      </c>
      <c r="N3495" s="2" t="s">
        <v>12088</v>
      </c>
    </row>
    <row r="3496" spans="1:14">
      <c r="A3496" s="2">
        <v>3495</v>
      </c>
      <c r="B3496" s="3" t="s">
        <v>12089</v>
      </c>
      <c r="C3496" s="2" t="s">
        <v>12090</v>
      </c>
      <c r="D3496" s="2">
        <v>42</v>
      </c>
      <c r="E3496" s="2">
        <v>46</v>
      </c>
      <c r="F3496" s="2" t="s">
        <v>12091</v>
      </c>
      <c r="H3496" s="2" t="s">
        <v>17</v>
      </c>
      <c r="K3496" s="4">
        <v>4966</v>
      </c>
      <c r="L3496" s="4">
        <v>30221</v>
      </c>
      <c r="M3496" s="2" t="s">
        <v>47</v>
      </c>
      <c r="N3496" s="2" t="s">
        <v>48</v>
      </c>
    </row>
    <row r="3497" spans="1:14">
      <c r="A3497" s="2">
        <v>3496</v>
      </c>
      <c r="B3497" s="3" t="s">
        <v>12092</v>
      </c>
      <c r="C3497" s="2" t="s">
        <v>12093</v>
      </c>
      <c r="D3497" s="2">
        <v>43</v>
      </c>
      <c r="E3497" s="2">
        <v>46</v>
      </c>
      <c r="F3497" s="2" t="s">
        <v>12094</v>
      </c>
      <c r="H3497" s="2" t="s">
        <v>17</v>
      </c>
      <c r="K3497" s="4">
        <v>8864</v>
      </c>
      <c r="L3497" s="4">
        <v>34162</v>
      </c>
      <c r="M3497" s="2" t="s">
        <v>47</v>
      </c>
      <c r="N3497" s="2" t="s">
        <v>48</v>
      </c>
    </row>
    <row r="3498" spans="1:14">
      <c r="A3498" s="2">
        <v>3497</v>
      </c>
      <c r="B3498" s="3" t="s">
        <v>12095</v>
      </c>
      <c r="C3498" s="2" t="s">
        <v>12096</v>
      </c>
      <c r="D3498" s="2">
        <v>46</v>
      </c>
      <c r="E3498" s="2">
        <v>46</v>
      </c>
      <c r="F3498" s="2" t="s">
        <v>12097</v>
      </c>
      <c r="H3498" s="2" t="s">
        <v>17</v>
      </c>
      <c r="K3498" s="4">
        <v>14626</v>
      </c>
      <c r="M3498" s="2" t="s">
        <v>66</v>
      </c>
      <c r="N3498" s="2" t="s">
        <v>6270</v>
      </c>
    </row>
    <row r="3499" spans="1:14">
      <c r="A3499" s="2">
        <v>3498</v>
      </c>
      <c r="B3499" s="3" t="s">
        <v>12098</v>
      </c>
      <c r="C3499" s="2" t="s">
        <v>12099</v>
      </c>
      <c r="D3499" s="2">
        <v>46</v>
      </c>
      <c r="E3499" s="2">
        <v>46</v>
      </c>
      <c r="F3499" s="2" t="s">
        <v>12100</v>
      </c>
      <c r="H3499" s="2" t="s">
        <v>17</v>
      </c>
      <c r="K3499" s="4">
        <v>14734</v>
      </c>
      <c r="M3499" s="2" t="s">
        <v>66</v>
      </c>
      <c r="N3499" s="2" t="s">
        <v>3640</v>
      </c>
    </row>
    <row r="3500" spans="1:14">
      <c r="A3500" s="2">
        <v>3499</v>
      </c>
      <c r="B3500" s="3" t="s">
        <v>12101</v>
      </c>
      <c r="C3500" s="2" t="s">
        <v>12102</v>
      </c>
      <c r="D3500" s="2">
        <v>45</v>
      </c>
      <c r="E3500" s="2">
        <v>46</v>
      </c>
      <c r="F3500" s="2" t="s">
        <v>12103</v>
      </c>
      <c r="H3500" s="2" t="s">
        <v>17</v>
      </c>
      <c r="K3500" s="4">
        <v>1805</v>
      </c>
      <c r="L3500" s="4">
        <v>32637</v>
      </c>
      <c r="M3500" s="2" t="s">
        <v>66</v>
      </c>
    </row>
    <row r="3501" spans="1:14">
      <c r="A3501" s="2">
        <v>3500</v>
      </c>
      <c r="B3501" s="3" t="s">
        <v>12104</v>
      </c>
      <c r="C3501" s="2" t="s">
        <v>12105</v>
      </c>
      <c r="D3501" s="2">
        <v>44</v>
      </c>
      <c r="E3501" s="2">
        <v>46</v>
      </c>
      <c r="F3501" s="2" t="s">
        <v>12106</v>
      </c>
      <c r="H3501" s="2" t="s">
        <v>17</v>
      </c>
      <c r="K3501" s="4">
        <v>10424</v>
      </c>
      <c r="L3501" s="4">
        <v>44740</v>
      </c>
      <c r="M3501" s="2" t="s">
        <v>170</v>
      </c>
      <c r="N3501" s="2" t="s">
        <v>323</v>
      </c>
    </row>
    <row r="3502" spans="1:14">
      <c r="A3502" s="2">
        <v>3501</v>
      </c>
      <c r="B3502" s="3" t="s">
        <v>12107</v>
      </c>
      <c r="C3502" s="2" t="s">
        <v>12108</v>
      </c>
      <c r="D3502" s="2">
        <v>46</v>
      </c>
      <c r="E3502" s="2">
        <v>46</v>
      </c>
      <c r="F3502" s="2" t="s">
        <v>12109</v>
      </c>
      <c r="H3502" s="2" t="s">
        <v>17</v>
      </c>
      <c r="K3502" s="4">
        <v>7646</v>
      </c>
      <c r="L3502" s="4">
        <v>34716</v>
      </c>
    </row>
    <row r="3503" spans="1:14">
      <c r="A3503" s="2">
        <v>3502</v>
      </c>
      <c r="B3503" s="3" t="s">
        <v>12110</v>
      </c>
      <c r="C3503" s="2" t="s">
        <v>12111</v>
      </c>
      <c r="D3503" s="2">
        <v>46</v>
      </c>
      <c r="E3503" s="2">
        <v>46</v>
      </c>
      <c r="F3503" s="2" t="s">
        <v>12112</v>
      </c>
      <c r="H3503" s="2" t="s">
        <v>17</v>
      </c>
      <c r="K3503" s="4">
        <v>10222</v>
      </c>
      <c r="L3503" s="4">
        <v>39334</v>
      </c>
      <c r="M3503" s="2" t="s">
        <v>192</v>
      </c>
      <c r="N3503" s="2" t="s">
        <v>12113</v>
      </c>
    </row>
    <row r="3504" spans="1:14">
      <c r="A3504" s="2">
        <v>3503</v>
      </c>
      <c r="B3504" s="3" t="s">
        <v>12114</v>
      </c>
      <c r="C3504" s="2" t="s">
        <v>12115</v>
      </c>
      <c r="D3504" s="2">
        <v>46</v>
      </c>
      <c r="E3504" s="2">
        <v>46</v>
      </c>
      <c r="F3504" s="2" t="s">
        <v>12116</v>
      </c>
      <c r="H3504" s="2" t="s">
        <v>17</v>
      </c>
      <c r="K3504" s="4">
        <v>10464</v>
      </c>
      <c r="L3504" s="4">
        <v>45231</v>
      </c>
      <c r="M3504" s="2" t="s">
        <v>66</v>
      </c>
      <c r="N3504" s="2" t="s">
        <v>71</v>
      </c>
    </row>
    <row r="3505" spans="1:14">
      <c r="A3505" s="2">
        <v>3504</v>
      </c>
      <c r="B3505" s="3" t="s">
        <v>12117</v>
      </c>
      <c r="C3505" s="2" t="s">
        <v>12118</v>
      </c>
      <c r="D3505" s="2">
        <v>46</v>
      </c>
      <c r="E3505" s="2">
        <v>46</v>
      </c>
      <c r="F3505" s="2" t="s">
        <v>12119</v>
      </c>
      <c r="H3505" s="2" t="s">
        <v>17</v>
      </c>
      <c r="K3505" s="4">
        <v>9683</v>
      </c>
      <c r="L3505" s="4">
        <v>39707</v>
      </c>
      <c r="M3505" s="2" t="s">
        <v>18</v>
      </c>
    </row>
    <row r="3506" spans="1:14">
      <c r="A3506" s="2">
        <v>3505</v>
      </c>
      <c r="B3506" s="3" t="s">
        <v>12120</v>
      </c>
      <c r="C3506" s="2" t="s">
        <v>9199</v>
      </c>
      <c r="D3506" s="2">
        <v>45</v>
      </c>
      <c r="E3506" s="2">
        <v>46</v>
      </c>
      <c r="F3506" s="2" t="s">
        <v>12121</v>
      </c>
      <c r="H3506" s="2" t="s">
        <v>17</v>
      </c>
      <c r="K3506" s="4">
        <v>14261</v>
      </c>
      <c r="M3506" s="2" t="s">
        <v>170</v>
      </c>
      <c r="N3506" s="2" t="s">
        <v>323</v>
      </c>
    </row>
    <row r="3507" spans="1:14">
      <c r="A3507" s="2">
        <v>3506</v>
      </c>
      <c r="B3507" s="3" t="s">
        <v>12122</v>
      </c>
      <c r="C3507" s="2" t="s">
        <v>12123</v>
      </c>
      <c r="D3507" s="2">
        <v>39</v>
      </c>
      <c r="E3507" s="2">
        <v>46</v>
      </c>
      <c r="F3507" s="2" t="s">
        <v>12124</v>
      </c>
      <c r="H3507" s="2" t="s">
        <v>17</v>
      </c>
      <c r="K3507" s="4">
        <v>3104</v>
      </c>
      <c r="L3507" s="4">
        <v>29946</v>
      </c>
      <c r="M3507" s="2" t="s">
        <v>336</v>
      </c>
      <c r="N3507" s="2" t="s">
        <v>12125</v>
      </c>
    </row>
    <row r="3508" spans="1:14">
      <c r="A3508" s="2">
        <v>3507</v>
      </c>
      <c r="B3508" s="3" t="s">
        <v>12126</v>
      </c>
      <c r="C3508" s="2" t="s">
        <v>12127</v>
      </c>
      <c r="D3508" s="2">
        <v>46</v>
      </c>
      <c r="E3508" s="2">
        <v>46</v>
      </c>
      <c r="F3508" s="2" t="s">
        <v>12128</v>
      </c>
      <c r="H3508" s="2" t="s">
        <v>17</v>
      </c>
      <c r="K3508" s="4">
        <v>11290</v>
      </c>
      <c r="L3508" s="4">
        <v>41405</v>
      </c>
      <c r="M3508" s="2" t="s">
        <v>35</v>
      </c>
      <c r="N3508" s="2" t="s">
        <v>3650</v>
      </c>
    </row>
    <row r="3509" spans="1:14">
      <c r="A3509" s="2">
        <v>3508</v>
      </c>
      <c r="B3509" s="3" t="s">
        <v>12129</v>
      </c>
      <c r="C3509" s="2" t="s">
        <v>12130</v>
      </c>
      <c r="D3509" s="2">
        <v>46</v>
      </c>
      <c r="E3509" s="2">
        <v>46</v>
      </c>
      <c r="F3509" s="2" t="s">
        <v>12131</v>
      </c>
      <c r="H3509" s="2" t="s">
        <v>17</v>
      </c>
      <c r="K3509" s="4">
        <v>13527</v>
      </c>
      <c r="M3509" s="2" t="s">
        <v>35</v>
      </c>
      <c r="N3509" s="2" t="s">
        <v>2466</v>
      </c>
    </row>
    <row r="3510" spans="1:14">
      <c r="A3510" s="2">
        <v>3509</v>
      </c>
      <c r="B3510" s="3" t="s">
        <v>12132</v>
      </c>
      <c r="C3510" s="2" t="s">
        <v>12133</v>
      </c>
      <c r="D3510" s="2">
        <v>46</v>
      </c>
      <c r="E3510" s="2">
        <v>46</v>
      </c>
      <c r="F3510" s="2" t="s">
        <v>12134</v>
      </c>
      <c r="H3510" s="2" t="s">
        <v>17</v>
      </c>
      <c r="K3510" s="4">
        <v>13925</v>
      </c>
      <c r="M3510" s="2" t="s">
        <v>170</v>
      </c>
      <c r="N3510" s="2" t="s">
        <v>323</v>
      </c>
    </row>
    <row r="3511" spans="1:14">
      <c r="A3511" s="2">
        <v>3510</v>
      </c>
      <c r="B3511" s="3" t="s">
        <v>12135</v>
      </c>
      <c r="C3511" s="2" t="s">
        <v>12136</v>
      </c>
      <c r="D3511" s="2">
        <v>46</v>
      </c>
      <c r="E3511" s="2">
        <v>46</v>
      </c>
      <c r="F3511" s="2" t="s">
        <v>12137</v>
      </c>
      <c r="H3511" s="2" t="s">
        <v>17</v>
      </c>
      <c r="K3511" s="4">
        <v>16273</v>
      </c>
      <c r="M3511" s="2" t="s">
        <v>185</v>
      </c>
      <c r="N3511" s="2" t="s">
        <v>186</v>
      </c>
    </row>
    <row r="3512" spans="1:14">
      <c r="A3512" s="2">
        <v>3511</v>
      </c>
      <c r="B3512" s="3" t="s">
        <v>12138</v>
      </c>
      <c r="C3512" s="2" t="s">
        <v>12139</v>
      </c>
      <c r="D3512" s="2">
        <v>41</v>
      </c>
      <c r="E3512" s="2">
        <v>46</v>
      </c>
      <c r="F3512" s="2" t="s">
        <v>12140</v>
      </c>
      <c r="H3512" s="2" t="s">
        <v>17</v>
      </c>
      <c r="K3512" s="4">
        <v>7015</v>
      </c>
      <c r="L3512" s="4">
        <v>38881</v>
      </c>
      <c r="M3512" s="2" t="s">
        <v>40</v>
      </c>
      <c r="N3512" s="2" t="s">
        <v>2376</v>
      </c>
    </row>
    <row r="3513" spans="1:14">
      <c r="A3513" s="2">
        <v>3512</v>
      </c>
      <c r="B3513" s="3" t="s">
        <v>12141</v>
      </c>
      <c r="C3513" s="2" t="s">
        <v>12142</v>
      </c>
      <c r="D3513" s="2">
        <v>46</v>
      </c>
      <c r="E3513" s="2">
        <v>46</v>
      </c>
      <c r="F3513" s="2" t="s">
        <v>12143</v>
      </c>
      <c r="H3513" s="2" t="s">
        <v>17</v>
      </c>
      <c r="K3513" s="4">
        <v>8260</v>
      </c>
      <c r="L3513" s="4">
        <v>34521</v>
      </c>
      <c r="M3513" s="2" t="s">
        <v>66</v>
      </c>
      <c r="N3513" s="2" t="s">
        <v>4195</v>
      </c>
    </row>
    <row r="3514" spans="1:14">
      <c r="A3514" s="2">
        <v>3513</v>
      </c>
      <c r="B3514" s="3" t="s">
        <v>12144</v>
      </c>
      <c r="C3514" s="2" t="s">
        <v>12145</v>
      </c>
      <c r="D3514" s="2">
        <v>44</v>
      </c>
      <c r="E3514" s="2">
        <v>46</v>
      </c>
      <c r="F3514" s="2" t="s">
        <v>12146</v>
      </c>
      <c r="H3514" s="2" t="s">
        <v>17</v>
      </c>
      <c r="K3514" s="4">
        <v>9032</v>
      </c>
      <c r="L3514" s="4">
        <v>35785</v>
      </c>
      <c r="M3514" s="2" t="s">
        <v>66</v>
      </c>
      <c r="N3514" s="2" t="s">
        <v>3534</v>
      </c>
    </row>
    <row r="3515" spans="1:14">
      <c r="A3515" s="2">
        <v>3514</v>
      </c>
      <c r="B3515" s="3" t="s">
        <v>12147</v>
      </c>
      <c r="C3515" s="2" t="s">
        <v>12148</v>
      </c>
      <c r="D3515" s="2">
        <v>46</v>
      </c>
      <c r="E3515" s="2">
        <v>46</v>
      </c>
      <c r="F3515" s="2" t="s">
        <v>12149</v>
      </c>
      <c r="H3515" s="2" t="s">
        <v>17</v>
      </c>
      <c r="K3515" s="4">
        <v>8920</v>
      </c>
      <c r="L3515" s="4">
        <v>40183</v>
      </c>
      <c r="M3515" s="2" t="s">
        <v>47</v>
      </c>
    </row>
    <row r="3516" spans="1:14">
      <c r="A3516" s="2">
        <v>3515</v>
      </c>
      <c r="B3516" s="3" t="s">
        <v>12150</v>
      </c>
      <c r="C3516" s="2" t="s">
        <v>12151</v>
      </c>
      <c r="D3516" s="2">
        <v>43</v>
      </c>
      <c r="E3516" s="2">
        <v>46</v>
      </c>
      <c r="F3516" s="2" t="s">
        <v>12152</v>
      </c>
      <c r="H3516" s="2" t="s">
        <v>17</v>
      </c>
      <c r="K3516" s="4">
        <v>8007</v>
      </c>
      <c r="L3516" s="4">
        <v>37760</v>
      </c>
      <c r="M3516" s="2" t="s">
        <v>170</v>
      </c>
      <c r="N3516" s="2" t="s">
        <v>323</v>
      </c>
    </row>
    <row r="3517" spans="1:14">
      <c r="A3517" s="2">
        <v>3516</v>
      </c>
      <c r="B3517" s="3" t="s">
        <v>12153</v>
      </c>
      <c r="C3517" s="2" t="s">
        <v>12154</v>
      </c>
      <c r="D3517" s="2">
        <v>46</v>
      </c>
      <c r="E3517" s="2">
        <v>46</v>
      </c>
      <c r="F3517" s="2" t="s">
        <v>12155</v>
      </c>
      <c r="H3517" s="2" t="s">
        <v>17</v>
      </c>
      <c r="K3517" s="4">
        <v>7275</v>
      </c>
      <c r="L3517" s="4">
        <v>38800</v>
      </c>
      <c r="M3517" s="2" t="s">
        <v>66</v>
      </c>
      <c r="N3517" s="2" t="s">
        <v>1756</v>
      </c>
    </row>
    <row r="3518" spans="1:14">
      <c r="A3518" s="2">
        <v>3517</v>
      </c>
      <c r="B3518" s="3" t="s">
        <v>12156</v>
      </c>
      <c r="C3518" s="2" t="s">
        <v>12157</v>
      </c>
      <c r="D3518" s="2">
        <v>46</v>
      </c>
      <c r="E3518" s="2">
        <v>46</v>
      </c>
      <c r="F3518" s="2" t="s">
        <v>12158</v>
      </c>
      <c r="H3518" s="2" t="s">
        <v>17</v>
      </c>
      <c r="K3518" s="4">
        <v>11364</v>
      </c>
      <c r="M3518" s="2" t="s">
        <v>35</v>
      </c>
      <c r="N3518" s="2" t="s">
        <v>58</v>
      </c>
    </row>
    <row r="3519" spans="1:14">
      <c r="A3519" s="2">
        <v>3518</v>
      </c>
      <c r="B3519" s="3" t="s">
        <v>12159</v>
      </c>
      <c r="C3519" s="2" t="s">
        <v>12160</v>
      </c>
      <c r="D3519" s="2">
        <v>45</v>
      </c>
      <c r="E3519" s="2">
        <v>46</v>
      </c>
      <c r="F3519" s="2" t="s">
        <v>12161</v>
      </c>
      <c r="H3519" s="2" t="s">
        <v>17</v>
      </c>
      <c r="K3519" s="4">
        <v>11890</v>
      </c>
      <c r="L3519" s="4">
        <v>43578</v>
      </c>
      <c r="M3519" s="2" t="s">
        <v>76</v>
      </c>
      <c r="N3519" s="2" t="s">
        <v>77</v>
      </c>
    </row>
    <row r="3520" spans="1:14">
      <c r="A3520" s="2">
        <v>3519</v>
      </c>
      <c r="B3520" s="3" t="s">
        <v>12162</v>
      </c>
      <c r="C3520" s="2" t="s">
        <v>6113</v>
      </c>
      <c r="D3520" s="2">
        <v>45</v>
      </c>
      <c r="E3520" s="2">
        <v>46</v>
      </c>
      <c r="F3520" s="2" t="s">
        <v>12163</v>
      </c>
      <c r="H3520" s="2" t="s">
        <v>17</v>
      </c>
      <c r="K3520" s="4">
        <v>11234</v>
      </c>
      <c r="L3520" s="4">
        <v>40706</v>
      </c>
      <c r="M3520" s="2" t="s">
        <v>66</v>
      </c>
      <c r="N3520" s="2" t="s">
        <v>3043</v>
      </c>
    </row>
    <row r="3521" spans="1:14">
      <c r="A3521" s="2">
        <v>3520</v>
      </c>
      <c r="B3521" s="3" t="s">
        <v>12164</v>
      </c>
      <c r="C3521" s="2" t="s">
        <v>6897</v>
      </c>
      <c r="D3521" s="2">
        <v>43</v>
      </c>
      <c r="E3521" s="2">
        <v>46</v>
      </c>
      <c r="F3521" s="2" t="s">
        <v>12165</v>
      </c>
      <c r="H3521" s="2" t="s">
        <v>17</v>
      </c>
      <c r="K3521" s="4">
        <v>12475</v>
      </c>
      <c r="L3521" s="4">
        <v>39396</v>
      </c>
      <c r="M3521" s="2" t="s">
        <v>192</v>
      </c>
      <c r="N3521" s="2" t="s">
        <v>193</v>
      </c>
    </row>
    <row r="3522" spans="1:14">
      <c r="A3522" s="2">
        <v>3521</v>
      </c>
      <c r="B3522" s="3" t="s">
        <v>12166</v>
      </c>
      <c r="C3522" s="2" t="s">
        <v>12167</v>
      </c>
      <c r="D3522" s="2">
        <v>43</v>
      </c>
      <c r="E3522" s="2">
        <v>46</v>
      </c>
      <c r="F3522" s="2" t="s">
        <v>12168</v>
      </c>
      <c r="H3522" s="2" t="s">
        <v>17</v>
      </c>
      <c r="K3522" s="4">
        <v>7614</v>
      </c>
      <c r="L3522" s="4">
        <v>29753</v>
      </c>
      <c r="M3522" s="2" t="s">
        <v>85</v>
      </c>
      <c r="N3522" s="2" t="s">
        <v>1392</v>
      </c>
    </row>
    <row r="3523" spans="1:14">
      <c r="A3523" s="2">
        <v>3522</v>
      </c>
      <c r="B3523" s="3" t="s">
        <v>12169</v>
      </c>
      <c r="C3523" s="2" t="s">
        <v>12170</v>
      </c>
      <c r="D3523" s="2">
        <v>46</v>
      </c>
      <c r="E3523" s="2">
        <v>46</v>
      </c>
      <c r="F3523" s="2" t="s">
        <v>12171</v>
      </c>
      <c r="H3523" s="2" t="s">
        <v>17</v>
      </c>
      <c r="K3523" s="4">
        <v>18017</v>
      </c>
      <c r="M3523" s="2" t="s">
        <v>47</v>
      </c>
      <c r="N3523" s="2" t="s">
        <v>9881</v>
      </c>
    </row>
    <row r="3524" spans="1:14">
      <c r="A3524" s="2">
        <v>3523</v>
      </c>
      <c r="B3524" s="3" t="s">
        <v>12172</v>
      </c>
      <c r="C3524" s="2" t="s">
        <v>12173</v>
      </c>
      <c r="D3524" s="2">
        <v>44</v>
      </c>
      <c r="E3524" s="2">
        <v>46</v>
      </c>
      <c r="F3524" s="2" t="s">
        <v>12174</v>
      </c>
      <c r="H3524" s="2" t="s">
        <v>17</v>
      </c>
      <c r="K3524" s="4">
        <v>4808</v>
      </c>
      <c r="L3524" s="4">
        <v>38440</v>
      </c>
      <c r="M3524" s="2" t="s">
        <v>170</v>
      </c>
      <c r="N3524" s="2" t="s">
        <v>323</v>
      </c>
    </row>
    <row r="3525" spans="1:14">
      <c r="A3525" s="2">
        <v>3524</v>
      </c>
      <c r="B3525" s="3" t="s">
        <v>12175</v>
      </c>
      <c r="C3525" s="2" t="s">
        <v>12176</v>
      </c>
      <c r="D3525" s="2">
        <v>46</v>
      </c>
      <c r="E3525" s="2">
        <v>46</v>
      </c>
      <c r="F3525" s="2" t="s">
        <v>12177</v>
      </c>
      <c r="H3525" s="2" t="s">
        <v>17</v>
      </c>
      <c r="K3525" s="4">
        <v>12625</v>
      </c>
      <c r="L3525" s="4">
        <v>43213</v>
      </c>
      <c r="M3525" s="2" t="s">
        <v>53</v>
      </c>
      <c r="N3525" s="2" t="s">
        <v>9013</v>
      </c>
    </row>
    <row r="3526" spans="1:14">
      <c r="A3526" s="2">
        <v>3525</v>
      </c>
      <c r="B3526" s="3" t="s">
        <v>12178</v>
      </c>
      <c r="C3526" s="2" t="s">
        <v>12179</v>
      </c>
      <c r="D3526" s="2">
        <v>46</v>
      </c>
      <c r="E3526" s="2">
        <v>46</v>
      </c>
      <c r="F3526" s="2" t="s">
        <v>12180</v>
      </c>
      <c r="H3526" s="2" t="s">
        <v>17</v>
      </c>
      <c r="K3526" s="4">
        <v>10395</v>
      </c>
      <c r="M3526" s="2" t="s">
        <v>35</v>
      </c>
      <c r="N3526" s="2" t="s">
        <v>12181</v>
      </c>
    </row>
    <row r="3527" spans="1:14">
      <c r="A3527" s="2">
        <v>3526</v>
      </c>
      <c r="B3527" s="3" t="s">
        <v>12182</v>
      </c>
      <c r="C3527" s="2" t="s">
        <v>12183</v>
      </c>
      <c r="D3527" s="2">
        <v>44</v>
      </c>
      <c r="E3527" s="2">
        <v>46</v>
      </c>
      <c r="F3527" s="2" t="s">
        <v>12184</v>
      </c>
      <c r="H3527" s="2" t="s">
        <v>17</v>
      </c>
      <c r="K3527" s="4">
        <v>11344</v>
      </c>
      <c r="M3527" s="2" t="s">
        <v>66</v>
      </c>
      <c r="N3527" s="2" t="s">
        <v>730</v>
      </c>
    </row>
    <row r="3528" spans="1:14">
      <c r="A3528" s="2">
        <v>3527</v>
      </c>
      <c r="B3528" s="3" t="s">
        <v>12185</v>
      </c>
      <c r="C3528" s="2" t="s">
        <v>12186</v>
      </c>
      <c r="D3528" s="2">
        <v>43</v>
      </c>
      <c r="E3528" s="2">
        <v>46</v>
      </c>
      <c r="F3528" s="2" t="s">
        <v>12187</v>
      </c>
      <c r="H3528" s="2" t="s">
        <v>17</v>
      </c>
      <c r="K3528" s="4">
        <v>12133</v>
      </c>
      <c r="L3528" s="4">
        <v>44277</v>
      </c>
      <c r="M3528" s="2" t="s">
        <v>185</v>
      </c>
      <c r="N3528" s="2" t="s">
        <v>1139</v>
      </c>
    </row>
    <row r="3529" spans="1:14">
      <c r="A3529" s="2">
        <v>3528</v>
      </c>
      <c r="B3529" s="3" t="s">
        <v>12188</v>
      </c>
      <c r="C3529" s="2" t="s">
        <v>12189</v>
      </c>
      <c r="D3529" s="2">
        <v>45</v>
      </c>
      <c r="E3529" s="2">
        <v>46</v>
      </c>
      <c r="F3529" s="2" t="s">
        <v>12190</v>
      </c>
      <c r="H3529" s="2" t="s">
        <v>17</v>
      </c>
      <c r="K3529" s="4">
        <v>12178</v>
      </c>
      <c r="L3529" s="4">
        <v>45556</v>
      </c>
      <c r="M3529" s="2" t="s">
        <v>35</v>
      </c>
      <c r="N3529" s="2" t="s">
        <v>703</v>
      </c>
    </row>
    <row r="3530" spans="1:14">
      <c r="A3530" s="2">
        <v>3529</v>
      </c>
      <c r="B3530" s="3" t="s">
        <v>12191</v>
      </c>
      <c r="C3530" s="2" t="s">
        <v>12192</v>
      </c>
      <c r="D3530" s="2">
        <v>41</v>
      </c>
      <c r="E3530" s="2">
        <v>46</v>
      </c>
      <c r="F3530" s="2" t="s">
        <v>12193</v>
      </c>
      <c r="H3530" s="2" t="s">
        <v>17</v>
      </c>
      <c r="K3530" s="4">
        <v>7153</v>
      </c>
      <c r="L3530" s="4">
        <v>39249</v>
      </c>
      <c r="M3530" s="2" t="s">
        <v>198</v>
      </c>
      <c r="N3530" s="2" t="s">
        <v>3671</v>
      </c>
    </row>
    <row r="3531" spans="1:14">
      <c r="A3531" s="2">
        <v>3530</v>
      </c>
      <c r="B3531" s="3" t="s">
        <v>12194</v>
      </c>
      <c r="C3531" s="2" t="s">
        <v>12195</v>
      </c>
      <c r="D3531" s="2">
        <v>46</v>
      </c>
      <c r="E3531" s="2">
        <v>46</v>
      </c>
      <c r="F3531" s="2" t="s">
        <v>12196</v>
      </c>
      <c r="H3531" s="2" t="s">
        <v>17</v>
      </c>
      <c r="K3531" s="4">
        <v>9171</v>
      </c>
      <c r="L3531" s="4">
        <v>40712</v>
      </c>
      <c r="M3531" s="2" t="s">
        <v>192</v>
      </c>
      <c r="N3531" s="2" t="s">
        <v>1736</v>
      </c>
    </row>
    <row r="3532" spans="1:14">
      <c r="A3532" s="2">
        <v>3531</v>
      </c>
      <c r="B3532" s="3" t="s">
        <v>12197</v>
      </c>
      <c r="C3532" s="2" t="s">
        <v>12198</v>
      </c>
      <c r="D3532" s="2">
        <v>45</v>
      </c>
      <c r="E3532" s="2">
        <v>46</v>
      </c>
      <c r="F3532" s="2" t="s">
        <v>12199</v>
      </c>
      <c r="H3532" s="2" t="s">
        <v>17</v>
      </c>
      <c r="K3532" s="4">
        <v>15156</v>
      </c>
      <c r="L3532" s="4">
        <v>43460</v>
      </c>
      <c r="M3532" s="2" t="s">
        <v>192</v>
      </c>
      <c r="N3532" s="2" t="s">
        <v>7313</v>
      </c>
    </row>
    <row r="3533" spans="1:14">
      <c r="A3533" s="2">
        <v>3532</v>
      </c>
      <c r="B3533" s="3" t="s">
        <v>12200</v>
      </c>
      <c r="C3533" s="2" t="s">
        <v>12201</v>
      </c>
      <c r="D3533" s="2">
        <v>44</v>
      </c>
      <c r="E3533" s="2">
        <v>46</v>
      </c>
      <c r="F3533" s="2" t="s">
        <v>12202</v>
      </c>
      <c r="H3533" s="2" t="s">
        <v>17</v>
      </c>
      <c r="K3533" s="4">
        <v>12543</v>
      </c>
      <c r="L3533" s="4">
        <v>37405</v>
      </c>
      <c r="M3533" s="2" t="s">
        <v>66</v>
      </c>
      <c r="N3533" s="2" t="s">
        <v>3640</v>
      </c>
    </row>
    <row r="3534" spans="1:14">
      <c r="A3534" s="2">
        <v>3533</v>
      </c>
      <c r="B3534" s="3" t="s">
        <v>12203</v>
      </c>
      <c r="C3534" s="2" t="s">
        <v>12204</v>
      </c>
      <c r="D3534" s="2">
        <v>46</v>
      </c>
      <c r="E3534" s="2">
        <v>46</v>
      </c>
      <c r="F3534" s="2" t="s">
        <v>12205</v>
      </c>
      <c r="H3534" s="2" t="s">
        <v>17</v>
      </c>
      <c r="K3534" s="4">
        <v>14368</v>
      </c>
      <c r="M3534" s="2" t="s">
        <v>53</v>
      </c>
      <c r="N3534" s="2" t="s">
        <v>12206</v>
      </c>
    </row>
    <row r="3535" spans="1:14">
      <c r="A3535" s="2">
        <v>3534</v>
      </c>
      <c r="B3535" s="3" t="s">
        <v>12207</v>
      </c>
      <c r="C3535" s="2" t="s">
        <v>12208</v>
      </c>
      <c r="D3535" s="2">
        <v>46</v>
      </c>
      <c r="E3535" s="2">
        <v>46</v>
      </c>
      <c r="F3535" s="2" t="s">
        <v>12209</v>
      </c>
      <c r="H3535" s="2" t="s">
        <v>17</v>
      </c>
      <c r="K3535" s="4">
        <v>20576</v>
      </c>
      <c r="L3535" s="4">
        <v>30246</v>
      </c>
      <c r="M3535" s="2" t="s">
        <v>154</v>
      </c>
      <c r="N3535" s="2" t="s">
        <v>2470</v>
      </c>
    </row>
    <row r="3536" spans="1:14">
      <c r="A3536" s="2">
        <v>3535</v>
      </c>
      <c r="B3536" s="3" t="s">
        <v>12210</v>
      </c>
      <c r="C3536" s="2" t="s">
        <v>12211</v>
      </c>
      <c r="D3536" s="2">
        <v>45</v>
      </c>
      <c r="E3536" s="2">
        <v>46</v>
      </c>
      <c r="F3536" s="2" t="s">
        <v>12212</v>
      </c>
      <c r="H3536" s="2" t="s">
        <v>17</v>
      </c>
      <c r="K3536" s="4">
        <v>7740</v>
      </c>
      <c r="L3536" s="4">
        <v>33353</v>
      </c>
      <c r="M3536" s="2" t="s">
        <v>170</v>
      </c>
      <c r="N3536" s="2" t="s">
        <v>323</v>
      </c>
    </row>
    <row r="3537" spans="1:14">
      <c r="A3537" s="2">
        <v>3536</v>
      </c>
      <c r="B3537" s="3" t="s">
        <v>12213</v>
      </c>
      <c r="C3537" s="2" t="s">
        <v>12214</v>
      </c>
      <c r="D3537" s="2">
        <v>43</v>
      </c>
      <c r="E3537" s="2">
        <v>46</v>
      </c>
      <c r="F3537" s="2" t="s">
        <v>12215</v>
      </c>
      <c r="H3537" s="2" t="s">
        <v>17</v>
      </c>
      <c r="K3537" s="4">
        <v>11398</v>
      </c>
      <c r="L3537" s="4">
        <v>42527</v>
      </c>
      <c r="M3537" s="2" t="s">
        <v>35</v>
      </c>
      <c r="N3537" s="2" t="s">
        <v>5940</v>
      </c>
    </row>
    <row r="3538" spans="1:14">
      <c r="A3538" s="2">
        <v>3537</v>
      </c>
      <c r="B3538" s="3" t="s">
        <v>12216</v>
      </c>
      <c r="C3538" s="2" t="s">
        <v>12217</v>
      </c>
      <c r="D3538" s="2">
        <v>45</v>
      </c>
      <c r="E3538" s="2">
        <v>46</v>
      </c>
      <c r="F3538" s="2" t="s">
        <v>12218</v>
      </c>
      <c r="H3538" s="2" t="s">
        <v>17</v>
      </c>
      <c r="K3538" s="4">
        <v>12325</v>
      </c>
      <c r="L3538" s="4" t="s">
        <v>12219</v>
      </c>
      <c r="M3538" s="2" t="s">
        <v>53</v>
      </c>
      <c r="N3538" s="2" t="s">
        <v>9382</v>
      </c>
    </row>
    <row r="3539" spans="1:14">
      <c r="A3539" s="2">
        <v>3538</v>
      </c>
      <c r="B3539" s="3" t="s">
        <v>12220</v>
      </c>
      <c r="C3539" s="2" t="s">
        <v>12221</v>
      </c>
      <c r="D3539" s="2">
        <v>45</v>
      </c>
      <c r="E3539" s="2">
        <v>46</v>
      </c>
      <c r="F3539" s="2" t="s">
        <v>12222</v>
      </c>
      <c r="H3539" s="2" t="s">
        <v>17</v>
      </c>
      <c r="K3539" s="4">
        <v>12350</v>
      </c>
      <c r="L3539" s="4">
        <v>30225</v>
      </c>
      <c r="M3539" s="2" t="s">
        <v>40</v>
      </c>
      <c r="N3539" s="2" t="s">
        <v>9512</v>
      </c>
    </row>
    <row r="3540" spans="1:14">
      <c r="A3540" s="2">
        <v>3539</v>
      </c>
      <c r="B3540" s="3" t="s">
        <v>12223</v>
      </c>
      <c r="C3540" s="2" t="s">
        <v>12224</v>
      </c>
      <c r="D3540" s="2">
        <v>41</v>
      </c>
      <c r="E3540" s="2">
        <v>46</v>
      </c>
      <c r="F3540" s="2" t="s">
        <v>12225</v>
      </c>
      <c r="H3540" s="2" t="s">
        <v>17</v>
      </c>
      <c r="K3540" s="4">
        <v>6519</v>
      </c>
      <c r="L3540" s="4">
        <v>34647</v>
      </c>
      <c r="M3540" s="2" t="s">
        <v>47</v>
      </c>
      <c r="N3540" s="2" t="s">
        <v>12226</v>
      </c>
    </row>
    <row r="3541" spans="1:14">
      <c r="A3541" s="2">
        <v>3540</v>
      </c>
      <c r="B3541" s="3" t="s">
        <v>12227</v>
      </c>
      <c r="C3541" s="2" t="s">
        <v>12228</v>
      </c>
      <c r="D3541" s="2">
        <v>42</v>
      </c>
      <c r="E3541" s="2">
        <v>46</v>
      </c>
      <c r="F3541" s="2" t="s">
        <v>12229</v>
      </c>
      <c r="H3541" s="2" t="s">
        <v>17</v>
      </c>
      <c r="K3541" s="4">
        <v>5180</v>
      </c>
      <c r="L3541" s="4">
        <v>34268</v>
      </c>
      <c r="M3541" s="2" t="s">
        <v>66</v>
      </c>
      <c r="N3541" s="2" t="s">
        <v>12230</v>
      </c>
    </row>
    <row r="3542" spans="1:14">
      <c r="A3542" s="2">
        <v>3541</v>
      </c>
      <c r="B3542" s="3" t="s">
        <v>12231</v>
      </c>
      <c r="C3542" s="2" t="s">
        <v>12232</v>
      </c>
      <c r="D3542" s="2">
        <v>45</v>
      </c>
      <c r="E3542" s="2">
        <v>46</v>
      </c>
      <c r="F3542" s="2" t="s">
        <v>12233</v>
      </c>
      <c r="H3542" s="2" t="s">
        <v>17</v>
      </c>
      <c r="K3542" s="4">
        <v>10064</v>
      </c>
      <c r="L3542" s="4">
        <v>43564</v>
      </c>
      <c r="M3542" s="2" t="s">
        <v>40</v>
      </c>
      <c r="N3542" s="2" t="s">
        <v>12234</v>
      </c>
    </row>
    <row r="3543" spans="1:14">
      <c r="A3543" s="2">
        <v>3542</v>
      </c>
      <c r="B3543" s="3" t="s">
        <v>12235</v>
      </c>
      <c r="C3543" s="2" t="s">
        <v>12236</v>
      </c>
      <c r="D3543" s="2">
        <v>46</v>
      </c>
      <c r="E3543" s="2">
        <v>46</v>
      </c>
      <c r="F3543" s="2" t="s">
        <v>12237</v>
      </c>
      <c r="H3543" s="2" t="s">
        <v>17</v>
      </c>
      <c r="K3543" s="4">
        <v>3523</v>
      </c>
      <c r="L3543" s="4">
        <v>30982</v>
      </c>
      <c r="M3543" s="2" t="s">
        <v>40</v>
      </c>
      <c r="N3543" s="2" t="s">
        <v>12238</v>
      </c>
    </row>
    <row r="3544" spans="1:14">
      <c r="A3544" s="2">
        <v>3543</v>
      </c>
      <c r="B3544" s="3" t="s">
        <v>12239</v>
      </c>
      <c r="C3544" s="2" t="s">
        <v>12240</v>
      </c>
      <c r="D3544" s="2">
        <v>45</v>
      </c>
      <c r="E3544" s="2">
        <v>46</v>
      </c>
      <c r="F3544" s="2" t="s">
        <v>12241</v>
      </c>
      <c r="H3544" s="2" t="s">
        <v>17</v>
      </c>
      <c r="K3544" s="4">
        <v>14248</v>
      </c>
      <c r="L3544" s="4">
        <v>44388</v>
      </c>
      <c r="M3544" s="2" t="s">
        <v>170</v>
      </c>
      <c r="N3544" s="2" t="s">
        <v>309</v>
      </c>
    </row>
    <row r="3545" spans="1:14">
      <c r="A3545" s="2">
        <v>3544</v>
      </c>
      <c r="B3545" s="3" t="s">
        <v>12242</v>
      </c>
      <c r="C3545" s="2" t="s">
        <v>12243</v>
      </c>
      <c r="D3545" s="2">
        <v>45</v>
      </c>
      <c r="E3545" s="2">
        <v>46</v>
      </c>
      <c r="F3545" s="2" t="s">
        <v>12244</v>
      </c>
      <c r="H3545" s="2" t="s">
        <v>17</v>
      </c>
      <c r="K3545" s="4">
        <v>13232</v>
      </c>
      <c r="L3545" s="4">
        <v>45654</v>
      </c>
      <c r="M3545" s="2" t="s">
        <v>154</v>
      </c>
      <c r="N3545" s="2" t="s">
        <v>8836</v>
      </c>
    </row>
    <row r="3546" spans="1:14">
      <c r="A3546" s="2">
        <v>3545</v>
      </c>
      <c r="B3546" s="3" t="s">
        <v>12245</v>
      </c>
      <c r="C3546" s="2" t="s">
        <v>12246</v>
      </c>
      <c r="D3546" s="2">
        <v>46</v>
      </c>
      <c r="E3546" s="2">
        <v>46</v>
      </c>
      <c r="F3546" s="2" t="s">
        <v>12247</v>
      </c>
      <c r="H3546" s="2" t="s">
        <v>17</v>
      </c>
      <c r="K3546" s="4">
        <v>12490</v>
      </c>
      <c r="L3546" s="4">
        <v>41963</v>
      </c>
      <c r="M3546" s="2" t="s">
        <v>247</v>
      </c>
      <c r="N3546" s="2" t="s">
        <v>562</v>
      </c>
    </row>
    <row r="3547" spans="1:14">
      <c r="A3547" s="2">
        <v>3546</v>
      </c>
      <c r="B3547" s="3" t="s">
        <v>12248</v>
      </c>
      <c r="C3547" s="2" t="s">
        <v>12249</v>
      </c>
      <c r="D3547" s="2">
        <v>42</v>
      </c>
      <c r="E3547" s="2">
        <v>46</v>
      </c>
      <c r="F3547" s="2" t="s">
        <v>12250</v>
      </c>
      <c r="H3547" s="2" t="s">
        <v>17</v>
      </c>
      <c r="K3547" s="4">
        <v>7707</v>
      </c>
      <c r="L3547" s="4">
        <v>32334</v>
      </c>
      <c r="M3547" s="2" t="s">
        <v>66</v>
      </c>
      <c r="N3547" s="2" t="s">
        <v>12251</v>
      </c>
    </row>
    <row r="3548" spans="1:14">
      <c r="A3548" s="2">
        <v>3547</v>
      </c>
      <c r="B3548" s="3" t="s">
        <v>12252</v>
      </c>
      <c r="C3548" s="2" t="s">
        <v>12253</v>
      </c>
      <c r="D3548" s="2">
        <v>46</v>
      </c>
      <c r="E3548" s="2">
        <v>46</v>
      </c>
      <c r="F3548" s="2" t="s">
        <v>12254</v>
      </c>
      <c r="H3548" s="2" t="s">
        <v>17</v>
      </c>
      <c r="K3548" s="4">
        <v>12412</v>
      </c>
      <c r="L3548" s="4">
        <v>29299</v>
      </c>
      <c r="M3548" s="2" t="s">
        <v>53</v>
      </c>
      <c r="N3548" s="2" t="s">
        <v>1697</v>
      </c>
    </row>
    <row r="3549" spans="1:14">
      <c r="A3549" s="2">
        <v>3548</v>
      </c>
      <c r="B3549" s="3" t="s">
        <v>12255</v>
      </c>
      <c r="C3549" s="2" t="s">
        <v>12256</v>
      </c>
      <c r="D3549" s="2">
        <v>44</v>
      </c>
      <c r="E3549" s="2">
        <v>46</v>
      </c>
      <c r="F3549" s="2" t="s">
        <v>12257</v>
      </c>
      <c r="H3549" s="2" t="s">
        <v>17</v>
      </c>
      <c r="K3549" s="4">
        <v>5476</v>
      </c>
      <c r="L3549" s="4">
        <v>38638</v>
      </c>
      <c r="M3549" s="2" t="s">
        <v>76</v>
      </c>
      <c r="N3549" s="2" t="s">
        <v>8624</v>
      </c>
    </row>
    <row r="3550" spans="1:14">
      <c r="A3550" s="2">
        <v>3549</v>
      </c>
      <c r="B3550" s="3" t="s">
        <v>12258</v>
      </c>
      <c r="C3550" s="2" t="s">
        <v>12259</v>
      </c>
      <c r="D3550" s="2">
        <v>46</v>
      </c>
      <c r="E3550" s="2">
        <v>46</v>
      </c>
      <c r="F3550" s="2" t="s">
        <v>12260</v>
      </c>
      <c r="H3550" s="2" t="s">
        <v>17</v>
      </c>
      <c r="K3550" s="4">
        <v>10229</v>
      </c>
      <c r="L3550" s="4">
        <v>40360</v>
      </c>
      <c r="M3550" s="2" t="s">
        <v>47</v>
      </c>
      <c r="N3550" s="2" t="s">
        <v>417</v>
      </c>
    </row>
    <row r="3551" spans="1:14">
      <c r="A3551" s="2">
        <v>3550</v>
      </c>
      <c r="B3551" s="3" t="s">
        <v>12261</v>
      </c>
      <c r="C3551" s="2" t="s">
        <v>12262</v>
      </c>
      <c r="D3551" s="2">
        <v>44</v>
      </c>
      <c r="E3551" s="2">
        <v>46</v>
      </c>
      <c r="F3551" s="2" t="s">
        <v>12263</v>
      </c>
      <c r="H3551" s="2" t="s">
        <v>17</v>
      </c>
      <c r="K3551" s="4">
        <v>12721</v>
      </c>
      <c r="M3551" s="2" t="s">
        <v>53</v>
      </c>
      <c r="N3551" s="2" t="s">
        <v>3933</v>
      </c>
    </row>
    <row r="3552" spans="1:14">
      <c r="A3552" s="2">
        <v>3551</v>
      </c>
      <c r="B3552" s="3" t="s">
        <v>12264</v>
      </c>
      <c r="C3552" s="2" t="s">
        <v>4161</v>
      </c>
      <c r="D3552" s="2">
        <v>44</v>
      </c>
      <c r="E3552" s="2">
        <v>46</v>
      </c>
      <c r="F3552" s="2" t="s">
        <v>12265</v>
      </c>
      <c r="H3552" s="2" t="s">
        <v>17</v>
      </c>
      <c r="K3552" s="4">
        <v>14351</v>
      </c>
      <c r="M3552" s="2" t="s">
        <v>47</v>
      </c>
      <c r="N3552" s="2" t="s">
        <v>48</v>
      </c>
    </row>
    <row r="3553" spans="1:14">
      <c r="A3553" s="2">
        <v>3552</v>
      </c>
      <c r="B3553" s="3" t="s">
        <v>12266</v>
      </c>
      <c r="C3553" s="2" t="s">
        <v>12267</v>
      </c>
      <c r="D3553" s="2">
        <v>44</v>
      </c>
      <c r="E3553" s="2">
        <v>46</v>
      </c>
      <c r="F3553" s="2" t="s">
        <v>12268</v>
      </c>
      <c r="H3553" s="2" t="s">
        <v>17</v>
      </c>
      <c r="K3553" s="4">
        <v>10699</v>
      </c>
      <c r="L3553" s="4">
        <v>40988</v>
      </c>
      <c r="M3553" s="2" t="s">
        <v>341</v>
      </c>
      <c r="N3553" s="2" t="s">
        <v>2252</v>
      </c>
    </row>
    <row r="3554" spans="1:14">
      <c r="A3554" s="2">
        <v>3553</v>
      </c>
      <c r="B3554" s="3" t="s">
        <v>12269</v>
      </c>
      <c r="C3554" s="2" t="s">
        <v>12270</v>
      </c>
      <c r="D3554" s="2">
        <v>45</v>
      </c>
      <c r="E3554" s="2">
        <v>46</v>
      </c>
      <c r="F3554" s="2" t="s">
        <v>12271</v>
      </c>
      <c r="H3554" s="2" t="s">
        <v>17</v>
      </c>
      <c r="K3554" s="4">
        <v>3742</v>
      </c>
      <c r="L3554" s="4">
        <v>34951</v>
      </c>
      <c r="M3554" s="2" t="s">
        <v>140</v>
      </c>
      <c r="N3554" s="2" t="s">
        <v>294</v>
      </c>
    </row>
    <row r="3555" spans="1:14">
      <c r="A3555" s="2">
        <v>3554</v>
      </c>
      <c r="B3555" s="3" t="s">
        <v>12272</v>
      </c>
      <c r="C3555" s="2" t="s">
        <v>12273</v>
      </c>
      <c r="D3555" s="2">
        <v>45</v>
      </c>
      <c r="E3555" s="2">
        <v>46</v>
      </c>
      <c r="F3555" s="2" t="s">
        <v>12274</v>
      </c>
      <c r="H3555" s="2" t="s">
        <v>17</v>
      </c>
      <c r="K3555" s="4">
        <v>10721</v>
      </c>
      <c r="M3555" s="2" t="s">
        <v>40</v>
      </c>
      <c r="N3555" s="2" t="s">
        <v>2573</v>
      </c>
    </row>
    <row r="3556" spans="1:14">
      <c r="A3556" s="2">
        <v>3555</v>
      </c>
      <c r="B3556" s="3" t="s">
        <v>12275</v>
      </c>
      <c r="C3556" s="2" t="s">
        <v>12276</v>
      </c>
      <c r="D3556" s="2">
        <v>44</v>
      </c>
      <c r="E3556" s="2">
        <v>46</v>
      </c>
      <c r="F3556" s="2" t="s">
        <v>12277</v>
      </c>
      <c r="H3556" s="2" t="s">
        <v>17</v>
      </c>
      <c r="K3556" s="4">
        <v>12597</v>
      </c>
      <c r="L3556" s="4">
        <v>43692</v>
      </c>
      <c r="M3556" s="2" t="s">
        <v>423</v>
      </c>
      <c r="N3556" s="2" t="s">
        <v>7880</v>
      </c>
    </row>
    <row r="3557" spans="1:14">
      <c r="A3557" s="2">
        <v>3556</v>
      </c>
      <c r="B3557" s="3" t="s">
        <v>12278</v>
      </c>
      <c r="C3557" s="2" t="s">
        <v>12279</v>
      </c>
      <c r="D3557" s="2">
        <v>40</v>
      </c>
      <c r="E3557" s="2">
        <v>46</v>
      </c>
      <c r="F3557" s="2" t="s">
        <v>12280</v>
      </c>
      <c r="H3557" s="2" t="s">
        <v>17</v>
      </c>
      <c r="K3557" s="4">
        <v>6309</v>
      </c>
      <c r="L3557" s="4">
        <v>38917</v>
      </c>
      <c r="M3557" s="2" t="s">
        <v>164</v>
      </c>
      <c r="N3557" s="2" t="s">
        <v>165</v>
      </c>
    </row>
    <row r="3558" spans="1:14">
      <c r="A3558" s="2">
        <v>3557</v>
      </c>
      <c r="B3558" s="3" t="s">
        <v>12281</v>
      </c>
      <c r="C3558" s="2" t="s">
        <v>12282</v>
      </c>
      <c r="D3558" s="2">
        <v>44</v>
      </c>
      <c r="E3558" s="2">
        <v>46</v>
      </c>
      <c r="F3558" s="2" t="s">
        <v>12283</v>
      </c>
      <c r="H3558" s="2" t="s">
        <v>17</v>
      </c>
      <c r="K3558" s="4">
        <v>13179</v>
      </c>
      <c r="L3558" s="4">
        <v>29659</v>
      </c>
      <c r="M3558" s="2" t="s">
        <v>198</v>
      </c>
      <c r="N3558" s="2" t="s">
        <v>12284</v>
      </c>
    </row>
    <row r="3559" spans="1:14">
      <c r="A3559" s="2">
        <v>3558</v>
      </c>
      <c r="B3559" s="3" t="s">
        <v>12285</v>
      </c>
      <c r="C3559" s="2" t="s">
        <v>12286</v>
      </c>
      <c r="D3559" s="2">
        <v>45</v>
      </c>
      <c r="E3559" s="2">
        <v>46</v>
      </c>
      <c r="F3559" s="2" t="s">
        <v>12287</v>
      </c>
      <c r="H3559" s="2" t="s">
        <v>17</v>
      </c>
      <c r="K3559" s="4">
        <v>17871</v>
      </c>
      <c r="L3559" s="4">
        <v>39178</v>
      </c>
      <c r="M3559" s="2" t="s">
        <v>198</v>
      </c>
      <c r="N3559" s="2" t="s">
        <v>199</v>
      </c>
    </row>
    <row r="3560" spans="1:14">
      <c r="A3560" s="2">
        <v>3559</v>
      </c>
      <c r="B3560" s="3" t="s">
        <v>12288</v>
      </c>
      <c r="C3560" s="2" t="s">
        <v>12289</v>
      </c>
      <c r="D3560" s="2">
        <v>43</v>
      </c>
      <c r="E3560" s="2">
        <v>46</v>
      </c>
      <c r="F3560" s="2" t="s">
        <v>12290</v>
      </c>
      <c r="H3560" s="2" t="s">
        <v>17</v>
      </c>
      <c r="K3560" s="4">
        <v>9286</v>
      </c>
      <c r="L3560" s="4">
        <v>42053</v>
      </c>
      <c r="M3560" s="2" t="s">
        <v>30</v>
      </c>
      <c r="N3560" s="2" t="s">
        <v>31</v>
      </c>
    </row>
    <row r="3561" spans="1:14">
      <c r="A3561" s="2">
        <v>3560</v>
      </c>
      <c r="B3561" s="3" t="s">
        <v>12291</v>
      </c>
      <c r="C3561" s="2" t="s">
        <v>12292</v>
      </c>
      <c r="D3561" s="2">
        <v>45</v>
      </c>
      <c r="E3561" s="2">
        <v>46</v>
      </c>
      <c r="F3561" s="2" t="s">
        <v>12293</v>
      </c>
      <c r="H3561" s="2" t="s">
        <v>17</v>
      </c>
      <c r="K3561" s="4">
        <v>12056</v>
      </c>
      <c r="M3561" s="2" t="s">
        <v>35</v>
      </c>
      <c r="N3561" s="2" t="s">
        <v>1776</v>
      </c>
    </row>
    <row r="3562" spans="1:14">
      <c r="A3562" s="2">
        <v>3561</v>
      </c>
      <c r="B3562" s="3" t="s">
        <v>12294</v>
      </c>
      <c r="C3562" s="2" t="s">
        <v>12295</v>
      </c>
      <c r="D3562" s="2">
        <v>46</v>
      </c>
      <c r="E3562" s="2">
        <v>46</v>
      </c>
      <c r="F3562" s="2" t="s">
        <v>12296</v>
      </c>
      <c r="H3562" s="2" t="s">
        <v>17</v>
      </c>
      <c r="K3562" s="4">
        <v>10410</v>
      </c>
      <c r="L3562" s="4">
        <v>44669</v>
      </c>
      <c r="M3562" s="2" t="s">
        <v>140</v>
      </c>
      <c r="N3562" s="2" t="s">
        <v>1422</v>
      </c>
    </row>
    <row r="3563" spans="1:14">
      <c r="A3563" s="2">
        <v>3562</v>
      </c>
      <c r="B3563" s="3" t="s">
        <v>12297</v>
      </c>
      <c r="C3563" s="2" t="s">
        <v>12298</v>
      </c>
      <c r="D3563" s="2">
        <v>46</v>
      </c>
      <c r="E3563" s="2">
        <v>46</v>
      </c>
      <c r="F3563" s="2" t="s">
        <v>12299</v>
      </c>
      <c r="H3563" s="2" t="s">
        <v>17</v>
      </c>
      <c r="K3563" s="4">
        <v>11165</v>
      </c>
      <c r="M3563" s="2" t="s">
        <v>170</v>
      </c>
      <c r="N3563" s="2" t="s">
        <v>3452</v>
      </c>
    </row>
    <row r="3564" spans="1:14">
      <c r="A3564" s="2">
        <v>3563</v>
      </c>
      <c r="B3564" s="3" t="s">
        <v>12300</v>
      </c>
      <c r="C3564" s="2" t="s">
        <v>12301</v>
      </c>
      <c r="D3564" s="2">
        <v>45</v>
      </c>
      <c r="E3564" s="2">
        <v>46</v>
      </c>
      <c r="F3564" s="2" t="s">
        <v>12302</v>
      </c>
      <c r="H3564" s="2" t="s">
        <v>17</v>
      </c>
      <c r="K3564" s="4">
        <v>15403</v>
      </c>
      <c r="M3564" s="2" t="s">
        <v>170</v>
      </c>
      <c r="N3564" s="2" t="s">
        <v>323</v>
      </c>
    </row>
    <row r="3565" spans="1:14">
      <c r="A3565" s="2">
        <v>3564</v>
      </c>
      <c r="B3565" s="3" t="s">
        <v>12303</v>
      </c>
      <c r="C3565" s="2" t="s">
        <v>12304</v>
      </c>
      <c r="D3565" s="2">
        <v>45</v>
      </c>
      <c r="E3565" s="2">
        <v>46</v>
      </c>
      <c r="F3565" s="2" t="s">
        <v>12305</v>
      </c>
      <c r="H3565" s="2" t="s">
        <v>17</v>
      </c>
      <c r="K3565" s="4">
        <v>13993</v>
      </c>
      <c r="L3565" s="4">
        <v>42124</v>
      </c>
      <c r="M3565" s="2" t="s">
        <v>47</v>
      </c>
      <c r="N3565" s="2" t="s">
        <v>48</v>
      </c>
    </row>
    <row r="3566" spans="1:14">
      <c r="A3566" s="2">
        <v>3565</v>
      </c>
      <c r="B3566" s="3" t="s">
        <v>12306</v>
      </c>
      <c r="C3566" s="2" t="s">
        <v>12307</v>
      </c>
      <c r="D3566" s="2">
        <v>44</v>
      </c>
      <c r="E3566" s="2">
        <v>46</v>
      </c>
      <c r="F3566" s="2" t="s">
        <v>12308</v>
      </c>
      <c r="H3566" s="2" t="s">
        <v>17</v>
      </c>
      <c r="K3566" s="4">
        <v>14292</v>
      </c>
      <c r="L3566" s="4">
        <v>35656</v>
      </c>
      <c r="M3566" s="2" t="s">
        <v>146</v>
      </c>
      <c r="N3566" s="2" t="s">
        <v>12309</v>
      </c>
    </row>
    <row r="3567" spans="1:14">
      <c r="A3567" s="2">
        <v>3566</v>
      </c>
      <c r="B3567" s="3" t="s">
        <v>12310</v>
      </c>
      <c r="C3567" s="2" t="s">
        <v>12311</v>
      </c>
      <c r="D3567" s="2">
        <v>46</v>
      </c>
      <c r="E3567" s="2">
        <v>46</v>
      </c>
      <c r="F3567" s="2" t="s">
        <v>12312</v>
      </c>
      <c r="H3567" s="2" t="s">
        <v>17</v>
      </c>
      <c r="K3567" s="4">
        <v>9678</v>
      </c>
      <c r="M3567" s="2" t="s">
        <v>146</v>
      </c>
      <c r="N3567" s="2" t="s">
        <v>8637</v>
      </c>
    </row>
    <row r="3568" spans="1:14">
      <c r="A3568" s="2">
        <v>3567</v>
      </c>
      <c r="B3568" s="3" t="s">
        <v>12313</v>
      </c>
      <c r="C3568" s="2" t="s">
        <v>12314</v>
      </c>
      <c r="D3568" s="2">
        <v>46</v>
      </c>
      <c r="E3568" s="2">
        <v>46</v>
      </c>
      <c r="F3568" s="2" t="s">
        <v>12315</v>
      </c>
      <c r="H3568" s="2" t="s">
        <v>17</v>
      </c>
      <c r="K3568" s="4">
        <v>9443</v>
      </c>
      <c r="M3568" s="2" t="s">
        <v>170</v>
      </c>
      <c r="N3568" s="2" t="s">
        <v>355</v>
      </c>
    </row>
    <row r="3569" spans="1:14">
      <c r="A3569" s="2">
        <v>3568</v>
      </c>
      <c r="B3569" s="3" t="s">
        <v>12316</v>
      </c>
      <c r="C3569" s="2" t="s">
        <v>12317</v>
      </c>
      <c r="D3569" s="2">
        <v>45</v>
      </c>
      <c r="E3569" s="2">
        <v>46</v>
      </c>
      <c r="F3569" s="2" t="s">
        <v>12318</v>
      </c>
      <c r="H3569" s="2" t="s">
        <v>17</v>
      </c>
      <c r="K3569" s="4">
        <v>13050</v>
      </c>
      <c r="L3569" s="4">
        <v>29142</v>
      </c>
      <c r="M3569" s="2" t="s">
        <v>53</v>
      </c>
      <c r="N3569" s="2" t="s">
        <v>4643</v>
      </c>
    </row>
    <row r="3570" spans="1:14">
      <c r="A3570" s="2">
        <v>3569</v>
      </c>
      <c r="B3570" s="3" t="s">
        <v>12319</v>
      </c>
      <c r="C3570" s="2" t="s">
        <v>12320</v>
      </c>
      <c r="D3570" s="2">
        <v>43</v>
      </c>
      <c r="E3570" s="2">
        <v>46</v>
      </c>
      <c r="F3570" s="2" t="s">
        <v>12321</v>
      </c>
      <c r="H3570" s="2" t="s">
        <v>17</v>
      </c>
      <c r="K3570" s="4">
        <v>14680</v>
      </c>
      <c r="M3570" s="2" t="s">
        <v>185</v>
      </c>
      <c r="N3570" s="2" t="s">
        <v>838</v>
      </c>
    </row>
    <row r="3571" spans="1:14">
      <c r="A3571" s="2">
        <v>3570</v>
      </c>
      <c r="B3571" s="3" t="s">
        <v>12322</v>
      </c>
      <c r="C3571" s="2" t="s">
        <v>12323</v>
      </c>
      <c r="D3571" s="2">
        <v>45</v>
      </c>
      <c r="E3571" s="2">
        <v>46</v>
      </c>
      <c r="F3571" s="2" t="s">
        <v>12324</v>
      </c>
      <c r="H3571" s="2" t="s">
        <v>17</v>
      </c>
      <c r="K3571" s="4">
        <v>8285</v>
      </c>
      <c r="L3571" s="4">
        <v>38962</v>
      </c>
      <c r="M3571" s="2" t="s">
        <v>170</v>
      </c>
      <c r="N3571" s="2" t="s">
        <v>323</v>
      </c>
    </row>
    <row r="3572" spans="1:14">
      <c r="A3572" s="2">
        <v>3571</v>
      </c>
      <c r="B3572" s="3" t="s">
        <v>12325</v>
      </c>
      <c r="C3572" s="2" t="s">
        <v>12326</v>
      </c>
      <c r="D3572" s="2">
        <v>45</v>
      </c>
      <c r="E3572" s="2">
        <v>46</v>
      </c>
      <c r="F3572" s="2" t="s">
        <v>12327</v>
      </c>
      <c r="H3572" s="2" t="s">
        <v>17</v>
      </c>
      <c r="K3572" s="4">
        <v>8758</v>
      </c>
      <c r="L3572" s="4">
        <v>33362</v>
      </c>
      <c r="M3572" s="2" t="s">
        <v>154</v>
      </c>
      <c r="N3572" s="2" t="s">
        <v>12328</v>
      </c>
    </row>
    <row r="3573" spans="1:14">
      <c r="A3573" s="2">
        <v>3572</v>
      </c>
      <c r="B3573" s="3" t="s">
        <v>12329</v>
      </c>
      <c r="C3573" s="2" t="s">
        <v>12330</v>
      </c>
      <c r="D3573" s="2">
        <v>46</v>
      </c>
      <c r="E3573" s="2">
        <v>46</v>
      </c>
      <c r="F3573" s="2" t="s">
        <v>12331</v>
      </c>
      <c r="H3573" s="2" t="s">
        <v>17</v>
      </c>
      <c r="K3573" s="4">
        <v>12032</v>
      </c>
      <c r="M3573" s="2" t="s">
        <v>170</v>
      </c>
      <c r="N3573" s="2" t="s">
        <v>12332</v>
      </c>
    </row>
    <row r="3574" spans="1:14">
      <c r="A3574" s="2">
        <v>3573</v>
      </c>
      <c r="B3574" s="3" t="s">
        <v>12333</v>
      </c>
      <c r="C3574" s="2" t="s">
        <v>12334</v>
      </c>
      <c r="D3574" s="2">
        <v>46</v>
      </c>
      <c r="E3574" s="2">
        <v>46</v>
      </c>
      <c r="F3574" s="2" t="s">
        <v>12335</v>
      </c>
      <c r="H3574" s="2" t="s">
        <v>17</v>
      </c>
      <c r="K3574" s="4">
        <v>13971</v>
      </c>
      <c r="M3574" s="2" t="s">
        <v>423</v>
      </c>
      <c r="N3574" s="2" t="s">
        <v>456</v>
      </c>
    </row>
    <row r="3575" spans="1:14">
      <c r="A3575" s="2">
        <v>3574</v>
      </c>
      <c r="B3575" s="3" t="s">
        <v>12336</v>
      </c>
      <c r="C3575" s="2" t="s">
        <v>12337</v>
      </c>
      <c r="D3575" s="2">
        <v>46</v>
      </c>
      <c r="E3575" s="2">
        <v>46</v>
      </c>
      <c r="F3575" s="2" t="s">
        <v>12338</v>
      </c>
      <c r="H3575" s="2" t="s">
        <v>17</v>
      </c>
      <c r="K3575" s="4">
        <v>13304</v>
      </c>
      <c r="M3575" s="2" t="s">
        <v>341</v>
      </c>
      <c r="N3575" s="2" t="s">
        <v>6390</v>
      </c>
    </row>
    <row r="3576" spans="1:14">
      <c r="A3576" s="2">
        <v>3575</v>
      </c>
      <c r="B3576" s="3" t="s">
        <v>12339</v>
      </c>
      <c r="C3576" s="2" t="s">
        <v>12340</v>
      </c>
      <c r="D3576" s="2">
        <v>45</v>
      </c>
      <c r="E3576" s="2">
        <v>46</v>
      </c>
      <c r="F3576" s="2" t="s">
        <v>12341</v>
      </c>
      <c r="H3576" s="2" t="s">
        <v>17</v>
      </c>
      <c r="K3576" s="4">
        <v>7656</v>
      </c>
      <c r="L3576" s="4">
        <v>30206</v>
      </c>
      <c r="M3576" s="2" t="s">
        <v>66</v>
      </c>
      <c r="N3576" s="2" t="s">
        <v>7054</v>
      </c>
    </row>
    <row r="3577" spans="1:14">
      <c r="A3577" s="2">
        <v>3576</v>
      </c>
      <c r="B3577" s="3" t="s">
        <v>12342</v>
      </c>
      <c r="C3577" s="2" t="s">
        <v>12343</v>
      </c>
      <c r="D3577" s="2">
        <v>46</v>
      </c>
      <c r="E3577" s="2">
        <v>46</v>
      </c>
      <c r="F3577" s="2" t="s">
        <v>12344</v>
      </c>
      <c r="H3577" s="2" t="s">
        <v>17</v>
      </c>
      <c r="K3577" s="4">
        <v>15489</v>
      </c>
      <c r="M3577" s="2" t="s">
        <v>18</v>
      </c>
      <c r="N3577" s="2" t="s">
        <v>10890</v>
      </c>
    </row>
    <row r="3578" spans="1:14">
      <c r="A3578" s="2">
        <v>3577</v>
      </c>
      <c r="B3578" s="3" t="s">
        <v>12345</v>
      </c>
      <c r="C3578" s="2" t="s">
        <v>12346</v>
      </c>
      <c r="D3578" s="2">
        <v>46</v>
      </c>
      <c r="E3578" s="2">
        <v>46</v>
      </c>
      <c r="F3578" s="2" t="s">
        <v>12347</v>
      </c>
      <c r="H3578" s="2" t="s">
        <v>17</v>
      </c>
      <c r="K3578" s="4">
        <v>19614</v>
      </c>
      <c r="M3578" s="2" t="s">
        <v>35</v>
      </c>
      <c r="N3578" s="2" t="s">
        <v>12348</v>
      </c>
    </row>
    <row r="3579" spans="1:14">
      <c r="A3579" s="2">
        <v>3578</v>
      </c>
      <c r="B3579" s="3" t="s">
        <v>12349</v>
      </c>
      <c r="C3579" s="2" t="s">
        <v>12350</v>
      </c>
      <c r="D3579" s="2">
        <v>43</v>
      </c>
      <c r="E3579" s="2">
        <v>46</v>
      </c>
      <c r="F3579" s="2" t="s">
        <v>12351</v>
      </c>
      <c r="H3579" s="2" t="s">
        <v>17</v>
      </c>
      <c r="K3579" s="4">
        <v>7750</v>
      </c>
      <c r="L3579" s="4">
        <v>37923</v>
      </c>
      <c r="M3579" s="2" t="s">
        <v>170</v>
      </c>
      <c r="N3579" s="2" t="s">
        <v>12352</v>
      </c>
    </row>
    <row r="3580" spans="1:14">
      <c r="A3580" s="2">
        <v>3579</v>
      </c>
      <c r="B3580" s="3" t="s">
        <v>12353</v>
      </c>
      <c r="C3580" s="2" t="s">
        <v>12354</v>
      </c>
      <c r="D3580" s="2">
        <v>46</v>
      </c>
      <c r="E3580" s="2">
        <v>46</v>
      </c>
      <c r="F3580" s="2" t="s">
        <v>12355</v>
      </c>
      <c r="H3580" s="2" t="s">
        <v>17</v>
      </c>
      <c r="K3580" s="4">
        <v>16322</v>
      </c>
      <c r="L3580" s="4">
        <v>45673</v>
      </c>
      <c r="M3580" s="2" t="s">
        <v>423</v>
      </c>
      <c r="N3580" s="2" t="s">
        <v>9841</v>
      </c>
    </row>
    <row r="3581" spans="1:14">
      <c r="A3581" s="2">
        <v>3580</v>
      </c>
      <c r="B3581" s="3" t="s">
        <v>12356</v>
      </c>
      <c r="C3581" s="2" t="s">
        <v>12357</v>
      </c>
      <c r="D3581" s="2">
        <v>45</v>
      </c>
      <c r="E3581" s="2">
        <v>46</v>
      </c>
      <c r="F3581" s="2" t="s">
        <v>12358</v>
      </c>
      <c r="H3581" s="2" t="s">
        <v>17</v>
      </c>
      <c r="K3581" s="4">
        <v>13702</v>
      </c>
      <c r="L3581" s="4">
        <v>36930</v>
      </c>
      <c r="M3581" s="2" t="s">
        <v>185</v>
      </c>
      <c r="N3581" s="2" t="s">
        <v>1488</v>
      </c>
    </row>
    <row r="3582" spans="1:14">
      <c r="A3582" s="2">
        <v>3581</v>
      </c>
      <c r="B3582" s="3" t="s">
        <v>12359</v>
      </c>
      <c r="C3582" s="2" t="s">
        <v>12360</v>
      </c>
      <c r="D3582" s="2">
        <v>46</v>
      </c>
      <c r="E3582" s="2">
        <v>46</v>
      </c>
      <c r="F3582" s="2" t="s">
        <v>12361</v>
      </c>
      <c r="H3582" s="2" t="s">
        <v>17</v>
      </c>
      <c r="K3582" s="4">
        <v>16147</v>
      </c>
      <c r="M3582" s="2" t="s">
        <v>185</v>
      </c>
      <c r="N3582" s="2" t="s">
        <v>838</v>
      </c>
    </row>
    <row r="3583" spans="1:14">
      <c r="A3583" s="2">
        <v>3582</v>
      </c>
      <c r="B3583" s="3" t="s">
        <v>12362</v>
      </c>
      <c r="C3583" s="2" t="s">
        <v>12363</v>
      </c>
      <c r="D3583" s="2">
        <v>45</v>
      </c>
      <c r="E3583" s="2">
        <v>46</v>
      </c>
      <c r="F3583" s="2" t="s">
        <v>12364</v>
      </c>
      <c r="H3583" s="2" t="s">
        <v>45</v>
      </c>
      <c r="K3583" s="4">
        <v>7192</v>
      </c>
      <c r="L3583" s="4">
        <v>44111</v>
      </c>
      <c r="M3583" s="2" t="s">
        <v>170</v>
      </c>
      <c r="N3583" s="2" t="s">
        <v>323</v>
      </c>
    </row>
    <row r="3584" spans="1:14">
      <c r="A3584" s="2">
        <v>3583</v>
      </c>
      <c r="B3584" s="3" t="s">
        <v>12365</v>
      </c>
      <c r="C3584" s="2" t="s">
        <v>12366</v>
      </c>
      <c r="D3584" s="2">
        <v>45</v>
      </c>
      <c r="E3584" s="2">
        <v>46</v>
      </c>
      <c r="F3584" s="2" t="s">
        <v>12367</v>
      </c>
      <c r="H3584" s="2" t="s">
        <v>17</v>
      </c>
      <c r="K3584" s="4">
        <v>15645</v>
      </c>
      <c r="M3584" s="2" t="s">
        <v>66</v>
      </c>
      <c r="N3584" s="2" t="s">
        <v>3865</v>
      </c>
    </row>
    <row r="3585" spans="1:14">
      <c r="A3585" s="2">
        <v>3584</v>
      </c>
      <c r="B3585" s="3" t="s">
        <v>12368</v>
      </c>
      <c r="C3585" s="2" t="s">
        <v>12369</v>
      </c>
      <c r="D3585" s="2">
        <v>46</v>
      </c>
      <c r="E3585" s="2">
        <v>46</v>
      </c>
      <c r="F3585" s="2" t="s">
        <v>12370</v>
      </c>
      <c r="H3585" s="2" t="s">
        <v>17</v>
      </c>
      <c r="K3585" s="4">
        <v>7863</v>
      </c>
      <c r="M3585" s="2" t="s">
        <v>40</v>
      </c>
      <c r="N3585" s="2" t="s">
        <v>12371</v>
      </c>
    </row>
    <row r="3586" spans="1:14">
      <c r="A3586" s="2">
        <v>3585</v>
      </c>
      <c r="B3586" s="3" t="s">
        <v>12372</v>
      </c>
      <c r="C3586" s="2" t="s">
        <v>12373</v>
      </c>
      <c r="D3586" s="2">
        <v>46</v>
      </c>
      <c r="E3586" s="2">
        <v>46</v>
      </c>
      <c r="F3586" s="2" t="s">
        <v>12374</v>
      </c>
      <c r="H3586" s="2" t="s">
        <v>17</v>
      </c>
      <c r="K3586" s="4">
        <v>11651</v>
      </c>
      <c r="M3586" s="2" t="s">
        <v>85</v>
      </c>
      <c r="N3586" s="2" t="s">
        <v>12375</v>
      </c>
    </row>
    <row r="3587" spans="1:14">
      <c r="A3587" s="2">
        <v>3586</v>
      </c>
      <c r="B3587" s="3" t="s">
        <v>12376</v>
      </c>
      <c r="C3587" s="2" t="s">
        <v>12377</v>
      </c>
      <c r="D3587" s="2">
        <v>46</v>
      </c>
      <c r="E3587" s="2">
        <v>46</v>
      </c>
      <c r="F3587" s="2" t="s">
        <v>12378</v>
      </c>
      <c r="H3587" s="2" t="s">
        <v>17</v>
      </c>
      <c r="K3587" s="4">
        <v>14463</v>
      </c>
      <c r="M3587" s="2" t="s">
        <v>170</v>
      </c>
      <c r="N3587" s="2" t="s">
        <v>323</v>
      </c>
    </row>
    <row r="3588" spans="1:14">
      <c r="A3588" s="2">
        <v>3587</v>
      </c>
      <c r="B3588" s="3" t="s">
        <v>12379</v>
      </c>
      <c r="C3588" s="2" t="s">
        <v>12380</v>
      </c>
      <c r="D3588" s="2">
        <v>46</v>
      </c>
      <c r="E3588" s="2">
        <v>46</v>
      </c>
      <c r="F3588" s="2" t="s">
        <v>12381</v>
      </c>
      <c r="H3588" s="2" t="s">
        <v>17</v>
      </c>
      <c r="K3588" s="4">
        <v>15049</v>
      </c>
      <c r="M3588" s="2" t="s">
        <v>198</v>
      </c>
      <c r="N3588" s="2" t="s">
        <v>12382</v>
      </c>
    </row>
    <row r="3589" spans="1:14">
      <c r="A3589" s="2">
        <v>3588</v>
      </c>
      <c r="B3589" s="3" t="s">
        <v>12383</v>
      </c>
      <c r="C3589" s="2" t="s">
        <v>12384</v>
      </c>
      <c r="D3589" s="2">
        <v>46</v>
      </c>
      <c r="E3589" s="2">
        <v>46</v>
      </c>
      <c r="F3589" s="2" t="s">
        <v>12385</v>
      </c>
      <c r="H3589" s="2" t="s">
        <v>17</v>
      </c>
      <c r="K3589" s="4">
        <v>14602</v>
      </c>
      <c r="L3589" s="4">
        <v>43706</v>
      </c>
      <c r="M3589" s="2" t="s">
        <v>30</v>
      </c>
      <c r="N3589" s="2" t="s">
        <v>31</v>
      </c>
    </row>
    <row r="3590" spans="1:14">
      <c r="A3590" s="2">
        <v>3589</v>
      </c>
      <c r="B3590" s="3" t="s">
        <v>12386</v>
      </c>
      <c r="C3590" s="2" t="s">
        <v>12387</v>
      </c>
      <c r="D3590" s="2">
        <v>45</v>
      </c>
      <c r="E3590" s="2">
        <v>46</v>
      </c>
      <c r="F3590" s="2" t="s">
        <v>12388</v>
      </c>
      <c r="H3590" s="2" t="s">
        <v>17</v>
      </c>
      <c r="K3590" s="4">
        <v>14087</v>
      </c>
      <c r="M3590" s="2" t="s">
        <v>192</v>
      </c>
      <c r="N3590" s="2" t="s">
        <v>7036</v>
      </c>
    </row>
    <row r="3591" spans="1:14">
      <c r="A3591" s="2">
        <v>3590</v>
      </c>
      <c r="B3591" s="3" t="s">
        <v>12389</v>
      </c>
      <c r="C3591" s="2" t="s">
        <v>12390</v>
      </c>
      <c r="D3591" s="2">
        <v>44</v>
      </c>
      <c r="E3591" s="2">
        <v>46</v>
      </c>
      <c r="F3591" s="2" t="s">
        <v>12391</v>
      </c>
      <c r="H3591" s="2" t="s">
        <v>17</v>
      </c>
      <c r="K3591" s="4">
        <v>8782</v>
      </c>
      <c r="L3591" s="4">
        <v>35229</v>
      </c>
      <c r="M3591" s="2" t="s">
        <v>423</v>
      </c>
      <c r="N3591" s="2" t="s">
        <v>3942</v>
      </c>
    </row>
    <row r="3592" spans="1:14">
      <c r="A3592" s="2">
        <v>3591</v>
      </c>
      <c r="B3592" s="3" t="s">
        <v>12392</v>
      </c>
      <c r="C3592" s="2" t="s">
        <v>12393</v>
      </c>
      <c r="D3592" s="2">
        <v>45</v>
      </c>
      <c r="E3592" s="2">
        <v>46</v>
      </c>
      <c r="F3592" s="2" t="s">
        <v>12394</v>
      </c>
      <c r="H3592" s="2" t="s">
        <v>17</v>
      </c>
      <c r="K3592" s="4">
        <v>7026</v>
      </c>
      <c r="L3592" s="4">
        <v>35238</v>
      </c>
      <c r="M3592" s="2" t="s">
        <v>40</v>
      </c>
      <c r="N3592" s="2" t="s">
        <v>41</v>
      </c>
    </row>
    <row r="3593" spans="1:14">
      <c r="A3593" s="2">
        <v>3592</v>
      </c>
      <c r="B3593" s="3" t="s">
        <v>12395</v>
      </c>
      <c r="C3593" s="2" t="s">
        <v>12396</v>
      </c>
      <c r="D3593" s="2">
        <v>46</v>
      </c>
      <c r="E3593" s="2">
        <v>46</v>
      </c>
      <c r="F3593" s="2" t="s">
        <v>12397</v>
      </c>
      <c r="H3593" s="2" t="s">
        <v>17</v>
      </c>
      <c r="K3593" s="4">
        <v>15792</v>
      </c>
      <c r="M3593" s="2" t="s">
        <v>154</v>
      </c>
      <c r="N3593" s="2" t="s">
        <v>12398</v>
      </c>
    </row>
    <row r="3594" spans="1:14">
      <c r="A3594" s="2">
        <v>3593</v>
      </c>
      <c r="B3594" s="3" t="s">
        <v>12399</v>
      </c>
      <c r="C3594" s="2" t="s">
        <v>12400</v>
      </c>
      <c r="D3594" s="2">
        <v>41</v>
      </c>
      <c r="E3594" s="2">
        <v>46</v>
      </c>
      <c r="F3594" s="2" t="s">
        <v>12401</v>
      </c>
      <c r="H3594" s="2" t="s">
        <v>17</v>
      </c>
      <c r="K3594" s="4">
        <v>7031</v>
      </c>
      <c r="L3594" s="4">
        <v>31047</v>
      </c>
      <c r="M3594" s="2" t="s">
        <v>40</v>
      </c>
    </row>
    <row r="3595" spans="1:14">
      <c r="A3595" s="2">
        <v>3594</v>
      </c>
      <c r="B3595" s="3" t="s">
        <v>12402</v>
      </c>
      <c r="C3595" s="2" t="s">
        <v>12403</v>
      </c>
      <c r="D3595" s="2">
        <v>46</v>
      </c>
      <c r="E3595" s="2">
        <v>46</v>
      </c>
      <c r="F3595" s="2" t="s">
        <v>12404</v>
      </c>
      <c r="H3595" s="2" t="s">
        <v>17</v>
      </c>
      <c r="K3595" s="4">
        <v>10563</v>
      </c>
      <c r="L3595" s="4">
        <v>41213</v>
      </c>
      <c r="M3595" s="2" t="s">
        <v>35</v>
      </c>
      <c r="N3595" s="2" t="s">
        <v>703</v>
      </c>
    </row>
    <row r="3596" spans="1:14">
      <c r="A3596" s="2">
        <v>3595</v>
      </c>
      <c r="B3596" s="3" t="s">
        <v>12405</v>
      </c>
      <c r="C3596" s="2" t="s">
        <v>12406</v>
      </c>
      <c r="D3596" s="2">
        <v>46</v>
      </c>
      <c r="E3596" s="2">
        <v>46</v>
      </c>
      <c r="F3596" s="2" t="s">
        <v>12407</v>
      </c>
      <c r="H3596" s="2" t="s">
        <v>17</v>
      </c>
      <c r="K3596" s="4">
        <v>9885</v>
      </c>
      <c r="L3596" s="4">
        <v>42696</v>
      </c>
      <c r="M3596" s="2" t="s">
        <v>35</v>
      </c>
      <c r="N3596" s="2" t="s">
        <v>608</v>
      </c>
    </row>
    <row r="3597" spans="1:14">
      <c r="A3597" s="2">
        <v>3596</v>
      </c>
      <c r="B3597" s="3" t="s">
        <v>12408</v>
      </c>
      <c r="C3597" s="2" t="s">
        <v>12409</v>
      </c>
      <c r="D3597" s="2">
        <v>46</v>
      </c>
      <c r="E3597" s="2">
        <v>46</v>
      </c>
      <c r="F3597" s="2" t="s">
        <v>12410</v>
      </c>
      <c r="H3597" s="2" t="s">
        <v>17</v>
      </c>
      <c r="K3597" s="4">
        <v>12646</v>
      </c>
      <c r="L3597" s="4">
        <v>42960</v>
      </c>
      <c r="M3597" s="2" t="s">
        <v>146</v>
      </c>
      <c r="N3597" s="2" t="s">
        <v>147</v>
      </c>
    </row>
    <row r="3598" spans="1:14">
      <c r="A3598" s="2">
        <v>3597</v>
      </c>
      <c r="B3598" s="3" t="s">
        <v>12411</v>
      </c>
      <c r="C3598" s="2" t="s">
        <v>12412</v>
      </c>
      <c r="D3598" s="2">
        <v>45</v>
      </c>
      <c r="E3598" s="2">
        <v>46</v>
      </c>
      <c r="F3598" s="2" t="s">
        <v>12413</v>
      </c>
      <c r="H3598" s="2" t="s">
        <v>17</v>
      </c>
      <c r="K3598" s="4">
        <v>11269</v>
      </c>
      <c r="M3598" s="2" t="s">
        <v>247</v>
      </c>
      <c r="N3598" s="2" t="s">
        <v>2414</v>
      </c>
    </row>
    <row r="3599" spans="1:14">
      <c r="A3599" s="2">
        <v>3598</v>
      </c>
      <c r="B3599" s="3" t="s">
        <v>12414</v>
      </c>
      <c r="C3599" s="2" t="s">
        <v>12415</v>
      </c>
      <c r="D3599" s="2">
        <v>46</v>
      </c>
      <c r="E3599" s="2">
        <v>46</v>
      </c>
      <c r="F3599" s="2" t="s">
        <v>12416</v>
      </c>
      <c r="H3599" s="2" t="s">
        <v>17</v>
      </c>
      <c r="K3599" s="4">
        <v>7094</v>
      </c>
      <c r="L3599" s="4">
        <v>35442</v>
      </c>
      <c r="M3599" s="2" t="s">
        <v>164</v>
      </c>
      <c r="N3599" s="2" t="s">
        <v>165</v>
      </c>
    </row>
    <row r="3600" spans="1:14">
      <c r="A3600" s="2">
        <v>3599</v>
      </c>
      <c r="B3600" s="3" t="s">
        <v>12417</v>
      </c>
      <c r="C3600" s="2" t="s">
        <v>12418</v>
      </c>
      <c r="D3600" s="2">
        <v>45</v>
      </c>
      <c r="E3600" s="2">
        <v>46</v>
      </c>
      <c r="F3600" s="2" t="s">
        <v>12419</v>
      </c>
      <c r="H3600" s="2" t="s">
        <v>17</v>
      </c>
      <c r="K3600" s="4">
        <v>15806</v>
      </c>
      <c r="M3600" s="2" t="s">
        <v>423</v>
      </c>
      <c r="N3600" s="2" t="s">
        <v>621</v>
      </c>
    </row>
    <row r="3601" spans="1:14">
      <c r="A3601" s="2">
        <v>3600</v>
      </c>
      <c r="B3601" s="3" t="s">
        <v>12420</v>
      </c>
      <c r="C3601" s="2" t="s">
        <v>12421</v>
      </c>
      <c r="D3601" s="2">
        <v>44</v>
      </c>
      <c r="E3601" s="2">
        <v>46</v>
      </c>
      <c r="F3601" s="2" t="s">
        <v>12422</v>
      </c>
      <c r="H3601" s="2" t="s">
        <v>17</v>
      </c>
      <c r="K3601" s="4">
        <v>13931</v>
      </c>
      <c r="M3601" s="2" t="s">
        <v>170</v>
      </c>
      <c r="N3601" s="2" t="s">
        <v>323</v>
      </c>
    </row>
    <row r="3602" spans="1:14">
      <c r="A3602" s="2">
        <v>3601</v>
      </c>
      <c r="B3602" s="3" t="s">
        <v>12423</v>
      </c>
      <c r="C3602" s="2" t="s">
        <v>12424</v>
      </c>
      <c r="D3602" s="2">
        <v>46</v>
      </c>
      <c r="E3602" s="2">
        <v>46</v>
      </c>
      <c r="F3602" s="2" t="s">
        <v>12425</v>
      </c>
      <c r="H3602" s="2" t="s">
        <v>17</v>
      </c>
      <c r="K3602" s="4">
        <v>10740</v>
      </c>
      <c r="L3602" s="4">
        <v>45336</v>
      </c>
      <c r="M3602" s="2" t="s">
        <v>423</v>
      </c>
      <c r="N3602" s="2" t="s">
        <v>11963</v>
      </c>
    </row>
    <row r="3603" spans="1:14">
      <c r="A3603" s="2">
        <v>3602</v>
      </c>
      <c r="B3603" s="3" t="s">
        <v>12426</v>
      </c>
      <c r="C3603" s="2" t="s">
        <v>12427</v>
      </c>
      <c r="D3603" s="2">
        <v>39</v>
      </c>
      <c r="E3603" s="2">
        <v>46</v>
      </c>
      <c r="F3603" s="2" t="s">
        <v>12428</v>
      </c>
      <c r="H3603" s="2" t="s">
        <v>17</v>
      </c>
      <c r="K3603" s="4">
        <v>5826</v>
      </c>
      <c r="L3603" s="4">
        <v>42042</v>
      </c>
      <c r="M3603" s="2" t="s">
        <v>35</v>
      </c>
      <c r="N3603" s="2" t="s">
        <v>11183</v>
      </c>
    </row>
    <row r="3604" spans="1:14">
      <c r="A3604" s="2">
        <v>3603</v>
      </c>
      <c r="B3604" s="3" t="s">
        <v>12429</v>
      </c>
      <c r="C3604" s="2" t="s">
        <v>12430</v>
      </c>
      <c r="D3604" s="2">
        <v>45</v>
      </c>
      <c r="E3604" s="2">
        <v>46</v>
      </c>
      <c r="F3604" s="2" t="s">
        <v>12431</v>
      </c>
      <c r="H3604" s="2" t="s">
        <v>17</v>
      </c>
      <c r="K3604" s="4">
        <v>14446</v>
      </c>
      <c r="L3604" s="4">
        <v>42845</v>
      </c>
    </row>
    <row r="3605" spans="1:14">
      <c r="A3605" s="2">
        <v>3604</v>
      </c>
      <c r="B3605" s="3" t="s">
        <v>12432</v>
      </c>
      <c r="C3605" s="2" t="s">
        <v>12433</v>
      </c>
      <c r="D3605" s="2">
        <v>46</v>
      </c>
      <c r="E3605" s="2">
        <v>46</v>
      </c>
      <c r="F3605" s="2" t="s">
        <v>12434</v>
      </c>
      <c r="H3605" s="2" t="s">
        <v>17</v>
      </c>
      <c r="K3605" s="4">
        <v>14184</v>
      </c>
      <c r="L3605" s="4">
        <v>43720</v>
      </c>
    </row>
    <row r="3606" spans="1:14">
      <c r="A3606" s="2">
        <v>3605</v>
      </c>
      <c r="B3606" s="3" t="s">
        <v>12435</v>
      </c>
      <c r="C3606" s="2" t="s">
        <v>12436</v>
      </c>
      <c r="D3606" s="2">
        <v>43</v>
      </c>
      <c r="E3606" s="2">
        <v>46</v>
      </c>
      <c r="F3606" s="2" t="s">
        <v>12437</v>
      </c>
      <c r="H3606" s="2" t="s">
        <v>17</v>
      </c>
      <c r="K3606" s="4">
        <v>6381</v>
      </c>
      <c r="L3606" s="4">
        <v>35639</v>
      </c>
      <c r="M3606" s="2" t="s">
        <v>40</v>
      </c>
      <c r="N3606" s="2" t="s">
        <v>12438</v>
      </c>
    </row>
    <row r="3607" spans="1:14">
      <c r="A3607" s="2">
        <v>3606</v>
      </c>
      <c r="B3607" s="3" t="s">
        <v>12439</v>
      </c>
      <c r="C3607" s="2" t="s">
        <v>12440</v>
      </c>
      <c r="D3607" s="2">
        <v>45</v>
      </c>
      <c r="E3607" s="2">
        <v>46</v>
      </c>
      <c r="F3607" s="2" t="s">
        <v>12441</v>
      </c>
      <c r="H3607" s="2" t="s">
        <v>17</v>
      </c>
      <c r="K3607" s="4">
        <v>13512</v>
      </c>
      <c r="L3607" s="4">
        <v>40021</v>
      </c>
      <c r="M3607" s="2" t="s">
        <v>170</v>
      </c>
      <c r="N3607" s="2" t="s">
        <v>323</v>
      </c>
    </row>
    <row r="3608" spans="1:14">
      <c r="A3608" s="2">
        <v>3607</v>
      </c>
      <c r="B3608" s="3" t="s">
        <v>12442</v>
      </c>
      <c r="C3608" s="2" t="s">
        <v>12443</v>
      </c>
      <c r="D3608" s="2">
        <v>43</v>
      </c>
      <c r="E3608" s="2">
        <v>46</v>
      </c>
      <c r="F3608" s="2" t="s">
        <v>12444</v>
      </c>
      <c r="H3608" s="2" t="s">
        <v>17</v>
      </c>
      <c r="K3608" s="4">
        <v>4924</v>
      </c>
      <c r="L3608" s="4">
        <v>34134</v>
      </c>
      <c r="M3608" s="2" t="s">
        <v>85</v>
      </c>
      <c r="N3608" s="2" t="s">
        <v>1868</v>
      </c>
    </row>
    <row r="3609" spans="1:14">
      <c r="A3609" s="2">
        <v>3608</v>
      </c>
      <c r="B3609" s="3" t="s">
        <v>12445</v>
      </c>
      <c r="C3609" s="2" t="s">
        <v>12446</v>
      </c>
      <c r="D3609" s="2">
        <v>43</v>
      </c>
      <c r="E3609" s="2">
        <v>46</v>
      </c>
      <c r="F3609" s="2" t="s">
        <v>12447</v>
      </c>
      <c r="H3609" s="2" t="s">
        <v>17</v>
      </c>
      <c r="K3609" s="4">
        <v>7037</v>
      </c>
      <c r="L3609" s="4">
        <v>29897</v>
      </c>
      <c r="M3609" s="2" t="s">
        <v>140</v>
      </c>
      <c r="N3609" s="2" t="s">
        <v>294</v>
      </c>
    </row>
    <row r="3610" spans="1:14">
      <c r="A3610" s="2">
        <v>3609</v>
      </c>
      <c r="B3610" s="3" t="s">
        <v>12448</v>
      </c>
      <c r="C3610" s="2" t="s">
        <v>12449</v>
      </c>
      <c r="D3610" s="2">
        <v>45</v>
      </c>
      <c r="E3610" s="2">
        <v>46</v>
      </c>
      <c r="F3610" s="2" t="s">
        <v>12450</v>
      </c>
      <c r="H3610" s="2" t="s">
        <v>17</v>
      </c>
      <c r="K3610" s="4">
        <v>9331</v>
      </c>
      <c r="L3610" s="4">
        <v>40954</v>
      </c>
      <c r="M3610" s="2" t="s">
        <v>85</v>
      </c>
      <c r="N3610" s="2" t="s">
        <v>86</v>
      </c>
    </row>
    <row r="3611" spans="1:14">
      <c r="A3611" s="2">
        <v>3610</v>
      </c>
      <c r="B3611" s="3" t="s">
        <v>12451</v>
      </c>
      <c r="C3611" s="2" t="s">
        <v>12452</v>
      </c>
      <c r="D3611" s="2">
        <v>46</v>
      </c>
      <c r="E3611" s="2">
        <v>46</v>
      </c>
      <c r="F3611" s="2" t="s">
        <v>12453</v>
      </c>
      <c r="H3611" s="2" t="s">
        <v>17</v>
      </c>
      <c r="K3611" s="4">
        <v>1245</v>
      </c>
      <c r="M3611" s="2" t="s">
        <v>170</v>
      </c>
      <c r="N3611" s="2" t="s">
        <v>12454</v>
      </c>
    </row>
    <row r="3612" spans="1:14">
      <c r="A3612" s="2">
        <v>3611</v>
      </c>
      <c r="B3612" s="3" t="s">
        <v>12455</v>
      </c>
      <c r="C3612" s="2" t="s">
        <v>12456</v>
      </c>
      <c r="D3612" s="2">
        <v>45</v>
      </c>
      <c r="E3612" s="2">
        <v>46</v>
      </c>
      <c r="F3612" s="2" t="s">
        <v>12457</v>
      </c>
      <c r="H3612" s="2" t="s">
        <v>17</v>
      </c>
      <c r="K3612" s="4">
        <v>9551</v>
      </c>
      <c r="M3612" s="2" t="s">
        <v>47</v>
      </c>
      <c r="N3612" s="2" t="s">
        <v>12458</v>
      </c>
    </row>
    <row r="3613" spans="1:14">
      <c r="A3613" s="2">
        <v>3612</v>
      </c>
      <c r="B3613" s="3" t="s">
        <v>12459</v>
      </c>
      <c r="C3613" s="2" t="s">
        <v>12460</v>
      </c>
      <c r="D3613" s="2">
        <v>42</v>
      </c>
      <c r="E3613" s="2">
        <v>46</v>
      </c>
      <c r="F3613" s="2" t="s">
        <v>12461</v>
      </c>
      <c r="H3613" s="2" t="s">
        <v>17</v>
      </c>
      <c r="K3613" s="4">
        <v>8949</v>
      </c>
      <c r="M3613" s="2" t="s">
        <v>170</v>
      </c>
      <c r="N3613" s="2" t="s">
        <v>323</v>
      </c>
    </row>
    <row r="3614" spans="1:14">
      <c r="A3614" s="2">
        <v>3613</v>
      </c>
      <c r="B3614" s="3" t="s">
        <v>12462</v>
      </c>
      <c r="C3614" s="2" t="s">
        <v>12463</v>
      </c>
      <c r="D3614" s="2">
        <v>46</v>
      </c>
      <c r="E3614" s="2">
        <v>46</v>
      </c>
      <c r="F3614" s="2" t="s">
        <v>12464</v>
      </c>
      <c r="H3614" s="2" t="s">
        <v>17</v>
      </c>
      <c r="K3614" s="4">
        <v>6748</v>
      </c>
      <c r="L3614" s="4">
        <v>33191</v>
      </c>
      <c r="M3614" s="2" t="s">
        <v>47</v>
      </c>
      <c r="N3614" s="2" t="s">
        <v>625</v>
      </c>
    </row>
    <row r="3615" spans="1:14">
      <c r="A3615" s="2">
        <v>3614</v>
      </c>
      <c r="B3615" s="3" t="s">
        <v>12465</v>
      </c>
      <c r="C3615" s="2" t="s">
        <v>12466</v>
      </c>
      <c r="D3615" s="2">
        <v>44</v>
      </c>
      <c r="E3615" s="2">
        <v>46</v>
      </c>
      <c r="F3615" s="2" t="s">
        <v>12467</v>
      </c>
      <c r="H3615" s="2" t="s">
        <v>17</v>
      </c>
      <c r="K3615" s="4">
        <v>11243</v>
      </c>
      <c r="L3615" s="4">
        <v>32931</v>
      </c>
      <c r="M3615" s="2" t="s">
        <v>423</v>
      </c>
      <c r="N3615" s="2" t="s">
        <v>3005</v>
      </c>
    </row>
    <row r="3616" spans="1:14">
      <c r="A3616" s="2">
        <v>3615</v>
      </c>
      <c r="B3616" s="3" t="s">
        <v>12468</v>
      </c>
      <c r="C3616" s="2" t="s">
        <v>12469</v>
      </c>
      <c r="D3616" s="2">
        <v>45</v>
      </c>
      <c r="E3616" s="2">
        <v>46</v>
      </c>
      <c r="F3616" s="2" t="s">
        <v>12469</v>
      </c>
      <c r="H3616" s="2" t="s">
        <v>17</v>
      </c>
      <c r="K3616" s="4">
        <v>15152</v>
      </c>
      <c r="M3616" s="2" t="s">
        <v>154</v>
      </c>
      <c r="N3616" s="2" t="s">
        <v>11385</v>
      </c>
    </row>
    <row r="3617" spans="1:14">
      <c r="A3617" s="2">
        <v>3616</v>
      </c>
      <c r="B3617" s="3" t="s">
        <v>12470</v>
      </c>
      <c r="C3617" s="2" t="s">
        <v>12471</v>
      </c>
      <c r="D3617" s="2">
        <v>44</v>
      </c>
      <c r="E3617" s="2">
        <v>46</v>
      </c>
      <c r="F3617" s="2" t="s">
        <v>12472</v>
      </c>
      <c r="H3617" s="2" t="s">
        <v>17</v>
      </c>
      <c r="K3617" s="4">
        <v>7967</v>
      </c>
      <c r="L3617" s="4">
        <v>43528</v>
      </c>
      <c r="M3617" s="2" t="s">
        <v>76</v>
      </c>
      <c r="N3617" s="2" t="s">
        <v>12473</v>
      </c>
    </row>
    <row r="3618" spans="1:14">
      <c r="A3618" s="2">
        <v>3617</v>
      </c>
      <c r="B3618" s="3" t="s">
        <v>12474</v>
      </c>
      <c r="C3618" s="2" t="s">
        <v>12475</v>
      </c>
      <c r="D3618" s="2">
        <v>44</v>
      </c>
      <c r="E3618" s="2">
        <v>46</v>
      </c>
      <c r="F3618" s="2" t="s">
        <v>12476</v>
      </c>
      <c r="H3618" s="2" t="s">
        <v>17</v>
      </c>
      <c r="K3618" s="4">
        <v>5483</v>
      </c>
      <c r="L3618" s="4">
        <v>37013</v>
      </c>
      <c r="M3618" s="2" t="s">
        <v>170</v>
      </c>
      <c r="N3618" s="2" t="s">
        <v>323</v>
      </c>
    </row>
    <row r="3619" spans="1:14">
      <c r="A3619" s="2">
        <v>3618</v>
      </c>
      <c r="B3619" s="3" t="s">
        <v>12477</v>
      </c>
      <c r="C3619" s="2" t="s">
        <v>12478</v>
      </c>
      <c r="D3619" s="2">
        <v>46</v>
      </c>
      <c r="E3619" s="2">
        <v>46</v>
      </c>
      <c r="F3619" s="2" t="s">
        <v>12479</v>
      </c>
      <c r="H3619" s="2" t="s">
        <v>17</v>
      </c>
      <c r="K3619" s="4">
        <v>9037</v>
      </c>
      <c r="M3619" s="2" t="s">
        <v>170</v>
      </c>
      <c r="N3619" s="2" t="s">
        <v>171</v>
      </c>
    </row>
    <row r="3620" spans="1:14">
      <c r="A3620" s="2">
        <v>3619</v>
      </c>
      <c r="B3620" s="3" t="s">
        <v>12480</v>
      </c>
      <c r="C3620" s="2" t="s">
        <v>12481</v>
      </c>
      <c r="D3620" s="2">
        <v>44</v>
      </c>
      <c r="E3620" s="2">
        <v>46</v>
      </c>
      <c r="F3620" s="2" t="s">
        <v>12482</v>
      </c>
      <c r="H3620" s="2" t="s">
        <v>17</v>
      </c>
      <c r="K3620" s="4">
        <v>6904</v>
      </c>
      <c r="L3620" s="4">
        <v>30276</v>
      </c>
      <c r="M3620" s="2" t="s">
        <v>140</v>
      </c>
      <c r="N3620" s="2" t="s">
        <v>5850</v>
      </c>
    </row>
    <row r="3621" spans="1:14">
      <c r="A3621" s="2">
        <v>3620</v>
      </c>
      <c r="B3621" s="3" t="s">
        <v>12483</v>
      </c>
      <c r="C3621" s="2" t="s">
        <v>12484</v>
      </c>
      <c r="D3621" s="2">
        <v>44</v>
      </c>
      <c r="E3621" s="2">
        <v>46</v>
      </c>
      <c r="F3621" s="2" t="s">
        <v>12485</v>
      </c>
      <c r="H3621" s="2" t="s">
        <v>17</v>
      </c>
      <c r="K3621" s="4">
        <v>11361</v>
      </c>
      <c r="L3621" s="4">
        <v>43387</v>
      </c>
      <c r="M3621" s="2" t="s">
        <v>30</v>
      </c>
      <c r="N3621" s="2" t="s">
        <v>12486</v>
      </c>
    </row>
    <row r="3622" spans="1:14">
      <c r="A3622" s="2">
        <v>3621</v>
      </c>
      <c r="B3622" s="3" t="s">
        <v>12487</v>
      </c>
      <c r="C3622" s="2" t="s">
        <v>12488</v>
      </c>
      <c r="D3622" s="2">
        <v>43</v>
      </c>
      <c r="E3622" s="2">
        <v>46</v>
      </c>
      <c r="F3622" s="2" t="s">
        <v>12489</v>
      </c>
      <c r="H3622" s="2" t="s">
        <v>17</v>
      </c>
      <c r="K3622" s="4">
        <v>10294</v>
      </c>
      <c r="L3622" s="4">
        <v>41355</v>
      </c>
      <c r="M3622" s="2" t="s">
        <v>91</v>
      </c>
      <c r="N3622" s="2" t="s">
        <v>677</v>
      </c>
    </row>
    <row r="3623" spans="1:14">
      <c r="A3623" s="2">
        <v>3622</v>
      </c>
      <c r="B3623" s="3" t="s">
        <v>12490</v>
      </c>
      <c r="C3623" s="2" t="s">
        <v>12491</v>
      </c>
      <c r="D3623" s="2">
        <v>41</v>
      </c>
      <c r="E3623" s="2">
        <v>46</v>
      </c>
      <c r="F3623" s="2" t="s">
        <v>12492</v>
      </c>
      <c r="H3623" s="2" t="s">
        <v>17</v>
      </c>
      <c r="K3623" s="4">
        <v>8582</v>
      </c>
      <c r="L3623" s="4">
        <v>31483</v>
      </c>
      <c r="M3623" s="2" t="s">
        <v>53</v>
      </c>
      <c r="N3623" s="2" t="s">
        <v>12493</v>
      </c>
    </row>
    <row r="3624" spans="1:14">
      <c r="A3624" s="2">
        <v>3623</v>
      </c>
      <c r="B3624" s="3" t="s">
        <v>12494</v>
      </c>
      <c r="C3624" s="2" t="s">
        <v>12495</v>
      </c>
      <c r="D3624" s="2">
        <v>45</v>
      </c>
      <c r="E3624" s="2">
        <v>46</v>
      </c>
      <c r="F3624" s="2" t="s">
        <v>12496</v>
      </c>
      <c r="H3624" s="2" t="s">
        <v>17</v>
      </c>
      <c r="K3624" s="4">
        <v>12729</v>
      </c>
      <c r="L3624" s="4">
        <v>35849</v>
      </c>
      <c r="M3624" s="2" t="s">
        <v>47</v>
      </c>
      <c r="N3624" s="2" t="s">
        <v>6306</v>
      </c>
    </row>
    <row r="3625" spans="1:14">
      <c r="A3625" s="2">
        <v>3624</v>
      </c>
      <c r="B3625" s="3" t="s">
        <v>12497</v>
      </c>
      <c r="C3625" s="2" t="s">
        <v>12498</v>
      </c>
      <c r="D3625" s="2">
        <v>44</v>
      </c>
      <c r="E3625" s="2">
        <v>46</v>
      </c>
      <c r="F3625" s="2" t="s">
        <v>12499</v>
      </c>
      <c r="H3625" s="2" t="s">
        <v>17</v>
      </c>
      <c r="K3625" s="4">
        <v>12802</v>
      </c>
      <c r="M3625" s="2" t="s">
        <v>154</v>
      </c>
      <c r="N3625" s="2" t="s">
        <v>208</v>
      </c>
    </row>
    <row r="3626" spans="1:14">
      <c r="A3626" s="2">
        <v>3625</v>
      </c>
      <c r="B3626" s="3" t="s">
        <v>12500</v>
      </c>
      <c r="C3626" s="2" t="s">
        <v>12501</v>
      </c>
      <c r="D3626" s="2">
        <v>44</v>
      </c>
      <c r="E3626" s="2">
        <v>46</v>
      </c>
      <c r="F3626" s="2" t="s">
        <v>12502</v>
      </c>
      <c r="H3626" s="2" t="s">
        <v>17</v>
      </c>
      <c r="K3626" s="4">
        <v>12409</v>
      </c>
      <c r="L3626" s="4">
        <v>30225</v>
      </c>
      <c r="M3626" s="2" t="s">
        <v>40</v>
      </c>
      <c r="N3626" s="2" t="s">
        <v>41</v>
      </c>
    </row>
    <row r="3627" spans="1:14">
      <c r="A3627" s="2">
        <v>3626</v>
      </c>
      <c r="B3627" s="3" t="s">
        <v>12503</v>
      </c>
      <c r="C3627" s="2" t="s">
        <v>12504</v>
      </c>
      <c r="D3627" s="2">
        <v>46</v>
      </c>
      <c r="E3627" s="2">
        <v>46</v>
      </c>
      <c r="F3627" s="2" t="s">
        <v>12505</v>
      </c>
      <c r="H3627" s="2" t="s">
        <v>17</v>
      </c>
      <c r="K3627" s="4">
        <v>12879</v>
      </c>
      <c r="L3627" s="4">
        <v>35585</v>
      </c>
      <c r="M3627" s="2" t="s">
        <v>336</v>
      </c>
    </row>
    <row r="3628" spans="1:14">
      <c r="A3628" s="2">
        <v>3627</v>
      </c>
      <c r="B3628" s="3" t="s">
        <v>12506</v>
      </c>
      <c r="C3628" s="2" t="s">
        <v>12507</v>
      </c>
      <c r="D3628" s="2">
        <v>46</v>
      </c>
      <c r="E3628" s="2">
        <v>46</v>
      </c>
      <c r="F3628" s="2" t="s">
        <v>12508</v>
      </c>
      <c r="H3628" s="2" t="s">
        <v>17</v>
      </c>
      <c r="K3628" s="4">
        <v>11805</v>
      </c>
      <c r="L3628" s="4">
        <v>44985</v>
      </c>
      <c r="M3628" s="2" t="s">
        <v>40</v>
      </c>
      <c r="N3628" s="2" t="s">
        <v>7543</v>
      </c>
    </row>
    <row r="3629" spans="1:14">
      <c r="A3629" s="2">
        <v>3628</v>
      </c>
      <c r="B3629" s="3" t="s">
        <v>12509</v>
      </c>
      <c r="C3629" s="2" t="s">
        <v>12510</v>
      </c>
      <c r="D3629" s="2">
        <v>45</v>
      </c>
      <c r="E3629" s="2">
        <v>46</v>
      </c>
      <c r="F3629" s="2" t="s">
        <v>12511</v>
      </c>
      <c r="H3629" s="2" t="s">
        <v>17</v>
      </c>
      <c r="K3629" s="4">
        <v>12217</v>
      </c>
      <c r="M3629" s="2" t="s">
        <v>40</v>
      </c>
      <c r="N3629" s="2" t="s">
        <v>10120</v>
      </c>
    </row>
    <row r="3630" spans="1:14">
      <c r="A3630" s="2">
        <v>3629</v>
      </c>
      <c r="B3630" s="3" t="s">
        <v>12512</v>
      </c>
      <c r="C3630" s="2" t="s">
        <v>12513</v>
      </c>
      <c r="D3630" s="2">
        <v>46</v>
      </c>
      <c r="E3630" s="2">
        <v>46</v>
      </c>
      <c r="F3630" s="2" t="s">
        <v>12514</v>
      </c>
      <c r="H3630" s="2" t="s">
        <v>17</v>
      </c>
      <c r="K3630" s="4">
        <v>10241</v>
      </c>
      <c r="L3630" s="4">
        <v>37290</v>
      </c>
    </row>
    <row r="3631" spans="1:14">
      <c r="A3631" s="2">
        <v>3630</v>
      </c>
      <c r="B3631" s="3" t="s">
        <v>12515</v>
      </c>
      <c r="C3631" s="2" t="s">
        <v>12516</v>
      </c>
      <c r="D3631" s="2">
        <v>46</v>
      </c>
      <c r="E3631" s="2">
        <v>46</v>
      </c>
      <c r="F3631" s="2" t="s">
        <v>12517</v>
      </c>
      <c r="H3631" s="2" t="s">
        <v>17</v>
      </c>
      <c r="K3631" s="4">
        <v>11624</v>
      </c>
      <c r="M3631" s="2" t="s">
        <v>423</v>
      </c>
      <c r="N3631" s="2" t="s">
        <v>5502</v>
      </c>
    </row>
    <row r="3632" spans="1:14">
      <c r="A3632" s="2">
        <v>3631</v>
      </c>
      <c r="B3632" s="3" t="s">
        <v>12518</v>
      </c>
      <c r="C3632" s="2" t="s">
        <v>12519</v>
      </c>
      <c r="D3632" s="2">
        <v>43</v>
      </c>
      <c r="E3632" s="2">
        <v>46</v>
      </c>
      <c r="F3632" s="2" t="s">
        <v>12520</v>
      </c>
      <c r="H3632" s="2" t="s">
        <v>17</v>
      </c>
      <c r="K3632" s="4">
        <v>8314</v>
      </c>
      <c r="L3632" s="4">
        <v>38825</v>
      </c>
      <c r="M3632" s="2" t="s">
        <v>47</v>
      </c>
      <c r="N3632" s="2" t="s">
        <v>7941</v>
      </c>
    </row>
    <row r="3633" spans="1:14">
      <c r="A3633" s="2">
        <v>3632</v>
      </c>
      <c r="B3633" s="3" t="s">
        <v>12521</v>
      </c>
      <c r="C3633" s="2" t="s">
        <v>12522</v>
      </c>
      <c r="D3633" s="2">
        <v>44</v>
      </c>
      <c r="E3633" s="2">
        <v>46</v>
      </c>
      <c r="F3633" s="2" t="s">
        <v>12523</v>
      </c>
      <c r="H3633" s="2" t="s">
        <v>17</v>
      </c>
      <c r="K3633" s="4">
        <v>10572</v>
      </c>
      <c r="L3633" s="4">
        <v>36747</v>
      </c>
      <c r="M3633" s="2" t="s">
        <v>164</v>
      </c>
      <c r="N3633" s="2" t="s">
        <v>165</v>
      </c>
    </row>
    <row r="3634" spans="1:14">
      <c r="A3634" s="2">
        <v>3633</v>
      </c>
      <c r="B3634" s="3" t="s">
        <v>12524</v>
      </c>
      <c r="C3634" s="2" t="s">
        <v>12525</v>
      </c>
      <c r="D3634" s="2">
        <v>44</v>
      </c>
      <c r="E3634" s="2">
        <v>46</v>
      </c>
      <c r="F3634" s="2" t="s">
        <v>12526</v>
      </c>
      <c r="H3634" s="2" t="s">
        <v>17</v>
      </c>
      <c r="K3634" s="4">
        <v>9111</v>
      </c>
      <c r="L3634" s="4">
        <v>38691</v>
      </c>
      <c r="M3634" s="2" t="s">
        <v>47</v>
      </c>
      <c r="N3634" s="2" t="s">
        <v>691</v>
      </c>
    </row>
    <row r="3635" spans="1:14">
      <c r="A3635" s="2">
        <v>3634</v>
      </c>
      <c r="B3635" s="3" t="s">
        <v>12527</v>
      </c>
      <c r="C3635" s="2" t="s">
        <v>12528</v>
      </c>
      <c r="D3635" s="2">
        <v>46</v>
      </c>
      <c r="E3635" s="2">
        <v>46</v>
      </c>
      <c r="F3635" s="2" t="s">
        <v>12529</v>
      </c>
      <c r="H3635" s="2" t="s">
        <v>17</v>
      </c>
      <c r="K3635" s="4">
        <v>11594</v>
      </c>
      <c r="L3635" s="4">
        <v>37840</v>
      </c>
      <c r="M3635" s="2" t="s">
        <v>40</v>
      </c>
      <c r="N3635" s="2" t="s">
        <v>7870</v>
      </c>
    </row>
    <row r="3636" spans="1:14">
      <c r="A3636" s="2">
        <v>3635</v>
      </c>
      <c r="B3636" s="3" t="s">
        <v>12530</v>
      </c>
      <c r="C3636" s="2" t="s">
        <v>12531</v>
      </c>
      <c r="D3636" s="2">
        <v>46</v>
      </c>
      <c r="E3636" s="2">
        <v>46</v>
      </c>
      <c r="F3636" s="2" t="s">
        <v>12532</v>
      </c>
      <c r="H3636" s="2" t="s">
        <v>17</v>
      </c>
      <c r="K3636" s="4">
        <v>6959</v>
      </c>
      <c r="L3636" s="4">
        <v>38542</v>
      </c>
      <c r="M3636" s="2" t="s">
        <v>35</v>
      </c>
      <c r="N3636" s="2" t="s">
        <v>328</v>
      </c>
    </row>
    <row r="3637" spans="1:14">
      <c r="A3637" s="2">
        <v>3636</v>
      </c>
      <c r="B3637" s="3" t="s">
        <v>12533</v>
      </c>
      <c r="C3637" s="2" t="s">
        <v>12534</v>
      </c>
      <c r="D3637" s="2">
        <v>43</v>
      </c>
      <c r="E3637" s="2">
        <v>46</v>
      </c>
      <c r="F3637" s="2" t="s">
        <v>12535</v>
      </c>
      <c r="H3637" s="2" t="s">
        <v>17</v>
      </c>
      <c r="K3637" s="4">
        <v>11843</v>
      </c>
      <c r="L3637" s="4">
        <v>40934</v>
      </c>
      <c r="M3637" s="2" t="s">
        <v>185</v>
      </c>
      <c r="N3637" s="2" t="s">
        <v>820</v>
      </c>
    </row>
    <row r="3638" spans="1:14">
      <c r="A3638" s="2">
        <v>3637</v>
      </c>
      <c r="B3638" s="3" t="s">
        <v>12536</v>
      </c>
      <c r="C3638" s="2" t="s">
        <v>12537</v>
      </c>
      <c r="D3638" s="2">
        <v>46</v>
      </c>
      <c r="E3638" s="2">
        <v>46</v>
      </c>
      <c r="F3638" s="2" t="s">
        <v>12538</v>
      </c>
      <c r="H3638" s="2" t="s">
        <v>17</v>
      </c>
      <c r="K3638" s="4">
        <v>11218</v>
      </c>
      <c r="L3638" s="4">
        <v>42070</v>
      </c>
    </row>
    <row r="3639" spans="1:14">
      <c r="A3639" s="2">
        <v>3638</v>
      </c>
      <c r="B3639" s="3" t="s">
        <v>12539</v>
      </c>
      <c r="C3639" s="2" t="s">
        <v>12540</v>
      </c>
      <c r="D3639" s="2">
        <v>38</v>
      </c>
      <c r="E3639" s="2">
        <v>46</v>
      </c>
      <c r="F3639" s="2" t="s">
        <v>12541</v>
      </c>
      <c r="H3639" s="2" t="s">
        <v>17</v>
      </c>
      <c r="K3639" s="4">
        <v>5281</v>
      </c>
      <c r="L3639" s="4">
        <v>29082</v>
      </c>
      <c r="M3639" s="2" t="s">
        <v>40</v>
      </c>
      <c r="N3639" s="2" t="s">
        <v>12542</v>
      </c>
    </row>
    <row r="3640" spans="1:14">
      <c r="A3640" s="2">
        <v>3639</v>
      </c>
      <c r="B3640" s="3" t="s">
        <v>12543</v>
      </c>
      <c r="C3640" s="2" t="s">
        <v>12544</v>
      </c>
      <c r="D3640" s="2">
        <v>46</v>
      </c>
      <c r="E3640" s="2">
        <v>46</v>
      </c>
      <c r="F3640" s="2" t="s">
        <v>12545</v>
      </c>
      <c r="H3640" s="2" t="s">
        <v>17</v>
      </c>
      <c r="K3640" s="4">
        <v>9909</v>
      </c>
      <c r="L3640" s="4">
        <v>41239</v>
      </c>
      <c r="M3640" s="2" t="s">
        <v>66</v>
      </c>
      <c r="N3640" s="2" t="s">
        <v>71</v>
      </c>
    </row>
    <row r="3641" spans="1:14">
      <c r="A3641" s="2">
        <v>3640</v>
      </c>
      <c r="B3641" s="3" t="s">
        <v>12546</v>
      </c>
      <c r="C3641" s="2" t="s">
        <v>12547</v>
      </c>
      <c r="D3641" s="2">
        <v>45</v>
      </c>
      <c r="E3641" s="2">
        <v>46</v>
      </c>
      <c r="F3641" s="2" t="s">
        <v>12548</v>
      </c>
      <c r="H3641" s="2" t="s">
        <v>17</v>
      </c>
      <c r="K3641" s="4">
        <v>9513</v>
      </c>
      <c r="L3641" s="4">
        <v>39887</v>
      </c>
      <c r="M3641" s="2" t="s">
        <v>336</v>
      </c>
      <c r="N3641" s="2" t="s">
        <v>12549</v>
      </c>
    </row>
    <row r="3642" spans="1:14">
      <c r="A3642" s="2">
        <v>3641</v>
      </c>
      <c r="B3642" s="3" t="s">
        <v>12550</v>
      </c>
      <c r="C3642" s="2" t="s">
        <v>12551</v>
      </c>
      <c r="D3642" s="2">
        <v>46</v>
      </c>
      <c r="E3642" s="2">
        <v>46</v>
      </c>
      <c r="F3642" s="2" t="s">
        <v>12552</v>
      </c>
      <c r="H3642" s="2" t="s">
        <v>17</v>
      </c>
      <c r="K3642" s="4">
        <v>17203</v>
      </c>
      <c r="M3642" s="2" t="s">
        <v>47</v>
      </c>
      <c r="N3642" s="2" t="s">
        <v>5598</v>
      </c>
    </row>
    <row r="3643" spans="1:14">
      <c r="A3643" s="2">
        <v>3642</v>
      </c>
      <c r="B3643" s="3" t="s">
        <v>12553</v>
      </c>
      <c r="C3643" s="2" t="s">
        <v>12554</v>
      </c>
      <c r="D3643" s="2">
        <v>43</v>
      </c>
      <c r="E3643" s="2">
        <v>46</v>
      </c>
      <c r="F3643" s="2" t="s">
        <v>12555</v>
      </c>
      <c r="H3643" s="2" t="s">
        <v>17</v>
      </c>
      <c r="K3643" s="4">
        <v>12822</v>
      </c>
      <c r="L3643" s="4">
        <v>42895</v>
      </c>
      <c r="M3643" s="2" t="s">
        <v>154</v>
      </c>
      <c r="N3643" s="2" t="s">
        <v>12398</v>
      </c>
    </row>
    <row r="3644" spans="1:14">
      <c r="A3644" s="2">
        <v>3643</v>
      </c>
      <c r="B3644" s="3" t="s">
        <v>12556</v>
      </c>
      <c r="C3644" s="2" t="s">
        <v>12557</v>
      </c>
      <c r="D3644" s="2">
        <v>46</v>
      </c>
      <c r="E3644" s="2">
        <v>46</v>
      </c>
      <c r="F3644" s="2" t="s">
        <v>12558</v>
      </c>
      <c r="H3644" s="2" t="s">
        <v>17</v>
      </c>
      <c r="K3644" s="4">
        <v>12321</v>
      </c>
      <c r="L3644" s="4">
        <v>43796</v>
      </c>
      <c r="M3644" s="2" t="s">
        <v>66</v>
      </c>
      <c r="N3644" s="2" t="s">
        <v>1069</v>
      </c>
    </row>
    <row r="3645" spans="1:14">
      <c r="A3645" s="2">
        <v>3644</v>
      </c>
      <c r="B3645" s="3" t="s">
        <v>12559</v>
      </c>
      <c r="C3645" s="2" t="s">
        <v>12560</v>
      </c>
      <c r="D3645" s="2">
        <v>46</v>
      </c>
      <c r="E3645" s="2">
        <v>46</v>
      </c>
      <c r="F3645" s="2" t="s">
        <v>12561</v>
      </c>
      <c r="H3645" s="2" t="s">
        <v>17</v>
      </c>
      <c r="K3645" s="4">
        <v>18418</v>
      </c>
      <c r="M3645" s="2" t="s">
        <v>154</v>
      </c>
      <c r="N3645" s="2" t="s">
        <v>11571</v>
      </c>
    </row>
    <row r="3646" spans="1:14">
      <c r="A3646" s="2">
        <v>3645</v>
      </c>
      <c r="B3646" s="3" t="s">
        <v>12562</v>
      </c>
      <c r="C3646" s="2" t="s">
        <v>12563</v>
      </c>
      <c r="D3646" s="2">
        <v>45</v>
      </c>
      <c r="E3646" s="2">
        <v>46</v>
      </c>
      <c r="F3646" s="2" t="s">
        <v>12564</v>
      </c>
      <c r="H3646" s="2" t="s">
        <v>17</v>
      </c>
      <c r="K3646" s="4">
        <v>10354</v>
      </c>
      <c r="L3646" s="4">
        <v>43654</v>
      </c>
    </row>
    <row r="3647" spans="1:14">
      <c r="A3647" s="2">
        <v>3646</v>
      </c>
      <c r="B3647" s="3" t="s">
        <v>12565</v>
      </c>
      <c r="C3647" s="2" t="s">
        <v>12566</v>
      </c>
      <c r="D3647" s="2">
        <v>46</v>
      </c>
      <c r="E3647" s="2">
        <v>46</v>
      </c>
      <c r="F3647" s="2" t="s">
        <v>12567</v>
      </c>
      <c r="H3647" s="2" t="s">
        <v>17</v>
      </c>
      <c r="K3647" s="4">
        <v>13259</v>
      </c>
      <c r="M3647" s="2" t="s">
        <v>192</v>
      </c>
      <c r="N3647" s="2" t="s">
        <v>3675</v>
      </c>
    </row>
    <row r="3648" spans="1:14">
      <c r="A3648" s="2">
        <v>3647</v>
      </c>
      <c r="B3648" s="3" t="s">
        <v>12568</v>
      </c>
      <c r="C3648" s="2" t="s">
        <v>12569</v>
      </c>
      <c r="D3648" s="2">
        <v>44</v>
      </c>
      <c r="E3648" s="2">
        <v>46</v>
      </c>
      <c r="F3648" s="2" t="s">
        <v>12570</v>
      </c>
      <c r="H3648" s="2" t="s">
        <v>17</v>
      </c>
      <c r="K3648" s="4">
        <v>12176</v>
      </c>
      <c r="L3648" s="4">
        <v>34540</v>
      </c>
      <c r="M3648" s="2" t="s">
        <v>170</v>
      </c>
    </row>
    <row r="3649" spans="1:14">
      <c r="A3649" s="2">
        <v>3648</v>
      </c>
      <c r="B3649" s="3" t="s">
        <v>12571</v>
      </c>
      <c r="C3649" s="2" t="s">
        <v>12572</v>
      </c>
      <c r="D3649" s="2">
        <v>41</v>
      </c>
      <c r="E3649" s="2">
        <v>46</v>
      </c>
      <c r="F3649" s="2" t="s">
        <v>12573</v>
      </c>
      <c r="H3649" s="2" t="s">
        <v>17</v>
      </c>
      <c r="K3649" s="4">
        <v>6419</v>
      </c>
      <c r="L3649" s="4">
        <v>29600</v>
      </c>
      <c r="M3649" s="2" t="s">
        <v>53</v>
      </c>
      <c r="N3649" s="2" t="s">
        <v>686</v>
      </c>
    </row>
    <row r="3650" spans="1:14">
      <c r="A3650" s="2">
        <v>3649</v>
      </c>
      <c r="B3650" s="3" t="s">
        <v>12574</v>
      </c>
      <c r="C3650" s="2" t="s">
        <v>12575</v>
      </c>
      <c r="D3650" s="2">
        <v>46</v>
      </c>
      <c r="E3650" s="2">
        <v>46</v>
      </c>
      <c r="F3650" s="2" t="s">
        <v>12576</v>
      </c>
      <c r="H3650" s="2" t="s">
        <v>17</v>
      </c>
      <c r="K3650" s="4">
        <v>6050</v>
      </c>
      <c r="L3650" s="4">
        <v>39345</v>
      </c>
      <c r="M3650" s="2" t="s">
        <v>423</v>
      </c>
      <c r="N3650" s="2" t="s">
        <v>3088</v>
      </c>
    </row>
    <row r="3651" spans="1:14">
      <c r="A3651" s="2">
        <v>3650</v>
      </c>
      <c r="B3651" s="3" t="s">
        <v>12577</v>
      </c>
      <c r="C3651" s="2" t="s">
        <v>12578</v>
      </c>
      <c r="D3651" s="2">
        <v>45</v>
      </c>
      <c r="E3651" s="2">
        <v>45</v>
      </c>
      <c r="F3651" s="2" t="s">
        <v>12579</v>
      </c>
      <c r="H3651" s="2" t="s">
        <v>17</v>
      </c>
      <c r="K3651" s="4">
        <v>10472</v>
      </c>
      <c r="L3651" s="4">
        <v>30385</v>
      </c>
      <c r="M3651" s="2" t="s">
        <v>170</v>
      </c>
      <c r="N3651" s="2" t="s">
        <v>4354</v>
      </c>
    </row>
    <row r="3652" spans="1:14">
      <c r="A3652" s="2">
        <v>3651</v>
      </c>
      <c r="B3652" s="3" t="s">
        <v>12580</v>
      </c>
      <c r="C3652" s="2" t="s">
        <v>12581</v>
      </c>
      <c r="D3652" s="2">
        <v>41</v>
      </c>
      <c r="E3652" s="2">
        <v>45</v>
      </c>
      <c r="F3652" s="2" t="s">
        <v>12582</v>
      </c>
      <c r="H3652" s="2" t="s">
        <v>17</v>
      </c>
      <c r="K3652" s="4">
        <v>4613</v>
      </c>
      <c r="L3652" s="4">
        <v>31551</v>
      </c>
      <c r="M3652" s="2" t="s">
        <v>76</v>
      </c>
      <c r="N3652" s="2" t="s">
        <v>906</v>
      </c>
    </row>
    <row r="3653" spans="1:14">
      <c r="A3653" s="2">
        <v>3652</v>
      </c>
      <c r="B3653" s="3" t="s">
        <v>12583</v>
      </c>
      <c r="C3653" s="2" t="s">
        <v>12584</v>
      </c>
      <c r="D3653" s="2">
        <v>43</v>
      </c>
      <c r="E3653" s="2">
        <v>45</v>
      </c>
      <c r="F3653" s="2" t="s">
        <v>12585</v>
      </c>
      <c r="H3653" s="2" t="s">
        <v>17</v>
      </c>
      <c r="K3653" s="4">
        <v>5559</v>
      </c>
      <c r="L3653" s="4">
        <v>31960</v>
      </c>
      <c r="M3653" s="2" t="s">
        <v>154</v>
      </c>
      <c r="N3653" s="2" t="s">
        <v>208</v>
      </c>
    </row>
    <row r="3654" spans="1:14">
      <c r="A3654" s="2">
        <v>3653</v>
      </c>
      <c r="B3654" s="3" t="s">
        <v>12586</v>
      </c>
      <c r="C3654" s="2" t="s">
        <v>12587</v>
      </c>
      <c r="D3654" s="2">
        <v>44</v>
      </c>
      <c r="E3654" s="2">
        <v>45</v>
      </c>
      <c r="F3654" s="2" t="s">
        <v>12588</v>
      </c>
      <c r="H3654" s="2" t="s">
        <v>17</v>
      </c>
      <c r="K3654" s="4">
        <v>11088</v>
      </c>
      <c r="L3654" s="4">
        <v>33271</v>
      </c>
      <c r="M3654" s="2" t="s">
        <v>170</v>
      </c>
      <c r="N3654" s="2" t="s">
        <v>3654</v>
      </c>
    </row>
    <row r="3655" spans="1:14">
      <c r="A3655" s="2">
        <v>3654</v>
      </c>
      <c r="B3655" s="3" t="s">
        <v>12589</v>
      </c>
      <c r="C3655" s="2" t="s">
        <v>12590</v>
      </c>
      <c r="D3655" s="2">
        <v>42</v>
      </c>
      <c r="E3655" s="2">
        <v>45</v>
      </c>
      <c r="F3655" s="2" t="s">
        <v>12591</v>
      </c>
      <c r="H3655" s="2" t="s">
        <v>17</v>
      </c>
      <c r="K3655" s="4">
        <v>6374</v>
      </c>
      <c r="L3655" s="4">
        <v>38788</v>
      </c>
      <c r="M3655" s="2" t="s">
        <v>154</v>
      </c>
      <c r="N3655" s="2" t="s">
        <v>12592</v>
      </c>
    </row>
    <row r="3656" spans="1:14">
      <c r="A3656" s="2">
        <v>3655</v>
      </c>
      <c r="B3656" s="3" t="s">
        <v>12593</v>
      </c>
      <c r="C3656" s="2" t="s">
        <v>12594</v>
      </c>
      <c r="D3656" s="2">
        <v>41</v>
      </c>
      <c r="E3656" s="2">
        <v>45</v>
      </c>
      <c r="F3656" s="2" t="s">
        <v>12595</v>
      </c>
      <c r="H3656" s="2" t="s">
        <v>17</v>
      </c>
      <c r="K3656" s="4">
        <v>8871</v>
      </c>
      <c r="L3656" s="4">
        <v>32345</v>
      </c>
      <c r="M3656" s="2" t="s">
        <v>47</v>
      </c>
      <c r="N3656" s="2" t="s">
        <v>11600</v>
      </c>
    </row>
    <row r="3657" spans="1:14">
      <c r="A3657" s="2">
        <v>3656</v>
      </c>
      <c r="B3657" s="3" t="s">
        <v>12596</v>
      </c>
      <c r="C3657" s="2" t="s">
        <v>12597</v>
      </c>
      <c r="D3657" s="2">
        <v>45</v>
      </c>
      <c r="E3657" s="2">
        <v>45</v>
      </c>
      <c r="F3657" s="2" t="s">
        <v>12598</v>
      </c>
      <c r="H3657" s="2" t="s">
        <v>17</v>
      </c>
      <c r="K3657" s="4">
        <v>16004</v>
      </c>
      <c r="M3657" s="2" t="s">
        <v>341</v>
      </c>
      <c r="N3657" s="2" t="s">
        <v>342</v>
      </c>
    </row>
    <row r="3658" spans="1:14">
      <c r="A3658" s="2">
        <v>3657</v>
      </c>
      <c r="B3658" s="3" t="s">
        <v>12599</v>
      </c>
      <c r="C3658" s="2" t="s">
        <v>12600</v>
      </c>
      <c r="D3658" s="2">
        <v>45</v>
      </c>
      <c r="E3658" s="2">
        <v>45</v>
      </c>
      <c r="F3658" s="2" t="s">
        <v>12601</v>
      </c>
      <c r="H3658" s="2" t="s">
        <v>17</v>
      </c>
      <c r="K3658" s="4">
        <v>4333</v>
      </c>
    </row>
    <row r="3659" spans="1:14">
      <c r="A3659" s="2">
        <v>3658</v>
      </c>
      <c r="B3659" s="3" t="s">
        <v>12602</v>
      </c>
      <c r="C3659" s="2" t="s">
        <v>12603</v>
      </c>
      <c r="D3659" s="2">
        <v>45</v>
      </c>
      <c r="E3659" s="2">
        <v>45</v>
      </c>
      <c r="F3659" s="2" t="s">
        <v>12604</v>
      </c>
      <c r="H3659" s="2" t="s">
        <v>17</v>
      </c>
      <c r="K3659" s="4">
        <v>14389</v>
      </c>
      <c r="L3659" s="4">
        <v>44348</v>
      </c>
      <c r="M3659" s="2" t="s">
        <v>40</v>
      </c>
      <c r="N3659" s="2" t="s">
        <v>2376</v>
      </c>
    </row>
    <row r="3660" spans="1:14">
      <c r="A3660" s="2">
        <v>3659</v>
      </c>
      <c r="B3660" s="3" t="s">
        <v>12605</v>
      </c>
      <c r="C3660" s="2" t="s">
        <v>12606</v>
      </c>
      <c r="D3660" s="2">
        <v>45</v>
      </c>
      <c r="E3660" s="2">
        <v>45</v>
      </c>
      <c r="F3660" s="2" t="s">
        <v>12607</v>
      </c>
      <c r="H3660" s="2" t="s">
        <v>17</v>
      </c>
      <c r="K3660" s="4">
        <v>11180</v>
      </c>
      <c r="M3660" s="2" t="s">
        <v>85</v>
      </c>
      <c r="N3660" s="2" t="s">
        <v>221</v>
      </c>
    </row>
    <row r="3661" spans="1:14">
      <c r="A3661" s="2">
        <v>3660</v>
      </c>
      <c r="B3661" s="3" t="s">
        <v>12608</v>
      </c>
      <c r="C3661" s="2" t="s">
        <v>12609</v>
      </c>
      <c r="D3661" s="2">
        <v>39</v>
      </c>
      <c r="E3661" s="2">
        <v>45</v>
      </c>
      <c r="F3661" s="2" t="s">
        <v>12610</v>
      </c>
      <c r="H3661" s="2" t="s">
        <v>17</v>
      </c>
      <c r="K3661" s="4">
        <v>4335</v>
      </c>
      <c r="L3661" s="4">
        <v>32335</v>
      </c>
      <c r="M3661" s="2" t="s">
        <v>40</v>
      </c>
      <c r="N3661" s="2" t="s">
        <v>3611</v>
      </c>
    </row>
    <row r="3662" spans="1:14">
      <c r="A3662" s="2">
        <v>3661</v>
      </c>
      <c r="B3662" s="3" t="s">
        <v>12611</v>
      </c>
      <c r="C3662" s="2" t="s">
        <v>12612</v>
      </c>
      <c r="D3662" s="2">
        <v>42</v>
      </c>
      <c r="E3662" s="2">
        <v>45</v>
      </c>
      <c r="F3662" s="2" t="s">
        <v>12613</v>
      </c>
      <c r="H3662" s="2" t="s">
        <v>17</v>
      </c>
      <c r="K3662" s="4">
        <v>10913</v>
      </c>
      <c r="L3662" s="4">
        <v>39394</v>
      </c>
      <c r="M3662" s="2" t="s">
        <v>170</v>
      </c>
      <c r="N3662" s="2" t="s">
        <v>323</v>
      </c>
    </row>
    <row r="3663" spans="1:14">
      <c r="A3663" s="2">
        <v>3662</v>
      </c>
      <c r="B3663" s="3" t="s">
        <v>12614</v>
      </c>
      <c r="C3663" s="2" t="s">
        <v>12615</v>
      </c>
      <c r="D3663" s="2">
        <v>43</v>
      </c>
      <c r="E3663" s="2">
        <v>45</v>
      </c>
      <c r="F3663" s="2" t="s">
        <v>12616</v>
      </c>
      <c r="H3663" s="2" t="s">
        <v>17</v>
      </c>
      <c r="K3663" s="4">
        <v>9296</v>
      </c>
      <c r="L3663" s="4">
        <v>40700</v>
      </c>
      <c r="M3663" s="2" t="s">
        <v>66</v>
      </c>
      <c r="N3663" s="2" t="s">
        <v>3096</v>
      </c>
    </row>
    <row r="3664" spans="1:14">
      <c r="A3664" s="2">
        <v>3663</v>
      </c>
      <c r="B3664" s="3" t="s">
        <v>12617</v>
      </c>
      <c r="C3664" s="2" t="s">
        <v>12618</v>
      </c>
      <c r="D3664" s="2">
        <v>41</v>
      </c>
      <c r="E3664" s="2">
        <v>45</v>
      </c>
      <c r="F3664" s="2" t="s">
        <v>12619</v>
      </c>
      <c r="H3664" s="2" t="s">
        <v>17</v>
      </c>
      <c r="K3664" s="4">
        <v>8198</v>
      </c>
      <c r="L3664" s="4">
        <v>28986</v>
      </c>
      <c r="M3664" s="2" t="s">
        <v>423</v>
      </c>
      <c r="N3664" s="2" t="s">
        <v>11963</v>
      </c>
    </row>
    <row r="3665" spans="1:14">
      <c r="A3665" s="2">
        <v>3664</v>
      </c>
      <c r="B3665" s="3" t="s">
        <v>12620</v>
      </c>
      <c r="C3665" s="2" t="s">
        <v>12621</v>
      </c>
      <c r="D3665" s="2">
        <v>45</v>
      </c>
      <c r="E3665" s="2">
        <v>45</v>
      </c>
      <c r="F3665" s="2" t="s">
        <v>12622</v>
      </c>
      <c r="H3665" s="2" t="s">
        <v>17</v>
      </c>
      <c r="K3665" s="4">
        <v>5336</v>
      </c>
      <c r="L3665" s="4">
        <v>29621</v>
      </c>
      <c r="M3665" s="2" t="s">
        <v>47</v>
      </c>
      <c r="N3665" s="2" t="s">
        <v>691</v>
      </c>
    </row>
    <row r="3666" spans="1:14">
      <c r="A3666" s="2">
        <v>3665</v>
      </c>
      <c r="B3666" s="3" t="s">
        <v>12623</v>
      </c>
      <c r="C3666" s="2" t="s">
        <v>12624</v>
      </c>
      <c r="D3666" s="2">
        <v>45</v>
      </c>
      <c r="E3666" s="2">
        <v>45</v>
      </c>
      <c r="F3666" s="2" t="s">
        <v>12625</v>
      </c>
      <c r="H3666" s="2" t="s">
        <v>17</v>
      </c>
      <c r="K3666" s="4">
        <v>14156</v>
      </c>
      <c r="L3666" s="4">
        <v>42370</v>
      </c>
      <c r="M3666" s="2" t="s">
        <v>47</v>
      </c>
      <c r="N3666" s="2" t="s">
        <v>4440</v>
      </c>
    </row>
    <row r="3667" spans="1:14">
      <c r="A3667" s="2">
        <v>3666</v>
      </c>
      <c r="B3667" s="3" t="s">
        <v>12626</v>
      </c>
      <c r="C3667" s="2" t="s">
        <v>12627</v>
      </c>
      <c r="D3667" s="2">
        <v>45</v>
      </c>
      <c r="E3667" s="2">
        <v>45</v>
      </c>
      <c r="F3667" s="2" t="s">
        <v>12628</v>
      </c>
      <c r="H3667" s="2" t="s">
        <v>17</v>
      </c>
      <c r="K3667" s="4">
        <v>7368</v>
      </c>
      <c r="L3667" s="4">
        <v>36516</v>
      </c>
      <c r="M3667" s="2" t="s">
        <v>47</v>
      </c>
      <c r="N3667" s="2" t="s">
        <v>12629</v>
      </c>
    </row>
    <row r="3668" spans="1:14">
      <c r="A3668" s="2">
        <v>3667</v>
      </c>
      <c r="B3668" s="3" t="s">
        <v>12630</v>
      </c>
      <c r="C3668" s="2" t="s">
        <v>12631</v>
      </c>
      <c r="D3668" s="2">
        <v>38</v>
      </c>
      <c r="E3668" s="2">
        <v>45</v>
      </c>
      <c r="F3668" s="2" t="s">
        <v>12632</v>
      </c>
      <c r="H3668" s="2" t="s">
        <v>17</v>
      </c>
      <c r="K3668" s="4">
        <v>3924</v>
      </c>
      <c r="L3668" s="4">
        <v>30246</v>
      </c>
      <c r="M3668" s="2" t="s">
        <v>170</v>
      </c>
      <c r="N3668" s="2" t="s">
        <v>171</v>
      </c>
    </row>
    <row r="3669" spans="1:14">
      <c r="A3669" s="2">
        <v>3668</v>
      </c>
      <c r="B3669" s="3" t="s">
        <v>12633</v>
      </c>
      <c r="C3669" s="2" t="s">
        <v>12634</v>
      </c>
      <c r="D3669" s="2">
        <v>43</v>
      </c>
      <c r="E3669" s="2">
        <v>45</v>
      </c>
      <c r="F3669" s="2" t="s">
        <v>12635</v>
      </c>
      <c r="H3669" s="2" t="s">
        <v>17</v>
      </c>
      <c r="K3669" s="4">
        <v>15244</v>
      </c>
      <c r="L3669" s="4">
        <v>40784</v>
      </c>
      <c r="M3669" s="2" t="s">
        <v>198</v>
      </c>
      <c r="N3669" s="2" t="s">
        <v>3464</v>
      </c>
    </row>
    <row r="3670" spans="1:14">
      <c r="A3670" s="2">
        <v>3669</v>
      </c>
      <c r="B3670" s="3" t="s">
        <v>12636</v>
      </c>
      <c r="C3670" s="2" t="s">
        <v>12637</v>
      </c>
      <c r="D3670" s="2">
        <v>44</v>
      </c>
      <c r="E3670" s="2">
        <v>45</v>
      </c>
      <c r="F3670" s="2" t="s">
        <v>12638</v>
      </c>
      <c r="H3670" s="2" t="s">
        <v>17</v>
      </c>
      <c r="K3670" s="4">
        <v>4904</v>
      </c>
      <c r="L3670" s="4">
        <v>32821</v>
      </c>
      <c r="M3670" s="2" t="s">
        <v>66</v>
      </c>
      <c r="N3670" s="2" t="s">
        <v>71</v>
      </c>
    </row>
    <row r="3671" spans="1:14">
      <c r="A3671" s="2">
        <v>3670</v>
      </c>
      <c r="B3671" s="3" t="s">
        <v>12639</v>
      </c>
      <c r="C3671" s="2" t="s">
        <v>12640</v>
      </c>
      <c r="D3671" s="2">
        <v>44</v>
      </c>
      <c r="E3671" s="2">
        <v>45</v>
      </c>
      <c r="F3671" s="2" t="s">
        <v>12641</v>
      </c>
      <c r="H3671" s="2" t="s">
        <v>17</v>
      </c>
      <c r="K3671" s="4">
        <v>10952</v>
      </c>
      <c r="L3671" s="4">
        <v>29580</v>
      </c>
      <c r="M3671" s="2" t="s">
        <v>423</v>
      </c>
      <c r="N3671" s="2" t="s">
        <v>8765</v>
      </c>
    </row>
    <row r="3672" spans="1:14">
      <c r="A3672" s="2">
        <v>3671</v>
      </c>
      <c r="B3672" s="3" t="s">
        <v>12642</v>
      </c>
      <c r="C3672" s="2" t="s">
        <v>12643</v>
      </c>
      <c r="D3672" s="2">
        <v>42</v>
      </c>
      <c r="E3672" s="2">
        <v>45</v>
      </c>
      <c r="F3672" s="2" t="s">
        <v>12644</v>
      </c>
      <c r="H3672" s="2" t="s">
        <v>17</v>
      </c>
      <c r="K3672" s="4">
        <v>8615</v>
      </c>
      <c r="L3672" s="4">
        <v>42275</v>
      </c>
      <c r="M3672" s="2" t="s">
        <v>66</v>
      </c>
      <c r="N3672" s="2" t="s">
        <v>3640</v>
      </c>
    </row>
    <row r="3673" spans="1:14">
      <c r="A3673" s="2">
        <v>3672</v>
      </c>
      <c r="B3673" s="3" t="s">
        <v>12645</v>
      </c>
      <c r="C3673" s="2" t="s">
        <v>12646</v>
      </c>
      <c r="D3673" s="2">
        <v>45</v>
      </c>
      <c r="E3673" s="2">
        <v>45</v>
      </c>
      <c r="F3673" s="2" t="s">
        <v>12647</v>
      </c>
      <c r="H3673" s="2" t="s">
        <v>17</v>
      </c>
      <c r="K3673" s="4">
        <v>14557</v>
      </c>
      <c r="M3673" s="2" t="s">
        <v>154</v>
      </c>
      <c r="N3673" s="2" t="s">
        <v>4862</v>
      </c>
    </row>
    <row r="3674" spans="1:14">
      <c r="A3674" s="2">
        <v>3673</v>
      </c>
      <c r="B3674" s="3" t="s">
        <v>12648</v>
      </c>
      <c r="C3674" s="2" t="s">
        <v>12649</v>
      </c>
      <c r="D3674" s="2">
        <v>45</v>
      </c>
      <c r="E3674" s="2">
        <v>45</v>
      </c>
      <c r="F3674" s="2" t="s">
        <v>12650</v>
      </c>
      <c r="H3674" s="2" t="s">
        <v>17</v>
      </c>
      <c r="K3674" s="4">
        <v>11659</v>
      </c>
      <c r="L3674" s="4">
        <v>38607</v>
      </c>
      <c r="M3674" s="2" t="s">
        <v>35</v>
      </c>
      <c r="N3674" s="2" t="s">
        <v>12651</v>
      </c>
    </row>
    <row r="3675" spans="1:14">
      <c r="A3675" s="2">
        <v>3674</v>
      </c>
      <c r="B3675" s="3" t="s">
        <v>12652</v>
      </c>
      <c r="C3675" s="2" t="s">
        <v>12653</v>
      </c>
      <c r="D3675" s="2">
        <v>38</v>
      </c>
      <c r="E3675" s="2">
        <v>45</v>
      </c>
      <c r="F3675" s="2" t="s">
        <v>12654</v>
      </c>
      <c r="H3675" s="2" t="s">
        <v>17</v>
      </c>
      <c r="K3675" s="4">
        <v>4259</v>
      </c>
      <c r="L3675" s="4">
        <v>39894</v>
      </c>
      <c r="M3675" s="2" t="s">
        <v>423</v>
      </c>
      <c r="N3675" s="2" t="s">
        <v>3005</v>
      </c>
    </row>
    <row r="3676" spans="1:14">
      <c r="A3676" s="2">
        <v>3675</v>
      </c>
      <c r="B3676" s="3" t="s">
        <v>12655</v>
      </c>
      <c r="C3676" s="2" t="s">
        <v>12656</v>
      </c>
      <c r="D3676" s="2">
        <v>43</v>
      </c>
      <c r="E3676" s="2">
        <v>45</v>
      </c>
      <c r="F3676" s="2" t="s">
        <v>12657</v>
      </c>
      <c r="H3676" s="2" t="s">
        <v>17</v>
      </c>
      <c r="K3676" s="4">
        <v>6772</v>
      </c>
      <c r="L3676" s="4">
        <v>32902</v>
      </c>
      <c r="M3676" s="2" t="s">
        <v>170</v>
      </c>
      <c r="N3676" s="2" t="s">
        <v>323</v>
      </c>
    </row>
    <row r="3677" spans="1:14">
      <c r="A3677" s="2">
        <v>3676</v>
      </c>
      <c r="B3677" s="3" t="s">
        <v>12658</v>
      </c>
      <c r="C3677" s="2" t="s">
        <v>12659</v>
      </c>
      <c r="D3677" s="2">
        <v>42</v>
      </c>
      <c r="E3677" s="2">
        <v>45</v>
      </c>
      <c r="F3677" s="2" t="s">
        <v>12660</v>
      </c>
      <c r="H3677" s="2" t="s">
        <v>17</v>
      </c>
      <c r="K3677" s="4">
        <v>5164</v>
      </c>
      <c r="L3677" s="4">
        <v>35600</v>
      </c>
      <c r="M3677" s="2" t="s">
        <v>47</v>
      </c>
      <c r="N3677" s="2" t="s">
        <v>48</v>
      </c>
    </row>
    <row r="3678" spans="1:14">
      <c r="A3678" s="2">
        <v>3677</v>
      </c>
      <c r="B3678" s="3" t="s">
        <v>12661</v>
      </c>
      <c r="C3678" s="2" t="s">
        <v>12662</v>
      </c>
      <c r="D3678" s="2">
        <v>44</v>
      </c>
      <c r="E3678" s="2">
        <v>45</v>
      </c>
      <c r="F3678" s="2" t="s">
        <v>12663</v>
      </c>
      <c r="H3678" s="2" t="s">
        <v>17</v>
      </c>
      <c r="K3678" s="4">
        <v>10745</v>
      </c>
      <c r="L3678" s="4">
        <v>38215</v>
      </c>
      <c r="M3678" s="2" t="s">
        <v>423</v>
      </c>
      <c r="N3678" s="2" t="s">
        <v>11844</v>
      </c>
    </row>
    <row r="3679" spans="1:14">
      <c r="A3679" s="2">
        <v>3678</v>
      </c>
      <c r="B3679" s="3" t="s">
        <v>12664</v>
      </c>
      <c r="C3679" s="2" t="s">
        <v>12665</v>
      </c>
      <c r="D3679" s="2">
        <v>41</v>
      </c>
      <c r="E3679" s="2">
        <v>45</v>
      </c>
      <c r="F3679" s="2" t="s">
        <v>12666</v>
      </c>
      <c r="H3679" s="2" t="s">
        <v>17</v>
      </c>
      <c r="K3679" s="4">
        <v>9747</v>
      </c>
      <c r="L3679" s="4">
        <v>31538</v>
      </c>
      <c r="M3679" s="2" t="s">
        <v>170</v>
      </c>
      <c r="N3679" s="2" t="s">
        <v>323</v>
      </c>
    </row>
    <row r="3680" spans="1:14">
      <c r="A3680" s="2">
        <v>3679</v>
      </c>
      <c r="B3680" s="3" t="s">
        <v>12667</v>
      </c>
      <c r="C3680" s="2" t="s">
        <v>12668</v>
      </c>
      <c r="D3680" s="2">
        <v>45</v>
      </c>
      <c r="E3680" s="2">
        <v>45</v>
      </c>
      <c r="F3680" s="2" t="s">
        <v>12669</v>
      </c>
      <c r="H3680" s="2" t="s">
        <v>17</v>
      </c>
      <c r="K3680" s="4">
        <v>10804</v>
      </c>
      <c r="L3680" s="4">
        <v>38671</v>
      </c>
      <c r="M3680" s="2" t="s">
        <v>47</v>
      </c>
      <c r="N3680" s="2" t="s">
        <v>48</v>
      </c>
    </row>
    <row r="3681" spans="1:14">
      <c r="A3681" s="2">
        <v>3680</v>
      </c>
      <c r="B3681" s="3" t="s">
        <v>12670</v>
      </c>
      <c r="C3681" s="2" t="s">
        <v>12671</v>
      </c>
      <c r="D3681" s="2">
        <v>44</v>
      </c>
      <c r="E3681" s="2">
        <v>45</v>
      </c>
      <c r="F3681" s="2" t="s">
        <v>12672</v>
      </c>
      <c r="H3681" s="2" t="s">
        <v>17</v>
      </c>
      <c r="K3681" s="4">
        <v>9011</v>
      </c>
      <c r="L3681" s="4">
        <v>31664</v>
      </c>
      <c r="M3681" s="2" t="s">
        <v>164</v>
      </c>
      <c r="N3681" s="2" t="s">
        <v>165</v>
      </c>
    </row>
    <row r="3682" spans="1:14">
      <c r="A3682" s="2">
        <v>3681</v>
      </c>
      <c r="B3682" s="3" t="s">
        <v>12673</v>
      </c>
      <c r="C3682" s="2" t="s">
        <v>12674</v>
      </c>
      <c r="D3682" s="2">
        <v>45</v>
      </c>
      <c r="E3682" s="2">
        <v>45</v>
      </c>
      <c r="F3682" s="2" t="s">
        <v>12675</v>
      </c>
      <c r="H3682" s="2" t="s">
        <v>17</v>
      </c>
      <c r="K3682" s="4">
        <v>8501</v>
      </c>
      <c r="L3682" s="4">
        <v>38206</v>
      </c>
      <c r="M3682" s="2" t="s">
        <v>53</v>
      </c>
      <c r="N3682" s="2" t="s">
        <v>54</v>
      </c>
    </row>
    <row r="3683" spans="1:14">
      <c r="A3683" s="2">
        <v>3682</v>
      </c>
      <c r="B3683" s="3" t="s">
        <v>12676</v>
      </c>
      <c r="C3683" s="2" t="s">
        <v>12677</v>
      </c>
      <c r="D3683" s="2">
        <v>42</v>
      </c>
      <c r="E3683" s="2">
        <v>45</v>
      </c>
      <c r="F3683" s="2" t="s">
        <v>12678</v>
      </c>
      <c r="H3683" s="2" t="s">
        <v>17</v>
      </c>
      <c r="K3683" s="4">
        <v>11059</v>
      </c>
      <c r="L3683" s="4">
        <v>30865</v>
      </c>
      <c r="M3683" s="2" t="s">
        <v>170</v>
      </c>
      <c r="N3683" s="2" t="s">
        <v>323</v>
      </c>
    </row>
    <row r="3684" spans="1:14">
      <c r="A3684" s="2">
        <v>3683</v>
      </c>
      <c r="B3684" s="3" t="s">
        <v>12679</v>
      </c>
      <c r="C3684" s="2" t="s">
        <v>12680</v>
      </c>
      <c r="D3684" s="2">
        <v>43</v>
      </c>
      <c r="E3684" s="2">
        <v>45</v>
      </c>
      <c r="F3684" s="2" t="s">
        <v>12681</v>
      </c>
      <c r="H3684" s="2" t="s">
        <v>17</v>
      </c>
      <c r="K3684" s="4">
        <v>4851</v>
      </c>
      <c r="L3684" s="4">
        <v>37276</v>
      </c>
      <c r="M3684" s="2" t="s">
        <v>85</v>
      </c>
      <c r="N3684" s="2" t="s">
        <v>1356</v>
      </c>
    </row>
    <row r="3685" spans="1:14">
      <c r="A3685" s="2">
        <v>3684</v>
      </c>
      <c r="B3685" s="3" t="s">
        <v>12682</v>
      </c>
      <c r="C3685" s="2" t="s">
        <v>12683</v>
      </c>
      <c r="D3685" s="2">
        <v>45</v>
      </c>
      <c r="E3685" s="2">
        <v>45</v>
      </c>
      <c r="F3685" s="2" t="s">
        <v>12684</v>
      </c>
      <c r="H3685" s="2" t="s">
        <v>17</v>
      </c>
      <c r="K3685" s="4">
        <v>11167</v>
      </c>
      <c r="L3685" s="4">
        <v>41226</v>
      </c>
      <c r="M3685" s="2" t="s">
        <v>47</v>
      </c>
      <c r="N3685" s="2" t="s">
        <v>10466</v>
      </c>
    </row>
    <row r="3686" spans="1:14">
      <c r="A3686" s="2">
        <v>3685</v>
      </c>
      <c r="B3686" s="3" t="s">
        <v>12685</v>
      </c>
      <c r="C3686" s="2" t="s">
        <v>12686</v>
      </c>
      <c r="D3686" s="2">
        <v>44</v>
      </c>
      <c r="E3686" s="2">
        <v>45</v>
      </c>
      <c r="F3686" s="2" t="s">
        <v>12687</v>
      </c>
      <c r="H3686" s="2" t="s">
        <v>17</v>
      </c>
      <c r="K3686" s="4">
        <v>7356</v>
      </c>
      <c r="L3686" s="4">
        <v>30945</v>
      </c>
      <c r="M3686" s="2" t="s">
        <v>35</v>
      </c>
      <c r="N3686" s="2" t="s">
        <v>608</v>
      </c>
    </row>
    <row r="3687" spans="1:14">
      <c r="A3687" s="2">
        <v>3686</v>
      </c>
      <c r="B3687" s="3" t="s">
        <v>12688</v>
      </c>
      <c r="C3687" s="2" t="s">
        <v>12689</v>
      </c>
      <c r="D3687" s="2">
        <v>44</v>
      </c>
      <c r="E3687" s="2">
        <v>45</v>
      </c>
      <c r="F3687" s="2" t="s">
        <v>12690</v>
      </c>
      <c r="H3687" s="2" t="s">
        <v>17</v>
      </c>
      <c r="K3687" s="4">
        <v>14817</v>
      </c>
      <c r="M3687" s="2" t="s">
        <v>170</v>
      </c>
      <c r="N3687" s="2" t="s">
        <v>323</v>
      </c>
    </row>
    <row r="3688" spans="1:14">
      <c r="A3688" s="2">
        <v>3687</v>
      </c>
      <c r="B3688" s="3" t="s">
        <v>12691</v>
      </c>
      <c r="C3688" s="2" t="s">
        <v>12692</v>
      </c>
      <c r="D3688" s="2">
        <v>44</v>
      </c>
      <c r="E3688" s="2">
        <v>45</v>
      </c>
      <c r="F3688" s="2" t="s">
        <v>12693</v>
      </c>
      <c r="H3688" s="2" t="s">
        <v>17</v>
      </c>
      <c r="K3688" s="4">
        <v>9353</v>
      </c>
      <c r="L3688" s="4">
        <v>37835</v>
      </c>
      <c r="M3688" s="2" t="s">
        <v>170</v>
      </c>
      <c r="N3688" s="2" t="s">
        <v>2533</v>
      </c>
    </row>
    <row r="3689" spans="1:14">
      <c r="A3689" s="2">
        <v>3688</v>
      </c>
      <c r="B3689" s="3" t="s">
        <v>12694</v>
      </c>
      <c r="C3689" s="2" t="s">
        <v>12695</v>
      </c>
      <c r="D3689" s="2">
        <v>42</v>
      </c>
      <c r="E3689" s="2">
        <v>45</v>
      </c>
      <c r="F3689" s="2" t="s">
        <v>12696</v>
      </c>
      <c r="H3689" s="2" t="s">
        <v>17</v>
      </c>
      <c r="K3689" s="4">
        <v>9173</v>
      </c>
      <c r="L3689" s="4">
        <v>34064</v>
      </c>
      <c r="M3689" s="2" t="s">
        <v>170</v>
      </c>
      <c r="N3689" s="2" t="s">
        <v>323</v>
      </c>
    </row>
    <row r="3690" spans="1:14">
      <c r="A3690" s="2">
        <v>3689</v>
      </c>
      <c r="B3690" s="3" t="s">
        <v>12697</v>
      </c>
      <c r="C3690" s="2" t="s">
        <v>12698</v>
      </c>
      <c r="D3690" s="2">
        <v>39</v>
      </c>
      <c r="E3690" s="2">
        <v>45</v>
      </c>
      <c r="F3690" s="2" t="s">
        <v>12699</v>
      </c>
      <c r="H3690" s="2" t="s">
        <v>17</v>
      </c>
      <c r="K3690" s="4">
        <v>610</v>
      </c>
      <c r="L3690" s="4">
        <v>37388</v>
      </c>
      <c r="M3690" s="2" t="s">
        <v>35</v>
      </c>
      <c r="N3690" s="2" t="s">
        <v>12700</v>
      </c>
    </row>
    <row r="3691" spans="1:14">
      <c r="A3691" s="2">
        <v>3690</v>
      </c>
      <c r="B3691" s="3" t="s">
        <v>12701</v>
      </c>
      <c r="C3691" s="2" t="s">
        <v>12702</v>
      </c>
      <c r="D3691" s="2">
        <v>44</v>
      </c>
      <c r="E3691" s="2">
        <v>45</v>
      </c>
      <c r="F3691" s="2" t="s">
        <v>12703</v>
      </c>
      <c r="H3691" s="2" t="s">
        <v>17</v>
      </c>
      <c r="K3691" s="4">
        <v>8803</v>
      </c>
      <c r="L3691" s="4">
        <v>40034</v>
      </c>
      <c r="M3691" s="2" t="s">
        <v>47</v>
      </c>
      <c r="N3691" s="2" t="s">
        <v>48</v>
      </c>
    </row>
    <row r="3692" spans="1:14">
      <c r="A3692" s="2">
        <v>3691</v>
      </c>
      <c r="B3692" s="3" t="s">
        <v>12704</v>
      </c>
      <c r="C3692" s="2" t="s">
        <v>12705</v>
      </c>
      <c r="D3692" s="2">
        <v>43</v>
      </c>
      <c r="E3692" s="2">
        <v>45</v>
      </c>
      <c r="F3692" s="2" t="s">
        <v>12706</v>
      </c>
      <c r="H3692" s="2" t="s">
        <v>17</v>
      </c>
      <c r="K3692" s="4">
        <v>5337</v>
      </c>
      <c r="L3692" s="4">
        <v>33456</v>
      </c>
      <c r="M3692" s="2" t="s">
        <v>164</v>
      </c>
      <c r="N3692" s="2" t="s">
        <v>165</v>
      </c>
    </row>
    <row r="3693" spans="1:14">
      <c r="A3693" s="2">
        <v>3692</v>
      </c>
      <c r="B3693" s="3" t="s">
        <v>12707</v>
      </c>
      <c r="C3693" s="2" t="s">
        <v>12708</v>
      </c>
      <c r="D3693" s="2">
        <v>42</v>
      </c>
      <c r="E3693" s="2">
        <v>45</v>
      </c>
      <c r="F3693" s="2" t="s">
        <v>12709</v>
      </c>
      <c r="H3693" s="2" t="s">
        <v>17</v>
      </c>
      <c r="K3693" s="4">
        <v>7854</v>
      </c>
      <c r="L3693" s="4">
        <v>43090</v>
      </c>
      <c r="M3693" s="2" t="s">
        <v>140</v>
      </c>
      <c r="N3693" s="2" t="s">
        <v>12710</v>
      </c>
    </row>
    <row r="3694" spans="1:14">
      <c r="A3694" s="2">
        <v>3693</v>
      </c>
      <c r="B3694" s="3" t="s">
        <v>12711</v>
      </c>
      <c r="C3694" s="2" t="s">
        <v>12712</v>
      </c>
      <c r="D3694" s="2">
        <v>45</v>
      </c>
      <c r="E3694" s="2">
        <v>45</v>
      </c>
      <c r="F3694" s="2" t="s">
        <v>12713</v>
      </c>
      <c r="H3694" s="2" t="s">
        <v>17</v>
      </c>
      <c r="K3694" s="4">
        <v>12520</v>
      </c>
      <c r="L3694" s="4">
        <v>30533</v>
      </c>
      <c r="M3694" s="2" t="s">
        <v>35</v>
      </c>
      <c r="N3694" s="2" t="s">
        <v>10815</v>
      </c>
    </row>
    <row r="3695" spans="1:14">
      <c r="A3695" s="2">
        <v>3694</v>
      </c>
      <c r="B3695" s="3" t="s">
        <v>12714</v>
      </c>
      <c r="C3695" s="2" t="s">
        <v>12715</v>
      </c>
      <c r="D3695" s="2">
        <v>45</v>
      </c>
      <c r="E3695" s="2">
        <v>45</v>
      </c>
      <c r="F3695" s="2" t="s">
        <v>12716</v>
      </c>
      <c r="H3695" s="2" t="s">
        <v>17</v>
      </c>
      <c r="K3695" s="4">
        <v>8705</v>
      </c>
      <c r="L3695" s="4">
        <v>41578</v>
      </c>
      <c r="M3695" s="2" t="s">
        <v>336</v>
      </c>
      <c r="N3695" s="2" t="s">
        <v>7208</v>
      </c>
    </row>
    <row r="3696" spans="1:14">
      <c r="A3696" s="2">
        <v>3695</v>
      </c>
      <c r="B3696" s="3" t="s">
        <v>12717</v>
      </c>
      <c r="C3696" s="2" t="s">
        <v>12718</v>
      </c>
      <c r="D3696" s="2">
        <v>45</v>
      </c>
      <c r="E3696" s="2">
        <v>45</v>
      </c>
      <c r="F3696" s="2" t="s">
        <v>12719</v>
      </c>
      <c r="H3696" s="2" t="s">
        <v>17</v>
      </c>
      <c r="K3696" s="4">
        <v>13272</v>
      </c>
      <c r="M3696" s="2" t="s">
        <v>185</v>
      </c>
      <c r="N3696" s="2" t="s">
        <v>186</v>
      </c>
    </row>
    <row r="3697" spans="1:14">
      <c r="A3697" s="2">
        <v>3696</v>
      </c>
      <c r="B3697" s="3" t="s">
        <v>12720</v>
      </c>
      <c r="C3697" s="2" t="s">
        <v>12721</v>
      </c>
      <c r="D3697" s="2">
        <v>40</v>
      </c>
      <c r="E3697" s="2">
        <v>45</v>
      </c>
      <c r="F3697" s="2" t="s">
        <v>12722</v>
      </c>
      <c r="H3697" s="2" t="s">
        <v>17</v>
      </c>
      <c r="K3697" s="4">
        <v>3430</v>
      </c>
      <c r="L3697" s="4">
        <v>36439</v>
      </c>
      <c r="M3697" s="2" t="s">
        <v>164</v>
      </c>
      <c r="N3697" s="2" t="s">
        <v>1214</v>
      </c>
    </row>
    <row r="3698" spans="1:14">
      <c r="A3698" s="2">
        <v>3697</v>
      </c>
      <c r="B3698" s="3" t="s">
        <v>12723</v>
      </c>
      <c r="C3698" s="2" t="s">
        <v>12724</v>
      </c>
      <c r="D3698" s="2">
        <v>45</v>
      </c>
      <c r="E3698" s="2">
        <v>45</v>
      </c>
      <c r="F3698" s="2" t="s">
        <v>12725</v>
      </c>
      <c r="H3698" s="2" t="s">
        <v>17</v>
      </c>
      <c r="K3698" s="4">
        <v>8156</v>
      </c>
      <c r="M3698" s="2" t="s">
        <v>185</v>
      </c>
      <c r="N3698" s="2" t="s">
        <v>838</v>
      </c>
    </row>
    <row r="3699" spans="1:14">
      <c r="A3699" s="2">
        <v>3698</v>
      </c>
      <c r="B3699" s="3" t="s">
        <v>12726</v>
      </c>
      <c r="C3699" s="2" t="s">
        <v>12727</v>
      </c>
      <c r="D3699" s="2">
        <v>43</v>
      </c>
      <c r="E3699" s="2">
        <v>45</v>
      </c>
      <c r="F3699" s="2" t="s">
        <v>12728</v>
      </c>
      <c r="H3699" s="2" t="s">
        <v>17</v>
      </c>
      <c r="K3699" s="4">
        <v>8891</v>
      </c>
      <c r="L3699" s="4">
        <v>35192</v>
      </c>
      <c r="M3699" s="2" t="s">
        <v>18</v>
      </c>
      <c r="N3699" s="2" t="s">
        <v>5247</v>
      </c>
    </row>
    <row r="3700" spans="1:14">
      <c r="A3700" s="2">
        <v>3699</v>
      </c>
      <c r="B3700" s="3" t="s">
        <v>12729</v>
      </c>
      <c r="C3700" s="2" t="s">
        <v>12730</v>
      </c>
      <c r="D3700" s="2">
        <v>45</v>
      </c>
      <c r="E3700" s="2">
        <v>45</v>
      </c>
      <c r="F3700" s="2" t="s">
        <v>12731</v>
      </c>
      <c r="H3700" s="2" t="s">
        <v>17</v>
      </c>
      <c r="K3700" s="4">
        <v>7187</v>
      </c>
      <c r="M3700" s="2" t="s">
        <v>53</v>
      </c>
      <c r="N3700" s="2" t="s">
        <v>9382</v>
      </c>
    </row>
    <row r="3701" spans="1:14">
      <c r="A3701" s="2">
        <v>3700</v>
      </c>
      <c r="B3701" s="3" t="s">
        <v>12732</v>
      </c>
      <c r="C3701" s="2" t="s">
        <v>12733</v>
      </c>
      <c r="D3701" s="2">
        <v>41</v>
      </c>
      <c r="E3701" s="2">
        <v>45</v>
      </c>
      <c r="F3701" s="2" t="s">
        <v>12734</v>
      </c>
      <c r="H3701" s="2" t="s">
        <v>17</v>
      </c>
      <c r="K3701" s="4">
        <v>4564</v>
      </c>
      <c r="L3701" s="4">
        <v>37438</v>
      </c>
      <c r="M3701" s="2" t="s">
        <v>35</v>
      </c>
      <c r="N3701" s="2" t="s">
        <v>12735</v>
      </c>
    </row>
    <row r="3702" spans="1:14">
      <c r="A3702" s="2">
        <v>3701</v>
      </c>
      <c r="B3702" s="3" t="s">
        <v>12736</v>
      </c>
      <c r="C3702" s="2" t="s">
        <v>12737</v>
      </c>
      <c r="D3702" s="2">
        <v>45</v>
      </c>
      <c r="E3702" s="2">
        <v>45</v>
      </c>
      <c r="F3702" s="2" t="s">
        <v>12738</v>
      </c>
      <c r="H3702" s="2" t="s">
        <v>17</v>
      </c>
      <c r="K3702" s="4">
        <v>13802</v>
      </c>
      <c r="L3702" s="4">
        <v>30610</v>
      </c>
      <c r="M3702" s="2" t="s">
        <v>47</v>
      </c>
      <c r="N3702" s="2" t="s">
        <v>12739</v>
      </c>
    </row>
    <row r="3703" spans="1:14">
      <c r="A3703" s="2">
        <v>3702</v>
      </c>
      <c r="B3703" s="3" t="s">
        <v>12740</v>
      </c>
      <c r="C3703" s="2" t="s">
        <v>12741</v>
      </c>
      <c r="D3703" s="2">
        <v>45</v>
      </c>
      <c r="E3703" s="2">
        <v>45</v>
      </c>
      <c r="F3703" s="2" t="s">
        <v>12742</v>
      </c>
      <c r="H3703" s="2" t="s">
        <v>17</v>
      </c>
      <c r="K3703" s="4">
        <v>12880</v>
      </c>
      <c r="L3703" s="4">
        <v>44353</v>
      </c>
      <c r="M3703" s="2" t="s">
        <v>47</v>
      </c>
      <c r="N3703" s="2" t="s">
        <v>12743</v>
      </c>
    </row>
    <row r="3704" spans="1:14">
      <c r="A3704" s="2">
        <v>3703</v>
      </c>
      <c r="B3704" s="3" t="s">
        <v>12744</v>
      </c>
      <c r="C3704" s="2" t="s">
        <v>12745</v>
      </c>
      <c r="D3704" s="2">
        <v>45</v>
      </c>
      <c r="E3704" s="2">
        <v>45</v>
      </c>
      <c r="F3704" s="2" t="s">
        <v>12746</v>
      </c>
      <c r="H3704" s="2" t="s">
        <v>17</v>
      </c>
      <c r="K3704" s="4">
        <v>7103</v>
      </c>
      <c r="L3704" s="4">
        <v>37351</v>
      </c>
      <c r="M3704" s="2" t="s">
        <v>170</v>
      </c>
      <c r="N3704" s="2" t="s">
        <v>323</v>
      </c>
    </row>
    <row r="3705" spans="1:14">
      <c r="A3705" s="2">
        <v>3704</v>
      </c>
      <c r="B3705" s="3" t="s">
        <v>12747</v>
      </c>
      <c r="C3705" s="2" t="s">
        <v>12748</v>
      </c>
      <c r="D3705" s="2">
        <v>45</v>
      </c>
      <c r="E3705" s="2">
        <v>45</v>
      </c>
      <c r="F3705" s="2" t="s">
        <v>12749</v>
      </c>
      <c r="H3705" s="2" t="s">
        <v>17</v>
      </c>
      <c r="K3705" s="4">
        <v>15511</v>
      </c>
      <c r="M3705" s="2" t="s">
        <v>53</v>
      </c>
      <c r="N3705" s="2" t="s">
        <v>847</v>
      </c>
    </row>
    <row r="3706" spans="1:14">
      <c r="A3706" s="2">
        <v>3705</v>
      </c>
      <c r="B3706" s="3" t="s">
        <v>12750</v>
      </c>
      <c r="C3706" s="2" t="s">
        <v>12751</v>
      </c>
      <c r="D3706" s="2">
        <v>45</v>
      </c>
      <c r="E3706" s="2">
        <v>45</v>
      </c>
      <c r="F3706" s="2" t="s">
        <v>12752</v>
      </c>
      <c r="H3706" s="2" t="s">
        <v>17</v>
      </c>
      <c r="K3706" s="4">
        <v>6210</v>
      </c>
      <c r="L3706" s="4">
        <v>39949</v>
      </c>
      <c r="M3706" s="2" t="s">
        <v>40</v>
      </c>
      <c r="N3706" s="2" t="s">
        <v>6544</v>
      </c>
    </row>
    <row r="3707" spans="1:14">
      <c r="A3707" s="2">
        <v>3706</v>
      </c>
      <c r="B3707" s="3" t="s">
        <v>12753</v>
      </c>
      <c r="C3707" s="2" t="s">
        <v>12754</v>
      </c>
      <c r="D3707" s="2">
        <v>44</v>
      </c>
      <c r="E3707" s="2">
        <v>45</v>
      </c>
      <c r="F3707" s="2" t="s">
        <v>12755</v>
      </c>
      <c r="H3707" s="2" t="s">
        <v>17</v>
      </c>
      <c r="K3707" s="4">
        <v>9513</v>
      </c>
      <c r="L3707" s="4">
        <v>45631</v>
      </c>
      <c r="M3707" s="2" t="s">
        <v>53</v>
      </c>
      <c r="N3707" s="2" t="s">
        <v>1697</v>
      </c>
    </row>
    <row r="3708" spans="1:14">
      <c r="A3708" s="2">
        <v>3707</v>
      </c>
      <c r="B3708" s="3" t="s">
        <v>12756</v>
      </c>
      <c r="C3708" s="2" t="s">
        <v>12757</v>
      </c>
      <c r="D3708" s="2">
        <v>45</v>
      </c>
      <c r="E3708" s="2">
        <v>45</v>
      </c>
      <c r="F3708" s="2" t="s">
        <v>12758</v>
      </c>
      <c r="H3708" s="2" t="s">
        <v>17</v>
      </c>
      <c r="K3708" s="4">
        <v>9005</v>
      </c>
      <c r="L3708" s="4">
        <v>40370</v>
      </c>
      <c r="M3708" s="2" t="s">
        <v>192</v>
      </c>
      <c r="N3708" s="2" t="s">
        <v>3992</v>
      </c>
    </row>
    <row r="3709" spans="1:14">
      <c r="A3709" s="2">
        <v>3708</v>
      </c>
      <c r="B3709" s="3" t="s">
        <v>12759</v>
      </c>
      <c r="C3709" s="2" t="s">
        <v>12760</v>
      </c>
      <c r="D3709" s="2">
        <v>43</v>
      </c>
      <c r="E3709" s="2">
        <v>45</v>
      </c>
      <c r="F3709" s="2" t="s">
        <v>12761</v>
      </c>
      <c r="H3709" s="2" t="s">
        <v>17</v>
      </c>
      <c r="K3709" s="4">
        <v>9681</v>
      </c>
      <c r="L3709" s="4">
        <v>43918</v>
      </c>
      <c r="M3709" s="2" t="s">
        <v>85</v>
      </c>
      <c r="N3709" s="2" t="s">
        <v>2563</v>
      </c>
    </row>
    <row r="3710" spans="1:14">
      <c r="A3710" s="2">
        <v>3709</v>
      </c>
      <c r="B3710" s="3" t="s">
        <v>12762</v>
      </c>
      <c r="C3710" s="2" t="s">
        <v>12763</v>
      </c>
      <c r="D3710" s="2">
        <v>41</v>
      </c>
      <c r="E3710" s="2">
        <v>45</v>
      </c>
      <c r="F3710" s="2" t="s">
        <v>12764</v>
      </c>
      <c r="H3710" s="2" t="s">
        <v>17</v>
      </c>
      <c r="K3710" s="4">
        <v>10340</v>
      </c>
      <c r="L3710" s="4">
        <v>35898</v>
      </c>
      <c r="M3710" s="2" t="s">
        <v>76</v>
      </c>
      <c r="N3710" s="2" t="s">
        <v>906</v>
      </c>
    </row>
    <row r="3711" spans="1:14">
      <c r="A3711" s="2">
        <v>3710</v>
      </c>
      <c r="B3711" s="3" t="s">
        <v>12765</v>
      </c>
      <c r="C3711" s="2" t="s">
        <v>12766</v>
      </c>
      <c r="D3711" s="2">
        <v>45</v>
      </c>
      <c r="E3711" s="2">
        <v>45</v>
      </c>
      <c r="F3711" s="2" t="s">
        <v>12767</v>
      </c>
      <c r="H3711" s="2" t="s">
        <v>17</v>
      </c>
      <c r="K3711" s="4">
        <v>9688</v>
      </c>
      <c r="M3711" s="2" t="s">
        <v>47</v>
      </c>
      <c r="N3711" s="2" t="s">
        <v>1718</v>
      </c>
    </row>
    <row r="3712" spans="1:14">
      <c r="A3712" s="2">
        <v>3711</v>
      </c>
      <c r="B3712" s="3" t="s">
        <v>12768</v>
      </c>
      <c r="C3712" s="2" t="s">
        <v>12769</v>
      </c>
      <c r="D3712" s="2">
        <v>44</v>
      </c>
      <c r="E3712" s="2">
        <v>45</v>
      </c>
      <c r="F3712" s="2" t="s">
        <v>12770</v>
      </c>
      <c r="H3712" s="2" t="s">
        <v>17</v>
      </c>
      <c r="K3712" s="4">
        <v>12282</v>
      </c>
      <c r="L3712" s="4">
        <v>44465</v>
      </c>
      <c r="M3712" s="2" t="s">
        <v>423</v>
      </c>
      <c r="N3712" s="2" t="s">
        <v>8765</v>
      </c>
    </row>
    <row r="3713" spans="1:14">
      <c r="A3713" s="2">
        <v>3712</v>
      </c>
      <c r="B3713" s="3" t="s">
        <v>12771</v>
      </c>
      <c r="C3713" s="2" t="s">
        <v>12772</v>
      </c>
      <c r="D3713" s="2">
        <v>38</v>
      </c>
      <c r="E3713" s="2">
        <v>45</v>
      </c>
      <c r="F3713" s="2" t="s">
        <v>12773</v>
      </c>
      <c r="H3713" s="2" t="s">
        <v>17</v>
      </c>
      <c r="K3713" s="4">
        <v>1297</v>
      </c>
      <c r="L3713" s="4">
        <v>27582</v>
      </c>
      <c r="M3713" s="2" t="s">
        <v>76</v>
      </c>
      <c r="N3713" s="2" t="s">
        <v>6628</v>
      </c>
    </row>
    <row r="3714" spans="1:14">
      <c r="A3714" s="2">
        <v>3713</v>
      </c>
      <c r="B3714" s="3" t="s">
        <v>12774</v>
      </c>
      <c r="C3714" s="2" t="s">
        <v>12775</v>
      </c>
      <c r="D3714" s="2">
        <v>44</v>
      </c>
      <c r="E3714" s="2">
        <v>45</v>
      </c>
      <c r="F3714" s="2" t="s">
        <v>12776</v>
      </c>
      <c r="H3714" s="2" t="s">
        <v>17</v>
      </c>
      <c r="K3714" s="4">
        <v>9331</v>
      </c>
      <c r="L3714" s="4">
        <v>38131</v>
      </c>
      <c r="M3714" s="2" t="s">
        <v>53</v>
      </c>
      <c r="N3714" s="2" t="s">
        <v>12493</v>
      </c>
    </row>
    <row r="3715" spans="1:14">
      <c r="A3715" s="2">
        <v>3714</v>
      </c>
      <c r="B3715" s="3" t="s">
        <v>12777</v>
      </c>
      <c r="C3715" s="2" t="s">
        <v>12778</v>
      </c>
      <c r="D3715" s="2">
        <v>45</v>
      </c>
      <c r="E3715" s="2">
        <v>45</v>
      </c>
      <c r="F3715" s="2" t="s">
        <v>12779</v>
      </c>
      <c r="H3715" s="2" t="s">
        <v>17</v>
      </c>
      <c r="K3715" s="4">
        <v>9613</v>
      </c>
      <c r="L3715" s="4">
        <v>32135</v>
      </c>
      <c r="M3715" s="2" t="s">
        <v>47</v>
      </c>
      <c r="N3715" s="2" t="s">
        <v>12780</v>
      </c>
    </row>
    <row r="3716" spans="1:14">
      <c r="A3716" s="2">
        <v>3715</v>
      </c>
      <c r="B3716" s="3" t="s">
        <v>12781</v>
      </c>
      <c r="C3716" s="2" t="s">
        <v>12782</v>
      </c>
      <c r="D3716" s="2">
        <v>44</v>
      </c>
      <c r="E3716" s="2">
        <v>45</v>
      </c>
      <c r="F3716" s="2" t="s">
        <v>12783</v>
      </c>
      <c r="H3716" s="2" t="s">
        <v>17</v>
      </c>
      <c r="K3716" s="4">
        <v>3211</v>
      </c>
      <c r="L3716" s="4">
        <v>34308</v>
      </c>
      <c r="M3716" s="2" t="s">
        <v>154</v>
      </c>
      <c r="N3716" s="2" t="s">
        <v>155</v>
      </c>
    </row>
    <row r="3717" spans="1:14">
      <c r="A3717" s="2">
        <v>3716</v>
      </c>
      <c r="B3717" s="3" t="s">
        <v>12784</v>
      </c>
      <c r="C3717" s="2" t="s">
        <v>12785</v>
      </c>
      <c r="D3717" s="2">
        <v>45</v>
      </c>
      <c r="E3717" s="2">
        <v>45</v>
      </c>
      <c r="F3717" s="2" t="s">
        <v>12786</v>
      </c>
      <c r="H3717" s="2" t="s">
        <v>17</v>
      </c>
      <c r="K3717" s="4">
        <v>9794</v>
      </c>
      <c r="L3717" s="4">
        <v>38750</v>
      </c>
      <c r="M3717" s="2" t="s">
        <v>40</v>
      </c>
      <c r="N3717" s="2" t="s">
        <v>41</v>
      </c>
    </row>
    <row r="3718" spans="1:14">
      <c r="A3718" s="2">
        <v>3717</v>
      </c>
      <c r="B3718" s="3" t="s">
        <v>12787</v>
      </c>
      <c r="C3718" s="2" t="s">
        <v>12788</v>
      </c>
      <c r="D3718" s="2">
        <v>41</v>
      </c>
      <c r="E3718" s="2">
        <v>45</v>
      </c>
      <c r="F3718" s="2" t="s">
        <v>12789</v>
      </c>
      <c r="H3718" s="2" t="s">
        <v>17</v>
      </c>
      <c r="K3718" s="4">
        <v>3558</v>
      </c>
      <c r="L3718" s="4">
        <v>29002</v>
      </c>
      <c r="M3718" s="2" t="s">
        <v>336</v>
      </c>
      <c r="N3718" s="2" t="s">
        <v>12790</v>
      </c>
    </row>
    <row r="3719" spans="1:14">
      <c r="A3719" s="2">
        <v>3718</v>
      </c>
      <c r="B3719" s="3" t="s">
        <v>12791</v>
      </c>
      <c r="C3719" s="2" t="s">
        <v>12792</v>
      </c>
      <c r="D3719" s="2">
        <v>38</v>
      </c>
      <c r="E3719" s="2">
        <v>45</v>
      </c>
      <c r="F3719" s="2" t="s">
        <v>12793</v>
      </c>
      <c r="H3719" s="2" t="s">
        <v>17</v>
      </c>
      <c r="K3719" s="4">
        <v>1583</v>
      </c>
      <c r="L3719" s="4">
        <v>31461</v>
      </c>
      <c r="M3719" s="2" t="s">
        <v>35</v>
      </c>
      <c r="N3719" s="2" t="s">
        <v>672</v>
      </c>
    </row>
    <row r="3720" spans="1:14">
      <c r="A3720" s="2">
        <v>3719</v>
      </c>
      <c r="B3720" s="3" t="s">
        <v>12794</v>
      </c>
      <c r="C3720" s="2" t="s">
        <v>12795</v>
      </c>
      <c r="D3720" s="2">
        <v>44</v>
      </c>
      <c r="E3720" s="2">
        <v>45</v>
      </c>
      <c r="F3720" s="2" t="s">
        <v>12796</v>
      </c>
      <c r="H3720" s="2" t="s">
        <v>17</v>
      </c>
      <c r="K3720" s="4">
        <v>10232</v>
      </c>
      <c r="L3720" s="4">
        <v>37437</v>
      </c>
      <c r="M3720" s="2" t="s">
        <v>170</v>
      </c>
      <c r="N3720" s="2" t="s">
        <v>323</v>
      </c>
    </row>
    <row r="3721" spans="1:14">
      <c r="A3721" s="2">
        <v>3720</v>
      </c>
      <c r="B3721" s="3" t="s">
        <v>12797</v>
      </c>
      <c r="C3721" s="2" t="s">
        <v>12798</v>
      </c>
      <c r="D3721" s="2">
        <v>44</v>
      </c>
      <c r="E3721" s="2">
        <v>45</v>
      </c>
      <c r="F3721" s="2" t="s">
        <v>12799</v>
      </c>
      <c r="H3721" s="2" t="s">
        <v>17</v>
      </c>
      <c r="K3721" s="4">
        <v>5022</v>
      </c>
      <c r="L3721" s="4">
        <v>35388</v>
      </c>
      <c r="M3721" s="2" t="s">
        <v>170</v>
      </c>
      <c r="N3721" s="2" t="s">
        <v>784</v>
      </c>
    </row>
    <row r="3722" spans="1:14">
      <c r="A3722" s="2">
        <v>3721</v>
      </c>
      <c r="B3722" s="3" t="s">
        <v>12800</v>
      </c>
      <c r="C3722" s="2" t="s">
        <v>12801</v>
      </c>
      <c r="D3722" s="2">
        <v>42</v>
      </c>
      <c r="E3722" s="2">
        <v>45</v>
      </c>
      <c r="F3722" s="2" t="s">
        <v>12802</v>
      </c>
      <c r="H3722" s="2" t="s">
        <v>17</v>
      </c>
      <c r="K3722" s="4">
        <v>5804</v>
      </c>
      <c r="L3722" s="4">
        <v>38163</v>
      </c>
      <c r="M3722" s="2" t="s">
        <v>66</v>
      </c>
      <c r="N3722" s="2" t="s">
        <v>3384</v>
      </c>
    </row>
    <row r="3723" spans="1:14">
      <c r="A3723" s="2">
        <v>3722</v>
      </c>
      <c r="B3723" s="3" t="s">
        <v>12803</v>
      </c>
      <c r="C3723" s="2" t="s">
        <v>12804</v>
      </c>
      <c r="D3723" s="2">
        <v>43</v>
      </c>
      <c r="E3723" s="2">
        <v>45</v>
      </c>
      <c r="F3723" s="2" t="s">
        <v>12805</v>
      </c>
      <c r="H3723" s="2" t="s">
        <v>17</v>
      </c>
      <c r="K3723" s="4">
        <v>4842</v>
      </c>
      <c r="L3723" s="4">
        <v>27888</v>
      </c>
      <c r="M3723" s="2" t="s">
        <v>170</v>
      </c>
      <c r="N3723" s="2" t="s">
        <v>12352</v>
      </c>
    </row>
    <row r="3724" spans="1:14">
      <c r="A3724" s="2">
        <v>3723</v>
      </c>
      <c r="B3724" s="3" t="s">
        <v>12806</v>
      </c>
      <c r="C3724" s="2" t="s">
        <v>12807</v>
      </c>
      <c r="D3724" s="2">
        <v>45</v>
      </c>
      <c r="E3724" s="2">
        <v>45</v>
      </c>
      <c r="F3724" s="2" t="s">
        <v>12808</v>
      </c>
      <c r="H3724" s="2" t="s">
        <v>17</v>
      </c>
      <c r="K3724" s="4">
        <v>6584</v>
      </c>
      <c r="M3724" s="2" t="s">
        <v>47</v>
      </c>
      <c r="N3724" s="2" t="s">
        <v>12629</v>
      </c>
    </row>
    <row r="3725" spans="1:14">
      <c r="A3725" s="2">
        <v>3724</v>
      </c>
      <c r="B3725" s="3" t="s">
        <v>12809</v>
      </c>
      <c r="C3725" s="2" t="s">
        <v>12810</v>
      </c>
      <c r="D3725" s="2">
        <v>43</v>
      </c>
      <c r="E3725" s="2">
        <v>45</v>
      </c>
      <c r="F3725" s="2" t="s">
        <v>12811</v>
      </c>
      <c r="H3725" s="2" t="s">
        <v>17</v>
      </c>
      <c r="K3725" s="4">
        <v>5883</v>
      </c>
      <c r="L3725" s="4">
        <v>32359</v>
      </c>
      <c r="M3725" s="2" t="s">
        <v>85</v>
      </c>
      <c r="N3725" s="2" t="s">
        <v>1868</v>
      </c>
    </row>
    <row r="3726" spans="1:14">
      <c r="A3726" s="2">
        <v>3725</v>
      </c>
      <c r="B3726" s="3" t="s">
        <v>12812</v>
      </c>
      <c r="C3726" s="2" t="s">
        <v>12813</v>
      </c>
      <c r="D3726" s="2">
        <v>44</v>
      </c>
      <c r="E3726" s="2">
        <v>45</v>
      </c>
      <c r="F3726" s="2" t="s">
        <v>12814</v>
      </c>
      <c r="H3726" s="2" t="s">
        <v>17</v>
      </c>
      <c r="K3726" s="4">
        <v>10866</v>
      </c>
      <c r="L3726" s="4">
        <v>31851</v>
      </c>
      <c r="M3726" s="2" t="s">
        <v>185</v>
      </c>
      <c r="N3726" s="2" t="s">
        <v>838</v>
      </c>
    </row>
    <row r="3727" spans="1:14">
      <c r="A3727" s="2">
        <v>3726</v>
      </c>
      <c r="B3727" s="3" t="s">
        <v>12815</v>
      </c>
      <c r="C3727" s="2" t="s">
        <v>12816</v>
      </c>
      <c r="D3727" s="2">
        <v>45</v>
      </c>
      <c r="E3727" s="2">
        <v>45</v>
      </c>
      <c r="F3727" s="2" t="s">
        <v>12817</v>
      </c>
      <c r="H3727" s="2" t="s">
        <v>17</v>
      </c>
      <c r="K3727" s="4">
        <v>10811</v>
      </c>
      <c r="L3727" s="4">
        <v>36556</v>
      </c>
      <c r="M3727" s="2" t="s">
        <v>170</v>
      </c>
      <c r="N3727" s="2" t="s">
        <v>323</v>
      </c>
    </row>
    <row r="3728" spans="1:14">
      <c r="A3728" s="2">
        <v>3727</v>
      </c>
      <c r="B3728" s="3" t="s">
        <v>12818</v>
      </c>
      <c r="C3728" s="2" t="s">
        <v>12819</v>
      </c>
      <c r="D3728" s="2">
        <v>43</v>
      </c>
      <c r="E3728" s="2">
        <v>45</v>
      </c>
      <c r="F3728" s="2" t="s">
        <v>12820</v>
      </c>
      <c r="H3728" s="2" t="s">
        <v>17</v>
      </c>
      <c r="K3728" s="4">
        <v>10882</v>
      </c>
      <c r="M3728" s="2" t="s">
        <v>164</v>
      </c>
      <c r="N3728" s="2" t="s">
        <v>165</v>
      </c>
    </row>
    <row r="3729" spans="1:14">
      <c r="A3729" s="2">
        <v>3728</v>
      </c>
      <c r="B3729" s="3" t="s">
        <v>12821</v>
      </c>
      <c r="C3729" s="2" t="s">
        <v>12822</v>
      </c>
      <c r="D3729" s="2">
        <v>42</v>
      </c>
      <c r="E3729" s="2">
        <v>45</v>
      </c>
      <c r="F3729" s="2" t="s">
        <v>12823</v>
      </c>
      <c r="H3729" s="2" t="s">
        <v>17</v>
      </c>
      <c r="K3729" s="4">
        <v>9220</v>
      </c>
      <c r="L3729" s="4">
        <v>43051</v>
      </c>
      <c r="M3729" s="2" t="s">
        <v>423</v>
      </c>
      <c r="N3729" s="2" t="s">
        <v>456</v>
      </c>
    </row>
    <row r="3730" spans="1:14">
      <c r="A3730" s="2">
        <v>3729</v>
      </c>
      <c r="B3730" s="3" t="s">
        <v>12824</v>
      </c>
      <c r="C3730" s="2" t="s">
        <v>12825</v>
      </c>
      <c r="D3730" s="2">
        <v>42</v>
      </c>
      <c r="E3730" s="2">
        <v>45</v>
      </c>
      <c r="F3730" s="2" t="s">
        <v>12826</v>
      </c>
      <c r="H3730" s="2" t="s">
        <v>17</v>
      </c>
      <c r="K3730" s="4">
        <v>7258</v>
      </c>
      <c r="L3730" s="4">
        <v>40045</v>
      </c>
      <c r="M3730" s="2" t="s">
        <v>66</v>
      </c>
      <c r="N3730" s="2" t="s">
        <v>1147</v>
      </c>
    </row>
    <row r="3731" spans="1:14">
      <c r="A3731" s="2">
        <v>3730</v>
      </c>
      <c r="B3731" s="3" t="s">
        <v>12827</v>
      </c>
      <c r="C3731" s="2" t="s">
        <v>12828</v>
      </c>
      <c r="D3731" s="2">
        <v>44</v>
      </c>
      <c r="E3731" s="2">
        <v>45</v>
      </c>
      <c r="F3731" s="2" t="s">
        <v>12829</v>
      </c>
      <c r="H3731" s="2" t="s">
        <v>17</v>
      </c>
      <c r="K3731" s="4">
        <v>6217</v>
      </c>
      <c r="L3731" s="4">
        <v>28841</v>
      </c>
      <c r="M3731" s="2" t="s">
        <v>66</v>
      </c>
      <c r="N3731" s="2" t="s">
        <v>12830</v>
      </c>
    </row>
    <row r="3732" spans="1:14">
      <c r="A3732" s="2">
        <v>3731</v>
      </c>
      <c r="B3732" s="3" t="s">
        <v>12831</v>
      </c>
      <c r="C3732" s="2" t="s">
        <v>12832</v>
      </c>
      <c r="D3732" s="2">
        <v>45</v>
      </c>
      <c r="E3732" s="2">
        <v>45</v>
      </c>
      <c r="F3732" s="2" t="s">
        <v>12833</v>
      </c>
      <c r="H3732" s="2" t="s">
        <v>17</v>
      </c>
      <c r="K3732" s="4">
        <v>9620</v>
      </c>
      <c r="L3732" s="4">
        <v>41350</v>
      </c>
      <c r="M3732" s="2" t="s">
        <v>35</v>
      </c>
      <c r="N3732" s="2" t="s">
        <v>608</v>
      </c>
    </row>
    <row r="3733" spans="1:14">
      <c r="A3733" s="2">
        <v>3732</v>
      </c>
      <c r="B3733" s="3" t="s">
        <v>12834</v>
      </c>
      <c r="C3733" s="2" t="s">
        <v>12835</v>
      </c>
      <c r="D3733" s="2">
        <v>44</v>
      </c>
      <c r="E3733" s="2">
        <v>45</v>
      </c>
      <c r="F3733" s="2" t="s">
        <v>12836</v>
      </c>
      <c r="H3733" s="2" t="s">
        <v>17</v>
      </c>
      <c r="K3733" s="4">
        <v>15534</v>
      </c>
      <c r="M3733" s="2" t="s">
        <v>198</v>
      </c>
      <c r="N3733" s="2" t="s">
        <v>199</v>
      </c>
    </row>
    <row r="3734" spans="1:14">
      <c r="A3734" s="2">
        <v>3733</v>
      </c>
      <c r="B3734" s="3" t="s">
        <v>12837</v>
      </c>
      <c r="C3734" s="2" t="s">
        <v>12838</v>
      </c>
      <c r="D3734" s="2">
        <v>44</v>
      </c>
      <c r="E3734" s="2">
        <v>45</v>
      </c>
      <c r="F3734" s="2" t="s">
        <v>12839</v>
      </c>
      <c r="H3734" s="2" t="s">
        <v>17</v>
      </c>
      <c r="K3734" s="4">
        <v>9100</v>
      </c>
      <c r="L3734" s="4">
        <v>42331</v>
      </c>
      <c r="M3734" s="2" t="s">
        <v>40</v>
      </c>
      <c r="N3734" s="2" t="s">
        <v>4572</v>
      </c>
    </row>
    <row r="3735" spans="1:14">
      <c r="A3735" s="2">
        <v>3734</v>
      </c>
      <c r="B3735" s="3" t="s">
        <v>12840</v>
      </c>
      <c r="C3735" s="2" t="s">
        <v>12841</v>
      </c>
      <c r="D3735" s="2">
        <v>45</v>
      </c>
      <c r="E3735" s="2">
        <v>45</v>
      </c>
      <c r="F3735" s="2" t="s">
        <v>1611</v>
      </c>
      <c r="H3735" s="2" t="s">
        <v>17</v>
      </c>
      <c r="K3735" s="4">
        <v>18069</v>
      </c>
      <c r="M3735" s="2" t="s">
        <v>35</v>
      </c>
      <c r="N3735" s="2" t="s">
        <v>955</v>
      </c>
    </row>
    <row r="3736" spans="1:14">
      <c r="A3736" s="2">
        <v>3735</v>
      </c>
      <c r="B3736" s="3" t="s">
        <v>12842</v>
      </c>
      <c r="C3736" s="2" t="s">
        <v>12843</v>
      </c>
      <c r="D3736" s="2">
        <v>45</v>
      </c>
      <c r="E3736" s="2">
        <v>45</v>
      </c>
      <c r="F3736" s="2" t="s">
        <v>12844</v>
      </c>
      <c r="H3736" s="2" t="s">
        <v>17</v>
      </c>
      <c r="K3736" s="4">
        <v>12029</v>
      </c>
      <c r="M3736" s="2" t="s">
        <v>35</v>
      </c>
      <c r="N3736" s="2" t="s">
        <v>3602</v>
      </c>
    </row>
    <row r="3737" spans="1:14">
      <c r="A3737" s="2">
        <v>3736</v>
      </c>
      <c r="B3737" s="3" t="s">
        <v>12845</v>
      </c>
      <c r="C3737" s="2" t="s">
        <v>12846</v>
      </c>
      <c r="D3737" s="2">
        <v>41</v>
      </c>
      <c r="E3737" s="2">
        <v>45</v>
      </c>
      <c r="F3737" s="2" t="s">
        <v>12847</v>
      </c>
      <c r="H3737" s="2" t="s">
        <v>17</v>
      </c>
      <c r="K3737" s="4">
        <v>4650</v>
      </c>
      <c r="L3737" s="4">
        <v>32272</v>
      </c>
      <c r="M3737" s="2" t="s">
        <v>35</v>
      </c>
      <c r="N3737" s="2" t="s">
        <v>7140</v>
      </c>
    </row>
    <row r="3738" spans="1:14">
      <c r="A3738" s="2">
        <v>3737</v>
      </c>
      <c r="B3738" s="3" t="s">
        <v>12848</v>
      </c>
      <c r="C3738" s="2" t="s">
        <v>12849</v>
      </c>
      <c r="D3738" s="2">
        <v>43</v>
      </c>
      <c r="E3738" s="2">
        <v>45</v>
      </c>
      <c r="F3738" s="2" t="s">
        <v>12850</v>
      </c>
      <c r="H3738" s="2" t="s">
        <v>17</v>
      </c>
      <c r="K3738" s="4">
        <v>9420</v>
      </c>
      <c r="L3738" s="4">
        <v>27715</v>
      </c>
      <c r="M3738" s="2" t="s">
        <v>85</v>
      </c>
      <c r="N3738" s="2" t="s">
        <v>12851</v>
      </c>
    </row>
    <row r="3739" spans="1:14">
      <c r="A3739" s="2">
        <v>3738</v>
      </c>
      <c r="B3739" s="3" t="s">
        <v>12852</v>
      </c>
      <c r="C3739" s="2" t="s">
        <v>12853</v>
      </c>
      <c r="D3739" s="2">
        <v>44</v>
      </c>
      <c r="E3739" s="2">
        <v>45</v>
      </c>
      <c r="F3739" s="2" t="s">
        <v>12854</v>
      </c>
      <c r="H3739" s="2" t="s">
        <v>17</v>
      </c>
      <c r="K3739" s="4">
        <v>14813</v>
      </c>
      <c r="L3739" s="4">
        <v>44359</v>
      </c>
      <c r="M3739" s="2" t="s">
        <v>198</v>
      </c>
      <c r="N3739" s="2" t="s">
        <v>199</v>
      </c>
    </row>
    <row r="3740" spans="1:14">
      <c r="A3740" s="2">
        <v>3739</v>
      </c>
      <c r="B3740" s="3" t="s">
        <v>12855</v>
      </c>
      <c r="C3740" s="2" t="s">
        <v>12856</v>
      </c>
      <c r="D3740" s="2">
        <v>45</v>
      </c>
      <c r="E3740" s="2">
        <v>45</v>
      </c>
      <c r="F3740" s="2" t="s">
        <v>12857</v>
      </c>
      <c r="H3740" s="2" t="s">
        <v>17</v>
      </c>
      <c r="K3740" s="4">
        <v>14876</v>
      </c>
      <c r="L3740" s="4">
        <v>44867</v>
      </c>
      <c r="M3740" s="2" t="s">
        <v>35</v>
      </c>
      <c r="N3740" s="2" t="s">
        <v>58</v>
      </c>
    </row>
    <row r="3741" spans="1:14">
      <c r="A3741" s="2">
        <v>3740</v>
      </c>
      <c r="B3741" s="3" t="s">
        <v>12858</v>
      </c>
      <c r="C3741" s="2" t="s">
        <v>12859</v>
      </c>
      <c r="D3741" s="2">
        <v>44</v>
      </c>
      <c r="E3741" s="2">
        <v>45</v>
      </c>
      <c r="F3741" s="2" t="s">
        <v>12860</v>
      </c>
      <c r="H3741" s="2" t="s">
        <v>17</v>
      </c>
      <c r="K3741" s="4">
        <v>5539</v>
      </c>
      <c r="L3741" s="4">
        <v>34445</v>
      </c>
      <c r="M3741" s="2" t="s">
        <v>66</v>
      </c>
      <c r="N3741" s="2" t="s">
        <v>6963</v>
      </c>
    </row>
    <row r="3742" spans="1:14">
      <c r="A3742" s="2">
        <v>3741</v>
      </c>
      <c r="B3742" s="3" t="s">
        <v>12861</v>
      </c>
      <c r="C3742" s="2" t="s">
        <v>12862</v>
      </c>
      <c r="D3742" s="2">
        <v>45</v>
      </c>
      <c r="E3742" s="2">
        <v>45</v>
      </c>
      <c r="F3742" s="2" t="s">
        <v>12863</v>
      </c>
      <c r="H3742" s="2" t="s">
        <v>17</v>
      </c>
      <c r="K3742" s="4">
        <v>14659</v>
      </c>
      <c r="L3742" s="4">
        <v>45899</v>
      </c>
      <c r="M3742" s="2" t="s">
        <v>76</v>
      </c>
      <c r="N3742" s="2" t="s">
        <v>9251</v>
      </c>
    </row>
    <row r="3743" spans="1:14">
      <c r="A3743" s="2">
        <v>3742</v>
      </c>
      <c r="B3743" s="3" t="s">
        <v>12864</v>
      </c>
      <c r="C3743" s="2" t="s">
        <v>12865</v>
      </c>
      <c r="D3743" s="2">
        <v>45</v>
      </c>
      <c r="E3743" s="2">
        <v>45</v>
      </c>
      <c r="F3743" s="2" t="s">
        <v>12866</v>
      </c>
      <c r="H3743" s="2" t="s">
        <v>17</v>
      </c>
      <c r="K3743" s="4">
        <v>15467</v>
      </c>
      <c r="M3743" s="2" t="s">
        <v>170</v>
      </c>
      <c r="N3743" s="2" t="s">
        <v>323</v>
      </c>
    </row>
    <row r="3744" spans="1:14">
      <c r="A3744" s="2">
        <v>3743</v>
      </c>
      <c r="B3744" s="3" t="s">
        <v>12867</v>
      </c>
      <c r="C3744" s="2" t="s">
        <v>12868</v>
      </c>
      <c r="D3744" s="2">
        <v>42</v>
      </c>
      <c r="E3744" s="2">
        <v>45</v>
      </c>
      <c r="F3744" s="2" t="s">
        <v>12869</v>
      </c>
      <c r="H3744" s="2" t="s">
        <v>17</v>
      </c>
      <c r="K3744" s="4">
        <v>9253</v>
      </c>
      <c r="L3744" s="4">
        <v>31398</v>
      </c>
      <c r="M3744" s="2" t="s">
        <v>47</v>
      </c>
      <c r="N3744" s="2" t="s">
        <v>8455</v>
      </c>
    </row>
    <row r="3745" spans="1:14">
      <c r="A3745" s="2">
        <v>3744</v>
      </c>
      <c r="B3745" s="3" t="s">
        <v>12870</v>
      </c>
      <c r="C3745" s="2" t="s">
        <v>12871</v>
      </c>
      <c r="D3745" s="2">
        <v>45</v>
      </c>
      <c r="E3745" s="2">
        <v>45</v>
      </c>
      <c r="F3745" s="2" t="s">
        <v>12872</v>
      </c>
      <c r="H3745" s="2" t="s">
        <v>17</v>
      </c>
      <c r="K3745" s="4">
        <v>12601</v>
      </c>
      <c r="M3745" s="2" t="s">
        <v>47</v>
      </c>
      <c r="N3745" s="2" t="s">
        <v>3372</v>
      </c>
    </row>
    <row r="3746" spans="1:14">
      <c r="A3746" s="2">
        <v>3745</v>
      </c>
      <c r="B3746" s="3" t="s">
        <v>12873</v>
      </c>
      <c r="C3746" s="2" t="s">
        <v>12874</v>
      </c>
      <c r="D3746" s="2">
        <v>45</v>
      </c>
      <c r="E3746" s="2">
        <v>45</v>
      </c>
      <c r="F3746" s="2" t="s">
        <v>12875</v>
      </c>
      <c r="H3746" s="2" t="s">
        <v>17</v>
      </c>
      <c r="K3746" s="4">
        <v>9931</v>
      </c>
      <c r="L3746" s="4">
        <v>38949</v>
      </c>
      <c r="M3746" s="2" t="s">
        <v>192</v>
      </c>
      <c r="N3746" s="2" t="s">
        <v>577</v>
      </c>
    </row>
    <row r="3747" spans="1:14">
      <c r="A3747" s="2">
        <v>3746</v>
      </c>
      <c r="B3747" s="3" t="s">
        <v>12876</v>
      </c>
      <c r="C3747" s="2" t="s">
        <v>12877</v>
      </c>
      <c r="D3747" s="2">
        <v>45</v>
      </c>
      <c r="E3747" s="2">
        <v>45</v>
      </c>
      <c r="F3747" s="2" t="s">
        <v>12878</v>
      </c>
      <c r="H3747" s="2" t="s">
        <v>17</v>
      </c>
      <c r="K3747" s="4">
        <v>4703</v>
      </c>
      <c r="L3747" s="4">
        <v>31856</v>
      </c>
      <c r="M3747" s="2" t="s">
        <v>198</v>
      </c>
    </row>
    <row r="3748" spans="1:14">
      <c r="A3748" s="2">
        <v>3747</v>
      </c>
      <c r="B3748" s="3" t="s">
        <v>12879</v>
      </c>
      <c r="C3748" s="2" t="s">
        <v>12880</v>
      </c>
      <c r="D3748" s="2">
        <v>43</v>
      </c>
      <c r="E3748" s="2">
        <v>45</v>
      </c>
      <c r="F3748" s="2" t="s">
        <v>12881</v>
      </c>
      <c r="H3748" s="2" t="s">
        <v>17</v>
      </c>
      <c r="K3748" s="4">
        <v>11579</v>
      </c>
      <c r="L3748" s="4">
        <v>40343</v>
      </c>
      <c r="M3748" s="2" t="s">
        <v>35</v>
      </c>
      <c r="N3748" s="2" t="s">
        <v>36</v>
      </c>
    </row>
    <row r="3749" spans="1:14">
      <c r="A3749" s="2">
        <v>3748</v>
      </c>
      <c r="B3749" s="3" t="s">
        <v>12882</v>
      </c>
      <c r="C3749" s="2" t="s">
        <v>12883</v>
      </c>
      <c r="D3749" s="2">
        <v>44</v>
      </c>
      <c r="E3749" s="2">
        <v>45</v>
      </c>
      <c r="F3749" s="2" t="s">
        <v>12884</v>
      </c>
      <c r="H3749" s="2" t="s">
        <v>17</v>
      </c>
      <c r="K3749" s="4">
        <v>4291</v>
      </c>
      <c r="L3749" s="4">
        <v>35203</v>
      </c>
      <c r="M3749" s="2" t="s">
        <v>35</v>
      </c>
      <c r="N3749" s="2" t="s">
        <v>11662</v>
      </c>
    </row>
    <row r="3750" spans="1:14">
      <c r="A3750" s="2">
        <v>3749</v>
      </c>
      <c r="B3750" s="3" t="s">
        <v>12885</v>
      </c>
      <c r="C3750" s="2" t="s">
        <v>12886</v>
      </c>
      <c r="D3750" s="2">
        <v>45</v>
      </c>
      <c r="E3750" s="2">
        <v>45</v>
      </c>
      <c r="F3750" s="2" t="s">
        <v>12887</v>
      </c>
      <c r="H3750" s="2" t="s">
        <v>17</v>
      </c>
      <c r="K3750" s="4">
        <v>5721</v>
      </c>
      <c r="L3750" s="4">
        <v>37930</v>
      </c>
      <c r="M3750" s="2" t="s">
        <v>47</v>
      </c>
      <c r="N3750" s="2" t="s">
        <v>12888</v>
      </c>
    </row>
    <row r="3751" spans="1:14">
      <c r="A3751" s="2">
        <v>3750</v>
      </c>
      <c r="B3751" s="3" t="s">
        <v>12889</v>
      </c>
      <c r="C3751" s="2" t="s">
        <v>12890</v>
      </c>
      <c r="D3751" s="2">
        <v>45</v>
      </c>
      <c r="E3751" s="2">
        <v>45</v>
      </c>
      <c r="F3751" s="2" t="s">
        <v>12891</v>
      </c>
      <c r="H3751" s="2" t="s">
        <v>17</v>
      </c>
      <c r="K3751" s="4">
        <v>8367</v>
      </c>
      <c r="L3751" s="4">
        <v>41988</v>
      </c>
      <c r="M3751" s="2" t="s">
        <v>35</v>
      </c>
      <c r="N3751" s="2" t="s">
        <v>58</v>
      </c>
    </row>
    <row r="3752" spans="1:14">
      <c r="A3752" s="2">
        <v>3751</v>
      </c>
      <c r="B3752" s="3" t="s">
        <v>12892</v>
      </c>
      <c r="C3752" s="2" t="s">
        <v>12893</v>
      </c>
      <c r="D3752" s="2">
        <v>45</v>
      </c>
      <c r="E3752" s="2">
        <v>45</v>
      </c>
      <c r="F3752" s="2" t="s">
        <v>12894</v>
      </c>
      <c r="H3752" s="2" t="s">
        <v>17</v>
      </c>
      <c r="K3752" s="4">
        <v>8097</v>
      </c>
      <c r="L3752" s="4">
        <v>41839</v>
      </c>
      <c r="M3752" s="2" t="s">
        <v>164</v>
      </c>
      <c r="N3752" s="2" t="s">
        <v>165</v>
      </c>
    </row>
    <row r="3753" spans="1:14">
      <c r="A3753" s="2">
        <v>3752</v>
      </c>
      <c r="B3753" s="3" t="s">
        <v>12895</v>
      </c>
      <c r="C3753" s="2" t="s">
        <v>12896</v>
      </c>
      <c r="D3753" s="2">
        <v>40</v>
      </c>
      <c r="E3753" s="2">
        <v>45</v>
      </c>
      <c r="F3753" s="2" t="s">
        <v>12897</v>
      </c>
      <c r="H3753" s="2" t="s">
        <v>17</v>
      </c>
      <c r="K3753" s="4" t="s">
        <v>12898</v>
      </c>
      <c r="L3753" s="4">
        <v>27950</v>
      </c>
      <c r="M3753" s="2" t="s">
        <v>35</v>
      </c>
      <c r="N3753" s="2" t="s">
        <v>8588</v>
      </c>
    </row>
    <row r="3754" spans="1:14">
      <c r="A3754" s="2">
        <v>3753</v>
      </c>
      <c r="B3754" s="3" t="s">
        <v>12899</v>
      </c>
      <c r="C3754" s="2" t="s">
        <v>12900</v>
      </c>
      <c r="D3754" s="2">
        <v>45</v>
      </c>
      <c r="E3754" s="2">
        <v>45</v>
      </c>
      <c r="F3754" s="2" t="s">
        <v>12901</v>
      </c>
      <c r="H3754" s="2" t="s">
        <v>17</v>
      </c>
      <c r="K3754" s="4">
        <v>14736</v>
      </c>
      <c r="L3754" s="4">
        <v>34718</v>
      </c>
      <c r="M3754" s="2" t="s">
        <v>40</v>
      </c>
      <c r="N3754" s="2" t="s">
        <v>2573</v>
      </c>
    </row>
    <row r="3755" spans="1:14">
      <c r="A3755" s="2">
        <v>3754</v>
      </c>
      <c r="B3755" s="3" t="s">
        <v>12902</v>
      </c>
      <c r="C3755" s="2" t="s">
        <v>12903</v>
      </c>
      <c r="D3755" s="2">
        <v>41</v>
      </c>
      <c r="E3755" s="2">
        <v>45</v>
      </c>
      <c r="F3755" s="2" t="s">
        <v>12904</v>
      </c>
      <c r="H3755" s="2" t="s">
        <v>17</v>
      </c>
      <c r="K3755" s="4">
        <v>5165</v>
      </c>
      <c r="L3755" s="4">
        <v>37282</v>
      </c>
      <c r="M3755" s="2" t="s">
        <v>66</v>
      </c>
      <c r="N3755" s="2" t="s">
        <v>1201</v>
      </c>
    </row>
    <row r="3756" spans="1:14">
      <c r="A3756" s="2">
        <v>3755</v>
      </c>
      <c r="B3756" s="3" t="s">
        <v>12905</v>
      </c>
      <c r="C3756" s="2" t="s">
        <v>12906</v>
      </c>
      <c r="D3756" s="2">
        <v>43</v>
      </c>
      <c r="E3756" s="2">
        <v>45</v>
      </c>
      <c r="F3756" s="2" t="s">
        <v>12907</v>
      </c>
      <c r="H3756" s="2" t="s">
        <v>17</v>
      </c>
      <c r="K3756" s="4">
        <v>6027</v>
      </c>
      <c r="L3756" s="4">
        <v>37738</v>
      </c>
      <c r="M3756" s="2" t="s">
        <v>35</v>
      </c>
      <c r="N3756" s="2" t="s">
        <v>7082</v>
      </c>
    </row>
    <row r="3757" spans="1:14">
      <c r="A3757" s="2">
        <v>3756</v>
      </c>
      <c r="B3757" s="3" t="s">
        <v>12908</v>
      </c>
      <c r="C3757" s="2" t="s">
        <v>12909</v>
      </c>
      <c r="D3757" s="2">
        <v>45</v>
      </c>
      <c r="E3757" s="2">
        <v>45</v>
      </c>
      <c r="F3757" s="2" t="s">
        <v>12910</v>
      </c>
      <c r="H3757" s="2" t="s">
        <v>17</v>
      </c>
      <c r="K3757" s="4">
        <v>6003</v>
      </c>
      <c r="L3757" s="4">
        <v>37184</v>
      </c>
      <c r="M3757" s="2" t="s">
        <v>53</v>
      </c>
    </row>
    <row r="3758" spans="1:14">
      <c r="A3758" s="2">
        <v>3757</v>
      </c>
      <c r="B3758" s="3" t="s">
        <v>12911</v>
      </c>
      <c r="C3758" s="2" t="s">
        <v>12912</v>
      </c>
      <c r="D3758" s="2">
        <v>45</v>
      </c>
      <c r="E3758" s="2">
        <v>45</v>
      </c>
      <c r="F3758" s="2" t="s">
        <v>12913</v>
      </c>
      <c r="H3758" s="2" t="s">
        <v>17</v>
      </c>
      <c r="K3758" s="4">
        <v>11213</v>
      </c>
      <c r="L3758" s="4">
        <v>40601</v>
      </c>
      <c r="M3758" s="2" t="s">
        <v>66</v>
      </c>
      <c r="N3758" s="2" t="s">
        <v>12230</v>
      </c>
    </row>
    <row r="3759" spans="1:14">
      <c r="A3759" s="2">
        <v>3758</v>
      </c>
      <c r="B3759" s="3" t="s">
        <v>12914</v>
      </c>
      <c r="C3759" s="2" t="s">
        <v>12915</v>
      </c>
      <c r="D3759" s="2">
        <v>45</v>
      </c>
      <c r="E3759" s="2">
        <v>45</v>
      </c>
      <c r="F3759" s="2" t="s">
        <v>12916</v>
      </c>
      <c r="H3759" s="2" t="s">
        <v>17</v>
      </c>
      <c r="K3759" s="4">
        <v>9045</v>
      </c>
      <c r="L3759" s="4">
        <v>42092</v>
      </c>
      <c r="M3759" s="2" t="s">
        <v>66</v>
      </c>
      <c r="N3759" s="2" t="s">
        <v>3262</v>
      </c>
    </row>
    <row r="3760" spans="1:14">
      <c r="A3760" s="2">
        <v>3759</v>
      </c>
      <c r="B3760" s="3" t="s">
        <v>12917</v>
      </c>
      <c r="C3760" s="2" t="s">
        <v>12918</v>
      </c>
      <c r="D3760" s="2">
        <v>45</v>
      </c>
      <c r="E3760" s="2">
        <v>45</v>
      </c>
      <c r="F3760" s="2" t="s">
        <v>12919</v>
      </c>
      <c r="H3760" s="2" t="s">
        <v>17</v>
      </c>
      <c r="K3760" s="4">
        <v>13561</v>
      </c>
      <c r="L3760" s="4">
        <v>30707</v>
      </c>
      <c r="M3760" s="2" t="s">
        <v>47</v>
      </c>
      <c r="N3760" s="2" t="s">
        <v>12920</v>
      </c>
    </row>
    <row r="3761" spans="1:14">
      <c r="A3761" s="2">
        <v>3760</v>
      </c>
      <c r="B3761" s="3" t="s">
        <v>12921</v>
      </c>
      <c r="C3761" s="2" t="s">
        <v>12922</v>
      </c>
      <c r="D3761" s="2">
        <v>45</v>
      </c>
      <c r="E3761" s="2">
        <v>45</v>
      </c>
      <c r="F3761" s="2" t="s">
        <v>12922</v>
      </c>
      <c r="H3761" s="2" t="s">
        <v>17</v>
      </c>
      <c r="K3761" s="4">
        <v>16431</v>
      </c>
      <c r="M3761" s="2" t="s">
        <v>423</v>
      </c>
      <c r="N3761" s="2" t="s">
        <v>5975</v>
      </c>
    </row>
    <row r="3762" spans="1:14">
      <c r="A3762" s="2">
        <v>3761</v>
      </c>
      <c r="B3762" s="3" t="s">
        <v>12923</v>
      </c>
      <c r="C3762" s="2" t="s">
        <v>12924</v>
      </c>
      <c r="D3762" s="2">
        <v>41</v>
      </c>
      <c r="E3762" s="2">
        <v>45</v>
      </c>
      <c r="F3762" s="2" t="s">
        <v>12925</v>
      </c>
      <c r="H3762" s="2" t="s">
        <v>17</v>
      </c>
      <c r="K3762" s="4">
        <v>7415</v>
      </c>
      <c r="L3762" s="4">
        <v>36467</v>
      </c>
      <c r="M3762" s="2" t="s">
        <v>47</v>
      </c>
      <c r="N3762" s="2" t="s">
        <v>417</v>
      </c>
    </row>
    <row r="3763" spans="1:14">
      <c r="A3763" s="2">
        <v>3762</v>
      </c>
      <c r="B3763" s="3" t="s">
        <v>12926</v>
      </c>
      <c r="C3763" s="2" t="s">
        <v>12927</v>
      </c>
      <c r="D3763" s="2">
        <v>45</v>
      </c>
      <c r="E3763" s="2">
        <v>45</v>
      </c>
      <c r="F3763" s="2" t="s">
        <v>12928</v>
      </c>
      <c r="H3763" s="2" t="s">
        <v>17</v>
      </c>
      <c r="K3763" s="4">
        <v>16768</v>
      </c>
      <c r="M3763" s="2" t="s">
        <v>47</v>
      </c>
      <c r="N3763" s="2" t="s">
        <v>442</v>
      </c>
    </row>
    <row r="3764" spans="1:14">
      <c r="A3764" s="2">
        <v>3763</v>
      </c>
      <c r="B3764" s="3" t="s">
        <v>12929</v>
      </c>
      <c r="C3764" s="2" t="s">
        <v>12930</v>
      </c>
      <c r="D3764" s="2">
        <v>41</v>
      </c>
      <c r="E3764" s="2">
        <v>45</v>
      </c>
      <c r="F3764" s="2" t="s">
        <v>12931</v>
      </c>
      <c r="H3764" s="2" t="s">
        <v>17</v>
      </c>
      <c r="K3764" s="4">
        <v>6722</v>
      </c>
      <c r="M3764" s="2" t="s">
        <v>40</v>
      </c>
    </row>
    <row r="3765" spans="1:14">
      <c r="A3765" s="2">
        <v>3764</v>
      </c>
      <c r="B3765" s="3" t="s">
        <v>12932</v>
      </c>
      <c r="C3765" s="2" t="s">
        <v>12933</v>
      </c>
      <c r="D3765" s="2">
        <v>39</v>
      </c>
      <c r="E3765" s="2">
        <v>45</v>
      </c>
      <c r="F3765" s="2" t="s">
        <v>12934</v>
      </c>
      <c r="H3765" s="2" t="s">
        <v>17</v>
      </c>
      <c r="K3765" s="4">
        <v>4935</v>
      </c>
      <c r="L3765" s="4">
        <v>31523</v>
      </c>
      <c r="M3765" s="2" t="s">
        <v>85</v>
      </c>
      <c r="N3765" s="2" t="s">
        <v>86</v>
      </c>
    </row>
    <row r="3766" spans="1:14">
      <c r="A3766" s="2">
        <v>3765</v>
      </c>
      <c r="B3766" s="3" t="s">
        <v>12935</v>
      </c>
      <c r="C3766" s="2" t="s">
        <v>12936</v>
      </c>
      <c r="D3766" s="2">
        <v>41</v>
      </c>
      <c r="E3766" s="2">
        <v>45</v>
      </c>
      <c r="F3766" s="2" t="s">
        <v>12937</v>
      </c>
      <c r="H3766" s="2" t="s">
        <v>17</v>
      </c>
      <c r="K3766" s="4">
        <v>8763</v>
      </c>
      <c r="L3766" s="4">
        <v>40470</v>
      </c>
      <c r="M3766" s="2" t="s">
        <v>91</v>
      </c>
      <c r="N3766" s="2" t="s">
        <v>368</v>
      </c>
    </row>
    <row r="3767" spans="1:14">
      <c r="A3767" s="2">
        <v>3766</v>
      </c>
      <c r="B3767" s="3" t="s">
        <v>12938</v>
      </c>
      <c r="C3767" s="2" t="s">
        <v>12939</v>
      </c>
      <c r="D3767" s="2">
        <v>43</v>
      </c>
      <c r="E3767" s="2">
        <v>45</v>
      </c>
      <c r="F3767" s="2" t="s">
        <v>12940</v>
      </c>
      <c r="H3767" s="2" t="s">
        <v>17</v>
      </c>
      <c r="K3767" s="4">
        <v>10751</v>
      </c>
      <c r="L3767" s="4">
        <v>27650</v>
      </c>
      <c r="M3767" s="2" t="s">
        <v>76</v>
      </c>
      <c r="N3767" s="2" t="s">
        <v>77</v>
      </c>
    </row>
    <row r="3768" spans="1:14">
      <c r="A3768" s="2">
        <v>3767</v>
      </c>
      <c r="B3768" s="3" t="s">
        <v>12941</v>
      </c>
      <c r="C3768" s="2" t="s">
        <v>12942</v>
      </c>
      <c r="D3768" s="2">
        <v>43</v>
      </c>
      <c r="E3768" s="2">
        <v>45</v>
      </c>
      <c r="F3768" s="2" t="s">
        <v>12943</v>
      </c>
      <c r="H3768" s="2" t="s">
        <v>17</v>
      </c>
      <c r="K3768" s="4">
        <v>11266</v>
      </c>
      <c r="L3768" s="4">
        <v>33362</v>
      </c>
      <c r="M3768" s="2" t="s">
        <v>30</v>
      </c>
      <c r="N3768" s="2" t="s">
        <v>31</v>
      </c>
    </row>
    <row r="3769" spans="1:14">
      <c r="A3769" s="2">
        <v>3768</v>
      </c>
      <c r="B3769" s="3" t="s">
        <v>12944</v>
      </c>
      <c r="C3769" s="2" t="s">
        <v>12945</v>
      </c>
      <c r="D3769" s="2">
        <v>45</v>
      </c>
      <c r="E3769" s="2">
        <v>45</v>
      </c>
      <c r="F3769" s="2" t="s">
        <v>12946</v>
      </c>
      <c r="H3769" s="2" t="s">
        <v>17</v>
      </c>
      <c r="K3769" s="4">
        <v>11336</v>
      </c>
      <c r="L3769" s="4">
        <v>44876</v>
      </c>
      <c r="M3769" s="2" t="s">
        <v>30</v>
      </c>
      <c r="N3769" s="2" t="s">
        <v>12947</v>
      </c>
    </row>
    <row r="3770" spans="1:14">
      <c r="A3770" s="2">
        <v>3769</v>
      </c>
      <c r="B3770" s="3" t="s">
        <v>12948</v>
      </c>
      <c r="C3770" s="2" t="s">
        <v>12949</v>
      </c>
      <c r="D3770" s="2">
        <v>45</v>
      </c>
      <c r="E3770" s="2">
        <v>45</v>
      </c>
      <c r="F3770" s="2" t="s">
        <v>12950</v>
      </c>
      <c r="H3770" s="2" t="s">
        <v>17</v>
      </c>
      <c r="K3770" s="4">
        <v>12017</v>
      </c>
      <c r="M3770" s="2" t="s">
        <v>154</v>
      </c>
      <c r="N3770" s="2" t="s">
        <v>8317</v>
      </c>
    </row>
    <row r="3771" spans="1:14">
      <c r="A3771" s="2">
        <v>3770</v>
      </c>
      <c r="B3771" s="3" t="s">
        <v>12951</v>
      </c>
      <c r="C3771" s="2" t="s">
        <v>12952</v>
      </c>
      <c r="D3771" s="2">
        <v>43</v>
      </c>
      <c r="E3771" s="2">
        <v>45</v>
      </c>
      <c r="F3771" s="2" t="s">
        <v>12953</v>
      </c>
      <c r="H3771" s="2" t="s">
        <v>17</v>
      </c>
      <c r="K3771" s="4">
        <v>8594</v>
      </c>
      <c r="L3771" s="4">
        <v>41786</v>
      </c>
      <c r="M3771" s="2" t="s">
        <v>35</v>
      </c>
    </row>
    <row r="3772" spans="1:14">
      <c r="A3772" s="2">
        <v>3771</v>
      </c>
      <c r="B3772" s="3" t="s">
        <v>12954</v>
      </c>
      <c r="C3772" s="2" t="s">
        <v>12955</v>
      </c>
      <c r="D3772" s="2">
        <v>44</v>
      </c>
      <c r="E3772" s="2">
        <v>45</v>
      </c>
      <c r="F3772" s="2" t="s">
        <v>12956</v>
      </c>
      <c r="H3772" s="2" t="s">
        <v>17</v>
      </c>
      <c r="K3772" s="4">
        <v>10993</v>
      </c>
      <c r="L3772" s="4">
        <v>39901</v>
      </c>
      <c r="M3772" s="2" t="s">
        <v>47</v>
      </c>
      <c r="N3772" s="2" t="s">
        <v>12957</v>
      </c>
    </row>
    <row r="3773" spans="1:14">
      <c r="A3773" s="2">
        <v>3772</v>
      </c>
      <c r="B3773" s="3" t="s">
        <v>12958</v>
      </c>
      <c r="C3773" s="2" t="s">
        <v>12959</v>
      </c>
      <c r="D3773" s="2">
        <v>39</v>
      </c>
      <c r="E3773" s="2">
        <v>45</v>
      </c>
      <c r="F3773" s="2" t="s">
        <v>12960</v>
      </c>
      <c r="H3773" s="2" t="s">
        <v>17</v>
      </c>
      <c r="K3773" s="4">
        <v>3716</v>
      </c>
      <c r="L3773" s="4">
        <v>31158</v>
      </c>
      <c r="M3773" s="2" t="s">
        <v>35</v>
      </c>
      <c r="N3773" s="2" t="s">
        <v>11552</v>
      </c>
    </row>
    <row r="3774" spans="1:14">
      <c r="A3774" s="2">
        <v>3773</v>
      </c>
      <c r="B3774" s="3" t="s">
        <v>12961</v>
      </c>
      <c r="C3774" s="2" t="s">
        <v>12962</v>
      </c>
      <c r="D3774" s="2">
        <v>42</v>
      </c>
      <c r="E3774" s="2">
        <v>45</v>
      </c>
      <c r="F3774" s="2" t="s">
        <v>12963</v>
      </c>
      <c r="H3774" s="2" t="s">
        <v>17</v>
      </c>
      <c r="K3774" s="4">
        <v>6907</v>
      </c>
      <c r="L3774" s="4">
        <v>44379</v>
      </c>
      <c r="M3774" s="2" t="s">
        <v>76</v>
      </c>
      <c r="N3774" s="2" t="s">
        <v>12964</v>
      </c>
    </row>
    <row r="3775" spans="1:14">
      <c r="A3775" s="2">
        <v>3774</v>
      </c>
      <c r="B3775" s="3" t="s">
        <v>12965</v>
      </c>
      <c r="C3775" s="2" t="s">
        <v>12966</v>
      </c>
      <c r="D3775" s="2">
        <v>45</v>
      </c>
      <c r="E3775" s="2">
        <v>45</v>
      </c>
      <c r="F3775" s="2" t="s">
        <v>12967</v>
      </c>
      <c r="H3775" s="2" t="s">
        <v>17</v>
      </c>
      <c r="K3775" s="4">
        <v>10683</v>
      </c>
      <c r="L3775" s="4">
        <v>36241</v>
      </c>
      <c r="M3775" s="2" t="s">
        <v>146</v>
      </c>
    </row>
    <row r="3776" spans="1:14">
      <c r="A3776" s="2">
        <v>3775</v>
      </c>
      <c r="B3776" s="3" t="s">
        <v>12968</v>
      </c>
      <c r="C3776" s="2" t="s">
        <v>12969</v>
      </c>
      <c r="D3776" s="2">
        <v>44</v>
      </c>
      <c r="E3776" s="2">
        <v>45</v>
      </c>
      <c r="F3776" s="2" t="s">
        <v>12970</v>
      </c>
      <c r="H3776" s="2" t="s">
        <v>17</v>
      </c>
      <c r="K3776" s="4">
        <v>10772</v>
      </c>
      <c r="L3776" s="4">
        <v>39534</v>
      </c>
      <c r="M3776" s="2" t="s">
        <v>154</v>
      </c>
      <c r="N3776" s="2" t="s">
        <v>12971</v>
      </c>
    </row>
    <row r="3777" spans="1:14">
      <c r="A3777" s="2">
        <v>3776</v>
      </c>
      <c r="B3777" s="3" t="s">
        <v>12972</v>
      </c>
      <c r="C3777" s="2" t="s">
        <v>12973</v>
      </c>
      <c r="D3777" s="2">
        <v>45</v>
      </c>
      <c r="E3777" s="2">
        <v>45</v>
      </c>
      <c r="F3777" s="2" t="s">
        <v>12974</v>
      </c>
      <c r="H3777" s="2" t="s">
        <v>17</v>
      </c>
      <c r="K3777" s="4">
        <v>13098</v>
      </c>
      <c r="L3777" s="4">
        <v>42465</v>
      </c>
      <c r="M3777" s="2" t="s">
        <v>18</v>
      </c>
    </row>
    <row r="3778" spans="1:14">
      <c r="A3778" s="2">
        <v>3777</v>
      </c>
      <c r="B3778" s="3" t="s">
        <v>12975</v>
      </c>
      <c r="C3778" s="2" t="s">
        <v>12976</v>
      </c>
      <c r="D3778" s="2">
        <v>45</v>
      </c>
      <c r="E3778" s="2">
        <v>45</v>
      </c>
      <c r="F3778" s="2" t="s">
        <v>12977</v>
      </c>
      <c r="H3778" s="2" t="s">
        <v>17</v>
      </c>
      <c r="K3778" s="4">
        <v>12130</v>
      </c>
      <c r="M3778" s="2" t="s">
        <v>198</v>
      </c>
      <c r="N3778" s="2" t="s">
        <v>199</v>
      </c>
    </row>
    <row r="3779" spans="1:14">
      <c r="A3779" s="2">
        <v>3778</v>
      </c>
      <c r="B3779" s="3" t="s">
        <v>12978</v>
      </c>
      <c r="C3779" s="2" t="s">
        <v>12979</v>
      </c>
      <c r="D3779" s="2">
        <v>43</v>
      </c>
      <c r="E3779" s="2">
        <v>45</v>
      </c>
      <c r="F3779" s="2" t="s">
        <v>12980</v>
      </c>
      <c r="H3779" s="2" t="s">
        <v>17</v>
      </c>
      <c r="K3779" s="4">
        <v>4270</v>
      </c>
      <c r="L3779" s="4">
        <v>38061</v>
      </c>
      <c r="M3779" s="2" t="s">
        <v>66</v>
      </c>
      <c r="N3779" s="2" t="s">
        <v>3640</v>
      </c>
    </row>
    <row r="3780" spans="1:14">
      <c r="A3780" s="2">
        <v>3779</v>
      </c>
      <c r="B3780" s="3" t="s">
        <v>12981</v>
      </c>
      <c r="C3780" s="2" t="s">
        <v>12982</v>
      </c>
      <c r="D3780" s="2">
        <v>45</v>
      </c>
      <c r="E3780" s="2">
        <v>45</v>
      </c>
      <c r="F3780" s="2" t="s">
        <v>12983</v>
      </c>
      <c r="H3780" s="2" t="s">
        <v>17</v>
      </c>
      <c r="K3780" s="4">
        <v>10869</v>
      </c>
      <c r="L3780" s="4">
        <v>37031</v>
      </c>
      <c r="M3780" s="2" t="s">
        <v>18</v>
      </c>
      <c r="N3780" s="2" t="s">
        <v>19</v>
      </c>
    </row>
    <row r="3781" spans="1:14">
      <c r="A3781" s="2">
        <v>3780</v>
      </c>
      <c r="B3781" s="3" t="s">
        <v>12984</v>
      </c>
      <c r="C3781" s="2" t="s">
        <v>12985</v>
      </c>
      <c r="D3781" s="2">
        <v>45</v>
      </c>
      <c r="E3781" s="2">
        <v>45</v>
      </c>
      <c r="F3781" s="2" t="s">
        <v>12986</v>
      </c>
      <c r="H3781" s="2" t="s">
        <v>17</v>
      </c>
      <c r="K3781" s="4">
        <v>7964</v>
      </c>
      <c r="M3781" s="2" t="s">
        <v>85</v>
      </c>
      <c r="N3781" s="2" t="s">
        <v>12375</v>
      </c>
    </row>
    <row r="3782" spans="1:14">
      <c r="A3782" s="2">
        <v>3781</v>
      </c>
      <c r="B3782" s="3" t="s">
        <v>12987</v>
      </c>
      <c r="C3782" s="2" t="s">
        <v>12988</v>
      </c>
      <c r="D3782" s="2">
        <v>44</v>
      </c>
      <c r="E3782" s="2">
        <v>45</v>
      </c>
      <c r="F3782" s="2" t="s">
        <v>12989</v>
      </c>
      <c r="H3782" s="2" t="s">
        <v>17</v>
      </c>
      <c r="K3782" s="4">
        <v>14900</v>
      </c>
      <c r="L3782" s="4">
        <v>45163</v>
      </c>
      <c r="M3782" s="2" t="s">
        <v>423</v>
      </c>
      <c r="N3782" s="2" t="s">
        <v>6575</v>
      </c>
    </row>
    <row r="3783" spans="1:14">
      <c r="A3783" s="2">
        <v>3782</v>
      </c>
      <c r="B3783" s="3" t="s">
        <v>12990</v>
      </c>
      <c r="C3783" s="2" t="s">
        <v>12991</v>
      </c>
      <c r="D3783" s="2">
        <v>45</v>
      </c>
      <c r="E3783" s="2">
        <v>45</v>
      </c>
      <c r="F3783" s="2" t="s">
        <v>12992</v>
      </c>
      <c r="H3783" s="2" t="s">
        <v>17</v>
      </c>
      <c r="K3783" s="4">
        <v>12171</v>
      </c>
      <c r="M3783" s="2" t="s">
        <v>47</v>
      </c>
      <c r="N3783" s="2" t="s">
        <v>9877</v>
      </c>
    </row>
    <row r="3784" spans="1:14">
      <c r="A3784" s="2">
        <v>3783</v>
      </c>
      <c r="B3784" s="3" t="s">
        <v>12993</v>
      </c>
      <c r="C3784" s="2" t="s">
        <v>12994</v>
      </c>
      <c r="D3784" s="2">
        <v>44</v>
      </c>
      <c r="E3784" s="2">
        <v>44</v>
      </c>
      <c r="F3784" s="2" t="s">
        <v>12995</v>
      </c>
      <c r="H3784" s="2" t="s">
        <v>17</v>
      </c>
      <c r="K3784" s="4">
        <v>11705</v>
      </c>
      <c r="L3784" s="4">
        <v>26062</v>
      </c>
      <c r="M3784" s="2" t="s">
        <v>192</v>
      </c>
      <c r="N3784" s="2" t="s">
        <v>193</v>
      </c>
    </row>
    <row r="3785" spans="1:14">
      <c r="A3785" s="2">
        <v>3784</v>
      </c>
      <c r="B3785" s="3" t="s">
        <v>12996</v>
      </c>
      <c r="C3785" s="2" t="s">
        <v>12997</v>
      </c>
      <c r="D3785" s="2">
        <v>43</v>
      </c>
      <c r="E3785" s="2">
        <v>44</v>
      </c>
      <c r="F3785" s="2" t="s">
        <v>12998</v>
      </c>
      <c r="H3785" s="2" t="s">
        <v>17</v>
      </c>
      <c r="K3785" s="4">
        <v>6563</v>
      </c>
      <c r="L3785" s="4">
        <v>33185</v>
      </c>
      <c r="M3785" s="2" t="s">
        <v>154</v>
      </c>
      <c r="N3785" s="2" t="s">
        <v>208</v>
      </c>
    </row>
    <row r="3786" spans="1:14">
      <c r="A3786" s="2">
        <v>3785</v>
      </c>
      <c r="B3786" s="3" t="s">
        <v>12999</v>
      </c>
      <c r="C3786" s="2" t="s">
        <v>13000</v>
      </c>
      <c r="D3786" s="2">
        <v>44</v>
      </c>
      <c r="E3786" s="2">
        <v>44</v>
      </c>
      <c r="F3786" s="2" t="s">
        <v>13001</v>
      </c>
      <c r="H3786" s="2" t="s">
        <v>17</v>
      </c>
      <c r="K3786" s="4">
        <v>4371</v>
      </c>
      <c r="L3786" s="4">
        <v>28711</v>
      </c>
      <c r="M3786" s="2" t="s">
        <v>47</v>
      </c>
      <c r="N3786" s="2" t="s">
        <v>7150</v>
      </c>
    </row>
    <row r="3787" spans="1:14">
      <c r="A3787" s="2">
        <v>3786</v>
      </c>
      <c r="B3787" s="3" t="s">
        <v>13002</v>
      </c>
      <c r="C3787" s="2" t="s">
        <v>13003</v>
      </c>
      <c r="D3787" s="2">
        <v>44</v>
      </c>
      <c r="E3787" s="2">
        <v>44</v>
      </c>
      <c r="F3787" s="2" t="s">
        <v>13004</v>
      </c>
      <c r="H3787" s="2" t="s">
        <v>17</v>
      </c>
      <c r="K3787" s="4">
        <v>9866</v>
      </c>
      <c r="L3787" s="4">
        <v>28012</v>
      </c>
      <c r="M3787" s="2" t="s">
        <v>47</v>
      </c>
      <c r="N3787" s="2" t="s">
        <v>8985</v>
      </c>
    </row>
    <row r="3788" spans="1:14">
      <c r="A3788" s="2">
        <v>3787</v>
      </c>
      <c r="B3788" s="3" t="s">
        <v>13005</v>
      </c>
      <c r="C3788" s="2" t="s">
        <v>13006</v>
      </c>
      <c r="D3788" s="2">
        <v>40</v>
      </c>
      <c r="E3788" s="2">
        <v>44</v>
      </c>
      <c r="F3788" s="2" t="s">
        <v>13007</v>
      </c>
      <c r="H3788" s="2" t="s">
        <v>17</v>
      </c>
      <c r="K3788" s="4">
        <v>7654</v>
      </c>
      <c r="L3788" s="4">
        <v>34870</v>
      </c>
      <c r="M3788" s="2" t="s">
        <v>85</v>
      </c>
      <c r="N3788" s="2" t="s">
        <v>13008</v>
      </c>
    </row>
    <row r="3789" spans="1:14">
      <c r="A3789" s="2">
        <v>3788</v>
      </c>
      <c r="B3789" s="3" t="s">
        <v>13009</v>
      </c>
      <c r="C3789" s="2" t="s">
        <v>13010</v>
      </c>
      <c r="D3789" s="2">
        <v>43</v>
      </c>
      <c r="E3789" s="2">
        <v>44</v>
      </c>
      <c r="F3789" s="2" t="s">
        <v>13011</v>
      </c>
      <c r="H3789" s="2" t="s">
        <v>17</v>
      </c>
      <c r="K3789" s="4">
        <v>10826</v>
      </c>
      <c r="L3789" s="4">
        <v>41073</v>
      </c>
      <c r="M3789" s="2" t="s">
        <v>66</v>
      </c>
      <c r="N3789" s="2" t="s">
        <v>3043</v>
      </c>
    </row>
    <row r="3790" spans="1:14">
      <c r="A3790" s="2">
        <v>3789</v>
      </c>
      <c r="B3790" s="3" t="s">
        <v>13012</v>
      </c>
      <c r="C3790" s="2" t="s">
        <v>13013</v>
      </c>
      <c r="D3790" s="2">
        <v>44</v>
      </c>
      <c r="E3790" s="2">
        <v>44</v>
      </c>
      <c r="F3790" s="2" t="s">
        <v>13014</v>
      </c>
      <c r="H3790" s="2" t="s">
        <v>17</v>
      </c>
      <c r="K3790" s="4">
        <v>4669</v>
      </c>
      <c r="L3790" s="4">
        <v>35836</v>
      </c>
      <c r="M3790" s="2" t="s">
        <v>164</v>
      </c>
      <c r="N3790" s="2" t="s">
        <v>165</v>
      </c>
    </row>
    <row r="3791" spans="1:14">
      <c r="A3791" s="2">
        <v>3790</v>
      </c>
      <c r="B3791" s="3" t="s">
        <v>13015</v>
      </c>
      <c r="C3791" s="2" t="s">
        <v>13016</v>
      </c>
      <c r="D3791" s="2">
        <v>42</v>
      </c>
      <c r="E3791" s="2">
        <v>44</v>
      </c>
      <c r="F3791" s="2" t="s">
        <v>13017</v>
      </c>
      <c r="H3791" s="2" t="s">
        <v>17</v>
      </c>
      <c r="K3791" s="4">
        <v>11723</v>
      </c>
      <c r="L3791" s="4">
        <v>45794</v>
      </c>
      <c r="M3791" s="2" t="s">
        <v>185</v>
      </c>
      <c r="N3791" s="2" t="s">
        <v>13018</v>
      </c>
    </row>
    <row r="3792" spans="1:14">
      <c r="A3792" s="2">
        <v>3791</v>
      </c>
      <c r="B3792" s="3" t="s">
        <v>13019</v>
      </c>
      <c r="C3792" s="2" t="s">
        <v>13020</v>
      </c>
      <c r="D3792" s="2">
        <v>43</v>
      </c>
      <c r="E3792" s="2">
        <v>44</v>
      </c>
      <c r="F3792" s="2" t="s">
        <v>13021</v>
      </c>
      <c r="H3792" s="2" t="s">
        <v>17</v>
      </c>
      <c r="K3792" s="4">
        <v>10149</v>
      </c>
      <c r="L3792" s="4">
        <v>39798</v>
      </c>
      <c r="M3792" s="2" t="s">
        <v>53</v>
      </c>
      <c r="N3792" s="2" t="s">
        <v>1697</v>
      </c>
    </row>
    <row r="3793" spans="1:14">
      <c r="A3793" s="2">
        <v>3792</v>
      </c>
      <c r="B3793" s="3" t="s">
        <v>13022</v>
      </c>
      <c r="C3793" s="2" t="s">
        <v>13023</v>
      </c>
      <c r="D3793" s="2">
        <v>42</v>
      </c>
      <c r="E3793" s="2">
        <v>44</v>
      </c>
      <c r="F3793" s="2" t="s">
        <v>13024</v>
      </c>
      <c r="H3793" s="2" t="s">
        <v>17</v>
      </c>
      <c r="K3793" s="4">
        <v>4305</v>
      </c>
      <c r="L3793" s="4">
        <v>35657</v>
      </c>
      <c r="M3793" s="2" t="s">
        <v>47</v>
      </c>
      <c r="N3793" s="2" t="s">
        <v>48</v>
      </c>
    </row>
    <row r="3794" spans="1:14">
      <c r="A3794" s="2">
        <v>3793</v>
      </c>
      <c r="B3794" s="3" t="s">
        <v>13025</v>
      </c>
      <c r="C3794" s="2" t="s">
        <v>13026</v>
      </c>
      <c r="D3794" s="2">
        <v>44</v>
      </c>
      <c r="E3794" s="2">
        <v>44</v>
      </c>
      <c r="F3794" s="2" t="s">
        <v>13027</v>
      </c>
      <c r="H3794" s="2" t="s">
        <v>17</v>
      </c>
      <c r="K3794" s="4">
        <v>7490</v>
      </c>
      <c r="L3794" s="4">
        <v>26739</v>
      </c>
      <c r="M3794" s="2" t="s">
        <v>154</v>
      </c>
      <c r="N3794" s="2" t="s">
        <v>2645</v>
      </c>
    </row>
    <row r="3795" spans="1:14">
      <c r="A3795" s="2">
        <v>3794</v>
      </c>
      <c r="B3795" s="3" t="s">
        <v>13028</v>
      </c>
      <c r="C3795" s="2" t="s">
        <v>13029</v>
      </c>
      <c r="D3795" s="2">
        <v>44</v>
      </c>
      <c r="E3795" s="2">
        <v>44</v>
      </c>
      <c r="F3795" s="2" t="s">
        <v>13030</v>
      </c>
      <c r="H3795" s="2" t="s">
        <v>17</v>
      </c>
      <c r="K3795" s="4">
        <v>8221</v>
      </c>
      <c r="L3795" s="4">
        <v>38739</v>
      </c>
      <c r="M3795" s="2" t="s">
        <v>47</v>
      </c>
      <c r="N3795" s="2" t="s">
        <v>691</v>
      </c>
    </row>
    <row r="3796" spans="1:14">
      <c r="A3796" s="2">
        <v>3795</v>
      </c>
      <c r="B3796" s="3" t="s">
        <v>13031</v>
      </c>
      <c r="C3796" s="2" t="s">
        <v>13032</v>
      </c>
      <c r="D3796" s="2">
        <v>44</v>
      </c>
      <c r="E3796" s="2">
        <v>44</v>
      </c>
      <c r="F3796" s="2" t="s">
        <v>13033</v>
      </c>
      <c r="H3796" s="2" t="s">
        <v>17</v>
      </c>
      <c r="K3796" s="4">
        <v>10883</v>
      </c>
      <c r="L3796" s="4">
        <v>40015</v>
      </c>
      <c r="M3796" s="2" t="s">
        <v>154</v>
      </c>
      <c r="N3796" s="2" t="s">
        <v>208</v>
      </c>
    </row>
    <row r="3797" spans="1:14">
      <c r="A3797" s="2">
        <v>3796</v>
      </c>
      <c r="B3797" s="3" t="s">
        <v>13034</v>
      </c>
      <c r="C3797" s="2" t="s">
        <v>13035</v>
      </c>
      <c r="D3797" s="2">
        <v>44</v>
      </c>
      <c r="E3797" s="2">
        <v>44</v>
      </c>
      <c r="F3797" s="2" t="s">
        <v>13036</v>
      </c>
      <c r="H3797" s="2" t="s">
        <v>17</v>
      </c>
      <c r="K3797" s="4">
        <v>5397</v>
      </c>
      <c r="L3797" s="4">
        <v>35907</v>
      </c>
      <c r="M3797" s="2" t="s">
        <v>35</v>
      </c>
      <c r="N3797" s="2" t="s">
        <v>3885</v>
      </c>
    </row>
    <row r="3798" spans="1:14">
      <c r="A3798" s="2">
        <v>3797</v>
      </c>
      <c r="B3798" s="3" t="s">
        <v>13037</v>
      </c>
      <c r="C3798" s="2" t="s">
        <v>13038</v>
      </c>
      <c r="D3798" s="2">
        <v>44</v>
      </c>
      <c r="E3798" s="2">
        <v>44</v>
      </c>
      <c r="F3798" s="2" t="s">
        <v>13039</v>
      </c>
      <c r="H3798" s="2" t="s">
        <v>17</v>
      </c>
      <c r="K3798" s="4">
        <v>10542</v>
      </c>
      <c r="L3798" s="4">
        <v>40337</v>
      </c>
      <c r="M3798" s="2" t="s">
        <v>35</v>
      </c>
      <c r="N3798" s="2" t="s">
        <v>13040</v>
      </c>
    </row>
    <row r="3799" spans="1:14">
      <c r="A3799" s="2">
        <v>3798</v>
      </c>
      <c r="B3799" s="3" t="s">
        <v>13041</v>
      </c>
      <c r="C3799" s="2" t="s">
        <v>13042</v>
      </c>
      <c r="D3799" s="2">
        <v>43</v>
      </c>
      <c r="E3799" s="2">
        <v>44</v>
      </c>
      <c r="F3799" s="2" t="s">
        <v>13043</v>
      </c>
      <c r="H3799" s="2" t="s">
        <v>17</v>
      </c>
      <c r="K3799" s="4">
        <v>10606</v>
      </c>
      <c r="L3799" s="4">
        <v>37741</v>
      </c>
      <c r="M3799" s="2" t="s">
        <v>35</v>
      </c>
      <c r="N3799" s="2" t="s">
        <v>13044</v>
      </c>
    </row>
    <row r="3800" spans="1:14">
      <c r="A3800" s="2">
        <v>3799</v>
      </c>
      <c r="B3800" s="3" t="s">
        <v>13045</v>
      </c>
      <c r="C3800" s="2" t="s">
        <v>13046</v>
      </c>
      <c r="D3800" s="2">
        <v>40</v>
      </c>
      <c r="E3800" s="2">
        <v>44</v>
      </c>
      <c r="F3800" s="2" t="s">
        <v>13047</v>
      </c>
      <c r="H3800" s="2" t="s">
        <v>17</v>
      </c>
      <c r="K3800" s="4">
        <v>3780</v>
      </c>
      <c r="L3800" s="4">
        <v>37393</v>
      </c>
      <c r="M3800" s="2" t="s">
        <v>47</v>
      </c>
      <c r="N3800" s="2" t="s">
        <v>13048</v>
      </c>
    </row>
    <row r="3801" spans="1:14">
      <c r="A3801" s="2">
        <v>3800</v>
      </c>
      <c r="B3801" s="3" t="s">
        <v>13049</v>
      </c>
      <c r="C3801" s="2" t="s">
        <v>13050</v>
      </c>
      <c r="D3801" s="2">
        <v>44</v>
      </c>
      <c r="E3801" s="2">
        <v>44</v>
      </c>
      <c r="F3801" s="2" t="s">
        <v>13051</v>
      </c>
      <c r="H3801" s="2" t="s">
        <v>17</v>
      </c>
      <c r="K3801" s="4">
        <v>6745</v>
      </c>
      <c r="L3801" s="4">
        <v>29132</v>
      </c>
      <c r="M3801" s="2" t="s">
        <v>30</v>
      </c>
      <c r="N3801" s="2" t="s">
        <v>4896</v>
      </c>
    </row>
    <row r="3802" spans="1:14">
      <c r="A3802" s="2">
        <v>3801</v>
      </c>
      <c r="B3802" s="3" t="s">
        <v>13052</v>
      </c>
      <c r="C3802" s="2" t="s">
        <v>13053</v>
      </c>
      <c r="D3802" s="2">
        <v>43</v>
      </c>
      <c r="E3802" s="2">
        <v>44</v>
      </c>
      <c r="F3802" s="2" t="s">
        <v>13054</v>
      </c>
      <c r="H3802" s="2" t="s">
        <v>17</v>
      </c>
      <c r="K3802" s="4">
        <v>10316</v>
      </c>
      <c r="L3802" s="4">
        <v>43253</v>
      </c>
      <c r="M3802" s="2" t="s">
        <v>47</v>
      </c>
      <c r="N3802" s="2" t="s">
        <v>1315</v>
      </c>
    </row>
    <row r="3803" spans="1:14">
      <c r="A3803" s="2">
        <v>3802</v>
      </c>
      <c r="B3803" s="3" t="s">
        <v>13055</v>
      </c>
      <c r="C3803" s="2" t="s">
        <v>13056</v>
      </c>
      <c r="D3803" s="2">
        <v>39</v>
      </c>
      <c r="E3803" s="2">
        <v>44</v>
      </c>
      <c r="F3803" s="2" t="s">
        <v>13057</v>
      </c>
      <c r="H3803" s="2" t="s">
        <v>17</v>
      </c>
      <c r="K3803" s="4">
        <v>1744</v>
      </c>
      <c r="L3803" s="4">
        <v>31953</v>
      </c>
      <c r="M3803" s="2" t="s">
        <v>35</v>
      </c>
      <c r="N3803" s="2" t="s">
        <v>6516</v>
      </c>
    </row>
    <row r="3804" spans="1:14">
      <c r="A3804" s="2">
        <v>3803</v>
      </c>
      <c r="B3804" s="3" t="s">
        <v>13058</v>
      </c>
      <c r="C3804" s="2" t="s">
        <v>13059</v>
      </c>
      <c r="D3804" s="2">
        <v>44</v>
      </c>
      <c r="E3804" s="2">
        <v>44</v>
      </c>
      <c r="F3804" s="2" t="s">
        <v>13060</v>
      </c>
      <c r="H3804" s="2" t="s">
        <v>17</v>
      </c>
      <c r="K3804" s="4">
        <v>10706</v>
      </c>
      <c r="L3804" s="4">
        <v>40862</v>
      </c>
      <c r="M3804" s="2" t="s">
        <v>85</v>
      </c>
      <c r="N3804" s="2" t="s">
        <v>13061</v>
      </c>
    </row>
    <row r="3805" spans="1:14">
      <c r="A3805" s="2">
        <v>3804</v>
      </c>
      <c r="B3805" s="3" t="s">
        <v>13062</v>
      </c>
      <c r="C3805" s="2" t="s">
        <v>13063</v>
      </c>
      <c r="D3805" s="2">
        <v>43</v>
      </c>
      <c r="E3805" s="2">
        <v>44</v>
      </c>
      <c r="F3805" s="2" t="s">
        <v>13064</v>
      </c>
      <c r="H3805" s="2" t="s">
        <v>17</v>
      </c>
      <c r="K3805" s="4">
        <v>5608</v>
      </c>
      <c r="L3805" s="4">
        <v>34131</v>
      </c>
      <c r="M3805" s="2" t="s">
        <v>170</v>
      </c>
      <c r="N3805" s="2" t="s">
        <v>323</v>
      </c>
    </row>
    <row r="3806" spans="1:14">
      <c r="A3806" s="2">
        <v>3805</v>
      </c>
      <c r="B3806" s="3" t="s">
        <v>13065</v>
      </c>
      <c r="C3806" s="2" t="s">
        <v>13066</v>
      </c>
      <c r="D3806" s="2">
        <v>40</v>
      </c>
      <c r="E3806" s="2">
        <v>44</v>
      </c>
      <c r="F3806" s="2" t="s">
        <v>13067</v>
      </c>
      <c r="H3806" s="2" t="s">
        <v>17</v>
      </c>
      <c r="K3806" s="4">
        <v>8596</v>
      </c>
      <c r="L3806" s="4">
        <v>41477</v>
      </c>
      <c r="M3806" s="2" t="s">
        <v>76</v>
      </c>
      <c r="N3806" s="2" t="s">
        <v>906</v>
      </c>
    </row>
    <row r="3807" spans="1:14">
      <c r="A3807" s="2">
        <v>3806</v>
      </c>
      <c r="B3807" s="3" t="s">
        <v>13068</v>
      </c>
      <c r="C3807" s="2" t="s">
        <v>13069</v>
      </c>
      <c r="D3807" s="2">
        <v>43</v>
      </c>
      <c r="E3807" s="2">
        <v>44</v>
      </c>
      <c r="F3807" s="2" t="s">
        <v>13070</v>
      </c>
      <c r="H3807" s="2" t="s">
        <v>17</v>
      </c>
      <c r="K3807" s="4">
        <v>8681</v>
      </c>
      <c r="L3807" s="4">
        <v>41829</v>
      </c>
      <c r="M3807" s="2" t="s">
        <v>66</v>
      </c>
      <c r="N3807" s="2" t="s">
        <v>105</v>
      </c>
    </row>
    <row r="3808" spans="1:14">
      <c r="A3808" s="2">
        <v>3807</v>
      </c>
      <c r="B3808" s="3" t="s">
        <v>13071</v>
      </c>
      <c r="C3808" s="2" t="s">
        <v>13072</v>
      </c>
      <c r="D3808" s="2">
        <v>41</v>
      </c>
      <c r="E3808" s="2">
        <v>44</v>
      </c>
      <c r="F3808" s="2" t="s">
        <v>13073</v>
      </c>
      <c r="H3808" s="2" t="s">
        <v>17</v>
      </c>
      <c r="K3808" s="4">
        <v>4753</v>
      </c>
      <c r="L3808" s="4">
        <v>37687</v>
      </c>
      <c r="M3808" s="2" t="s">
        <v>170</v>
      </c>
      <c r="N3808" s="2" t="s">
        <v>7249</v>
      </c>
    </row>
    <row r="3809" spans="1:14">
      <c r="A3809" s="2">
        <v>3808</v>
      </c>
      <c r="B3809" s="3" t="s">
        <v>13074</v>
      </c>
      <c r="C3809" s="2" t="s">
        <v>13075</v>
      </c>
      <c r="D3809" s="2">
        <v>43</v>
      </c>
      <c r="E3809" s="2">
        <v>44</v>
      </c>
      <c r="F3809" s="2" t="s">
        <v>13076</v>
      </c>
      <c r="H3809" s="2" t="s">
        <v>17</v>
      </c>
      <c r="K3809" s="4">
        <v>4688</v>
      </c>
      <c r="L3809" s="4">
        <v>26765</v>
      </c>
      <c r="M3809" s="2" t="s">
        <v>35</v>
      </c>
      <c r="N3809" s="2" t="s">
        <v>9665</v>
      </c>
    </row>
    <row r="3810" spans="1:14">
      <c r="A3810" s="2">
        <v>3809</v>
      </c>
      <c r="B3810" s="3" t="s">
        <v>13077</v>
      </c>
      <c r="C3810" s="2" t="s">
        <v>13078</v>
      </c>
      <c r="D3810" s="2">
        <v>41</v>
      </c>
      <c r="E3810" s="2">
        <v>44</v>
      </c>
      <c r="F3810" s="2" t="s">
        <v>13079</v>
      </c>
      <c r="H3810" s="2" t="s">
        <v>17</v>
      </c>
      <c r="K3810" s="4">
        <v>7748</v>
      </c>
      <c r="L3810" s="4">
        <v>32824</v>
      </c>
      <c r="M3810" s="2" t="s">
        <v>85</v>
      </c>
      <c r="N3810" s="2" t="s">
        <v>221</v>
      </c>
    </row>
    <row r="3811" spans="1:14">
      <c r="A3811" s="2">
        <v>3810</v>
      </c>
      <c r="B3811" s="3" t="s">
        <v>13080</v>
      </c>
      <c r="C3811" s="2" t="s">
        <v>13081</v>
      </c>
      <c r="D3811" s="2">
        <v>43</v>
      </c>
      <c r="E3811" s="2">
        <v>44</v>
      </c>
      <c r="F3811" s="2" t="s">
        <v>13082</v>
      </c>
      <c r="H3811" s="2" t="s">
        <v>17</v>
      </c>
      <c r="K3811" s="4">
        <v>9317</v>
      </c>
      <c r="L3811" s="4">
        <v>39729</v>
      </c>
      <c r="M3811" s="2" t="s">
        <v>18</v>
      </c>
    </row>
    <row r="3812" spans="1:14">
      <c r="A3812" s="2">
        <v>3811</v>
      </c>
      <c r="B3812" s="3" t="s">
        <v>13083</v>
      </c>
      <c r="C3812" s="2" t="s">
        <v>13084</v>
      </c>
      <c r="D3812" s="2">
        <v>43</v>
      </c>
      <c r="E3812" s="2">
        <v>44</v>
      </c>
      <c r="F3812" s="2" t="s">
        <v>13085</v>
      </c>
      <c r="H3812" s="2" t="s">
        <v>17</v>
      </c>
      <c r="K3812" s="4">
        <v>11960</v>
      </c>
      <c r="L3812" s="4">
        <v>42713</v>
      </c>
      <c r="M3812" s="2" t="s">
        <v>35</v>
      </c>
      <c r="N3812" s="2" t="s">
        <v>5201</v>
      </c>
    </row>
    <row r="3813" spans="1:14">
      <c r="A3813" s="2">
        <v>3812</v>
      </c>
      <c r="B3813" s="3" t="s">
        <v>13086</v>
      </c>
      <c r="C3813" s="2" t="s">
        <v>13087</v>
      </c>
      <c r="D3813" s="2">
        <v>39</v>
      </c>
      <c r="E3813" s="2">
        <v>44</v>
      </c>
      <c r="F3813" s="2" t="s">
        <v>13088</v>
      </c>
      <c r="H3813" s="2" t="s">
        <v>17</v>
      </c>
      <c r="K3813" s="4">
        <v>3399</v>
      </c>
      <c r="L3813" s="4">
        <v>38637</v>
      </c>
      <c r="M3813" s="2" t="s">
        <v>35</v>
      </c>
    </row>
    <row r="3814" spans="1:14">
      <c r="A3814" s="2">
        <v>3813</v>
      </c>
      <c r="B3814" s="3" t="s">
        <v>13089</v>
      </c>
      <c r="C3814" s="2" t="s">
        <v>13090</v>
      </c>
      <c r="D3814" s="2">
        <v>44</v>
      </c>
      <c r="E3814" s="2">
        <v>44</v>
      </c>
      <c r="F3814" s="2" t="s">
        <v>13091</v>
      </c>
      <c r="H3814" s="2" t="s">
        <v>17</v>
      </c>
      <c r="K3814" s="4">
        <v>10806</v>
      </c>
      <c r="L3814" s="4">
        <v>27236</v>
      </c>
      <c r="M3814" s="2" t="s">
        <v>18</v>
      </c>
      <c r="N3814" s="2" t="s">
        <v>19</v>
      </c>
    </row>
    <row r="3815" spans="1:14">
      <c r="A3815" s="2">
        <v>3814</v>
      </c>
      <c r="B3815" s="3" t="s">
        <v>13092</v>
      </c>
      <c r="C3815" s="2" t="s">
        <v>13093</v>
      </c>
      <c r="D3815" s="2">
        <v>42</v>
      </c>
      <c r="E3815" s="2">
        <v>44</v>
      </c>
      <c r="F3815" s="2" t="s">
        <v>13094</v>
      </c>
      <c r="H3815" s="2" t="s">
        <v>17</v>
      </c>
      <c r="K3815" s="4">
        <v>9332</v>
      </c>
      <c r="L3815" s="4">
        <v>44428</v>
      </c>
      <c r="M3815" s="2" t="s">
        <v>154</v>
      </c>
      <c r="N3815" s="2" t="s">
        <v>155</v>
      </c>
    </row>
    <row r="3816" spans="1:14">
      <c r="A3816" s="2">
        <v>3815</v>
      </c>
      <c r="B3816" s="3" t="s">
        <v>13095</v>
      </c>
      <c r="C3816" s="2" t="s">
        <v>13096</v>
      </c>
      <c r="D3816" s="2">
        <v>43</v>
      </c>
      <c r="E3816" s="2">
        <v>44</v>
      </c>
      <c r="F3816" s="2" t="s">
        <v>13097</v>
      </c>
      <c r="H3816" s="2" t="s">
        <v>17</v>
      </c>
      <c r="K3816" s="4">
        <v>8162</v>
      </c>
      <c r="L3816" s="4">
        <v>40395</v>
      </c>
      <c r="M3816" s="2" t="s">
        <v>91</v>
      </c>
      <c r="N3816" s="2" t="s">
        <v>5401</v>
      </c>
    </row>
    <row r="3817" spans="1:14">
      <c r="A3817" s="2">
        <v>3816</v>
      </c>
      <c r="B3817" s="3" t="s">
        <v>13098</v>
      </c>
      <c r="C3817" s="2" t="s">
        <v>13099</v>
      </c>
      <c r="D3817" s="2">
        <v>41</v>
      </c>
      <c r="E3817" s="2">
        <v>44</v>
      </c>
      <c r="F3817" s="2" t="s">
        <v>13100</v>
      </c>
      <c r="H3817" s="2" t="s">
        <v>17</v>
      </c>
      <c r="K3817" s="4">
        <v>3247</v>
      </c>
      <c r="L3817" s="4">
        <v>29512</v>
      </c>
      <c r="M3817" s="2" t="s">
        <v>198</v>
      </c>
      <c r="N3817" s="2" t="s">
        <v>2976</v>
      </c>
    </row>
    <row r="3818" spans="1:14">
      <c r="A3818" s="2">
        <v>3817</v>
      </c>
      <c r="B3818" s="3" t="s">
        <v>13101</v>
      </c>
      <c r="C3818" s="2" t="s">
        <v>13102</v>
      </c>
      <c r="D3818" s="2">
        <v>40</v>
      </c>
      <c r="E3818" s="2">
        <v>44</v>
      </c>
      <c r="F3818" s="2" t="s">
        <v>13103</v>
      </c>
      <c r="H3818" s="2" t="s">
        <v>17</v>
      </c>
      <c r="K3818" s="4">
        <v>3554</v>
      </c>
      <c r="L3818" s="4">
        <v>39715</v>
      </c>
      <c r="M3818" s="2" t="s">
        <v>47</v>
      </c>
      <c r="N3818" s="2" t="s">
        <v>442</v>
      </c>
    </row>
    <row r="3819" spans="1:14">
      <c r="A3819" s="2">
        <v>3818</v>
      </c>
      <c r="B3819" s="3" t="s">
        <v>13104</v>
      </c>
      <c r="C3819" s="2" t="s">
        <v>13105</v>
      </c>
      <c r="D3819" s="2">
        <v>44</v>
      </c>
      <c r="E3819" s="2">
        <v>44</v>
      </c>
      <c r="F3819" s="2" t="s">
        <v>13106</v>
      </c>
      <c r="H3819" s="2" t="s">
        <v>17</v>
      </c>
      <c r="K3819" s="4">
        <v>14832</v>
      </c>
      <c r="L3819" s="4">
        <v>27342</v>
      </c>
      <c r="M3819" s="2" t="s">
        <v>154</v>
      </c>
      <c r="N3819" s="2" t="s">
        <v>208</v>
      </c>
    </row>
    <row r="3820" spans="1:14">
      <c r="A3820" s="2">
        <v>3819</v>
      </c>
      <c r="B3820" s="3" t="s">
        <v>13107</v>
      </c>
      <c r="C3820" s="2" t="s">
        <v>13108</v>
      </c>
      <c r="D3820" s="2">
        <v>44</v>
      </c>
      <c r="E3820" s="2">
        <v>44</v>
      </c>
      <c r="F3820" s="2" t="s">
        <v>13109</v>
      </c>
      <c r="H3820" s="2" t="s">
        <v>17</v>
      </c>
      <c r="K3820" s="4">
        <v>12691</v>
      </c>
      <c r="L3820" s="4">
        <v>41206</v>
      </c>
      <c r="M3820" s="2" t="s">
        <v>423</v>
      </c>
      <c r="N3820" s="2" t="s">
        <v>3005</v>
      </c>
    </row>
    <row r="3821" spans="1:14">
      <c r="A3821" s="2">
        <v>3820</v>
      </c>
      <c r="B3821" s="3" t="s">
        <v>13110</v>
      </c>
      <c r="C3821" s="2" t="s">
        <v>13111</v>
      </c>
      <c r="D3821" s="2">
        <v>43</v>
      </c>
      <c r="E3821" s="2">
        <v>44</v>
      </c>
      <c r="F3821" s="2" t="s">
        <v>13112</v>
      </c>
      <c r="H3821" s="2" t="s">
        <v>17</v>
      </c>
      <c r="K3821" s="4">
        <v>8188</v>
      </c>
      <c r="L3821" s="4">
        <v>40137</v>
      </c>
      <c r="M3821" s="2" t="s">
        <v>91</v>
      </c>
      <c r="N3821" s="2" t="s">
        <v>13113</v>
      </c>
    </row>
    <row r="3822" spans="1:14">
      <c r="A3822" s="2">
        <v>3821</v>
      </c>
      <c r="B3822" s="3" t="s">
        <v>13114</v>
      </c>
      <c r="C3822" s="2" t="s">
        <v>13115</v>
      </c>
      <c r="D3822" s="2">
        <v>43</v>
      </c>
      <c r="E3822" s="2">
        <v>44</v>
      </c>
      <c r="F3822" s="2" t="s">
        <v>13116</v>
      </c>
      <c r="H3822" s="2" t="s">
        <v>17</v>
      </c>
      <c r="K3822" s="4">
        <v>5952</v>
      </c>
      <c r="L3822" s="4">
        <v>33627</v>
      </c>
      <c r="M3822" s="2" t="s">
        <v>35</v>
      </c>
      <c r="N3822" s="2" t="s">
        <v>7237</v>
      </c>
    </row>
    <row r="3823" spans="1:14">
      <c r="A3823" s="2">
        <v>3822</v>
      </c>
      <c r="B3823" s="3" t="s">
        <v>13117</v>
      </c>
      <c r="C3823" s="2" t="s">
        <v>13118</v>
      </c>
      <c r="D3823" s="2">
        <v>42</v>
      </c>
      <c r="E3823" s="2">
        <v>44</v>
      </c>
      <c r="F3823" s="2" t="s">
        <v>13119</v>
      </c>
      <c r="H3823" s="2" t="s">
        <v>17</v>
      </c>
      <c r="K3823" s="4">
        <v>10377</v>
      </c>
      <c r="L3823" s="4">
        <v>34152</v>
      </c>
      <c r="M3823" s="2" t="s">
        <v>336</v>
      </c>
      <c r="N3823" s="2" t="s">
        <v>1883</v>
      </c>
    </row>
    <row r="3824" spans="1:14">
      <c r="A3824" s="2">
        <v>3823</v>
      </c>
      <c r="B3824" s="3" t="s">
        <v>13120</v>
      </c>
      <c r="C3824" s="2" t="s">
        <v>13121</v>
      </c>
      <c r="D3824" s="2">
        <v>41</v>
      </c>
      <c r="E3824" s="2">
        <v>44</v>
      </c>
      <c r="F3824" s="2" t="s">
        <v>13122</v>
      </c>
      <c r="H3824" s="2" t="s">
        <v>17</v>
      </c>
      <c r="K3824" s="4">
        <v>217</v>
      </c>
      <c r="L3824" s="4">
        <v>30539</v>
      </c>
      <c r="M3824" s="2" t="s">
        <v>91</v>
      </c>
      <c r="N3824" s="2" t="s">
        <v>677</v>
      </c>
    </row>
    <row r="3825" spans="1:14">
      <c r="A3825" s="2">
        <v>3824</v>
      </c>
      <c r="B3825" s="3" t="s">
        <v>13123</v>
      </c>
      <c r="C3825" s="2" t="s">
        <v>13124</v>
      </c>
      <c r="D3825" s="2">
        <v>41</v>
      </c>
      <c r="E3825" s="2">
        <v>44</v>
      </c>
      <c r="F3825" s="2" t="s">
        <v>13125</v>
      </c>
      <c r="H3825" s="2" t="s">
        <v>17</v>
      </c>
      <c r="K3825" s="4">
        <v>9047</v>
      </c>
      <c r="L3825" s="4">
        <v>40508</v>
      </c>
      <c r="M3825" s="2" t="s">
        <v>140</v>
      </c>
      <c r="N3825" s="2" t="s">
        <v>13126</v>
      </c>
    </row>
    <row r="3826" spans="1:14">
      <c r="A3826" s="2">
        <v>3825</v>
      </c>
      <c r="B3826" s="3" t="s">
        <v>13127</v>
      </c>
      <c r="C3826" s="2" t="s">
        <v>13128</v>
      </c>
      <c r="D3826" s="2">
        <v>44</v>
      </c>
      <c r="E3826" s="2">
        <v>44</v>
      </c>
      <c r="F3826" s="2" t="s">
        <v>13129</v>
      </c>
      <c r="H3826" s="2" t="s">
        <v>17</v>
      </c>
      <c r="K3826" s="4">
        <v>7881</v>
      </c>
      <c r="M3826" s="2" t="s">
        <v>66</v>
      </c>
      <c r="N3826" s="2" t="s">
        <v>1069</v>
      </c>
    </row>
    <row r="3827" spans="1:14">
      <c r="A3827" s="2">
        <v>3826</v>
      </c>
      <c r="B3827" s="3" t="s">
        <v>13130</v>
      </c>
      <c r="C3827" s="2" t="s">
        <v>13131</v>
      </c>
      <c r="D3827" s="2">
        <v>40</v>
      </c>
      <c r="E3827" s="2">
        <v>44</v>
      </c>
      <c r="F3827" s="2" t="s">
        <v>13132</v>
      </c>
      <c r="H3827" s="2" t="s">
        <v>17</v>
      </c>
      <c r="K3827" s="4">
        <v>4604</v>
      </c>
      <c r="L3827" s="4">
        <v>30179</v>
      </c>
      <c r="M3827" s="2" t="s">
        <v>185</v>
      </c>
      <c r="N3827" s="2" t="s">
        <v>838</v>
      </c>
    </row>
    <row r="3828" spans="1:14">
      <c r="A3828" s="2">
        <v>3827</v>
      </c>
      <c r="B3828" s="3" t="s">
        <v>13133</v>
      </c>
      <c r="C3828" s="2" t="s">
        <v>13134</v>
      </c>
      <c r="D3828" s="2">
        <v>43</v>
      </c>
      <c r="E3828" s="2">
        <v>44</v>
      </c>
      <c r="F3828" s="2" t="s">
        <v>13135</v>
      </c>
      <c r="H3828" s="2" t="s">
        <v>17</v>
      </c>
      <c r="K3828" s="4">
        <v>10541</v>
      </c>
      <c r="L3828" s="4">
        <v>32926</v>
      </c>
      <c r="M3828" s="2" t="s">
        <v>146</v>
      </c>
      <c r="N3828" s="2" t="s">
        <v>147</v>
      </c>
    </row>
    <row r="3829" spans="1:14">
      <c r="A3829" s="2">
        <v>3828</v>
      </c>
      <c r="B3829" s="3" t="s">
        <v>13136</v>
      </c>
      <c r="C3829" s="2" t="s">
        <v>13137</v>
      </c>
      <c r="D3829" s="2">
        <v>43</v>
      </c>
      <c r="E3829" s="2">
        <v>44</v>
      </c>
      <c r="F3829" s="2" t="s">
        <v>13138</v>
      </c>
      <c r="H3829" s="2" t="s">
        <v>17</v>
      </c>
      <c r="K3829" s="4">
        <v>10288</v>
      </c>
      <c r="L3829" s="4">
        <v>37822</v>
      </c>
      <c r="M3829" s="2" t="s">
        <v>35</v>
      </c>
      <c r="N3829" s="2" t="s">
        <v>2585</v>
      </c>
    </row>
    <row r="3830" spans="1:14">
      <c r="A3830" s="2">
        <v>3829</v>
      </c>
      <c r="B3830" s="3" t="s">
        <v>13139</v>
      </c>
      <c r="C3830" s="2" t="s">
        <v>13140</v>
      </c>
      <c r="D3830" s="2">
        <v>44</v>
      </c>
      <c r="E3830" s="2">
        <v>44</v>
      </c>
      <c r="F3830" s="2" t="s">
        <v>13141</v>
      </c>
      <c r="H3830" s="2" t="s">
        <v>17</v>
      </c>
      <c r="K3830" s="4">
        <v>6137</v>
      </c>
      <c r="L3830" s="4">
        <v>36351</v>
      </c>
      <c r="M3830" s="2" t="s">
        <v>170</v>
      </c>
      <c r="N3830" s="2" t="s">
        <v>323</v>
      </c>
    </row>
    <row r="3831" spans="1:14">
      <c r="A3831" s="2">
        <v>3830</v>
      </c>
      <c r="B3831" s="3" t="s">
        <v>13142</v>
      </c>
      <c r="C3831" s="2" t="s">
        <v>13143</v>
      </c>
      <c r="D3831" s="2">
        <v>42</v>
      </c>
      <c r="E3831" s="2">
        <v>44</v>
      </c>
      <c r="F3831" s="2" t="s">
        <v>13144</v>
      </c>
      <c r="H3831" s="2" t="s">
        <v>17</v>
      </c>
      <c r="K3831" s="4">
        <v>9635</v>
      </c>
      <c r="L3831" s="4">
        <v>42471</v>
      </c>
      <c r="M3831" s="2" t="s">
        <v>170</v>
      </c>
      <c r="N3831" s="2" t="s">
        <v>323</v>
      </c>
    </row>
    <row r="3832" spans="1:14">
      <c r="A3832" s="2">
        <v>3831</v>
      </c>
      <c r="B3832" s="3" t="s">
        <v>13145</v>
      </c>
      <c r="C3832" s="2" t="s">
        <v>13146</v>
      </c>
      <c r="D3832" s="2">
        <v>44</v>
      </c>
      <c r="E3832" s="2">
        <v>44</v>
      </c>
      <c r="F3832" s="2" t="s">
        <v>13147</v>
      </c>
      <c r="H3832" s="2" t="s">
        <v>17</v>
      </c>
      <c r="K3832" s="4">
        <v>4820</v>
      </c>
      <c r="L3832" s="4">
        <v>37865</v>
      </c>
      <c r="M3832" s="2" t="s">
        <v>40</v>
      </c>
      <c r="N3832" s="2" t="s">
        <v>12238</v>
      </c>
    </row>
    <row r="3833" spans="1:14">
      <c r="A3833" s="2">
        <v>3832</v>
      </c>
      <c r="B3833" s="3" t="s">
        <v>13148</v>
      </c>
      <c r="C3833" s="2" t="s">
        <v>13149</v>
      </c>
      <c r="D3833" s="2">
        <v>44</v>
      </c>
      <c r="E3833" s="2">
        <v>44</v>
      </c>
      <c r="F3833" s="2" t="s">
        <v>13150</v>
      </c>
      <c r="H3833" s="2" t="s">
        <v>17</v>
      </c>
      <c r="K3833" s="4">
        <v>7607</v>
      </c>
      <c r="L3833" s="4">
        <v>33402</v>
      </c>
      <c r="M3833" s="2" t="s">
        <v>170</v>
      </c>
      <c r="N3833" s="2" t="s">
        <v>323</v>
      </c>
    </row>
    <row r="3834" spans="1:14">
      <c r="A3834" s="2">
        <v>3833</v>
      </c>
      <c r="B3834" s="3" t="s">
        <v>13151</v>
      </c>
      <c r="C3834" s="2" t="s">
        <v>13152</v>
      </c>
      <c r="D3834" s="2">
        <v>43</v>
      </c>
      <c r="E3834" s="2">
        <v>44</v>
      </c>
      <c r="F3834" s="2" t="s">
        <v>13153</v>
      </c>
      <c r="H3834" s="2" t="s">
        <v>17</v>
      </c>
      <c r="K3834" s="4">
        <v>4176</v>
      </c>
      <c r="L3834" s="4">
        <v>32812</v>
      </c>
      <c r="M3834" s="2" t="s">
        <v>40</v>
      </c>
      <c r="N3834" s="2" t="s">
        <v>7326</v>
      </c>
    </row>
    <row r="3835" spans="1:14">
      <c r="A3835" s="2">
        <v>3834</v>
      </c>
      <c r="B3835" s="3" t="s">
        <v>13154</v>
      </c>
      <c r="C3835" s="2" t="s">
        <v>13155</v>
      </c>
      <c r="D3835" s="2">
        <v>44</v>
      </c>
      <c r="E3835" s="2">
        <v>44</v>
      </c>
      <c r="F3835" s="2" t="s">
        <v>13156</v>
      </c>
      <c r="H3835" s="2" t="s">
        <v>17</v>
      </c>
      <c r="K3835" s="4">
        <v>6109</v>
      </c>
      <c r="L3835" s="4">
        <v>32461</v>
      </c>
      <c r="M3835" s="2" t="s">
        <v>35</v>
      </c>
      <c r="N3835" s="2" t="s">
        <v>2466</v>
      </c>
    </row>
    <row r="3836" spans="1:14">
      <c r="A3836" s="2">
        <v>3835</v>
      </c>
      <c r="B3836" s="3" t="s">
        <v>13157</v>
      </c>
      <c r="C3836" s="2" t="s">
        <v>13158</v>
      </c>
      <c r="D3836" s="2">
        <v>43</v>
      </c>
      <c r="E3836" s="2">
        <v>44</v>
      </c>
      <c r="F3836" s="2" t="s">
        <v>13159</v>
      </c>
      <c r="H3836" s="2" t="s">
        <v>17</v>
      </c>
      <c r="K3836" s="4">
        <v>9898</v>
      </c>
      <c r="L3836" s="4">
        <v>38988</v>
      </c>
      <c r="M3836" s="2" t="s">
        <v>247</v>
      </c>
      <c r="N3836" s="2" t="s">
        <v>886</v>
      </c>
    </row>
    <row r="3837" spans="1:14">
      <c r="A3837" s="2">
        <v>3836</v>
      </c>
      <c r="B3837" s="3" t="s">
        <v>13160</v>
      </c>
      <c r="C3837" s="2" t="s">
        <v>13161</v>
      </c>
      <c r="D3837" s="2">
        <v>43</v>
      </c>
      <c r="E3837" s="2">
        <v>44</v>
      </c>
      <c r="F3837" s="2" t="s">
        <v>13162</v>
      </c>
      <c r="H3837" s="2" t="s">
        <v>17</v>
      </c>
      <c r="K3837" s="4">
        <v>14934</v>
      </c>
      <c r="M3837" s="2" t="s">
        <v>154</v>
      </c>
      <c r="N3837" s="2" t="s">
        <v>208</v>
      </c>
    </row>
    <row r="3838" spans="1:14">
      <c r="A3838" s="2">
        <v>3837</v>
      </c>
      <c r="B3838" s="3" t="s">
        <v>13163</v>
      </c>
      <c r="C3838" s="2" t="s">
        <v>13164</v>
      </c>
      <c r="D3838" s="2">
        <v>36</v>
      </c>
      <c r="E3838" s="2">
        <v>44</v>
      </c>
      <c r="F3838" s="2" t="s">
        <v>13165</v>
      </c>
      <c r="H3838" s="2" t="s">
        <v>17</v>
      </c>
      <c r="K3838" s="4">
        <v>528</v>
      </c>
      <c r="L3838" s="4">
        <v>27141</v>
      </c>
      <c r="M3838" s="2" t="s">
        <v>35</v>
      </c>
      <c r="N3838" s="2" t="s">
        <v>1996</v>
      </c>
    </row>
    <row r="3839" spans="1:14">
      <c r="A3839" s="2">
        <v>3838</v>
      </c>
      <c r="B3839" s="3" t="s">
        <v>13166</v>
      </c>
      <c r="C3839" s="2" t="s">
        <v>13167</v>
      </c>
      <c r="D3839" s="2">
        <v>44</v>
      </c>
      <c r="E3839" s="2">
        <v>44</v>
      </c>
      <c r="F3839" s="2" t="s">
        <v>13168</v>
      </c>
      <c r="H3839" s="2" t="s">
        <v>17</v>
      </c>
      <c r="K3839" s="4">
        <v>9703</v>
      </c>
      <c r="L3839" s="4">
        <v>31931</v>
      </c>
    </row>
    <row r="3840" spans="1:14">
      <c r="A3840" s="2">
        <v>3839</v>
      </c>
      <c r="B3840" s="3" t="s">
        <v>13169</v>
      </c>
      <c r="C3840" s="2" t="s">
        <v>13170</v>
      </c>
      <c r="D3840" s="2">
        <v>36</v>
      </c>
      <c r="E3840" s="2">
        <v>44</v>
      </c>
      <c r="F3840" s="2" t="s">
        <v>13171</v>
      </c>
      <c r="H3840" s="2" t="s">
        <v>17</v>
      </c>
      <c r="K3840" s="4" t="s">
        <v>13172</v>
      </c>
      <c r="L3840" s="4">
        <v>32471</v>
      </c>
      <c r="M3840" s="2" t="s">
        <v>85</v>
      </c>
      <c r="N3840" s="2" t="s">
        <v>11596</v>
      </c>
    </row>
    <row r="3841" spans="1:14">
      <c r="A3841" s="2">
        <v>3840</v>
      </c>
      <c r="B3841" s="3" t="s">
        <v>13173</v>
      </c>
      <c r="C3841" s="2" t="s">
        <v>13174</v>
      </c>
      <c r="D3841" s="2">
        <v>44</v>
      </c>
      <c r="E3841" s="2">
        <v>44</v>
      </c>
      <c r="F3841" s="2" t="s">
        <v>13175</v>
      </c>
      <c r="H3841" s="2" t="s">
        <v>17</v>
      </c>
      <c r="K3841" s="4">
        <v>8327</v>
      </c>
      <c r="L3841" s="4">
        <v>33600</v>
      </c>
      <c r="M3841" s="2" t="s">
        <v>66</v>
      </c>
      <c r="N3841" s="2" t="s">
        <v>71</v>
      </c>
    </row>
    <row r="3842" spans="1:14">
      <c r="A3842" s="2">
        <v>3841</v>
      </c>
      <c r="B3842" s="3" t="s">
        <v>13176</v>
      </c>
      <c r="C3842" s="2" t="s">
        <v>13177</v>
      </c>
      <c r="D3842" s="2">
        <v>42</v>
      </c>
      <c r="E3842" s="2">
        <v>44</v>
      </c>
      <c r="F3842" s="2" t="s">
        <v>13178</v>
      </c>
      <c r="H3842" s="2" t="s">
        <v>17</v>
      </c>
      <c r="K3842" s="4">
        <v>10841</v>
      </c>
      <c r="L3842" s="4">
        <v>43164</v>
      </c>
      <c r="M3842" s="2" t="s">
        <v>30</v>
      </c>
      <c r="N3842" s="2" t="s">
        <v>31</v>
      </c>
    </row>
    <row r="3843" spans="1:14">
      <c r="A3843" s="2">
        <v>3842</v>
      </c>
      <c r="B3843" s="3" t="s">
        <v>13179</v>
      </c>
      <c r="C3843" s="2" t="s">
        <v>13180</v>
      </c>
      <c r="D3843" s="2">
        <v>44</v>
      </c>
      <c r="E3843" s="2">
        <v>44</v>
      </c>
      <c r="F3843" s="2" t="s">
        <v>13181</v>
      </c>
      <c r="H3843" s="2" t="s">
        <v>17</v>
      </c>
      <c r="K3843" s="4">
        <v>1471</v>
      </c>
      <c r="M3843" s="2" t="s">
        <v>18</v>
      </c>
      <c r="N3843" s="2" t="s">
        <v>19</v>
      </c>
    </row>
    <row r="3844" spans="1:14">
      <c r="A3844" s="2">
        <v>3843</v>
      </c>
      <c r="B3844" s="3" t="s">
        <v>13182</v>
      </c>
      <c r="C3844" s="2" t="s">
        <v>13183</v>
      </c>
      <c r="D3844" s="2">
        <v>39</v>
      </c>
      <c r="E3844" s="2">
        <v>44</v>
      </c>
      <c r="F3844" s="2" t="s">
        <v>13184</v>
      </c>
      <c r="H3844" s="2" t="s">
        <v>17</v>
      </c>
      <c r="K3844" s="4">
        <v>4067</v>
      </c>
      <c r="L3844" s="4">
        <v>30851</v>
      </c>
      <c r="M3844" s="2" t="s">
        <v>66</v>
      </c>
      <c r="N3844" s="2" t="s">
        <v>6963</v>
      </c>
    </row>
    <row r="3845" spans="1:14">
      <c r="A3845" s="2">
        <v>3844</v>
      </c>
      <c r="B3845" s="3" t="s">
        <v>13185</v>
      </c>
      <c r="C3845" s="2" t="s">
        <v>8683</v>
      </c>
      <c r="D3845" s="2">
        <v>43</v>
      </c>
      <c r="E3845" s="2">
        <v>44</v>
      </c>
      <c r="F3845" s="2" t="s">
        <v>13186</v>
      </c>
      <c r="H3845" s="2" t="s">
        <v>17</v>
      </c>
      <c r="K3845" s="4">
        <v>8851</v>
      </c>
      <c r="L3845" s="4">
        <v>43057</v>
      </c>
      <c r="M3845" s="2" t="s">
        <v>40</v>
      </c>
      <c r="N3845" s="2" t="s">
        <v>41</v>
      </c>
    </row>
    <row r="3846" spans="1:14">
      <c r="A3846" s="2">
        <v>3845</v>
      </c>
      <c r="B3846" s="3" t="s">
        <v>13187</v>
      </c>
      <c r="C3846" s="2" t="s">
        <v>13188</v>
      </c>
      <c r="D3846" s="2">
        <v>38</v>
      </c>
      <c r="E3846" s="2">
        <v>44</v>
      </c>
      <c r="F3846" s="2" t="s">
        <v>13189</v>
      </c>
      <c r="H3846" s="2" t="s">
        <v>17</v>
      </c>
      <c r="K3846" s="4">
        <v>3940</v>
      </c>
      <c r="L3846" s="4">
        <v>37114</v>
      </c>
      <c r="M3846" s="2" t="s">
        <v>91</v>
      </c>
      <c r="N3846" s="2" t="s">
        <v>13113</v>
      </c>
    </row>
    <row r="3847" spans="1:14">
      <c r="A3847" s="2">
        <v>3846</v>
      </c>
      <c r="B3847" s="3" t="s">
        <v>13190</v>
      </c>
      <c r="C3847" s="2" t="s">
        <v>13191</v>
      </c>
      <c r="D3847" s="2">
        <v>44</v>
      </c>
      <c r="E3847" s="2">
        <v>44</v>
      </c>
      <c r="F3847" s="2" t="s">
        <v>13192</v>
      </c>
      <c r="H3847" s="2" t="s">
        <v>17</v>
      </c>
      <c r="K3847" s="4">
        <v>5706</v>
      </c>
      <c r="M3847" s="2" t="s">
        <v>423</v>
      </c>
      <c r="N3847" s="2" t="s">
        <v>9841</v>
      </c>
    </row>
    <row r="3848" spans="1:14">
      <c r="A3848" s="2">
        <v>3847</v>
      </c>
      <c r="B3848" s="3" t="s">
        <v>13193</v>
      </c>
      <c r="C3848" s="2" t="s">
        <v>13194</v>
      </c>
      <c r="D3848" s="2">
        <v>39</v>
      </c>
      <c r="E3848" s="2">
        <v>44</v>
      </c>
      <c r="F3848" s="2" t="s">
        <v>13195</v>
      </c>
      <c r="H3848" s="2" t="s">
        <v>17</v>
      </c>
      <c r="K3848" s="4">
        <v>7076</v>
      </c>
      <c r="L3848" s="4">
        <v>37817</v>
      </c>
      <c r="M3848" s="2" t="s">
        <v>198</v>
      </c>
      <c r="N3848" s="2" t="s">
        <v>199</v>
      </c>
    </row>
    <row r="3849" spans="1:14">
      <c r="A3849" s="2">
        <v>3848</v>
      </c>
      <c r="B3849" s="3" t="s">
        <v>13196</v>
      </c>
      <c r="C3849" s="2" t="s">
        <v>13197</v>
      </c>
      <c r="D3849" s="2">
        <v>41</v>
      </c>
      <c r="E3849" s="2">
        <v>44</v>
      </c>
      <c r="F3849" s="2" t="s">
        <v>13198</v>
      </c>
      <c r="H3849" s="2" t="s">
        <v>17</v>
      </c>
      <c r="K3849" s="4">
        <v>10720</v>
      </c>
      <c r="L3849" s="4">
        <v>40853</v>
      </c>
      <c r="M3849" s="2" t="s">
        <v>47</v>
      </c>
      <c r="N3849" s="2" t="s">
        <v>48</v>
      </c>
    </row>
    <row r="3850" spans="1:14">
      <c r="A3850" s="2">
        <v>3849</v>
      </c>
      <c r="B3850" s="3" t="s">
        <v>13199</v>
      </c>
      <c r="C3850" s="2" t="s">
        <v>13200</v>
      </c>
      <c r="D3850" s="2">
        <v>42</v>
      </c>
      <c r="E3850" s="2">
        <v>44</v>
      </c>
      <c r="F3850" s="2" t="s">
        <v>13201</v>
      </c>
      <c r="H3850" s="2" t="s">
        <v>17</v>
      </c>
      <c r="K3850" s="4">
        <v>6248</v>
      </c>
      <c r="L3850" s="4">
        <v>32788</v>
      </c>
      <c r="M3850" s="2" t="s">
        <v>35</v>
      </c>
      <c r="N3850" s="2" t="s">
        <v>6516</v>
      </c>
    </row>
    <row r="3851" spans="1:14">
      <c r="A3851" s="2">
        <v>3850</v>
      </c>
      <c r="B3851" s="3" t="s">
        <v>13202</v>
      </c>
      <c r="C3851" s="2" t="s">
        <v>13203</v>
      </c>
      <c r="D3851" s="2">
        <v>43</v>
      </c>
      <c r="E3851" s="2">
        <v>44</v>
      </c>
      <c r="F3851" s="2" t="s">
        <v>13204</v>
      </c>
      <c r="H3851" s="2" t="s">
        <v>17</v>
      </c>
      <c r="K3851" s="4">
        <v>5614</v>
      </c>
      <c r="M3851" s="2" t="s">
        <v>18</v>
      </c>
      <c r="N3851" s="2" t="s">
        <v>342</v>
      </c>
    </row>
    <row r="3852" spans="1:14">
      <c r="A3852" s="2">
        <v>3851</v>
      </c>
      <c r="B3852" s="3" t="s">
        <v>13205</v>
      </c>
      <c r="C3852" s="2" t="s">
        <v>13206</v>
      </c>
      <c r="D3852" s="2">
        <v>44</v>
      </c>
      <c r="E3852" s="2">
        <v>44</v>
      </c>
      <c r="F3852" s="2" t="s">
        <v>13207</v>
      </c>
      <c r="H3852" s="2" t="s">
        <v>17</v>
      </c>
      <c r="K3852" s="4">
        <v>9691</v>
      </c>
      <c r="L3852" s="4">
        <v>35604</v>
      </c>
      <c r="M3852" s="2" t="s">
        <v>170</v>
      </c>
    </row>
    <row r="3853" spans="1:14">
      <c r="A3853" s="2">
        <v>3852</v>
      </c>
      <c r="B3853" s="3" t="s">
        <v>13208</v>
      </c>
      <c r="C3853" s="2" t="s">
        <v>13209</v>
      </c>
      <c r="D3853" s="2">
        <v>44</v>
      </c>
      <c r="E3853" s="2">
        <v>44</v>
      </c>
      <c r="F3853" s="2" t="s">
        <v>13210</v>
      </c>
      <c r="H3853" s="2" t="s">
        <v>17</v>
      </c>
      <c r="K3853" s="4">
        <v>11571</v>
      </c>
      <c r="L3853" s="4">
        <v>32028</v>
      </c>
      <c r="M3853" s="2" t="s">
        <v>198</v>
      </c>
      <c r="N3853" s="2" t="s">
        <v>199</v>
      </c>
    </row>
    <row r="3854" spans="1:14">
      <c r="A3854" s="2">
        <v>3853</v>
      </c>
      <c r="B3854" s="3" t="s">
        <v>13211</v>
      </c>
      <c r="C3854" s="2" t="s">
        <v>13212</v>
      </c>
      <c r="D3854" s="2">
        <v>44</v>
      </c>
      <c r="E3854" s="2">
        <v>44</v>
      </c>
      <c r="F3854" s="2" t="s">
        <v>13213</v>
      </c>
      <c r="H3854" s="2" t="s">
        <v>17</v>
      </c>
      <c r="K3854" s="4">
        <v>9775</v>
      </c>
      <c r="L3854" s="4">
        <v>38672</v>
      </c>
      <c r="M3854" s="2" t="s">
        <v>47</v>
      </c>
      <c r="N3854" s="2" t="s">
        <v>48</v>
      </c>
    </row>
    <row r="3855" spans="1:14">
      <c r="A3855" s="2">
        <v>3854</v>
      </c>
      <c r="B3855" s="3" t="s">
        <v>13214</v>
      </c>
      <c r="C3855" s="2" t="s">
        <v>13215</v>
      </c>
      <c r="D3855" s="2">
        <v>44</v>
      </c>
      <c r="E3855" s="2">
        <v>44</v>
      </c>
      <c r="F3855" s="2" t="s">
        <v>13216</v>
      </c>
      <c r="H3855" s="2" t="s">
        <v>17</v>
      </c>
      <c r="K3855" s="4">
        <v>8789</v>
      </c>
      <c r="L3855" s="4">
        <v>38764</v>
      </c>
      <c r="M3855" s="2" t="s">
        <v>35</v>
      </c>
      <c r="N3855" s="2" t="s">
        <v>1462</v>
      </c>
    </row>
    <row r="3856" spans="1:14">
      <c r="A3856" s="2">
        <v>3855</v>
      </c>
      <c r="B3856" s="3" t="s">
        <v>13217</v>
      </c>
      <c r="C3856" s="2" t="s">
        <v>13218</v>
      </c>
      <c r="D3856" s="2">
        <v>42</v>
      </c>
      <c r="E3856" s="2">
        <v>44</v>
      </c>
      <c r="F3856" s="2" t="s">
        <v>13219</v>
      </c>
      <c r="H3856" s="2" t="s">
        <v>17</v>
      </c>
      <c r="K3856" s="4">
        <v>11598</v>
      </c>
      <c r="L3856" s="4">
        <v>39608</v>
      </c>
      <c r="M3856" s="2" t="s">
        <v>66</v>
      </c>
      <c r="N3856" s="2" t="s">
        <v>3096</v>
      </c>
    </row>
    <row r="3857" spans="1:14">
      <c r="A3857" s="2">
        <v>3856</v>
      </c>
      <c r="B3857" s="3" t="s">
        <v>13220</v>
      </c>
      <c r="C3857" s="2" t="s">
        <v>13221</v>
      </c>
      <c r="D3857" s="2">
        <v>44</v>
      </c>
      <c r="E3857" s="2">
        <v>44</v>
      </c>
      <c r="F3857" s="2" t="s">
        <v>13222</v>
      </c>
      <c r="H3857" s="2" t="s">
        <v>17</v>
      </c>
      <c r="K3857" s="4">
        <v>9639</v>
      </c>
      <c r="L3857" s="4">
        <v>40356</v>
      </c>
      <c r="M3857" s="2" t="s">
        <v>170</v>
      </c>
      <c r="N3857" s="2" t="s">
        <v>6759</v>
      </c>
    </row>
    <row r="3858" spans="1:14">
      <c r="A3858" s="2">
        <v>3857</v>
      </c>
      <c r="B3858" s="3" t="s">
        <v>13223</v>
      </c>
      <c r="C3858" s="2" t="s">
        <v>13224</v>
      </c>
      <c r="D3858" s="2">
        <v>44</v>
      </c>
      <c r="E3858" s="2">
        <v>44</v>
      </c>
      <c r="F3858" s="2" t="s">
        <v>13225</v>
      </c>
      <c r="H3858" s="2" t="s">
        <v>17</v>
      </c>
      <c r="K3858" s="4">
        <v>11306</v>
      </c>
      <c r="M3858" s="2" t="s">
        <v>47</v>
      </c>
      <c r="N3858" s="2" t="s">
        <v>6306</v>
      </c>
    </row>
    <row r="3859" spans="1:14">
      <c r="A3859" s="2">
        <v>3858</v>
      </c>
      <c r="B3859" s="3" t="s">
        <v>13226</v>
      </c>
      <c r="C3859" s="2" t="s">
        <v>13227</v>
      </c>
      <c r="D3859" s="2">
        <v>42</v>
      </c>
      <c r="E3859" s="2">
        <v>44</v>
      </c>
      <c r="F3859" s="2" t="s">
        <v>13228</v>
      </c>
      <c r="H3859" s="2" t="s">
        <v>45</v>
      </c>
      <c r="K3859" s="4">
        <v>2961</v>
      </c>
      <c r="L3859" s="4">
        <v>29159</v>
      </c>
      <c r="M3859" s="2" t="s">
        <v>47</v>
      </c>
      <c r="N3859" s="2" t="s">
        <v>48</v>
      </c>
    </row>
    <row r="3860" spans="1:14">
      <c r="A3860" s="2">
        <v>3859</v>
      </c>
      <c r="B3860" s="3" t="s">
        <v>13229</v>
      </c>
      <c r="C3860" s="2" t="s">
        <v>13230</v>
      </c>
      <c r="D3860" s="2">
        <v>43</v>
      </c>
      <c r="E3860" s="2">
        <v>44</v>
      </c>
      <c r="F3860" s="2" t="s">
        <v>13231</v>
      </c>
      <c r="H3860" s="2" t="s">
        <v>17</v>
      </c>
      <c r="K3860" s="4">
        <v>4358</v>
      </c>
      <c r="L3860" s="4">
        <v>31571</v>
      </c>
      <c r="M3860" s="2" t="s">
        <v>185</v>
      </c>
      <c r="N3860" s="2" t="s">
        <v>2069</v>
      </c>
    </row>
    <row r="3861" spans="1:14">
      <c r="A3861" s="2">
        <v>3860</v>
      </c>
      <c r="B3861" s="3" t="s">
        <v>13232</v>
      </c>
      <c r="C3861" s="2" t="s">
        <v>13233</v>
      </c>
      <c r="D3861" s="2">
        <v>40</v>
      </c>
      <c r="E3861" s="2">
        <v>44</v>
      </c>
      <c r="F3861" s="2" t="s">
        <v>13234</v>
      </c>
      <c r="H3861" s="2" t="s">
        <v>17</v>
      </c>
      <c r="K3861" s="4">
        <v>5180</v>
      </c>
      <c r="L3861" s="4">
        <v>33179</v>
      </c>
      <c r="M3861" s="2" t="s">
        <v>85</v>
      </c>
      <c r="N3861" s="2" t="s">
        <v>11596</v>
      </c>
    </row>
    <row r="3862" spans="1:14">
      <c r="A3862" s="2">
        <v>3861</v>
      </c>
      <c r="B3862" s="3" t="s">
        <v>13235</v>
      </c>
      <c r="C3862" s="2" t="s">
        <v>13236</v>
      </c>
      <c r="D3862" s="2">
        <v>44</v>
      </c>
      <c r="E3862" s="2">
        <v>44</v>
      </c>
      <c r="F3862" s="2" t="s">
        <v>13237</v>
      </c>
      <c r="H3862" s="2" t="s">
        <v>17</v>
      </c>
      <c r="K3862" s="4">
        <v>12156</v>
      </c>
      <c r="L3862" s="4">
        <v>36014</v>
      </c>
      <c r="M3862" s="2" t="s">
        <v>53</v>
      </c>
      <c r="N3862" s="2" t="s">
        <v>3933</v>
      </c>
    </row>
    <row r="3863" spans="1:14">
      <c r="A3863" s="2">
        <v>3862</v>
      </c>
      <c r="B3863" s="3" t="s">
        <v>13238</v>
      </c>
      <c r="C3863" s="2" t="s">
        <v>13239</v>
      </c>
      <c r="D3863" s="2">
        <v>39</v>
      </c>
      <c r="E3863" s="2">
        <v>44</v>
      </c>
      <c r="F3863" s="2" t="s">
        <v>13240</v>
      </c>
      <c r="H3863" s="2" t="s">
        <v>17</v>
      </c>
      <c r="K3863" s="4" t="s">
        <v>13241</v>
      </c>
      <c r="L3863" s="4">
        <v>30698</v>
      </c>
      <c r="M3863" s="2" t="s">
        <v>47</v>
      </c>
      <c r="N3863" s="2" t="s">
        <v>48</v>
      </c>
    </row>
    <row r="3864" spans="1:14">
      <c r="A3864" s="2">
        <v>3863</v>
      </c>
      <c r="B3864" s="3" t="s">
        <v>13242</v>
      </c>
      <c r="C3864" s="2" t="s">
        <v>13243</v>
      </c>
      <c r="D3864" s="2">
        <v>44</v>
      </c>
      <c r="E3864" s="2">
        <v>44</v>
      </c>
      <c r="F3864" s="2" t="s">
        <v>13244</v>
      </c>
      <c r="H3864" s="2" t="s">
        <v>17</v>
      </c>
      <c r="K3864" s="4">
        <v>8131</v>
      </c>
      <c r="L3864" s="4">
        <v>39457</v>
      </c>
      <c r="M3864" s="2" t="s">
        <v>341</v>
      </c>
      <c r="N3864" s="2" t="s">
        <v>834</v>
      </c>
    </row>
    <row r="3865" spans="1:14">
      <c r="A3865" s="2">
        <v>3864</v>
      </c>
      <c r="B3865" s="3" t="s">
        <v>13245</v>
      </c>
      <c r="C3865" s="2" t="s">
        <v>13246</v>
      </c>
      <c r="D3865" s="2">
        <v>41</v>
      </c>
      <c r="E3865" s="2">
        <v>44</v>
      </c>
      <c r="F3865" s="2" t="s">
        <v>13247</v>
      </c>
      <c r="H3865" s="2" t="s">
        <v>17</v>
      </c>
      <c r="K3865" s="4">
        <v>6806</v>
      </c>
      <c r="L3865" s="4">
        <v>31300</v>
      </c>
      <c r="M3865" s="2" t="s">
        <v>85</v>
      </c>
      <c r="N3865" s="2" t="s">
        <v>12375</v>
      </c>
    </row>
    <row r="3866" spans="1:14">
      <c r="A3866" s="2">
        <v>3865</v>
      </c>
      <c r="B3866" s="3" t="s">
        <v>13248</v>
      </c>
      <c r="C3866" s="2" t="s">
        <v>13249</v>
      </c>
      <c r="D3866" s="2">
        <v>39</v>
      </c>
      <c r="E3866" s="2">
        <v>44</v>
      </c>
      <c r="F3866" s="2" t="s">
        <v>13250</v>
      </c>
      <c r="H3866" s="2" t="s">
        <v>17</v>
      </c>
      <c r="K3866" s="4">
        <v>4702</v>
      </c>
      <c r="L3866" s="4">
        <v>33245</v>
      </c>
      <c r="M3866" s="2" t="s">
        <v>47</v>
      </c>
      <c r="N3866" s="2" t="s">
        <v>48</v>
      </c>
    </row>
    <row r="3867" spans="1:14">
      <c r="A3867" s="2">
        <v>3866</v>
      </c>
      <c r="B3867" s="3" t="s">
        <v>13251</v>
      </c>
      <c r="C3867" s="2" t="s">
        <v>13252</v>
      </c>
      <c r="D3867" s="2">
        <v>44</v>
      </c>
      <c r="E3867" s="2">
        <v>44</v>
      </c>
      <c r="F3867" s="2" t="s">
        <v>13253</v>
      </c>
      <c r="H3867" s="2" t="s">
        <v>17</v>
      </c>
      <c r="K3867" s="4">
        <v>9433</v>
      </c>
      <c r="M3867" s="2" t="s">
        <v>35</v>
      </c>
      <c r="N3867" s="2" t="s">
        <v>9848</v>
      </c>
    </row>
    <row r="3868" spans="1:14">
      <c r="A3868" s="2">
        <v>3867</v>
      </c>
      <c r="B3868" s="3" t="s">
        <v>13254</v>
      </c>
      <c r="C3868" s="2" t="s">
        <v>13255</v>
      </c>
      <c r="D3868" s="2">
        <v>44</v>
      </c>
      <c r="E3868" s="2">
        <v>44</v>
      </c>
      <c r="F3868" s="2" t="s">
        <v>13256</v>
      </c>
      <c r="H3868" s="2" t="s">
        <v>17</v>
      </c>
      <c r="K3868" s="4">
        <v>806</v>
      </c>
      <c r="L3868" s="4">
        <v>26394</v>
      </c>
      <c r="M3868" s="2" t="s">
        <v>185</v>
      </c>
      <c r="N3868" s="2" t="s">
        <v>186</v>
      </c>
    </row>
    <row r="3869" spans="1:14">
      <c r="A3869" s="2">
        <v>3868</v>
      </c>
      <c r="B3869" s="3" t="s">
        <v>13257</v>
      </c>
      <c r="C3869" s="2" t="s">
        <v>13258</v>
      </c>
      <c r="D3869" s="2">
        <v>43</v>
      </c>
      <c r="E3869" s="2">
        <v>44</v>
      </c>
      <c r="F3869" s="2" t="s">
        <v>13259</v>
      </c>
      <c r="H3869" s="2" t="s">
        <v>17</v>
      </c>
      <c r="K3869" s="4">
        <v>2989</v>
      </c>
      <c r="L3869" s="4">
        <v>27714</v>
      </c>
      <c r="M3869" s="2" t="s">
        <v>47</v>
      </c>
      <c r="N3869" s="2" t="s">
        <v>48</v>
      </c>
    </row>
    <row r="3870" spans="1:14">
      <c r="A3870" s="2">
        <v>3869</v>
      </c>
      <c r="B3870" s="3" t="s">
        <v>13260</v>
      </c>
      <c r="C3870" s="2" t="s">
        <v>13261</v>
      </c>
      <c r="D3870" s="2">
        <v>39</v>
      </c>
      <c r="E3870" s="2">
        <v>44</v>
      </c>
      <c r="F3870" s="2" t="s">
        <v>13262</v>
      </c>
      <c r="H3870" s="2" t="s">
        <v>17</v>
      </c>
      <c r="K3870" s="4">
        <v>1915</v>
      </c>
      <c r="L3870" s="4">
        <v>34181</v>
      </c>
      <c r="M3870" s="2" t="s">
        <v>47</v>
      </c>
      <c r="N3870" s="2" t="s">
        <v>48</v>
      </c>
    </row>
    <row r="3871" spans="1:14">
      <c r="A3871" s="2">
        <v>3870</v>
      </c>
      <c r="B3871" s="3" t="s">
        <v>13263</v>
      </c>
      <c r="C3871" s="2" t="s">
        <v>13264</v>
      </c>
      <c r="D3871" s="2">
        <v>43</v>
      </c>
      <c r="E3871" s="2">
        <v>44</v>
      </c>
      <c r="F3871" s="2" t="s">
        <v>13265</v>
      </c>
      <c r="H3871" s="2" t="s">
        <v>17</v>
      </c>
      <c r="K3871" s="4">
        <v>5951</v>
      </c>
      <c r="L3871" s="4">
        <v>36757</v>
      </c>
      <c r="M3871" s="2" t="s">
        <v>85</v>
      </c>
      <c r="N3871" s="2" t="s">
        <v>13266</v>
      </c>
    </row>
    <row r="3872" spans="1:14">
      <c r="A3872" s="2">
        <v>3871</v>
      </c>
      <c r="B3872" s="3" t="s">
        <v>13267</v>
      </c>
      <c r="C3872" s="2" t="s">
        <v>13268</v>
      </c>
      <c r="D3872" s="2">
        <v>41</v>
      </c>
      <c r="E3872" s="2">
        <v>44</v>
      </c>
      <c r="F3872" s="2" t="s">
        <v>13269</v>
      </c>
      <c r="H3872" s="2" t="s">
        <v>17</v>
      </c>
      <c r="K3872" s="4" t="s">
        <v>13270</v>
      </c>
      <c r="L3872" s="4">
        <v>27736</v>
      </c>
      <c r="M3872" s="2" t="s">
        <v>47</v>
      </c>
      <c r="N3872" s="2" t="s">
        <v>13271</v>
      </c>
    </row>
    <row r="3873" spans="1:14">
      <c r="A3873" s="2">
        <v>3872</v>
      </c>
      <c r="B3873" s="3" t="s">
        <v>13272</v>
      </c>
      <c r="C3873" s="2" t="s">
        <v>13273</v>
      </c>
      <c r="D3873" s="2">
        <v>43</v>
      </c>
      <c r="E3873" s="2">
        <v>44</v>
      </c>
      <c r="F3873" s="2" t="s">
        <v>13274</v>
      </c>
      <c r="H3873" s="2" t="s">
        <v>17</v>
      </c>
      <c r="K3873" s="4">
        <v>9831</v>
      </c>
      <c r="L3873" s="4">
        <v>36440</v>
      </c>
      <c r="M3873" s="2" t="s">
        <v>35</v>
      </c>
      <c r="N3873" s="2" t="s">
        <v>2261</v>
      </c>
    </row>
    <row r="3874" spans="1:14">
      <c r="A3874" s="2">
        <v>3873</v>
      </c>
      <c r="B3874" s="3" t="s">
        <v>13275</v>
      </c>
      <c r="C3874" s="2" t="s">
        <v>13276</v>
      </c>
      <c r="D3874" s="2">
        <v>44</v>
      </c>
      <c r="E3874" s="2">
        <v>44</v>
      </c>
      <c r="F3874" s="2" t="s">
        <v>13277</v>
      </c>
      <c r="H3874" s="2" t="s">
        <v>17</v>
      </c>
      <c r="K3874" s="4">
        <v>12494</v>
      </c>
      <c r="M3874" s="2" t="s">
        <v>47</v>
      </c>
      <c r="N3874" s="2" t="s">
        <v>48</v>
      </c>
    </row>
    <row r="3875" spans="1:14">
      <c r="A3875" s="2">
        <v>3874</v>
      </c>
      <c r="B3875" s="3" t="s">
        <v>13278</v>
      </c>
      <c r="C3875" s="2" t="s">
        <v>13279</v>
      </c>
      <c r="D3875" s="2">
        <v>43</v>
      </c>
      <c r="E3875" s="2">
        <v>44</v>
      </c>
      <c r="F3875" s="2" t="s">
        <v>13280</v>
      </c>
      <c r="H3875" s="2" t="s">
        <v>17</v>
      </c>
      <c r="K3875" s="4">
        <v>6425</v>
      </c>
      <c r="L3875" s="4">
        <v>36217</v>
      </c>
      <c r="M3875" s="2" t="s">
        <v>35</v>
      </c>
      <c r="N3875" s="2" t="s">
        <v>3929</v>
      </c>
    </row>
    <row r="3876" spans="1:14">
      <c r="A3876" s="2">
        <v>3875</v>
      </c>
      <c r="B3876" s="3" t="s">
        <v>13281</v>
      </c>
      <c r="C3876" s="2" t="s">
        <v>13282</v>
      </c>
      <c r="D3876" s="2">
        <v>40</v>
      </c>
      <c r="E3876" s="2">
        <v>44</v>
      </c>
      <c r="F3876" s="2" t="s">
        <v>13283</v>
      </c>
      <c r="H3876" s="2" t="s">
        <v>17</v>
      </c>
      <c r="K3876" s="4">
        <v>5302</v>
      </c>
      <c r="L3876" s="4">
        <v>26702</v>
      </c>
      <c r="M3876" s="2" t="s">
        <v>198</v>
      </c>
      <c r="N3876" s="2" t="s">
        <v>199</v>
      </c>
    </row>
    <row r="3877" spans="1:14">
      <c r="A3877" s="2">
        <v>3876</v>
      </c>
      <c r="B3877" s="3" t="s">
        <v>13284</v>
      </c>
      <c r="C3877" s="2" t="s">
        <v>13285</v>
      </c>
      <c r="D3877" s="2">
        <v>43</v>
      </c>
      <c r="E3877" s="2">
        <v>44</v>
      </c>
      <c r="F3877" s="2" t="s">
        <v>13286</v>
      </c>
      <c r="H3877" s="2" t="s">
        <v>17</v>
      </c>
      <c r="K3877" s="4">
        <v>3653</v>
      </c>
      <c r="L3877" s="4">
        <v>34277</v>
      </c>
      <c r="M3877" s="2" t="s">
        <v>47</v>
      </c>
      <c r="N3877" s="2" t="s">
        <v>13287</v>
      </c>
    </row>
    <row r="3878" spans="1:14">
      <c r="A3878" s="2">
        <v>3877</v>
      </c>
      <c r="B3878" s="3" t="s">
        <v>13288</v>
      </c>
      <c r="C3878" s="2" t="s">
        <v>13289</v>
      </c>
      <c r="D3878" s="2">
        <v>40</v>
      </c>
      <c r="E3878" s="2">
        <v>44</v>
      </c>
      <c r="F3878" s="2" t="s">
        <v>13290</v>
      </c>
      <c r="H3878" s="2" t="s">
        <v>17</v>
      </c>
      <c r="K3878" s="4">
        <v>4469</v>
      </c>
      <c r="L3878" s="4">
        <v>32024</v>
      </c>
      <c r="M3878" s="2" t="s">
        <v>47</v>
      </c>
      <c r="N3878" s="2" t="s">
        <v>48</v>
      </c>
    </row>
    <row r="3879" spans="1:14">
      <c r="A3879" s="2">
        <v>3878</v>
      </c>
      <c r="B3879" s="3" t="s">
        <v>13291</v>
      </c>
      <c r="C3879" s="2" t="s">
        <v>13292</v>
      </c>
      <c r="D3879" s="2">
        <v>44</v>
      </c>
      <c r="E3879" s="2">
        <v>44</v>
      </c>
      <c r="F3879" s="2" t="s">
        <v>13293</v>
      </c>
      <c r="H3879" s="2" t="s">
        <v>17</v>
      </c>
      <c r="K3879" s="4">
        <v>10975</v>
      </c>
      <c r="L3879" s="4">
        <v>29183</v>
      </c>
      <c r="M3879" s="2" t="s">
        <v>140</v>
      </c>
      <c r="N3879" s="2" t="s">
        <v>3179</v>
      </c>
    </row>
    <row r="3880" spans="1:14">
      <c r="A3880" s="2">
        <v>3879</v>
      </c>
      <c r="B3880" s="3" t="s">
        <v>13294</v>
      </c>
      <c r="C3880" s="2" t="s">
        <v>13295</v>
      </c>
      <c r="D3880" s="2">
        <v>44</v>
      </c>
      <c r="E3880" s="2">
        <v>44</v>
      </c>
      <c r="F3880" s="2" t="s">
        <v>13296</v>
      </c>
      <c r="H3880" s="2" t="s">
        <v>17</v>
      </c>
      <c r="K3880" s="4">
        <v>8958</v>
      </c>
      <c r="L3880" s="4">
        <v>36637</v>
      </c>
      <c r="M3880" s="2" t="s">
        <v>85</v>
      </c>
      <c r="N3880" s="2" t="s">
        <v>2563</v>
      </c>
    </row>
    <row r="3881" spans="1:14">
      <c r="A3881" s="2">
        <v>3880</v>
      </c>
      <c r="B3881" s="3" t="s">
        <v>13297</v>
      </c>
      <c r="C3881" s="2" t="s">
        <v>13298</v>
      </c>
      <c r="D3881" s="2">
        <v>44</v>
      </c>
      <c r="E3881" s="2">
        <v>44</v>
      </c>
      <c r="F3881" s="2" t="s">
        <v>13299</v>
      </c>
      <c r="H3881" s="2" t="s">
        <v>17</v>
      </c>
      <c r="K3881" s="4">
        <v>5031</v>
      </c>
      <c r="L3881" s="4">
        <v>31975</v>
      </c>
      <c r="M3881" s="2" t="s">
        <v>47</v>
      </c>
      <c r="N3881" s="2" t="s">
        <v>13300</v>
      </c>
    </row>
    <row r="3882" spans="1:14">
      <c r="A3882" s="2">
        <v>3881</v>
      </c>
      <c r="B3882" s="3" t="s">
        <v>13301</v>
      </c>
      <c r="C3882" s="2" t="s">
        <v>13302</v>
      </c>
      <c r="D3882" s="2">
        <v>44</v>
      </c>
      <c r="E3882" s="2">
        <v>44</v>
      </c>
      <c r="F3882" s="2" t="s">
        <v>13303</v>
      </c>
      <c r="H3882" s="2" t="s">
        <v>17</v>
      </c>
      <c r="K3882" s="4">
        <v>10107</v>
      </c>
      <c r="L3882" s="4">
        <v>28884</v>
      </c>
      <c r="M3882" s="2" t="s">
        <v>35</v>
      </c>
      <c r="N3882" s="2" t="s">
        <v>13304</v>
      </c>
    </row>
    <row r="3883" spans="1:14">
      <c r="A3883" s="2">
        <v>3882</v>
      </c>
      <c r="B3883" s="3" t="s">
        <v>13305</v>
      </c>
      <c r="C3883" s="2" t="s">
        <v>13306</v>
      </c>
      <c r="D3883" s="2">
        <v>42</v>
      </c>
      <c r="E3883" s="2">
        <v>44</v>
      </c>
      <c r="F3883" s="2" t="s">
        <v>13307</v>
      </c>
      <c r="H3883" s="2" t="s">
        <v>17</v>
      </c>
      <c r="K3883" s="4">
        <v>6932</v>
      </c>
      <c r="L3883" s="4">
        <v>26847</v>
      </c>
      <c r="M3883" s="2" t="s">
        <v>140</v>
      </c>
    </row>
    <row r="3884" spans="1:14">
      <c r="A3884" s="2">
        <v>3883</v>
      </c>
      <c r="B3884" s="3" t="s">
        <v>13308</v>
      </c>
      <c r="C3884" s="2" t="s">
        <v>13309</v>
      </c>
      <c r="D3884" s="2">
        <v>42</v>
      </c>
      <c r="E3884" s="2">
        <v>44</v>
      </c>
      <c r="F3884" s="2" t="s">
        <v>13310</v>
      </c>
      <c r="H3884" s="2" t="s">
        <v>17</v>
      </c>
      <c r="K3884" s="4">
        <v>5095</v>
      </c>
      <c r="L3884" s="4">
        <v>28632</v>
      </c>
      <c r="M3884" s="2" t="s">
        <v>164</v>
      </c>
      <c r="N3884" s="2" t="s">
        <v>13311</v>
      </c>
    </row>
    <row r="3885" spans="1:14">
      <c r="A3885" s="2">
        <v>3884</v>
      </c>
      <c r="B3885" s="3" t="s">
        <v>13312</v>
      </c>
      <c r="C3885" s="2" t="s">
        <v>13313</v>
      </c>
      <c r="D3885" s="2">
        <v>42</v>
      </c>
      <c r="E3885" s="2">
        <v>44</v>
      </c>
      <c r="F3885" s="2" t="s">
        <v>13314</v>
      </c>
      <c r="H3885" s="2" t="s">
        <v>17</v>
      </c>
      <c r="K3885" s="4">
        <v>5438</v>
      </c>
      <c r="L3885" s="4">
        <v>27341</v>
      </c>
      <c r="M3885" s="2" t="s">
        <v>47</v>
      </c>
      <c r="N3885" s="2" t="s">
        <v>4440</v>
      </c>
    </row>
    <row r="3886" spans="1:14">
      <c r="A3886" s="2">
        <v>3885</v>
      </c>
      <c r="B3886" s="3" t="s">
        <v>13315</v>
      </c>
      <c r="C3886" s="2" t="s">
        <v>13316</v>
      </c>
      <c r="D3886" s="2">
        <v>42</v>
      </c>
      <c r="E3886" s="2">
        <v>44</v>
      </c>
      <c r="F3886" s="2" t="s">
        <v>13317</v>
      </c>
      <c r="H3886" s="2" t="s">
        <v>17</v>
      </c>
      <c r="K3886" s="4">
        <v>6433</v>
      </c>
      <c r="L3886" s="4">
        <v>28805</v>
      </c>
      <c r="M3886" s="2" t="s">
        <v>192</v>
      </c>
      <c r="N3886" s="2" t="s">
        <v>13318</v>
      </c>
    </row>
    <row r="3887" spans="1:14">
      <c r="A3887" s="2">
        <v>3886</v>
      </c>
      <c r="B3887" s="3" t="s">
        <v>13319</v>
      </c>
      <c r="C3887" s="2" t="s">
        <v>13320</v>
      </c>
      <c r="D3887" s="2">
        <v>44</v>
      </c>
      <c r="E3887" s="2">
        <v>44</v>
      </c>
      <c r="F3887" s="2" t="s">
        <v>13321</v>
      </c>
      <c r="H3887" s="2" t="s">
        <v>17</v>
      </c>
      <c r="K3887" s="4">
        <v>15450</v>
      </c>
      <c r="M3887" s="2" t="s">
        <v>76</v>
      </c>
      <c r="N3887" s="2" t="s">
        <v>906</v>
      </c>
    </row>
    <row r="3888" spans="1:14">
      <c r="A3888" s="2">
        <v>3887</v>
      </c>
      <c r="B3888" s="3" t="s">
        <v>13322</v>
      </c>
      <c r="C3888" s="2" t="s">
        <v>9893</v>
      </c>
      <c r="D3888" s="2">
        <v>42</v>
      </c>
      <c r="E3888" s="2">
        <v>44</v>
      </c>
      <c r="F3888" s="2" t="s">
        <v>13323</v>
      </c>
      <c r="H3888" s="2" t="s">
        <v>17</v>
      </c>
      <c r="K3888" s="4">
        <v>8274</v>
      </c>
      <c r="L3888" s="4">
        <v>42420</v>
      </c>
      <c r="M3888" s="2" t="s">
        <v>40</v>
      </c>
      <c r="N3888" s="2" t="s">
        <v>41</v>
      </c>
    </row>
    <row r="3889" spans="1:14">
      <c r="A3889" s="2">
        <v>3888</v>
      </c>
      <c r="B3889" s="3" t="s">
        <v>13324</v>
      </c>
      <c r="C3889" s="2" t="s">
        <v>13325</v>
      </c>
      <c r="D3889" s="2">
        <v>39</v>
      </c>
      <c r="E3889" s="2">
        <v>44</v>
      </c>
      <c r="F3889" s="2" t="s">
        <v>13326</v>
      </c>
      <c r="H3889" s="2" t="s">
        <v>17</v>
      </c>
      <c r="K3889" s="4">
        <v>437</v>
      </c>
      <c r="L3889" s="4">
        <v>27292</v>
      </c>
      <c r="M3889" s="2" t="s">
        <v>66</v>
      </c>
      <c r="N3889" s="2" t="s">
        <v>1561</v>
      </c>
    </row>
    <row r="3890" spans="1:14">
      <c r="A3890" s="2">
        <v>3889</v>
      </c>
      <c r="B3890" s="3" t="s">
        <v>13327</v>
      </c>
      <c r="C3890" s="2" t="s">
        <v>13328</v>
      </c>
      <c r="D3890" s="2">
        <v>44</v>
      </c>
      <c r="E3890" s="2">
        <v>44</v>
      </c>
      <c r="F3890" s="2" t="s">
        <v>13329</v>
      </c>
      <c r="H3890" s="2" t="s">
        <v>17</v>
      </c>
      <c r="K3890" s="4">
        <v>16657</v>
      </c>
      <c r="M3890" s="2" t="s">
        <v>40</v>
      </c>
      <c r="N3890" s="2" t="s">
        <v>41</v>
      </c>
    </row>
    <row r="3891" spans="1:14">
      <c r="A3891" s="2">
        <v>3890</v>
      </c>
      <c r="B3891" s="3" t="s">
        <v>13330</v>
      </c>
      <c r="C3891" s="2" t="s">
        <v>13331</v>
      </c>
      <c r="D3891" s="2">
        <v>44</v>
      </c>
      <c r="E3891" s="2">
        <v>44</v>
      </c>
      <c r="F3891" s="2" t="s">
        <v>13332</v>
      </c>
      <c r="H3891" s="2" t="s">
        <v>17</v>
      </c>
      <c r="K3891" s="4">
        <v>12279</v>
      </c>
      <c r="M3891" s="2" t="s">
        <v>30</v>
      </c>
      <c r="N3891" s="2" t="s">
        <v>31</v>
      </c>
    </row>
    <row r="3892" spans="1:14">
      <c r="A3892" s="2">
        <v>3891</v>
      </c>
      <c r="B3892" s="3" t="s">
        <v>13333</v>
      </c>
      <c r="C3892" s="2" t="s">
        <v>13334</v>
      </c>
      <c r="D3892" s="2">
        <v>44</v>
      </c>
      <c r="E3892" s="2">
        <v>44</v>
      </c>
      <c r="F3892" s="2" t="s">
        <v>13335</v>
      </c>
      <c r="H3892" s="2" t="s">
        <v>17</v>
      </c>
      <c r="K3892" s="4">
        <v>11457</v>
      </c>
      <c r="L3892" s="4">
        <v>26483</v>
      </c>
      <c r="M3892" s="2" t="s">
        <v>40</v>
      </c>
      <c r="N3892" s="2" t="s">
        <v>13336</v>
      </c>
    </row>
    <row r="3893" spans="1:14">
      <c r="A3893" s="2">
        <v>3892</v>
      </c>
      <c r="B3893" s="3" t="s">
        <v>13337</v>
      </c>
      <c r="C3893" s="2" t="s">
        <v>13338</v>
      </c>
      <c r="D3893" s="2">
        <v>42</v>
      </c>
      <c r="E3893" s="2">
        <v>44</v>
      </c>
      <c r="F3893" s="2" t="s">
        <v>13339</v>
      </c>
      <c r="H3893" s="2" t="s">
        <v>17</v>
      </c>
      <c r="K3893" s="4">
        <v>7212</v>
      </c>
      <c r="L3893" s="4">
        <v>38584</v>
      </c>
      <c r="M3893" s="2" t="s">
        <v>423</v>
      </c>
      <c r="N3893" s="2" t="s">
        <v>11963</v>
      </c>
    </row>
    <row r="3894" spans="1:14">
      <c r="A3894" s="2">
        <v>3893</v>
      </c>
      <c r="B3894" s="3" t="s">
        <v>13340</v>
      </c>
      <c r="C3894" s="2" t="s">
        <v>13341</v>
      </c>
      <c r="D3894" s="2">
        <v>41</v>
      </c>
      <c r="E3894" s="2">
        <v>43</v>
      </c>
      <c r="F3894" s="2" t="s">
        <v>13342</v>
      </c>
      <c r="H3894" s="2" t="s">
        <v>17</v>
      </c>
      <c r="K3894" s="4">
        <v>5201</v>
      </c>
      <c r="L3894" s="4">
        <v>33334</v>
      </c>
      <c r="M3894" s="2" t="s">
        <v>170</v>
      </c>
      <c r="N3894" s="2" t="s">
        <v>5034</v>
      </c>
    </row>
    <row r="3895" spans="1:14">
      <c r="A3895" s="2">
        <v>3894</v>
      </c>
      <c r="B3895" s="3" t="s">
        <v>13343</v>
      </c>
      <c r="C3895" s="2" t="s">
        <v>13344</v>
      </c>
      <c r="D3895" s="2">
        <v>42</v>
      </c>
      <c r="E3895" s="2">
        <v>43</v>
      </c>
      <c r="F3895" s="2" t="s">
        <v>13345</v>
      </c>
      <c r="H3895" s="2" t="s">
        <v>17</v>
      </c>
      <c r="K3895" s="4">
        <v>4957</v>
      </c>
      <c r="M3895" s="2" t="s">
        <v>164</v>
      </c>
      <c r="N3895" s="2" t="s">
        <v>165</v>
      </c>
    </row>
    <row r="3896" spans="1:14">
      <c r="A3896" s="2">
        <v>3895</v>
      </c>
      <c r="B3896" s="3" t="s">
        <v>13346</v>
      </c>
      <c r="C3896" s="2" t="s">
        <v>13347</v>
      </c>
      <c r="D3896" s="2">
        <v>41</v>
      </c>
      <c r="E3896" s="2">
        <v>43</v>
      </c>
      <c r="F3896" s="2" t="s">
        <v>13348</v>
      </c>
      <c r="H3896" s="2" t="s">
        <v>17</v>
      </c>
      <c r="K3896" s="4">
        <v>7370</v>
      </c>
      <c r="L3896" s="4">
        <v>29172</v>
      </c>
      <c r="M3896" s="2" t="s">
        <v>154</v>
      </c>
      <c r="N3896" s="2" t="s">
        <v>4862</v>
      </c>
    </row>
    <row r="3897" spans="1:14">
      <c r="A3897" s="2">
        <v>3896</v>
      </c>
      <c r="B3897" s="3" t="s">
        <v>13349</v>
      </c>
      <c r="C3897" s="2" t="s">
        <v>13350</v>
      </c>
      <c r="D3897" s="2">
        <v>40</v>
      </c>
      <c r="E3897" s="2">
        <v>43</v>
      </c>
      <c r="F3897" s="2" t="s">
        <v>13351</v>
      </c>
      <c r="H3897" s="2" t="s">
        <v>17</v>
      </c>
      <c r="K3897" s="4">
        <v>1820</v>
      </c>
      <c r="L3897" s="4">
        <v>27230</v>
      </c>
      <c r="M3897" s="2" t="s">
        <v>35</v>
      </c>
      <c r="N3897" s="2" t="s">
        <v>1032</v>
      </c>
    </row>
    <row r="3898" spans="1:14">
      <c r="A3898" s="2">
        <v>3897</v>
      </c>
      <c r="B3898" s="3" t="s">
        <v>13352</v>
      </c>
      <c r="C3898" s="2" t="s">
        <v>13353</v>
      </c>
      <c r="D3898" s="2">
        <v>40</v>
      </c>
      <c r="E3898" s="2">
        <v>43</v>
      </c>
      <c r="F3898" s="2" t="s">
        <v>13354</v>
      </c>
      <c r="H3898" s="2" t="s">
        <v>17</v>
      </c>
      <c r="K3898" s="4">
        <v>3988</v>
      </c>
      <c r="L3898" s="4">
        <v>32988</v>
      </c>
      <c r="M3898" s="2" t="s">
        <v>198</v>
      </c>
      <c r="N3898" s="2" t="s">
        <v>5291</v>
      </c>
    </row>
    <row r="3899" spans="1:14">
      <c r="A3899" s="2">
        <v>3898</v>
      </c>
      <c r="B3899" s="3" t="s">
        <v>13355</v>
      </c>
      <c r="C3899" s="2" t="s">
        <v>13356</v>
      </c>
      <c r="D3899" s="2">
        <v>42</v>
      </c>
      <c r="E3899" s="2">
        <v>43</v>
      </c>
      <c r="F3899" s="2" t="s">
        <v>13357</v>
      </c>
      <c r="H3899" s="2" t="s">
        <v>17</v>
      </c>
      <c r="K3899" s="4">
        <v>10497</v>
      </c>
      <c r="M3899" s="2" t="s">
        <v>164</v>
      </c>
      <c r="N3899" s="2" t="s">
        <v>165</v>
      </c>
    </row>
    <row r="3900" spans="1:14">
      <c r="A3900" s="2">
        <v>3899</v>
      </c>
      <c r="B3900" s="3" t="s">
        <v>13358</v>
      </c>
      <c r="C3900" s="2" t="s">
        <v>13359</v>
      </c>
      <c r="D3900" s="2">
        <v>40</v>
      </c>
      <c r="E3900" s="2">
        <v>43</v>
      </c>
      <c r="F3900" s="2" t="s">
        <v>13360</v>
      </c>
      <c r="H3900" s="2" t="s">
        <v>17</v>
      </c>
      <c r="K3900" s="4">
        <v>3644</v>
      </c>
      <c r="L3900" s="4">
        <v>33504</v>
      </c>
      <c r="M3900" s="2" t="s">
        <v>66</v>
      </c>
      <c r="N3900" s="2" t="s">
        <v>131</v>
      </c>
    </row>
    <row r="3901" spans="1:14">
      <c r="A3901" s="2">
        <v>3900</v>
      </c>
      <c r="B3901" s="3" t="s">
        <v>13361</v>
      </c>
      <c r="C3901" s="2" t="s">
        <v>13362</v>
      </c>
      <c r="D3901" s="2">
        <v>41</v>
      </c>
      <c r="E3901" s="2">
        <v>43</v>
      </c>
      <c r="F3901" s="2" t="s">
        <v>13363</v>
      </c>
      <c r="H3901" s="2" t="s">
        <v>17</v>
      </c>
      <c r="K3901" s="4">
        <v>4362</v>
      </c>
      <c r="L3901" s="4">
        <v>29453</v>
      </c>
      <c r="M3901" s="2" t="s">
        <v>170</v>
      </c>
    </row>
    <row r="3902" spans="1:14">
      <c r="A3902" s="2">
        <v>3901</v>
      </c>
      <c r="B3902" s="3" t="s">
        <v>13364</v>
      </c>
      <c r="C3902" s="2" t="s">
        <v>13365</v>
      </c>
      <c r="D3902" s="2">
        <v>38</v>
      </c>
      <c r="E3902" s="2">
        <v>43</v>
      </c>
      <c r="F3902" s="2" t="s">
        <v>13366</v>
      </c>
      <c r="H3902" s="2" t="s">
        <v>17</v>
      </c>
      <c r="K3902" s="4">
        <v>4321</v>
      </c>
      <c r="L3902" s="4">
        <v>34032</v>
      </c>
      <c r="M3902" s="2" t="s">
        <v>185</v>
      </c>
      <c r="N3902" s="2" t="s">
        <v>838</v>
      </c>
    </row>
    <row r="3903" spans="1:14">
      <c r="A3903" s="2">
        <v>3902</v>
      </c>
      <c r="B3903" s="3" t="s">
        <v>13367</v>
      </c>
      <c r="C3903" s="2" t="s">
        <v>13368</v>
      </c>
      <c r="D3903" s="2">
        <v>42</v>
      </c>
      <c r="E3903" s="2">
        <v>43</v>
      </c>
      <c r="F3903" s="2" t="s">
        <v>13369</v>
      </c>
      <c r="H3903" s="2" t="s">
        <v>17</v>
      </c>
      <c r="K3903" s="4">
        <v>8202</v>
      </c>
      <c r="L3903" s="4">
        <v>29431</v>
      </c>
      <c r="M3903" s="2" t="s">
        <v>185</v>
      </c>
      <c r="N3903" s="2" t="s">
        <v>838</v>
      </c>
    </row>
    <row r="3904" spans="1:14">
      <c r="A3904" s="2">
        <v>3903</v>
      </c>
      <c r="B3904" s="3" t="s">
        <v>13370</v>
      </c>
      <c r="C3904" s="2" t="s">
        <v>13371</v>
      </c>
      <c r="D3904" s="2">
        <v>42</v>
      </c>
      <c r="E3904" s="2">
        <v>43</v>
      </c>
      <c r="F3904" s="2" t="s">
        <v>13372</v>
      </c>
      <c r="H3904" s="2" t="s">
        <v>17</v>
      </c>
      <c r="K3904" s="4">
        <v>8606</v>
      </c>
      <c r="L3904" s="4">
        <v>36371</v>
      </c>
      <c r="M3904" s="2" t="s">
        <v>47</v>
      </c>
      <c r="N3904" s="2" t="s">
        <v>6256</v>
      </c>
    </row>
    <row r="3905" spans="1:14">
      <c r="A3905" s="2">
        <v>3904</v>
      </c>
      <c r="B3905" s="3" t="s">
        <v>13373</v>
      </c>
      <c r="C3905" s="2" t="s">
        <v>13374</v>
      </c>
      <c r="D3905" s="2">
        <v>36</v>
      </c>
      <c r="E3905" s="2">
        <v>43</v>
      </c>
      <c r="F3905" s="2" t="s">
        <v>13375</v>
      </c>
      <c r="H3905" s="2" t="s">
        <v>17</v>
      </c>
      <c r="K3905" s="4" t="s">
        <v>13376</v>
      </c>
      <c r="L3905" s="4">
        <v>31849</v>
      </c>
      <c r="M3905" s="2" t="s">
        <v>198</v>
      </c>
      <c r="N3905" s="2" t="s">
        <v>13377</v>
      </c>
    </row>
    <row r="3906" spans="1:14">
      <c r="A3906" s="2">
        <v>3905</v>
      </c>
      <c r="B3906" s="3" t="s">
        <v>13378</v>
      </c>
      <c r="C3906" s="2" t="s">
        <v>13379</v>
      </c>
      <c r="D3906" s="2">
        <v>43</v>
      </c>
      <c r="E3906" s="2">
        <v>43</v>
      </c>
      <c r="F3906" s="2" t="s">
        <v>13380</v>
      </c>
      <c r="H3906" s="2" t="s">
        <v>17</v>
      </c>
      <c r="K3906" s="4">
        <v>12781</v>
      </c>
      <c r="M3906" s="2" t="s">
        <v>185</v>
      </c>
      <c r="N3906" s="2" t="s">
        <v>186</v>
      </c>
    </row>
    <row r="3907" spans="1:14">
      <c r="A3907" s="2">
        <v>3906</v>
      </c>
      <c r="B3907" s="3" t="s">
        <v>13381</v>
      </c>
      <c r="C3907" s="2" t="s">
        <v>13382</v>
      </c>
      <c r="D3907" s="2">
        <v>42</v>
      </c>
      <c r="E3907" s="2">
        <v>43</v>
      </c>
      <c r="F3907" s="2" t="s">
        <v>13383</v>
      </c>
      <c r="H3907" s="2" t="s">
        <v>17</v>
      </c>
      <c r="K3907" s="4">
        <v>7957</v>
      </c>
      <c r="L3907" s="4">
        <v>36036</v>
      </c>
      <c r="M3907" s="2" t="s">
        <v>185</v>
      </c>
      <c r="N3907" s="2" t="s">
        <v>186</v>
      </c>
    </row>
    <row r="3908" spans="1:14">
      <c r="A3908" s="2">
        <v>3907</v>
      </c>
      <c r="B3908" s="3" t="s">
        <v>13384</v>
      </c>
      <c r="C3908" s="2" t="s">
        <v>13385</v>
      </c>
      <c r="D3908" s="2">
        <v>43</v>
      </c>
      <c r="E3908" s="2">
        <v>43</v>
      </c>
      <c r="F3908" s="2" t="s">
        <v>13386</v>
      </c>
      <c r="H3908" s="2" t="s">
        <v>17</v>
      </c>
      <c r="K3908" s="4">
        <v>6045</v>
      </c>
      <c r="L3908" s="4">
        <v>43307</v>
      </c>
      <c r="M3908" s="2" t="s">
        <v>40</v>
      </c>
      <c r="N3908" s="2" t="s">
        <v>7326</v>
      </c>
    </row>
    <row r="3909" spans="1:14">
      <c r="A3909" s="2">
        <v>3908</v>
      </c>
      <c r="B3909" s="3" t="s">
        <v>13387</v>
      </c>
      <c r="C3909" s="2" t="s">
        <v>13388</v>
      </c>
      <c r="D3909" s="2">
        <v>41</v>
      </c>
      <c r="E3909" s="2">
        <v>43</v>
      </c>
      <c r="F3909" s="2" t="s">
        <v>13389</v>
      </c>
      <c r="H3909" s="2" t="s">
        <v>17</v>
      </c>
      <c r="K3909" s="4">
        <v>7442</v>
      </c>
      <c r="L3909" s="4">
        <v>40051</v>
      </c>
      <c r="M3909" s="2" t="s">
        <v>146</v>
      </c>
      <c r="N3909" s="2" t="s">
        <v>13390</v>
      </c>
    </row>
    <row r="3910" spans="1:14">
      <c r="A3910" s="2">
        <v>3909</v>
      </c>
      <c r="B3910" s="3" t="s">
        <v>13391</v>
      </c>
      <c r="C3910" s="2" t="s">
        <v>13392</v>
      </c>
      <c r="D3910" s="2">
        <v>43</v>
      </c>
      <c r="E3910" s="2">
        <v>43</v>
      </c>
      <c r="F3910" s="2" t="s">
        <v>13393</v>
      </c>
      <c r="H3910" s="2" t="s">
        <v>17</v>
      </c>
      <c r="K3910" s="4">
        <v>5233</v>
      </c>
      <c r="M3910" s="2" t="s">
        <v>170</v>
      </c>
      <c r="N3910" s="2" t="s">
        <v>323</v>
      </c>
    </row>
    <row r="3911" spans="1:14">
      <c r="A3911" s="2">
        <v>3910</v>
      </c>
      <c r="B3911" s="3" t="s">
        <v>13394</v>
      </c>
      <c r="C3911" s="2" t="s">
        <v>13395</v>
      </c>
      <c r="D3911" s="2">
        <v>42</v>
      </c>
      <c r="E3911" s="2">
        <v>43</v>
      </c>
      <c r="F3911" s="2" t="s">
        <v>13396</v>
      </c>
      <c r="H3911" s="2" t="s">
        <v>17</v>
      </c>
      <c r="K3911" s="4">
        <v>9794</v>
      </c>
      <c r="L3911" s="4">
        <v>28540</v>
      </c>
      <c r="M3911" s="2" t="s">
        <v>336</v>
      </c>
      <c r="N3911" s="2" t="s">
        <v>2505</v>
      </c>
    </row>
    <row r="3912" spans="1:14">
      <c r="A3912" s="2">
        <v>3911</v>
      </c>
      <c r="B3912" s="3" t="s">
        <v>13397</v>
      </c>
      <c r="C3912" s="2" t="s">
        <v>13398</v>
      </c>
      <c r="D3912" s="2">
        <v>43</v>
      </c>
      <c r="E3912" s="2">
        <v>43</v>
      </c>
      <c r="F3912" s="2" t="s">
        <v>13399</v>
      </c>
      <c r="H3912" s="2" t="s">
        <v>17</v>
      </c>
      <c r="K3912" s="4">
        <v>12684</v>
      </c>
      <c r="L3912" s="4">
        <v>44118</v>
      </c>
      <c r="M3912" s="2" t="s">
        <v>76</v>
      </c>
      <c r="N3912" s="2" t="s">
        <v>77</v>
      </c>
    </row>
    <row r="3913" spans="1:14">
      <c r="A3913" s="2">
        <v>3912</v>
      </c>
      <c r="B3913" s="3" t="s">
        <v>13400</v>
      </c>
      <c r="C3913" s="2" t="s">
        <v>13401</v>
      </c>
      <c r="D3913" s="2">
        <v>41</v>
      </c>
      <c r="E3913" s="2">
        <v>43</v>
      </c>
      <c r="F3913" s="2" t="s">
        <v>13402</v>
      </c>
      <c r="H3913" s="2" t="s">
        <v>17</v>
      </c>
      <c r="K3913" s="4">
        <v>9307</v>
      </c>
      <c r="L3913" s="4">
        <v>25953</v>
      </c>
      <c r="M3913" s="2" t="s">
        <v>40</v>
      </c>
      <c r="N3913" s="2" t="s">
        <v>1017</v>
      </c>
    </row>
    <row r="3914" spans="1:14">
      <c r="A3914" s="2">
        <v>3913</v>
      </c>
      <c r="B3914" s="3" t="s">
        <v>13403</v>
      </c>
      <c r="C3914" s="2" t="s">
        <v>13404</v>
      </c>
      <c r="D3914" s="2">
        <v>38</v>
      </c>
      <c r="E3914" s="2">
        <v>43</v>
      </c>
      <c r="F3914" s="2" t="s">
        <v>13405</v>
      </c>
      <c r="H3914" s="2" t="s">
        <v>17</v>
      </c>
      <c r="K3914" s="4">
        <v>2022</v>
      </c>
      <c r="L3914" s="4">
        <v>32579</v>
      </c>
      <c r="M3914" s="2" t="s">
        <v>170</v>
      </c>
      <c r="N3914" s="2" t="s">
        <v>323</v>
      </c>
    </row>
    <row r="3915" spans="1:14">
      <c r="A3915" s="2">
        <v>3914</v>
      </c>
      <c r="B3915" s="3" t="s">
        <v>13406</v>
      </c>
      <c r="C3915" s="2" t="s">
        <v>13407</v>
      </c>
      <c r="D3915" s="2">
        <v>43</v>
      </c>
      <c r="E3915" s="2">
        <v>43</v>
      </c>
      <c r="F3915" s="2" t="s">
        <v>13408</v>
      </c>
      <c r="H3915" s="2" t="s">
        <v>17</v>
      </c>
      <c r="K3915" s="4">
        <v>467</v>
      </c>
      <c r="L3915" s="4">
        <v>35300</v>
      </c>
      <c r="M3915" s="2" t="s">
        <v>66</v>
      </c>
      <c r="N3915" s="2" t="s">
        <v>1069</v>
      </c>
    </row>
    <row r="3916" spans="1:14">
      <c r="A3916" s="2">
        <v>3915</v>
      </c>
      <c r="B3916" s="3" t="s">
        <v>13409</v>
      </c>
      <c r="C3916" s="2" t="s">
        <v>13410</v>
      </c>
      <c r="D3916" s="2">
        <v>43</v>
      </c>
      <c r="E3916" s="2">
        <v>43</v>
      </c>
      <c r="F3916" s="2" t="s">
        <v>13411</v>
      </c>
      <c r="H3916" s="2" t="s">
        <v>17</v>
      </c>
      <c r="K3916" s="4">
        <v>8962</v>
      </c>
      <c r="L3916" s="4">
        <v>27107</v>
      </c>
      <c r="M3916" s="2" t="s">
        <v>47</v>
      </c>
      <c r="N3916" s="2" t="s">
        <v>1811</v>
      </c>
    </row>
    <row r="3917" spans="1:14">
      <c r="A3917" s="2">
        <v>3916</v>
      </c>
      <c r="B3917" s="3" t="s">
        <v>13412</v>
      </c>
      <c r="C3917" s="2" t="s">
        <v>13413</v>
      </c>
      <c r="D3917" s="2">
        <v>41</v>
      </c>
      <c r="E3917" s="2">
        <v>43</v>
      </c>
      <c r="F3917" s="2" t="s">
        <v>13414</v>
      </c>
      <c r="H3917" s="2" t="s">
        <v>17</v>
      </c>
      <c r="K3917" s="4">
        <v>3661</v>
      </c>
      <c r="L3917" s="4">
        <v>30570</v>
      </c>
      <c r="M3917" s="2" t="s">
        <v>198</v>
      </c>
      <c r="N3917" s="2" t="s">
        <v>5846</v>
      </c>
    </row>
    <row r="3918" spans="1:14">
      <c r="A3918" s="2">
        <v>3917</v>
      </c>
      <c r="B3918" s="3" t="s">
        <v>13415</v>
      </c>
      <c r="C3918" s="2" t="s">
        <v>13416</v>
      </c>
      <c r="D3918" s="2">
        <v>37</v>
      </c>
      <c r="E3918" s="2">
        <v>43</v>
      </c>
      <c r="F3918" s="2" t="s">
        <v>13417</v>
      </c>
      <c r="H3918" s="2" t="s">
        <v>17</v>
      </c>
      <c r="K3918" s="4">
        <v>2924</v>
      </c>
      <c r="L3918" s="4">
        <v>33433</v>
      </c>
      <c r="M3918" s="2" t="s">
        <v>47</v>
      </c>
      <c r="N3918" s="2" t="s">
        <v>13418</v>
      </c>
    </row>
    <row r="3919" spans="1:14">
      <c r="A3919" s="2">
        <v>3918</v>
      </c>
      <c r="B3919" s="3" t="s">
        <v>13419</v>
      </c>
      <c r="C3919" s="2" t="s">
        <v>13420</v>
      </c>
      <c r="D3919" s="2">
        <v>42</v>
      </c>
      <c r="E3919" s="2">
        <v>43</v>
      </c>
      <c r="F3919" s="2" t="s">
        <v>13421</v>
      </c>
      <c r="H3919" s="2" t="s">
        <v>17</v>
      </c>
      <c r="K3919" s="4">
        <v>7176</v>
      </c>
      <c r="L3919" s="4">
        <v>32231</v>
      </c>
      <c r="M3919" s="2" t="s">
        <v>423</v>
      </c>
      <c r="N3919" s="2" t="s">
        <v>7880</v>
      </c>
    </row>
    <row r="3920" spans="1:14">
      <c r="A3920" s="2">
        <v>3919</v>
      </c>
      <c r="B3920" s="3" t="s">
        <v>13422</v>
      </c>
      <c r="C3920" s="2" t="s">
        <v>13423</v>
      </c>
      <c r="D3920" s="2">
        <v>41</v>
      </c>
      <c r="E3920" s="2">
        <v>43</v>
      </c>
      <c r="F3920" s="2" t="s">
        <v>13424</v>
      </c>
      <c r="H3920" s="2" t="s">
        <v>17</v>
      </c>
      <c r="K3920" s="4">
        <v>10109</v>
      </c>
      <c r="L3920" s="4">
        <v>39283</v>
      </c>
      <c r="M3920" s="2" t="s">
        <v>40</v>
      </c>
      <c r="N3920" s="2" t="s">
        <v>41</v>
      </c>
    </row>
    <row r="3921" spans="1:14">
      <c r="A3921" s="2">
        <v>3920</v>
      </c>
      <c r="B3921" s="3" t="s">
        <v>13425</v>
      </c>
      <c r="C3921" s="2" t="s">
        <v>13426</v>
      </c>
      <c r="D3921" s="2">
        <v>43</v>
      </c>
      <c r="E3921" s="2">
        <v>43</v>
      </c>
      <c r="F3921" s="2" t="s">
        <v>13427</v>
      </c>
      <c r="H3921" s="2" t="s">
        <v>17</v>
      </c>
      <c r="K3921" s="4">
        <v>9838</v>
      </c>
      <c r="M3921" s="2" t="s">
        <v>198</v>
      </c>
    </row>
    <row r="3922" spans="1:14">
      <c r="A3922" s="2">
        <v>3921</v>
      </c>
      <c r="B3922" s="3" t="s">
        <v>13428</v>
      </c>
      <c r="C3922" s="2" t="s">
        <v>13429</v>
      </c>
      <c r="D3922" s="2">
        <v>38</v>
      </c>
      <c r="E3922" s="2">
        <v>43</v>
      </c>
      <c r="F3922" s="2" t="s">
        <v>13430</v>
      </c>
      <c r="H3922" s="2" t="s">
        <v>17</v>
      </c>
      <c r="K3922" s="4" t="s">
        <v>13431</v>
      </c>
      <c r="L3922" s="4">
        <v>31615</v>
      </c>
      <c r="M3922" s="2" t="s">
        <v>47</v>
      </c>
      <c r="N3922" s="2" t="s">
        <v>13432</v>
      </c>
    </row>
    <row r="3923" spans="1:14">
      <c r="A3923" s="2">
        <v>3922</v>
      </c>
      <c r="B3923" s="3" t="s">
        <v>13433</v>
      </c>
      <c r="C3923" s="2" t="s">
        <v>13434</v>
      </c>
      <c r="D3923" s="2">
        <v>43</v>
      </c>
      <c r="E3923" s="2">
        <v>43</v>
      </c>
      <c r="F3923" s="2" t="s">
        <v>13435</v>
      </c>
      <c r="H3923" s="2" t="s">
        <v>17</v>
      </c>
      <c r="K3923" s="4">
        <v>10418</v>
      </c>
      <c r="L3923" s="4">
        <v>44742</v>
      </c>
      <c r="M3923" s="2" t="s">
        <v>53</v>
      </c>
      <c r="N3923" s="2" t="s">
        <v>6241</v>
      </c>
    </row>
    <row r="3924" spans="1:14">
      <c r="A3924" s="2">
        <v>3923</v>
      </c>
      <c r="B3924" s="3" t="s">
        <v>13436</v>
      </c>
      <c r="C3924" s="2" t="s">
        <v>13437</v>
      </c>
      <c r="D3924" s="2">
        <v>42</v>
      </c>
      <c r="E3924" s="2">
        <v>43</v>
      </c>
      <c r="F3924" s="2" t="s">
        <v>13438</v>
      </c>
      <c r="H3924" s="2" t="s">
        <v>17</v>
      </c>
      <c r="K3924" s="4">
        <v>7916</v>
      </c>
      <c r="L3924" s="4">
        <v>38230</v>
      </c>
      <c r="M3924" s="2" t="s">
        <v>35</v>
      </c>
      <c r="N3924" s="2" t="s">
        <v>58</v>
      </c>
    </row>
    <row r="3925" spans="1:14">
      <c r="A3925" s="2">
        <v>3924</v>
      </c>
      <c r="B3925" s="3" t="s">
        <v>13439</v>
      </c>
      <c r="C3925" s="2" t="s">
        <v>13440</v>
      </c>
      <c r="D3925" s="2">
        <v>41</v>
      </c>
      <c r="E3925" s="2">
        <v>43</v>
      </c>
      <c r="F3925" s="2" t="s">
        <v>13441</v>
      </c>
      <c r="H3925" s="2" t="s">
        <v>17</v>
      </c>
      <c r="K3925" s="4">
        <v>11188</v>
      </c>
      <c r="L3925" s="4">
        <v>33703</v>
      </c>
      <c r="M3925" s="2" t="s">
        <v>53</v>
      </c>
    </row>
    <row r="3926" spans="1:14">
      <c r="A3926" s="2">
        <v>3925</v>
      </c>
      <c r="B3926" s="3" t="s">
        <v>13442</v>
      </c>
      <c r="C3926" s="2" t="s">
        <v>13443</v>
      </c>
      <c r="D3926" s="2">
        <v>39</v>
      </c>
      <c r="E3926" s="2">
        <v>43</v>
      </c>
      <c r="F3926" s="2" t="s">
        <v>13444</v>
      </c>
      <c r="H3926" s="2" t="s">
        <v>17</v>
      </c>
      <c r="K3926" s="4">
        <v>5283</v>
      </c>
      <c r="L3926" s="4">
        <v>36100</v>
      </c>
      <c r="M3926" s="2" t="s">
        <v>164</v>
      </c>
      <c r="N3926" s="2" t="s">
        <v>165</v>
      </c>
    </row>
    <row r="3927" spans="1:14">
      <c r="A3927" s="2">
        <v>3926</v>
      </c>
      <c r="B3927" s="3" t="s">
        <v>13445</v>
      </c>
      <c r="C3927" s="2" t="s">
        <v>13446</v>
      </c>
      <c r="D3927" s="2">
        <v>39</v>
      </c>
      <c r="E3927" s="2">
        <v>43</v>
      </c>
      <c r="F3927" s="2" t="s">
        <v>13447</v>
      </c>
      <c r="H3927" s="2" t="s">
        <v>17</v>
      </c>
      <c r="K3927" s="4">
        <v>7224</v>
      </c>
      <c r="L3927" s="4">
        <v>40220</v>
      </c>
      <c r="M3927" s="2" t="s">
        <v>85</v>
      </c>
      <c r="N3927" s="2" t="s">
        <v>86</v>
      </c>
    </row>
    <row r="3928" spans="1:14">
      <c r="A3928" s="2">
        <v>3927</v>
      </c>
      <c r="B3928" s="3" t="s">
        <v>13448</v>
      </c>
      <c r="C3928" s="2" t="s">
        <v>13449</v>
      </c>
      <c r="D3928" s="2">
        <v>42</v>
      </c>
      <c r="E3928" s="2">
        <v>43</v>
      </c>
      <c r="F3928" s="2" t="s">
        <v>13450</v>
      </c>
      <c r="H3928" s="2" t="s">
        <v>17</v>
      </c>
      <c r="K3928" s="4">
        <v>5059</v>
      </c>
      <c r="M3928" s="2" t="s">
        <v>47</v>
      </c>
    </row>
    <row r="3929" spans="1:14">
      <c r="A3929" s="2">
        <v>3928</v>
      </c>
      <c r="B3929" s="3" t="s">
        <v>13451</v>
      </c>
      <c r="C3929" s="2" t="s">
        <v>13452</v>
      </c>
      <c r="D3929" s="2">
        <v>39</v>
      </c>
      <c r="E3929" s="2">
        <v>43</v>
      </c>
      <c r="F3929" s="2" t="s">
        <v>13453</v>
      </c>
      <c r="H3929" s="2" t="s">
        <v>17</v>
      </c>
      <c r="K3929" s="4">
        <v>2457</v>
      </c>
      <c r="L3929" s="4">
        <v>29148</v>
      </c>
      <c r="M3929" s="2" t="s">
        <v>30</v>
      </c>
      <c r="N3929" s="2" t="s">
        <v>31</v>
      </c>
    </row>
    <row r="3930" spans="1:14">
      <c r="A3930" s="2">
        <v>3929</v>
      </c>
      <c r="B3930" s="3" t="s">
        <v>13454</v>
      </c>
      <c r="C3930" s="2" t="s">
        <v>13455</v>
      </c>
      <c r="D3930" s="2">
        <v>41</v>
      </c>
      <c r="E3930" s="2">
        <v>43</v>
      </c>
      <c r="F3930" s="2" t="s">
        <v>13456</v>
      </c>
      <c r="H3930" s="2" t="s">
        <v>17</v>
      </c>
      <c r="K3930" s="4">
        <v>4037</v>
      </c>
      <c r="L3930" s="4">
        <v>40428</v>
      </c>
    </row>
    <row r="3931" spans="1:14">
      <c r="A3931" s="2">
        <v>3930</v>
      </c>
      <c r="B3931" s="3" t="s">
        <v>13457</v>
      </c>
      <c r="C3931" s="2" t="s">
        <v>13458</v>
      </c>
      <c r="D3931" s="2">
        <v>42</v>
      </c>
      <c r="E3931" s="2">
        <v>43</v>
      </c>
      <c r="F3931" s="2" t="s">
        <v>13459</v>
      </c>
      <c r="H3931" s="2" t="s">
        <v>17</v>
      </c>
      <c r="K3931" s="4">
        <v>7555</v>
      </c>
      <c r="L3931" s="4">
        <v>38940</v>
      </c>
      <c r="M3931" s="2" t="s">
        <v>47</v>
      </c>
      <c r="N3931" s="2" t="s">
        <v>3707</v>
      </c>
    </row>
    <row r="3932" spans="1:14">
      <c r="A3932" s="2">
        <v>3931</v>
      </c>
      <c r="B3932" s="3" t="s">
        <v>13460</v>
      </c>
      <c r="C3932" s="2" t="s">
        <v>13461</v>
      </c>
      <c r="D3932" s="2">
        <v>36</v>
      </c>
      <c r="E3932" s="2">
        <v>43</v>
      </c>
      <c r="F3932" s="2" t="s">
        <v>13462</v>
      </c>
      <c r="H3932" s="2" t="s">
        <v>17</v>
      </c>
      <c r="K3932" s="4">
        <v>2169</v>
      </c>
      <c r="L3932" s="4">
        <v>25620</v>
      </c>
      <c r="M3932" s="2" t="s">
        <v>198</v>
      </c>
      <c r="N3932" s="2" t="s">
        <v>13463</v>
      </c>
    </row>
    <row r="3933" spans="1:14">
      <c r="A3933" s="2">
        <v>3932</v>
      </c>
      <c r="B3933" s="3" t="s">
        <v>13464</v>
      </c>
      <c r="C3933" s="2" t="s">
        <v>13465</v>
      </c>
      <c r="D3933" s="2">
        <v>43</v>
      </c>
      <c r="E3933" s="2">
        <v>43</v>
      </c>
      <c r="F3933" s="2" t="s">
        <v>13466</v>
      </c>
      <c r="H3933" s="2" t="s">
        <v>17</v>
      </c>
      <c r="K3933" s="4">
        <v>8252</v>
      </c>
      <c r="M3933" s="2" t="s">
        <v>66</v>
      </c>
      <c r="N3933" s="2" t="s">
        <v>4195</v>
      </c>
    </row>
    <row r="3934" spans="1:14">
      <c r="A3934" s="2">
        <v>3933</v>
      </c>
      <c r="B3934" s="3" t="s">
        <v>13467</v>
      </c>
      <c r="C3934" s="2" t="s">
        <v>13468</v>
      </c>
      <c r="D3934" s="2">
        <v>43</v>
      </c>
      <c r="E3934" s="2">
        <v>43</v>
      </c>
      <c r="F3934" s="2" t="s">
        <v>13469</v>
      </c>
      <c r="H3934" s="2" t="s">
        <v>17</v>
      </c>
      <c r="K3934" s="4">
        <v>7073</v>
      </c>
      <c r="L3934" s="4">
        <v>26696</v>
      </c>
      <c r="M3934" s="2" t="s">
        <v>662</v>
      </c>
      <c r="N3934" s="2" t="s">
        <v>663</v>
      </c>
    </row>
    <row r="3935" spans="1:14">
      <c r="A3935" s="2">
        <v>3934</v>
      </c>
      <c r="B3935" s="3" t="s">
        <v>13470</v>
      </c>
      <c r="C3935" s="2" t="s">
        <v>13471</v>
      </c>
      <c r="D3935" s="2">
        <v>42</v>
      </c>
      <c r="E3935" s="2">
        <v>43</v>
      </c>
      <c r="F3935" s="2" t="s">
        <v>13472</v>
      </c>
      <c r="H3935" s="2" t="s">
        <v>17</v>
      </c>
      <c r="K3935" s="4">
        <v>8045</v>
      </c>
      <c r="L3935" s="4">
        <v>34958</v>
      </c>
      <c r="M3935" s="2" t="s">
        <v>198</v>
      </c>
      <c r="N3935" s="2" t="s">
        <v>13473</v>
      </c>
    </row>
    <row r="3936" spans="1:14">
      <c r="A3936" s="2">
        <v>3935</v>
      </c>
      <c r="B3936" s="3" t="s">
        <v>13474</v>
      </c>
      <c r="C3936" s="2" t="s">
        <v>13475</v>
      </c>
      <c r="D3936" s="2">
        <v>42</v>
      </c>
      <c r="E3936" s="2">
        <v>43</v>
      </c>
      <c r="F3936" s="2" t="s">
        <v>13476</v>
      </c>
      <c r="H3936" s="2" t="s">
        <v>17</v>
      </c>
      <c r="K3936" s="4">
        <v>6738</v>
      </c>
      <c r="L3936" s="4">
        <v>32600</v>
      </c>
      <c r="M3936" s="2" t="s">
        <v>198</v>
      </c>
      <c r="N3936" s="2" t="s">
        <v>1284</v>
      </c>
    </row>
    <row r="3937" spans="1:14">
      <c r="A3937" s="2">
        <v>3936</v>
      </c>
      <c r="B3937" s="3" t="s">
        <v>13477</v>
      </c>
      <c r="C3937" s="2" t="s">
        <v>13478</v>
      </c>
      <c r="D3937" s="2">
        <v>42</v>
      </c>
      <c r="E3937" s="2">
        <v>43</v>
      </c>
      <c r="F3937" s="2" t="s">
        <v>13479</v>
      </c>
      <c r="H3937" s="2" t="s">
        <v>17</v>
      </c>
      <c r="K3937" s="4">
        <v>3129</v>
      </c>
      <c r="L3937" s="4">
        <v>36269</v>
      </c>
      <c r="M3937" s="2" t="s">
        <v>170</v>
      </c>
    </row>
    <row r="3938" spans="1:14">
      <c r="A3938" s="2">
        <v>3937</v>
      </c>
      <c r="B3938" s="3" t="s">
        <v>13480</v>
      </c>
      <c r="C3938" s="2" t="s">
        <v>13481</v>
      </c>
      <c r="D3938" s="2">
        <v>43</v>
      </c>
      <c r="E3938" s="2">
        <v>43</v>
      </c>
      <c r="F3938" s="2" t="s">
        <v>13482</v>
      </c>
      <c r="H3938" s="2" t="s">
        <v>17</v>
      </c>
      <c r="K3938" s="4">
        <v>11882</v>
      </c>
      <c r="L3938" s="4">
        <v>35772</v>
      </c>
      <c r="M3938" s="2" t="s">
        <v>53</v>
      </c>
      <c r="N3938" s="2" t="s">
        <v>894</v>
      </c>
    </row>
    <row r="3939" spans="1:14">
      <c r="A3939" s="2">
        <v>3938</v>
      </c>
      <c r="B3939" s="3" t="s">
        <v>13483</v>
      </c>
      <c r="C3939" s="2" t="s">
        <v>13484</v>
      </c>
      <c r="D3939" s="2">
        <v>43</v>
      </c>
      <c r="E3939" s="2">
        <v>43</v>
      </c>
      <c r="F3939" s="2" t="s">
        <v>13485</v>
      </c>
      <c r="H3939" s="2" t="s">
        <v>17</v>
      </c>
      <c r="K3939" s="4">
        <v>9277</v>
      </c>
      <c r="M3939" s="2" t="s">
        <v>18</v>
      </c>
      <c r="N3939" s="2" t="s">
        <v>342</v>
      </c>
    </row>
    <row r="3940" spans="1:14">
      <c r="A3940" s="2">
        <v>3939</v>
      </c>
      <c r="B3940" s="3" t="s">
        <v>13486</v>
      </c>
      <c r="C3940" s="2" t="s">
        <v>13487</v>
      </c>
      <c r="D3940" s="2">
        <v>41</v>
      </c>
      <c r="E3940" s="2">
        <v>43</v>
      </c>
      <c r="F3940" s="2" t="s">
        <v>13488</v>
      </c>
      <c r="H3940" s="2" t="s">
        <v>17</v>
      </c>
      <c r="K3940" s="4">
        <v>5125</v>
      </c>
      <c r="L3940" s="4">
        <v>31642</v>
      </c>
      <c r="M3940" s="2" t="s">
        <v>198</v>
      </c>
      <c r="N3940" s="2" t="s">
        <v>13489</v>
      </c>
    </row>
    <row r="3941" spans="1:14">
      <c r="A3941" s="2">
        <v>3940</v>
      </c>
      <c r="B3941" s="3" t="s">
        <v>13490</v>
      </c>
      <c r="C3941" s="2" t="s">
        <v>13491</v>
      </c>
      <c r="D3941" s="2">
        <v>42</v>
      </c>
      <c r="E3941" s="2">
        <v>43</v>
      </c>
      <c r="F3941" s="2" t="s">
        <v>13492</v>
      </c>
      <c r="H3941" s="2" t="s">
        <v>17</v>
      </c>
      <c r="K3941" s="4">
        <v>4931</v>
      </c>
      <c r="L3941" s="4">
        <v>29337</v>
      </c>
      <c r="M3941" s="2" t="s">
        <v>336</v>
      </c>
      <c r="N3941" s="2" t="s">
        <v>13493</v>
      </c>
    </row>
    <row r="3942" spans="1:14">
      <c r="A3942" s="2">
        <v>3941</v>
      </c>
      <c r="B3942" s="3" t="s">
        <v>13494</v>
      </c>
      <c r="C3942" s="2" t="s">
        <v>13495</v>
      </c>
      <c r="D3942" s="2">
        <v>39</v>
      </c>
      <c r="E3942" s="2">
        <v>43</v>
      </c>
      <c r="F3942" s="2" t="s">
        <v>13496</v>
      </c>
      <c r="H3942" s="2" t="s">
        <v>17</v>
      </c>
      <c r="K3942" s="4">
        <v>5081</v>
      </c>
      <c r="L3942" s="4">
        <v>36794</v>
      </c>
      <c r="M3942" s="2" t="s">
        <v>76</v>
      </c>
      <c r="N3942" s="2" t="s">
        <v>9578</v>
      </c>
    </row>
    <row r="3943" spans="1:14">
      <c r="A3943" s="2">
        <v>3942</v>
      </c>
      <c r="B3943" s="3" t="s">
        <v>13497</v>
      </c>
      <c r="C3943" s="2" t="s">
        <v>13498</v>
      </c>
      <c r="D3943" s="2">
        <v>42</v>
      </c>
      <c r="E3943" s="2">
        <v>43</v>
      </c>
      <c r="F3943" s="2" t="s">
        <v>13499</v>
      </c>
      <c r="H3943" s="2" t="s">
        <v>17</v>
      </c>
      <c r="K3943" s="4">
        <v>4631</v>
      </c>
      <c r="L3943" s="4">
        <v>36130</v>
      </c>
      <c r="M3943" s="2" t="s">
        <v>66</v>
      </c>
      <c r="N3943" s="2" t="s">
        <v>71</v>
      </c>
    </row>
    <row r="3944" spans="1:14">
      <c r="A3944" s="2">
        <v>3943</v>
      </c>
      <c r="B3944" s="3" t="s">
        <v>13500</v>
      </c>
      <c r="C3944" s="2" t="s">
        <v>13501</v>
      </c>
      <c r="D3944" s="2">
        <v>40</v>
      </c>
      <c r="E3944" s="2">
        <v>43</v>
      </c>
      <c r="F3944" s="2" t="s">
        <v>13502</v>
      </c>
      <c r="H3944" s="2" t="s">
        <v>17</v>
      </c>
      <c r="K3944" s="4">
        <v>4485</v>
      </c>
      <c r="L3944" s="4">
        <v>34878</v>
      </c>
      <c r="M3944" s="2" t="s">
        <v>47</v>
      </c>
      <c r="N3944" s="2" t="s">
        <v>4050</v>
      </c>
    </row>
    <row r="3945" spans="1:14">
      <c r="A3945" s="2">
        <v>3944</v>
      </c>
      <c r="B3945" s="3" t="s">
        <v>13503</v>
      </c>
      <c r="C3945" s="2" t="s">
        <v>13504</v>
      </c>
      <c r="D3945" s="2">
        <v>38</v>
      </c>
      <c r="E3945" s="2">
        <v>43</v>
      </c>
      <c r="F3945" s="2" t="s">
        <v>13505</v>
      </c>
      <c r="H3945" s="2" t="s">
        <v>17</v>
      </c>
      <c r="K3945" s="4">
        <v>1157</v>
      </c>
      <c r="L3945" s="4">
        <v>29425</v>
      </c>
      <c r="M3945" s="2" t="s">
        <v>47</v>
      </c>
      <c r="N3945" s="2" t="s">
        <v>13493</v>
      </c>
    </row>
    <row r="3946" spans="1:14">
      <c r="A3946" s="2">
        <v>3945</v>
      </c>
      <c r="B3946" s="3" t="s">
        <v>13506</v>
      </c>
      <c r="C3946" s="2" t="s">
        <v>13507</v>
      </c>
      <c r="D3946" s="2">
        <v>43</v>
      </c>
      <c r="E3946" s="2">
        <v>43</v>
      </c>
      <c r="F3946" s="2" t="s">
        <v>13508</v>
      </c>
      <c r="H3946" s="2" t="s">
        <v>17</v>
      </c>
      <c r="K3946" s="4">
        <v>6299</v>
      </c>
      <c r="M3946" s="2" t="s">
        <v>170</v>
      </c>
      <c r="N3946" s="2" t="s">
        <v>323</v>
      </c>
    </row>
    <row r="3947" spans="1:14">
      <c r="A3947" s="2">
        <v>3946</v>
      </c>
      <c r="B3947" s="3" t="s">
        <v>13509</v>
      </c>
      <c r="C3947" s="2" t="s">
        <v>13510</v>
      </c>
      <c r="D3947" s="2">
        <v>40</v>
      </c>
      <c r="E3947" s="2">
        <v>43</v>
      </c>
      <c r="F3947" s="2" t="s">
        <v>13511</v>
      </c>
      <c r="H3947" s="2" t="s">
        <v>17</v>
      </c>
      <c r="K3947" s="4">
        <v>2571</v>
      </c>
      <c r="L3947" s="4">
        <v>29133</v>
      </c>
      <c r="M3947" s="2" t="s">
        <v>154</v>
      </c>
      <c r="N3947" s="2" t="s">
        <v>4862</v>
      </c>
    </row>
    <row r="3948" spans="1:14">
      <c r="A3948" s="2">
        <v>3947</v>
      </c>
      <c r="B3948" s="3" t="s">
        <v>13512</v>
      </c>
      <c r="C3948" s="2" t="s">
        <v>13513</v>
      </c>
      <c r="D3948" s="2">
        <v>43</v>
      </c>
      <c r="E3948" s="2">
        <v>43</v>
      </c>
      <c r="F3948" s="2" t="s">
        <v>13514</v>
      </c>
      <c r="H3948" s="2" t="s">
        <v>17</v>
      </c>
      <c r="K3948" s="4">
        <v>12545</v>
      </c>
      <c r="L3948" s="4">
        <v>32442</v>
      </c>
      <c r="M3948" s="2" t="s">
        <v>66</v>
      </c>
      <c r="N3948" s="2" t="s">
        <v>71</v>
      </c>
    </row>
    <row r="3949" spans="1:14">
      <c r="A3949" s="2">
        <v>3948</v>
      </c>
      <c r="B3949" s="3" t="s">
        <v>13515</v>
      </c>
      <c r="C3949" s="2" t="s">
        <v>13516</v>
      </c>
      <c r="D3949" s="2">
        <v>43</v>
      </c>
      <c r="E3949" s="2">
        <v>43</v>
      </c>
      <c r="F3949" s="2" t="s">
        <v>13517</v>
      </c>
      <c r="H3949" s="2" t="s">
        <v>17</v>
      </c>
      <c r="K3949" s="4">
        <v>1879</v>
      </c>
      <c r="L3949" s="4">
        <v>29987</v>
      </c>
      <c r="M3949" s="2" t="s">
        <v>30</v>
      </c>
      <c r="N3949" s="2" t="s">
        <v>13518</v>
      </c>
    </row>
    <row r="3950" spans="1:14">
      <c r="A3950" s="2">
        <v>3949</v>
      </c>
      <c r="B3950" s="3" t="s">
        <v>13519</v>
      </c>
      <c r="C3950" s="2" t="s">
        <v>13520</v>
      </c>
      <c r="D3950" s="2">
        <v>42</v>
      </c>
      <c r="E3950" s="2">
        <v>43</v>
      </c>
      <c r="F3950" s="2" t="s">
        <v>13521</v>
      </c>
      <c r="H3950" s="2" t="s">
        <v>17</v>
      </c>
      <c r="K3950" s="4">
        <v>5779</v>
      </c>
      <c r="L3950" s="4">
        <v>35285</v>
      </c>
      <c r="M3950" s="2" t="s">
        <v>53</v>
      </c>
      <c r="N3950" s="2" t="s">
        <v>13522</v>
      </c>
    </row>
    <row r="3951" spans="1:14">
      <c r="A3951" s="2">
        <v>3950</v>
      </c>
      <c r="B3951" s="3" t="s">
        <v>13523</v>
      </c>
      <c r="C3951" s="2" t="s">
        <v>13524</v>
      </c>
      <c r="D3951" s="2">
        <v>42</v>
      </c>
      <c r="E3951" s="2">
        <v>43</v>
      </c>
      <c r="F3951" s="2" t="s">
        <v>13525</v>
      </c>
      <c r="H3951" s="2" t="s">
        <v>17</v>
      </c>
      <c r="K3951" s="4">
        <v>9949</v>
      </c>
      <c r="L3951" s="4">
        <v>37086</v>
      </c>
      <c r="M3951" s="2" t="s">
        <v>35</v>
      </c>
      <c r="N3951" s="2" t="s">
        <v>58</v>
      </c>
    </row>
    <row r="3952" spans="1:14">
      <c r="A3952" s="2">
        <v>3951</v>
      </c>
      <c r="B3952" s="3" t="s">
        <v>13526</v>
      </c>
      <c r="C3952" s="2" t="s">
        <v>13527</v>
      </c>
      <c r="D3952" s="2">
        <v>40</v>
      </c>
      <c r="E3952" s="2">
        <v>43</v>
      </c>
      <c r="F3952" s="2" t="s">
        <v>13528</v>
      </c>
      <c r="H3952" s="2" t="s">
        <v>17</v>
      </c>
      <c r="K3952" s="4">
        <v>5177</v>
      </c>
      <c r="L3952" s="4">
        <v>33511</v>
      </c>
    </row>
    <row r="3953" spans="1:14">
      <c r="A3953" s="2">
        <v>3952</v>
      </c>
      <c r="B3953" s="3" t="s">
        <v>13529</v>
      </c>
      <c r="C3953" s="2" t="s">
        <v>13530</v>
      </c>
      <c r="D3953" s="2">
        <v>39</v>
      </c>
      <c r="E3953" s="2">
        <v>43</v>
      </c>
      <c r="F3953" s="2" t="s">
        <v>13531</v>
      </c>
      <c r="H3953" s="2" t="s">
        <v>17</v>
      </c>
      <c r="K3953" s="4">
        <v>8348</v>
      </c>
      <c r="L3953" s="4">
        <v>39851</v>
      </c>
      <c r="M3953" s="2" t="s">
        <v>140</v>
      </c>
      <c r="N3953" s="2" t="s">
        <v>5850</v>
      </c>
    </row>
    <row r="3954" spans="1:14">
      <c r="A3954" s="2">
        <v>3953</v>
      </c>
      <c r="B3954" s="3" t="s">
        <v>13532</v>
      </c>
      <c r="C3954" s="2" t="s">
        <v>13533</v>
      </c>
      <c r="D3954" s="2">
        <v>42</v>
      </c>
      <c r="E3954" s="2">
        <v>43</v>
      </c>
      <c r="F3954" s="2" t="s">
        <v>13534</v>
      </c>
      <c r="H3954" s="2" t="s">
        <v>17</v>
      </c>
      <c r="K3954" s="4" t="s">
        <v>13535</v>
      </c>
      <c r="L3954" s="4">
        <v>29753</v>
      </c>
    </row>
    <row r="3955" spans="1:14">
      <c r="A3955" s="2">
        <v>3954</v>
      </c>
      <c r="B3955" s="3" t="s">
        <v>13536</v>
      </c>
      <c r="C3955" s="2" t="s">
        <v>13537</v>
      </c>
      <c r="D3955" s="2">
        <v>43</v>
      </c>
      <c r="E3955" s="2">
        <v>43</v>
      </c>
      <c r="F3955" s="2" t="s">
        <v>13538</v>
      </c>
      <c r="H3955" s="2" t="s">
        <v>17</v>
      </c>
      <c r="K3955" s="4">
        <v>4049</v>
      </c>
      <c r="L3955" s="4">
        <v>29227</v>
      </c>
      <c r="M3955" s="2" t="s">
        <v>154</v>
      </c>
      <c r="N3955" s="2" t="s">
        <v>2478</v>
      </c>
    </row>
    <row r="3956" spans="1:14">
      <c r="A3956" s="2">
        <v>3955</v>
      </c>
      <c r="B3956" s="3" t="s">
        <v>13539</v>
      </c>
      <c r="C3956" s="2" t="s">
        <v>13540</v>
      </c>
      <c r="D3956" s="2">
        <v>43</v>
      </c>
      <c r="E3956" s="2">
        <v>43</v>
      </c>
      <c r="F3956" s="2" t="s">
        <v>13541</v>
      </c>
      <c r="H3956" s="2" t="s">
        <v>17</v>
      </c>
      <c r="K3956" s="4">
        <v>3994</v>
      </c>
      <c r="L3956" s="4">
        <v>40451</v>
      </c>
      <c r="M3956" s="2" t="s">
        <v>198</v>
      </c>
      <c r="N3956" s="2" t="s">
        <v>199</v>
      </c>
    </row>
    <row r="3957" spans="1:14">
      <c r="A3957" s="2">
        <v>3956</v>
      </c>
      <c r="B3957" s="3" t="s">
        <v>13542</v>
      </c>
      <c r="C3957" s="2" t="s">
        <v>13543</v>
      </c>
      <c r="D3957" s="2">
        <v>41</v>
      </c>
      <c r="E3957" s="2">
        <v>43</v>
      </c>
      <c r="F3957" s="2" t="s">
        <v>13544</v>
      </c>
      <c r="H3957" s="2" t="s">
        <v>17</v>
      </c>
      <c r="K3957" s="4">
        <v>8940</v>
      </c>
      <c r="L3957" s="4">
        <v>41520</v>
      </c>
      <c r="M3957" s="2" t="s">
        <v>40</v>
      </c>
      <c r="N3957" s="2" t="s">
        <v>592</v>
      </c>
    </row>
    <row r="3958" spans="1:14">
      <c r="A3958" s="2">
        <v>3957</v>
      </c>
      <c r="B3958" s="3" t="s">
        <v>13545</v>
      </c>
      <c r="C3958" s="2" t="s">
        <v>13546</v>
      </c>
      <c r="D3958" s="2">
        <v>43</v>
      </c>
      <c r="E3958" s="2">
        <v>43</v>
      </c>
      <c r="F3958" s="2" t="s">
        <v>13547</v>
      </c>
      <c r="H3958" s="2" t="s">
        <v>17</v>
      </c>
      <c r="K3958" s="4">
        <v>8883</v>
      </c>
      <c r="L3958" s="4">
        <v>28893</v>
      </c>
      <c r="M3958" s="2" t="s">
        <v>146</v>
      </c>
      <c r="N3958" s="2" t="s">
        <v>147</v>
      </c>
    </row>
    <row r="3959" spans="1:14">
      <c r="A3959" s="2">
        <v>3958</v>
      </c>
      <c r="B3959" s="3" t="s">
        <v>13548</v>
      </c>
      <c r="C3959" s="2" t="s">
        <v>13549</v>
      </c>
      <c r="D3959" s="2">
        <v>43</v>
      </c>
      <c r="E3959" s="2">
        <v>43</v>
      </c>
      <c r="F3959" s="2" t="s">
        <v>13550</v>
      </c>
      <c r="H3959" s="2" t="s">
        <v>17</v>
      </c>
      <c r="K3959" s="4">
        <v>5036</v>
      </c>
      <c r="L3959" s="4">
        <v>31452</v>
      </c>
      <c r="M3959" s="2" t="s">
        <v>40</v>
      </c>
      <c r="N3959" s="2" t="s">
        <v>13551</v>
      </c>
    </row>
    <row r="3960" spans="1:14">
      <c r="A3960" s="2">
        <v>3959</v>
      </c>
      <c r="B3960" s="3" t="s">
        <v>13552</v>
      </c>
      <c r="C3960" s="2" t="s">
        <v>13553</v>
      </c>
      <c r="D3960" s="2">
        <v>42</v>
      </c>
      <c r="E3960" s="2">
        <v>43</v>
      </c>
      <c r="F3960" s="2" t="s">
        <v>13554</v>
      </c>
      <c r="H3960" s="2" t="s">
        <v>17</v>
      </c>
      <c r="K3960" s="4">
        <v>7675</v>
      </c>
      <c r="L3960" s="4">
        <v>30215</v>
      </c>
      <c r="M3960" s="2" t="s">
        <v>198</v>
      </c>
      <c r="N3960" s="2" t="s">
        <v>1284</v>
      </c>
    </row>
    <row r="3961" spans="1:14">
      <c r="A3961" s="2">
        <v>3960</v>
      </c>
      <c r="B3961" s="3" t="s">
        <v>13555</v>
      </c>
      <c r="C3961" s="2" t="s">
        <v>13556</v>
      </c>
      <c r="D3961" s="2">
        <v>39</v>
      </c>
      <c r="E3961" s="2">
        <v>43</v>
      </c>
      <c r="F3961" s="2" t="s">
        <v>13557</v>
      </c>
      <c r="H3961" s="2" t="s">
        <v>17</v>
      </c>
      <c r="K3961" s="4">
        <v>1793</v>
      </c>
      <c r="L3961" s="4">
        <v>37019</v>
      </c>
      <c r="M3961" s="2" t="s">
        <v>66</v>
      </c>
      <c r="N3961" s="2" t="s">
        <v>71</v>
      </c>
    </row>
    <row r="3962" spans="1:14">
      <c r="A3962" s="2">
        <v>3961</v>
      </c>
      <c r="B3962" s="3" t="s">
        <v>13558</v>
      </c>
      <c r="C3962" s="2" t="s">
        <v>13559</v>
      </c>
      <c r="D3962" s="2">
        <v>42</v>
      </c>
      <c r="E3962" s="2">
        <v>43</v>
      </c>
      <c r="F3962" s="2" t="s">
        <v>13560</v>
      </c>
      <c r="H3962" s="2" t="s">
        <v>17</v>
      </c>
      <c r="K3962" s="4">
        <v>6581</v>
      </c>
      <c r="L3962" s="4">
        <v>33460</v>
      </c>
      <c r="M3962" s="2" t="s">
        <v>85</v>
      </c>
      <c r="N3962" s="2" t="s">
        <v>86</v>
      </c>
    </row>
    <row r="3963" spans="1:14">
      <c r="A3963" s="2">
        <v>3962</v>
      </c>
      <c r="B3963" s="3" t="s">
        <v>13561</v>
      </c>
      <c r="C3963" s="2" t="s">
        <v>13562</v>
      </c>
      <c r="D3963" s="2">
        <v>43</v>
      </c>
      <c r="E3963" s="2">
        <v>43</v>
      </c>
      <c r="F3963" s="2" t="s">
        <v>13563</v>
      </c>
      <c r="H3963" s="2" t="s">
        <v>17</v>
      </c>
      <c r="K3963" s="4">
        <v>9016</v>
      </c>
      <c r="L3963" s="4">
        <v>33472</v>
      </c>
      <c r="M3963" s="2" t="s">
        <v>35</v>
      </c>
      <c r="N3963" s="2" t="s">
        <v>2261</v>
      </c>
    </row>
    <row r="3964" spans="1:14">
      <c r="A3964" s="2">
        <v>3963</v>
      </c>
      <c r="B3964" s="3" t="s">
        <v>13564</v>
      </c>
      <c r="C3964" s="2" t="s">
        <v>7606</v>
      </c>
      <c r="D3964" s="2">
        <v>39</v>
      </c>
      <c r="E3964" s="2">
        <v>43</v>
      </c>
      <c r="F3964" s="2" t="s">
        <v>13565</v>
      </c>
      <c r="H3964" s="2" t="s">
        <v>17</v>
      </c>
      <c r="K3964" s="4">
        <v>6917</v>
      </c>
      <c r="L3964" s="4">
        <v>29951</v>
      </c>
      <c r="M3964" s="2" t="s">
        <v>47</v>
      </c>
      <c r="N3964" s="2" t="s">
        <v>48</v>
      </c>
    </row>
    <row r="3965" spans="1:14">
      <c r="A3965" s="2">
        <v>3964</v>
      </c>
      <c r="B3965" s="3" t="s">
        <v>13566</v>
      </c>
      <c r="C3965" s="2" t="s">
        <v>13567</v>
      </c>
      <c r="D3965" s="2">
        <v>43</v>
      </c>
      <c r="E3965" s="2">
        <v>43</v>
      </c>
      <c r="F3965" s="2" t="s">
        <v>13568</v>
      </c>
      <c r="H3965" s="2" t="s">
        <v>17</v>
      </c>
      <c r="K3965" s="4">
        <v>13817</v>
      </c>
      <c r="M3965" s="2" t="s">
        <v>47</v>
      </c>
      <c r="N3965" s="2" t="s">
        <v>48</v>
      </c>
    </row>
    <row r="3966" spans="1:14">
      <c r="A3966" s="2">
        <v>3965</v>
      </c>
      <c r="B3966" s="3" t="s">
        <v>13569</v>
      </c>
      <c r="C3966" s="2" t="s">
        <v>13570</v>
      </c>
      <c r="D3966" s="2">
        <v>43</v>
      </c>
      <c r="E3966" s="2">
        <v>43</v>
      </c>
      <c r="F3966" s="2" t="s">
        <v>13571</v>
      </c>
      <c r="H3966" s="2" t="s">
        <v>17</v>
      </c>
      <c r="K3966" s="4" t="s">
        <v>13572</v>
      </c>
      <c r="L3966" s="4">
        <v>29680</v>
      </c>
      <c r="M3966" s="2" t="s">
        <v>85</v>
      </c>
      <c r="N3966" s="2" t="s">
        <v>4721</v>
      </c>
    </row>
    <row r="3967" spans="1:14">
      <c r="A3967" s="2">
        <v>3966</v>
      </c>
      <c r="B3967" s="3" t="s">
        <v>13573</v>
      </c>
      <c r="C3967" s="2" t="s">
        <v>13574</v>
      </c>
      <c r="D3967" s="2">
        <v>39</v>
      </c>
      <c r="E3967" s="2">
        <v>43</v>
      </c>
      <c r="F3967" s="2" t="s">
        <v>13575</v>
      </c>
      <c r="H3967" s="2" t="s">
        <v>17</v>
      </c>
      <c r="K3967" s="4" t="s">
        <v>13576</v>
      </c>
      <c r="L3967" s="4">
        <v>30036</v>
      </c>
      <c r="M3967" s="2" t="s">
        <v>198</v>
      </c>
      <c r="N3967" s="2" t="s">
        <v>199</v>
      </c>
    </row>
    <row r="3968" spans="1:14">
      <c r="A3968" s="2">
        <v>3967</v>
      </c>
      <c r="B3968" s="3" t="s">
        <v>13577</v>
      </c>
      <c r="C3968" s="2" t="s">
        <v>13578</v>
      </c>
      <c r="D3968" s="2">
        <v>41</v>
      </c>
      <c r="E3968" s="2">
        <v>43</v>
      </c>
      <c r="F3968" s="2" t="s">
        <v>13579</v>
      </c>
      <c r="H3968" s="2" t="s">
        <v>17</v>
      </c>
      <c r="K3968" s="4">
        <v>7160</v>
      </c>
      <c r="L3968" s="4">
        <v>43440</v>
      </c>
      <c r="M3968" s="2" t="s">
        <v>85</v>
      </c>
      <c r="N3968" s="2" t="s">
        <v>829</v>
      </c>
    </row>
    <row r="3969" spans="1:14">
      <c r="A3969" s="2">
        <v>3968</v>
      </c>
      <c r="B3969" s="3" t="s">
        <v>13580</v>
      </c>
      <c r="C3969" s="2" t="s">
        <v>13581</v>
      </c>
      <c r="D3969" s="2">
        <v>42</v>
      </c>
      <c r="E3969" s="2">
        <v>43</v>
      </c>
      <c r="F3969" s="2" t="s">
        <v>13582</v>
      </c>
      <c r="H3969" s="2" t="s">
        <v>17</v>
      </c>
      <c r="K3969" s="4">
        <v>3830</v>
      </c>
      <c r="L3969" s="4">
        <v>31231</v>
      </c>
      <c r="M3969" s="2" t="s">
        <v>35</v>
      </c>
      <c r="N3969" s="2" t="s">
        <v>8744</v>
      </c>
    </row>
    <row r="3970" spans="1:14">
      <c r="A3970" s="2">
        <v>3969</v>
      </c>
      <c r="B3970" s="3" t="s">
        <v>13583</v>
      </c>
      <c r="C3970" s="2" t="s">
        <v>13584</v>
      </c>
      <c r="D3970" s="2">
        <v>43</v>
      </c>
      <c r="E3970" s="2">
        <v>43</v>
      </c>
      <c r="F3970" s="2" t="s">
        <v>13585</v>
      </c>
      <c r="H3970" s="2" t="s">
        <v>17</v>
      </c>
      <c r="K3970" s="4">
        <v>9810</v>
      </c>
      <c r="L3970" s="4">
        <v>40032</v>
      </c>
      <c r="M3970" s="2" t="s">
        <v>423</v>
      </c>
      <c r="N3970" s="2" t="s">
        <v>10303</v>
      </c>
    </row>
    <row r="3971" spans="1:14">
      <c r="A3971" s="2">
        <v>3970</v>
      </c>
      <c r="B3971" s="3" t="s">
        <v>13586</v>
      </c>
      <c r="C3971" s="2" t="s">
        <v>13587</v>
      </c>
      <c r="D3971" s="2">
        <v>43</v>
      </c>
      <c r="E3971" s="2">
        <v>43</v>
      </c>
      <c r="F3971" s="2" t="s">
        <v>13588</v>
      </c>
      <c r="H3971" s="2" t="s">
        <v>17</v>
      </c>
      <c r="K3971" s="4">
        <v>12261</v>
      </c>
      <c r="M3971" s="2" t="s">
        <v>47</v>
      </c>
      <c r="N3971" s="2" t="s">
        <v>48</v>
      </c>
    </row>
    <row r="3972" spans="1:14">
      <c r="A3972" s="2">
        <v>3971</v>
      </c>
      <c r="B3972" s="3" t="s">
        <v>13589</v>
      </c>
      <c r="C3972" s="2" t="s">
        <v>13590</v>
      </c>
      <c r="D3972" s="2">
        <v>42</v>
      </c>
      <c r="E3972" s="2">
        <v>43</v>
      </c>
      <c r="F3972" s="2" t="s">
        <v>13591</v>
      </c>
      <c r="H3972" s="2" t="s">
        <v>17</v>
      </c>
      <c r="K3972" s="4">
        <v>9245</v>
      </c>
      <c r="L3972" s="4">
        <v>40774</v>
      </c>
      <c r="M3972" s="2" t="s">
        <v>170</v>
      </c>
      <c r="N3972" s="2" t="s">
        <v>323</v>
      </c>
    </row>
    <row r="3973" spans="1:14">
      <c r="A3973" s="2">
        <v>3972</v>
      </c>
      <c r="B3973" s="3" t="s">
        <v>13592</v>
      </c>
      <c r="C3973" s="2" t="s">
        <v>13593</v>
      </c>
      <c r="D3973" s="2">
        <v>43</v>
      </c>
      <c r="E3973" s="2">
        <v>43</v>
      </c>
      <c r="F3973" s="2" t="s">
        <v>13594</v>
      </c>
      <c r="H3973" s="2" t="s">
        <v>17</v>
      </c>
      <c r="K3973" s="4">
        <v>3883</v>
      </c>
      <c r="L3973" s="4">
        <v>31624</v>
      </c>
      <c r="M3973" s="2" t="s">
        <v>170</v>
      </c>
      <c r="N3973" s="2" t="s">
        <v>7074</v>
      </c>
    </row>
    <row r="3974" spans="1:14">
      <c r="A3974" s="2">
        <v>3973</v>
      </c>
      <c r="B3974" s="3" t="s">
        <v>13595</v>
      </c>
      <c r="C3974" s="2" t="s">
        <v>13075</v>
      </c>
      <c r="D3974" s="2">
        <v>41</v>
      </c>
      <c r="E3974" s="2">
        <v>43</v>
      </c>
      <c r="F3974" s="2" t="s">
        <v>13596</v>
      </c>
      <c r="H3974" s="2" t="s">
        <v>17</v>
      </c>
      <c r="K3974" s="4">
        <v>5420</v>
      </c>
      <c r="L3974" s="4">
        <v>36270</v>
      </c>
      <c r="M3974" s="2" t="s">
        <v>40</v>
      </c>
      <c r="N3974" s="2" t="s">
        <v>429</v>
      </c>
    </row>
    <row r="3975" spans="1:14">
      <c r="A3975" s="2">
        <v>3974</v>
      </c>
      <c r="B3975" s="3" t="s">
        <v>13597</v>
      </c>
      <c r="C3975" s="2" t="s">
        <v>13598</v>
      </c>
      <c r="D3975" s="2">
        <v>43</v>
      </c>
      <c r="E3975" s="2">
        <v>43</v>
      </c>
      <c r="F3975" s="2" t="s">
        <v>13599</v>
      </c>
      <c r="H3975" s="2" t="s">
        <v>17</v>
      </c>
      <c r="K3975" s="4">
        <v>6372</v>
      </c>
      <c r="L3975" s="4">
        <v>35315</v>
      </c>
      <c r="M3975" s="2" t="s">
        <v>47</v>
      </c>
      <c r="N3975" s="2" t="s">
        <v>48</v>
      </c>
    </row>
    <row r="3976" spans="1:14">
      <c r="A3976" s="2">
        <v>3975</v>
      </c>
      <c r="B3976" s="3" t="s">
        <v>13600</v>
      </c>
      <c r="C3976" s="2" t="s">
        <v>13601</v>
      </c>
      <c r="D3976" s="2">
        <v>43</v>
      </c>
      <c r="E3976" s="2">
        <v>43</v>
      </c>
      <c r="F3976" s="2" t="s">
        <v>13602</v>
      </c>
      <c r="H3976" s="2" t="s">
        <v>17</v>
      </c>
      <c r="K3976" s="4">
        <v>8897</v>
      </c>
      <c r="L3976" s="4">
        <v>44094</v>
      </c>
      <c r="M3976" s="2" t="s">
        <v>164</v>
      </c>
      <c r="N3976" s="2" t="s">
        <v>165</v>
      </c>
    </row>
    <row r="3977" spans="1:14">
      <c r="A3977" s="2">
        <v>3976</v>
      </c>
      <c r="B3977" s="3" t="s">
        <v>13603</v>
      </c>
      <c r="C3977" s="2" t="s">
        <v>13604</v>
      </c>
      <c r="D3977" s="2">
        <v>43</v>
      </c>
      <c r="E3977" s="2">
        <v>43</v>
      </c>
      <c r="F3977" s="2" t="s">
        <v>13605</v>
      </c>
      <c r="H3977" s="2" t="s">
        <v>17</v>
      </c>
      <c r="K3977" s="4">
        <v>3469</v>
      </c>
      <c r="L3977" s="4">
        <v>27565</v>
      </c>
      <c r="M3977" s="2" t="s">
        <v>47</v>
      </c>
      <c r="N3977" s="2" t="s">
        <v>1181</v>
      </c>
    </row>
    <row r="3978" spans="1:14">
      <c r="A3978" s="2">
        <v>3977</v>
      </c>
      <c r="B3978" s="3" t="s">
        <v>13606</v>
      </c>
      <c r="C3978" s="2" t="s">
        <v>13607</v>
      </c>
      <c r="D3978" s="2">
        <v>43</v>
      </c>
      <c r="E3978" s="2">
        <v>43</v>
      </c>
      <c r="F3978" s="2" t="s">
        <v>13608</v>
      </c>
      <c r="H3978" s="2" t="s">
        <v>17</v>
      </c>
      <c r="K3978" s="4">
        <v>9558</v>
      </c>
      <c r="L3978" s="4">
        <v>40134</v>
      </c>
      <c r="M3978" s="2" t="s">
        <v>185</v>
      </c>
      <c r="N3978" s="2" t="s">
        <v>3283</v>
      </c>
    </row>
    <row r="3979" spans="1:14">
      <c r="A3979" s="2">
        <v>3978</v>
      </c>
      <c r="B3979" s="3" t="s">
        <v>13609</v>
      </c>
      <c r="C3979" s="2" t="s">
        <v>13610</v>
      </c>
      <c r="D3979" s="2">
        <v>40</v>
      </c>
      <c r="E3979" s="2">
        <v>43</v>
      </c>
      <c r="F3979" s="2" t="s">
        <v>13611</v>
      </c>
      <c r="H3979" s="2" t="s">
        <v>17</v>
      </c>
      <c r="K3979" s="4">
        <v>6699</v>
      </c>
      <c r="L3979" s="4">
        <v>38206</v>
      </c>
      <c r="M3979" s="2" t="s">
        <v>53</v>
      </c>
      <c r="N3979" s="2" t="s">
        <v>54</v>
      </c>
    </row>
    <row r="3980" spans="1:14">
      <c r="A3980" s="2">
        <v>3979</v>
      </c>
      <c r="B3980" s="3" t="s">
        <v>13612</v>
      </c>
      <c r="C3980" s="2" t="s">
        <v>13613</v>
      </c>
      <c r="D3980" s="2">
        <v>43</v>
      </c>
      <c r="E3980" s="2">
        <v>43</v>
      </c>
      <c r="F3980" s="2" t="s">
        <v>13614</v>
      </c>
      <c r="H3980" s="2" t="s">
        <v>17</v>
      </c>
      <c r="K3980" s="4">
        <v>9478</v>
      </c>
      <c r="L3980" s="4">
        <v>32293</v>
      </c>
      <c r="M3980" s="2" t="s">
        <v>336</v>
      </c>
      <c r="N3980" s="2" t="s">
        <v>1883</v>
      </c>
    </row>
    <row r="3981" spans="1:14">
      <c r="A3981" s="2">
        <v>3980</v>
      </c>
      <c r="B3981" s="3" t="s">
        <v>13615</v>
      </c>
      <c r="C3981" s="2" t="s">
        <v>13616</v>
      </c>
      <c r="D3981" s="2">
        <v>42</v>
      </c>
      <c r="E3981" s="2">
        <v>43</v>
      </c>
      <c r="F3981" s="2" t="s">
        <v>13617</v>
      </c>
      <c r="H3981" s="2" t="s">
        <v>17</v>
      </c>
      <c r="K3981" s="4">
        <v>7053</v>
      </c>
      <c r="L3981" s="4">
        <v>34376</v>
      </c>
      <c r="M3981" s="2" t="s">
        <v>66</v>
      </c>
      <c r="N3981" s="2" t="s">
        <v>730</v>
      </c>
    </row>
    <row r="3982" spans="1:14">
      <c r="A3982" s="2">
        <v>3981</v>
      </c>
      <c r="B3982" s="3" t="s">
        <v>13618</v>
      </c>
      <c r="C3982" s="2" t="s">
        <v>13619</v>
      </c>
      <c r="D3982" s="2">
        <v>42</v>
      </c>
      <c r="E3982" s="2">
        <v>43</v>
      </c>
      <c r="F3982" s="2" t="s">
        <v>13620</v>
      </c>
      <c r="H3982" s="2" t="s">
        <v>17</v>
      </c>
      <c r="K3982" s="4">
        <v>8085</v>
      </c>
      <c r="L3982" s="4">
        <v>38978</v>
      </c>
      <c r="M3982" s="2" t="s">
        <v>47</v>
      </c>
      <c r="N3982" s="2" t="s">
        <v>4440</v>
      </c>
    </row>
    <row r="3983" spans="1:14">
      <c r="A3983" s="2">
        <v>3982</v>
      </c>
      <c r="B3983" s="3" t="s">
        <v>13621</v>
      </c>
      <c r="C3983" s="2" t="s">
        <v>13622</v>
      </c>
      <c r="D3983" s="2">
        <v>41</v>
      </c>
      <c r="E3983" s="2">
        <v>43</v>
      </c>
      <c r="F3983" s="2" t="s">
        <v>13623</v>
      </c>
      <c r="H3983" s="2" t="s">
        <v>17</v>
      </c>
      <c r="K3983" s="4">
        <v>7197</v>
      </c>
      <c r="L3983" s="4">
        <v>38464</v>
      </c>
      <c r="M3983" s="2" t="s">
        <v>140</v>
      </c>
      <c r="N3983" s="2" t="s">
        <v>13624</v>
      </c>
    </row>
    <row r="3984" spans="1:14">
      <c r="A3984" s="2">
        <v>3983</v>
      </c>
      <c r="B3984" s="3" t="s">
        <v>13625</v>
      </c>
      <c r="C3984" s="2" t="s">
        <v>13626</v>
      </c>
      <c r="D3984" s="2">
        <v>43</v>
      </c>
      <c r="E3984" s="2">
        <v>43</v>
      </c>
      <c r="F3984" s="2" t="s">
        <v>13627</v>
      </c>
      <c r="H3984" s="2" t="s">
        <v>17</v>
      </c>
      <c r="K3984" s="4">
        <v>9196</v>
      </c>
      <c r="M3984" s="2" t="s">
        <v>140</v>
      </c>
      <c r="N3984" s="2" t="s">
        <v>294</v>
      </c>
    </row>
    <row r="3985" spans="1:14">
      <c r="A3985" s="2">
        <v>3984</v>
      </c>
      <c r="B3985" s="3" t="s">
        <v>13628</v>
      </c>
      <c r="C3985" s="2" t="s">
        <v>13629</v>
      </c>
      <c r="D3985" s="2">
        <v>43</v>
      </c>
      <c r="E3985" s="2">
        <v>43</v>
      </c>
      <c r="F3985" s="2" t="s">
        <v>13630</v>
      </c>
      <c r="H3985" s="2" t="s">
        <v>17</v>
      </c>
      <c r="K3985" s="4">
        <v>6147</v>
      </c>
      <c r="L3985" s="4">
        <v>32295</v>
      </c>
      <c r="M3985" s="2" t="s">
        <v>18</v>
      </c>
      <c r="N3985" s="2" t="s">
        <v>19</v>
      </c>
    </row>
    <row r="3986" spans="1:14">
      <c r="A3986" s="2">
        <v>3985</v>
      </c>
      <c r="B3986" s="3" t="s">
        <v>13631</v>
      </c>
      <c r="C3986" s="2" t="s">
        <v>13632</v>
      </c>
      <c r="D3986" s="2">
        <v>42</v>
      </c>
      <c r="E3986" s="2">
        <v>43</v>
      </c>
      <c r="F3986" s="2" t="s">
        <v>13633</v>
      </c>
      <c r="H3986" s="2" t="s">
        <v>17</v>
      </c>
      <c r="K3986" s="4">
        <v>12581</v>
      </c>
      <c r="L3986" s="4">
        <v>31575</v>
      </c>
      <c r="M3986" s="2" t="s">
        <v>76</v>
      </c>
      <c r="N3986" s="2" t="s">
        <v>906</v>
      </c>
    </row>
    <row r="3987" spans="1:14">
      <c r="A3987" s="2">
        <v>3986</v>
      </c>
      <c r="B3987" s="3" t="s">
        <v>13634</v>
      </c>
      <c r="C3987" s="2" t="s">
        <v>13635</v>
      </c>
      <c r="D3987" s="2">
        <v>42</v>
      </c>
      <c r="E3987" s="2">
        <v>43</v>
      </c>
      <c r="F3987" s="2" t="s">
        <v>13636</v>
      </c>
      <c r="H3987" s="2" t="s">
        <v>17</v>
      </c>
      <c r="K3987" s="4">
        <v>3301</v>
      </c>
      <c r="L3987" s="4">
        <v>36188</v>
      </c>
      <c r="M3987" s="2" t="s">
        <v>66</v>
      </c>
      <c r="N3987" s="2" t="s">
        <v>71</v>
      </c>
    </row>
    <row r="3988" spans="1:14">
      <c r="A3988" s="2">
        <v>3987</v>
      </c>
      <c r="B3988" s="3" t="s">
        <v>13637</v>
      </c>
      <c r="C3988" s="2" t="s">
        <v>13638</v>
      </c>
      <c r="D3988" s="2">
        <v>40</v>
      </c>
      <c r="E3988" s="2">
        <v>43</v>
      </c>
      <c r="F3988" s="2" t="s">
        <v>13639</v>
      </c>
      <c r="H3988" s="2" t="s">
        <v>17</v>
      </c>
      <c r="K3988" s="4">
        <v>4401</v>
      </c>
      <c r="L3988" s="4">
        <v>35554</v>
      </c>
      <c r="M3988" s="2" t="s">
        <v>192</v>
      </c>
      <c r="N3988" s="2" t="s">
        <v>3878</v>
      </c>
    </row>
    <row r="3989" spans="1:14">
      <c r="A3989" s="2">
        <v>3988</v>
      </c>
      <c r="B3989" s="3" t="s">
        <v>13640</v>
      </c>
      <c r="C3989" s="2" t="s">
        <v>13641</v>
      </c>
      <c r="D3989" s="2">
        <v>42</v>
      </c>
      <c r="E3989" s="2">
        <v>43</v>
      </c>
      <c r="F3989" s="2" t="s">
        <v>13642</v>
      </c>
      <c r="H3989" s="2" t="s">
        <v>17</v>
      </c>
      <c r="K3989" s="4">
        <v>11129</v>
      </c>
      <c r="L3989" s="4">
        <v>38565</v>
      </c>
      <c r="M3989" s="2" t="s">
        <v>40</v>
      </c>
      <c r="N3989" s="2" t="s">
        <v>41</v>
      </c>
    </row>
    <row r="3990" spans="1:14">
      <c r="A3990" s="2">
        <v>3989</v>
      </c>
      <c r="B3990" s="3" t="s">
        <v>13643</v>
      </c>
      <c r="C3990" s="2" t="s">
        <v>13644</v>
      </c>
      <c r="D3990" s="2">
        <v>43</v>
      </c>
      <c r="E3990" s="2">
        <v>43</v>
      </c>
      <c r="F3990" s="2" t="s">
        <v>13645</v>
      </c>
      <c r="H3990" s="2" t="s">
        <v>17</v>
      </c>
      <c r="K3990" s="4">
        <v>1334</v>
      </c>
      <c r="L3990" s="4">
        <v>28132</v>
      </c>
      <c r="M3990" s="2" t="s">
        <v>423</v>
      </c>
      <c r="N3990" s="2" t="s">
        <v>3942</v>
      </c>
    </row>
    <row r="3991" spans="1:14">
      <c r="A3991" s="2">
        <v>3990</v>
      </c>
      <c r="B3991" s="3" t="s">
        <v>13646</v>
      </c>
      <c r="C3991" s="2" t="s">
        <v>13647</v>
      </c>
      <c r="D3991" s="2">
        <v>42</v>
      </c>
      <c r="E3991" s="2">
        <v>43</v>
      </c>
      <c r="F3991" s="2" t="s">
        <v>13648</v>
      </c>
      <c r="H3991" s="2" t="s">
        <v>17</v>
      </c>
      <c r="K3991" s="4">
        <v>9260</v>
      </c>
      <c r="L3991" s="4">
        <v>32347</v>
      </c>
      <c r="M3991" s="2" t="s">
        <v>53</v>
      </c>
      <c r="N3991" s="2" t="s">
        <v>11956</v>
      </c>
    </row>
    <row r="3992" spans="1:14">
      <c r="A3992" s="2">
        <v>3991</v>
      </c>
      <c r="B3992" s="3" t="s">
        <v>13649</v>
      </c>
      <c r="C3992" s="2" t="s">
        <v>13650</v>
      </c>
      <c r="D3992" s="2">
        <v>42</v>
      </c>
      <c r="E3992" s="2">
        <v>43</v>
      </c>
      <c r="F3992" s="2" t="s">
        <v>13651</v>
      </c>
      <c r="H3992" s="2" t="s">
        <v>17</v>
      </c>
      <c r="K3992" s="4">
        <v>6947</v>
      </c>
      <c r="L3992" s="4">
        <v>40067</v>
      </c>
      <c r="M3992" s="2" t="s">
        <v>247</v>
      </c>
      <c r="N3992" s="2" t="s">
        <v>8360</v>
      </c>
    </row>
    <row r="3993" spans="1:14">
      <c r="A3993" s="2">
        <v>3992</v>
      </c>
      <c r="B3993" s="3" t="s">
        <v>13652</v>
      </c>
      <c r="C3993" s="2" t="s">
        <v>13653</v>
      </c>
      <c r="D3993" s="2">
        <v>38</v>
      </c>
      <c r="E3993" s="2">
        <v>43</v>
      </c>
      <c r="F3993" s="2" t="s">
        <v>13654</v>
      </c>
      <c r="H3993" s="2" t="s">
        <v>17</v>
      </c>
      <c r="K3993" s="4">
        <v>1257</v>
      </c>
      <c r="L3993" s="4">
        <v>29747</v>
      </c>
      <c r="M3993" s="2" t="s">
        <v>170</v>
      </c>
      <c r="N3993" s="2" t="s">
        <v>13655</v>
      </c>
    </row>
    <row r="3994" spans="1:14">
      <c r="A3994" s="2">
        <v>3993</v>
      </c>
      <c r="B3994" s="3" t="s">
        <v>13656</v>
      </c>
      <c r="C3994" s="2" t="s">
        <v>13657</v>
      </c>
      <c r="D3994" s="2">
        <v>42</v>
      </c>
      <c r="E3994" s="2">
        <v>43</v>
      </c>
      <c r="F3994" s="2" t="s">
        <v>13658</v>
      </c>
      <c r="H3994" s="2" t="s">
        <v>17</v>
      </c>
      <c r="K3994" s="4">
        <v>11231</v>
      </c>
      <c r="L3994" s="4">
        <v>32351</v>
      </c>
      <c r="M3994" s="2" t="s">
        <v>164</v>
      </c>
      <c r="N3994" s="2" t="s">
        <v>165</v>
      </c>
    </row>
    <row r="3995" spans="1:14">
      <c r="A3995" s="2">
        <v>3994</v>
      </c>
      <c r="B3995" s="3" t="s">
        <v>13659</v>
      </c>
      <c r="C3995" s="2" t="s">
        <v>13660</v>
      </c>
      <c r="D3995" s="2">
        <v>42</v>
      </c>
      <c r="E3995" s="2">
        <v>43</v>
      </c>
      <c r="F3995" s="2" t="s">
        <v>13661</v>
      </c>
      <c r="H3995" s="2" t="s">
        <v>17</v>
      </c>
      <c r="K3995" s="4">
        <v>8365</v>
      </c>
      <c r="L3995" s="4">
        <v>39722</v>
      </c>
      <c r="M3995" s="2" t="s">
        <v>35</v>
      </c>
      <c r="N3995" s="2" t="s">
        <v>58</v>
      </c>
    </row>
    <row r="3996" spans="1:14">
      <c r="A3996" s="2">
        <v>3995</v>
      </c>
      <c r="B3996" s="3" t="s">
        <v>13662</v>
      </c>
      <c r="C3996" s="2" t="s">
        <v>13663</v>
      </c>
      <c r="D3996" s="2">
        <v>42</v>
      </c>
      <c r="E3996" s="2">
        <v>43</v>
      </c>
      <c r="F3996" s="2" t="s">
        <v>13664</v>
      </c>
      <c r="H3996" s="2" t="s">
        <v>17</v>
      </c>
      <c r="K3996" s="4">
        <v>14345</v>
      </c>
      <c r="L3996" s="4">
        <v>28201</v>
      </c>
      <c r="M3996" s="2" t="s">
        <v>170</v>
      </c>
      <c r="N3996" s="2" t="s">
        <v>323</v>
      </c>
    </row>
    <row r="3997" spans="1:14">
      <c r="A3997" s="2">
        <v>3996</v>
      </c>
      <c r="B3997" s="3" t="s">
        <v>13665</v>
      </c>
      <c r="C3997" s="2" t="s">
        <v>13666</v>
      </c>
      <c r="D3997" s="2">
        <v>43</v>
      </c>
      <c r="E3997" s="2">
        <v>43</v>
      </c>
      <c r="F3997" s="2" t="s">
        <v>13667</v>
      </c>
      <c r="H3997" s="2" t="s">
        <v>17</v>
      </c>
      <c r="K3997" s="4">
        <v>11088</v>
      </c>
      <c r="L3997" s="4">
        <v>25743</v>
      </c>
      <c r="M3997" s="2" t="s">
        <v>13668</v>
      </c>
      <c r="N3997" s="2" t="s">
        <v>323</v>
      </c>
    </row>
    <row r="3998" spans="1:14">
      <c r="A3998" s="2">
        <v>3997</v>
      </c>
      <c r="B3998" s="3" t="s">
        <v>13669</v>
      </c>
      <c r="C3998" s="2" t="s">
        <v>13670</v>
      </c>
      <c r="D3998" s="2">
        <v>39</v>
      </c>
      <c r="E3998" s="2">
        <v>43</v>
      </c>
      <c r="F3998" s="2" t="s">
        <v>13671</v>
      </c>
      <c r="H3998" s="2" t="s">
        <v>17</v>
      </c>
      <c r="K3998" s="4">
        <v>5987</v>
      </c>
      <c r="L3998" s="4">
        <v>35615</v>
      </c>
      <c r="M3998" s="2" t="s">
        <v>35</v>
      </c>
      <c r="N3998" s="2" t="s">
        <v>11489</v>
      </c>
    </row>
    <row r="3999" spans="1:14">
      <c r="A3999" s="2">
        <v>3998</v>
      </c>
      <c r="B3999" s="3" t="s">
        <v>13672</v>
      </c>
      <c r="C3999" s="2" t="s">
        <v>13673</v>
      </c>
      <c r="D3999" s="2">
        <v>39</v>
      </c>
      <c r="E3999" s="2">
        <v>43</v>
      </c>
      <c r="F3999" s="2" t="s">
        <v>13674</v>
      </c>
      <c r="H3999" s="2" t="s">
        <v>17</v>
      </c>
      <c r="K3999" s="4">
        <v>2899</v>
      </c>
      <c r="L3999" s="4">
        <v>28434</v>
      </c>
      <c r="M3999" s="2" t="s">
        <v>35</v>
      </c>
      <c r="N3999" s="2" t="s">
        <v>58</v>
      </c>
    </row>
    <row r="4000" spans="1:14">
      <c r="A4000" s="2">
        <v>3999</v>
      </c>
      <c r="B4000" s="3" t="s">
        <v>13675</v>
      </c>
      <c r="C4000" s="2" t="s">
        <v>13676</v>
      </c>
      <c r="D4000" s="2">
        <v>38</v>
      </c>
      <c r="E4000" s="2">
        <v>43</v>
      </c>
      <c r="F4000" s="2" t="s">
        <v>13677</v>
      </c>
      <c r="H4000" s="2" t="s">
        <v>17</v>
      </c>
      <c r="K4000" s="4">
        <v>223</v>
      </c>
      <c r="L4000" s="4">
        <v>31116</v>
      </c>
      <c r="M4000" s="2" t="s">
        <v>35</v>
      </c>
      <c r="N4000" s="2" t="s">
        <v>2327</v>
      </c>
    </row>
    <row r="4001" spans="1:14">
      <c r="A4001" s="2">
        <v>4000</v>
      </c>
      <c r="B4001" s="3" t="s">
        <v>13678</v>
      </c>
      <c r="C4001" s="2" t="s">
        <v>13679</v>
      </c>
      <c r="D4001" s="2">
        <v>40</v>
      </c>
      <c r="E4001" s="2">
        <v>43</v>
      </c>
      <c r="F4001" s="2" t="s">
        <v>13680</v>
      </c>
      <c r="H4001" s="2" t="s">
        <v>17</v>
      </c>
      <c r="K4001" s="4">
        <v>2796</v>
      </c>
      <c r="L4001" s="4">
        <v>26299</v>
      </c>
      <c r="M4001" s="2" t="s">
        <v>47</v>
      </c>
      <c r="N4001" s="2" t="s">
        <v>9901</v>
      </c>
    </row>
    <row r="4002" spans="1:14">
      <c r="A4002" s="2">
        <v>4001</v>
      </c>
      <c r="B4002" s="3" t="s">
        <v>13681</v>
      </c>
      <c r="C4002" s="2" t="s">
        <v>13682</v>
      </c>
      <c r="D4002" s="2">
        <v>43</v>
      </c>
      <c r="E4002" s="2">
        <v>43</v>
      </c>
      <c r="F4002" s="2" t="s">
        <v>13683</v>
      </c>
      <c r="H4002" s="2" t="s">
        <v>17</v>
      </c>
      <c r="K4002" s="4">
        <v>7491</v>
      </c>
      <c r="L4002" s="4">
        <v>25498</v>
      </c>
      <c r="M4002" s="2" t="s">
        <v>13668</v>
      </c>
      <c r="N4002" s="2" t="s">
        <v>323</v>
      </c>
    </row>
    <row r="4003" spans="1:14">
      <c r="A4003" s="2">
        <v>4002</v>
      </c>
      <c r="B4003" s="3" t="s">
        <v>13684</v>
      </c>
      <c r="C4003" s="2" t="s">
        <v>13685</v>
      </c>
      <c r="D4003" s="2">
        <v>41</v>
      </c>
      <c r="E4003" s="2">
        <v>43</v>
      </c>
      <c r="F4003" s="2" t="s">
        <v>13686</v>
      </c>
      <c r="H4003" s="2" t="s">
        <v>17</v>
      </c>
      <c r="K4003" s="4">
        <v>8267</v>
      </c>
      <c r="L4003" s="4">
        <v>28496</v>
      </c>
      <c r="M4003" s="2" t="s">
        <v>47</v>
      </c>
      <c r="N4003" s="2" t="s">
        <v>3278</v>
      </c>
    </row>
    <row r="4004" spans="1:14">
      <c r="A4004" s="2">
        <v>4003</v>
      </c>
      <c r="B4004" s="3" t="s">
        <v>13687</v>
      </c>
      <c r="C4004" s="2" t="s">
        <v>13688</v>
      </c>
      <c r="D4004" s="2">
        <v>42</v>
      </c>
      <c r="E4004" s="2">
        <v>43</v>
      </c>
      <c r="F4004" s="2" t="s">
        <v>13689</v>
      </c>
      <c r="H4004" s="2" t="s">
        <v>17</v>
      </c>
      <c r="K4004" s="4">
        <v>4532</v>
      </c>
      <c r="L4004" s="4">
        <v>36687</v>
      </c>
      <c r="M4004" s="2" t="s">
        <v>40</v>
      </c>
      <c r="N4004" s="2" t="s">
        <v>9352</v>
      </c>
    </row>
    <row r="4005" spans="1:14">
      <c r="A4005" s="2">
        <v>4004</v>
      </c>
      <c r="B4005" s="3" t="s">
        <v>13690</v>
      </c>
      <c r="C4005" s="2" t="s">
        <v>13691</v>
      </c>
      <c r="D4005" s="2">
        <v>43</v>
      </c>
      <c r="E4005" s="2">
        <v>43</v>
      </c>
      <c r="F4005" s="2" t="s">
        <v>13692</v>
      </c>
      <c r="H4005" s="2" t="s">
        <v>17</v>
      </c>
      <c r="K4005" s="4">
        <v>9478</v>
      </c>
      <c r="L4005" s="4">
        <v>40648</v>
      </c>
      <c r="M4005" s="2" t="s">
        <v>85</v>
      </c>
      <c r="N4005" s="2" t="s">
        <v>86</v>
      </c>
    </row>
    <row r="4006" spans="1:14">
      <c r="A4006" s="2">
        <v>4005</v>
      </c>
      <c r="B4006" s="3" t="s">
        <v>13693</v>
      </c>
      <c r="C4006" s="2" t="s">
        <v>13694</v>
      </c>
      <c r="D4006" s="2">
        <v>43</v>
      </c>
      <c r="E4006" s="2">
        <v>43</v>
      </c>
      <c r="F4006" s="2" t="s">
        <v>13695</v>
      </c>
      <c r="H4006" s="2" t="s">
        <v>17</v>
      </c>
      <c r="K4006" s="4">
        <v>14950</v>
      </c>
      <c r="L4006" s="4">
        <v>37522</v>
      </c>
      <c r="M4006" s="2" t="s">
        <v>47</v>
      </c>
      <c r="N4006" s="2" t="s">
        <v>4680</v>
      </c>
    </row>
    <row r="4007" spans="1:14">
      <c r="A4007" s="2">
        <v>4006</v>
      </c>
      <c r="B4007" s="3" t="s">
        <v>13696</v>
      </c>
      <c r="C4007" s="2" t="s">
        <v>13697</v>
      </c>
      <c r="D4007" s="2">
        <v>43</v>
      </c>
      <c r="E4007" s="2">
        <v>43</v>
      </c>
      <c r="F4007" s="2" t="s">
        <v>13698</v>
      </c>
      <c r="H4007" s="2" t="s">
        <v>17</v>
      </c>
      <c r="K4007" s="4">
        <v>10413</v>
      </c>
      <c r="L4007" s="4">
        <v>30022</v>
      </c>
      <c r="M4007" s="2" t="s">
        <v>35</v>
      </c>
      <c r="N4007" s="2" t="s">
        <v>204</v>
      </c>
    </row>
    <row r="4008" spans="1:14">
      <c r="A4008" s="2">
        <v>4007</v>
      </c>
      <c r="B4008" s="3" t="s">
        <v>13699</v>
      </c>
      <c r="C4008" s="2" t="s">
        <v>13700</v>
      </c>
      <c r="D4008" s="2">
        <v>43</v>
      </c>
      <c r="E4008" s="2">
        <v>43</v>
      </c>
      <c r="F4008" s="2" t="s">
        <v>13701</v>
      </c>
      <c r="H4008" s="2" t="s">
        <v>17</v>
      </c>
      <c r="K4008" s="4">
        <v>6223</v>
      </c>
      <c r="L4008" s="4">
        <v>25202</v>
      </c>
      <c r="M4008" s="2" t="s">
        <v>66</v>
      </c>
      <c r="N4008" s="2" t="s">
        <v>2349</v>
      </c>
    </row>
    <row r="4009" spans="1:14">
      <c r="A4009" s="2">
        <v>4008</v>
      </c>
      <c r="B4009" s="3" t="s">
        <v>13702</v>
      </c>
      <c r="C4009" s="2" t="s">
        <v>13703</v>
      </c>
      <c r="D4009" s="2">
        <v>39</v>
      </c>
      <c r="E4009" s="2">
        <v>43</v>
      </c>
      <c r="F4009" s="2" t="s">
        <v>13704</v>
      </c>
      <c r="H4009" s="2" t="s">
        <v>17</v>
      </c>
      <c r="K4009" s="4">
        <v>4469</v>
      </c>
      <c r="L4009" s="4">
        <v>35708</v>
      </c>
      <c r="M4009" s="2" t="s">
        <v>198</v>
      </c>
      <c r="N4009" s="2" t="s">
        <v>3464</v>
      </c>
    </row>
    <row r="4010" spans="1:14">
      <c r="A4010" s="2">
        <v>4009</v>
      </c>
      <c r="B4010" s="3" t="s">
        <v>13705</v>
      </c>
      <c r="C4010" s="2" t="s">
        <v>13706</v>
      </c>
      <c r="D4010" s="2">
        <v>43</v>
      </c>
      <c r="E4010" s="2">
        <v>43</v>
      </c>
      <c r="F4010" s="2" t="s">
        <v>13707</v>
      </c>
      <c r="H4010" s="2" t="s">
        <v>17</v>
      </c>
      <c r="K4010" s="4">
        <v>10209</v>
      </c>
      <c r="L4010" s="4">
        <v>40360</v>
      </c>
      <c r="M4010" s="2" t="s">
        <v>170</v>
      </c>
      <c r="N4010" s="2" t="s">
        <v>171</v>
      </c>
    </row>
    <row r="4011" spans="1:14">
      <c r="A4011" s="2">
        <v>4010</v>
      </c>
      <c r="B4011" s="3" t="s">
        <v>13708</v>
      </c>
      <c r="C4011" s="2" t="s">
        <v>13709</v>
      </c>
      <c r="D4011" s="2">
        <v>43</v>
      </c>
      <c r="E4011" s="2">
        <v>43</v>
      </c>
      <c r="F4011" s="2" t="s">
        <v>13710</v>
      </c>
      <c r="H4011" s="2" t="s">
        <v>17</v>
      </c>
      <c r="K4011" s="4">
        <v>6349</v>
      </c>
      <c r="L4011" s="4">
        <v>28006</v>
      </c>
      <c r="M4011" s="2" t="s">
        <v>185</v>
      </c>
      <c r="N4011" s="2" t="s">
        <v>838</v>
      </c>
    </row>
    <row r="4012" spans="1:14">
      <c r="A4012" s="2">
        <v>4011</v>
      </c>
      <c r="B4012" s="3" t="s">
        <v>13711</v>
      </c>
      <c r="C4012" s="2" t="s">
        <v>13712</v>
      </c>
      <c r="D4012" s="2">
        <v>42</v>
      </c>
      <c r="E4012" s="2">
        <v>43</v>
      </c>
      <c r="F4012" s="2" t="s">
        <v>13713</v>
      </c>
      <c r="H4012" s="2" t="s">
        <v>17</v>
      </c>
      <c r="K4012" s="4">
        <v>7738</v>
      </c>
      <c r="L4012" s="4">
        <v>36192</v>
      </c>
      <c r="M4012" s="2" t="s">
        <v>185</v>
      </c>
      <c r="N4012" s="2" t="s">
        <v>9113</v>
      </c>
    </row>
    <row r="4013" spans="1:14">
      <c r="A4013" s="2">
        <v>4012</v>
      </c>
      <c r="B4013" s="3" t="s">
        <v>13714</v>
      </c>
      <c r="C4013" s="2" t="s">
        <v>13715</v>
      </c>
      <c r="D4013" s="2">
        <v>39</v>
      </c>
      <c r="E4013" s="2">
        <v>43</v>
      </c>
      <c r="F4013" s="2" t="s">
        <v>13716</v>
      </c>
      <c r="H4013" s="2" t="s">
        <v>17</v>
      </c>
      <c r="K4013" s="4">
        <v>1709</v>
      </c>
      <c r="L4013" s="4">
        <v>29691</v>
      </c>
      <c r="M4013" s="2" t="s">
        <v>35</v>
      </c>
      <c r="N4013" s="2" t="s">
        <v>5693</v>
      </c>
    </row>
    <row r="4014" spans="1:14">
      <c r="A4014" s="2">
        <v>4013</v>
      </c>
      <c r="B4014" s="3" t="s">
        <v>13717</v>
      </c>
      <c r="C4014" s="2" t="s">
        <v>13718</v>
      </c>
      <c r="D4014" s="2">
        <v>38</v>
      </c>
      <c r="E4014" s="2">
        <v>43</v>
      </c>
      <c r="F4014" s="2" t="s">
        <v>13719</v>
      </c>
      <c r="H4014" s="2" t="s">
        <v>17</v>
      </c>
      <c r="K4014" s="4" t="s">
        <v>13720</v>
      </c>
      <c r="L4014" s="4">
        <v>27600</v>
      </c>
      <c r="M4014" s="2" t="s">
        <v>35</v>
      </c>
      <c r="N4014" s="2" t="s">
        <v>6516</v>
      </c>
    </row>
    <row r="4015" spans="1:14">
      <c r="A4015" s="2">
        <v>4014</v>
      </c>
      <c r="B4015" s="3" t="s">
        <v>13721</v>
      </c>
      <c r="C4015" s="2" t="s">
        <v>13722</v>
      </c>
      <c r="D4015" s="2">
        <v>42</v>
      </c>
      <c r="E4015" s="2">
        <v>43</v>
      </c>
      <c r="F4015" s="2" t="s">
        <v>13723</v>
      </c>
      <c r="H4015" s="2" t="s">
        <v>17</v>
      </c>
      <c r="K4015" s="4">
        <v>8126</v>
      </c>
      <c r="L4015" s="4">
        <v>33583</v>
      </c>
      <c r="M4015" s="2" t="s">
        <v>341</v>
      </c>
      <c r="N4015" s="2" t="s">
        <v>834</v>
      </c>
    </row>
    <row r="4016" spans="1:14">
      <c r="A4016" s="2">
        <v>4015</v>
      </c>
      <c r="B4016" s="3" t="s">
        <v>13724</v>
      </c>
      <c r="C4016" s="2" t="s">
        <v>13725</v>
      </c>
      <c r="D4016" s="2">
        <v>42</v>
      </c>
      <c r="E4016" s="2">
        <v>43</v>
      </c>
      <c r="F4016" s="2" t="s">
        <v>13726</v>
      </c>
      <c r="H4016" s="2" t="s">
        <v>17</v>
      </c>
      <c r="K4016" s="4">
        <v>4536</v>
      </c>
      <c r="L4016" s="4">
        <v>30970</v>
      </c>
      <c r="M4016" s="2" t="s">
        <v>164</v>
      </c>
      <c r="N4016" s="2" t="s">
        <v>3914</v>
      </c>
    </row>
    <row r="4017" spans="1:14">
      <c r="A4017" s="2">
        <v>4016</v>
      </c>
      <c r="B4017" s="3" t="s">
        <v>13727</v>
      </c>
      <c r="C4017" s="2" t="s">
        <v>10407</v>
      </c>
      <c r="D4017" s="2">
        <v>41</v>
      </c>
      <c r="E4017" s="2">
        <v>43</v>
      </c>
      <c r="F4017" s="2" t="s">
        <v>13728</v>
      </c>
      <c r="H4017" s="2" t="s">
        <v>17</v>
      </c>
      <c r="K4017" s="4">
        <v>6898</v>
      </c>
      <c r="L4017" s="4">
        <v>29507</v>
      </c>
      <c r="M4017" s="2" t="s">
        <v>336</v>
      </c>
      <c r="N4017" s="2" t="s">
        <v>13729</v>
      </c>
    </row>
    <row r="4018" spans="1:14">
      <c r="A4018" s="2">
        <v>4017</v>
      </c>
      <c r="B4018" s="3" t="s">
        <v>13730</v>
      </c>
      <c r="C4018" s="2" t="s">
        <v>13731</v>
      </c>
      <c r="D4018" s="2">
        <v>42</v>
      </c>
      <c r="E4018" s="2">
        <v>43</v>
      </c>
      <c r="F4018" s="2" t="s">
        <v>13732</v>
      </c>
      <c r="H4018" s="2" t="s">
        <v>17</v>
      </c>
      <c r="K4018" s="4">
        <v>6095</v>
      </c>
      <c r="L4018" s="4">
        <v>35806</v>
      </c>
      <c r="M4018" s="2" t="s">
        <v>192</v>
      </c>
      <c r="N4018" s="2" t="s">
        <v>577</v>
      </c>
    </row>
    <row r="4019" spans="1:14">
      <c r="A4019" s="2">
        <v>4018</v>
      </c>
      <c r="B4019" s="3" t="s">
        <v>13733</v>
      </c>
      <c r="C4019" s="2" t="s">
        <v>13734</v>
      </c>
      <c r="D4019" s="2">
        <v>42</v>
      </c>
      <c r="E4019" s="2">
        <v>43</v>
      </c>
      <c r="F4019" s="2" t="s">
        <v>13735</v>
      </c>
      <c r="H4019" s="2" t="s">
        <v>17</v>
      </c>
      <c r="K4019" s="4">
        <v>552</v>
      </c>
      <c r="L4019" s="4">
        <v>29323</v>
      </c>
      <c r="M4019" s="2" t="s">
        <v>76</v>
      </c>
      <c r="N4019" s="2" t="s">
        <v>7284</v>
      </c>
    </row>
    <row r="4020" spans="1:14">
      <c r="A4020" s="2">
        <v>4019</v>
      </c>
      <c r="B4020" s="3" t="s">
        <v>13736</v>
      </c>
      <c r="C4020" s="2" t="s">
        <v>5279</v>
      </c>
      <c r="D4020" s="2">
        <v>43</v>
      </c>
      <c r="E4020" s="2">
        <v>43</v>
      </c>
      <c r="F4020" s="2" t="s">
        <v>13737</v>
      </c>
      <c r="H4020" s="2" t="s">
        <v>17</v>
      </c>
      <c r="K4020" s="4">
        <v>4820</v>
      </c>
      <c r="L4020" s="4">
        <v>36480</v>
      </c>
      <c r="M4020" s="2" t="s">
        <v>198</v>
      </c>
      <c r="N4020" s="2" t="s">
        <v>13738</v>
      </c>
    </row>
    <row r="4021" spans="1:14">
      <c r="A4021" s="2">
        <v>4020</v>
      </c>
      <c r="B4021" s="3" t="s">
        <v>13739</v>
      </c>
      <c r="C4021" s="2" t="s">
        <v>13740</v>
      </c>
      <c r="D4021" s="2">
        <v>42</v>
      </c>
      <c r="E4021" s="2">
        <v>43</v>
      </c>
      <c r="F4021" s="2" t="s">
        <v>13741</v>
      </c>
      <c r="H4021" s="2" t="s">
        <v>17</v>
      </c>
      <c r="K4021" s="4">
        <v>6560</v>
      </c>
      <c r="L4021" s="4">
        <v>29072</v>
      </c>
      <c r="M4021" s="2" t="s">
        <v>247</v>
      </c>
      <c r="N4021" s="2" t="s">
        <v>2414</v>
      </c>
    </row>
    <row r="4022" spans="1:14">
      <c r="A4022" s="2">
        <v>4021</v>
      </c>
      <c r="B4022" s="3" t="s">
        <v>13742</v>
      </c>
      <c r="C4022" s="2" t="s">
        <v>13743</v>
      </c>
      <c r="D4022" s="2">
        <v>43</v>
      </c>
      <c r="E4022" s="2">
        <v>43</v>
      </c>
      <c r="F4022" s="2" t="s">
        <v>13744</v>
      </c>
      <c r="H4022" s="2" t="s">
        <v>17</v>
      </c>
      <c r="K4022" s="4">
        <v>7936</v>
      </c>
      <c r="L4022" s="4">
        <v>37215</v>
      </c>
      <c r="M4022" s="2" t="s">
        <v>154</v>
      </c>
      <c r="N4022" s="2" t="s">
        <v>13745</v>
      </c>
    </row>
    <row r="4023" spans="1:14">
      <c r="A4023" s="2">
        <v>4022</v>
      </c>
      <c r="B4023" s="3" t="s">
        <v>13746</v>
      </c>
      <c r="C4023" s="2" t="s">
        <v>13747</v>
      </c>
      <c r="D4023" s="2">
        <v>39</v>
      </c>
      <c r="E4023" s="2">
        <v>43</v>
      </c>
      <c r="F4023" s="2" t="s">
        <v>13748</v>
      </c>
      <c r="H4023" s="2" t="s">
        <v>17</v>
      </c>
      <c r="K4023" s="4">
        <v>4455</v>
      </c>
      <c r="L4023" s="4">
        <v>33421</v>
      </c>
      <c r="M4023" s="2" t="s">
        <v>198</v>
      </c>
      <c r="N4023" s="2" t="s">
        <v>5291</v>
      </c>
    </row>
    <row r="4024" spans="1:14">
      <c r="A4024" s="2">
        <v>4023</v>
      </c>
      <c r="B4024" s="3" t="s">
        <v>13749</v>
      </c>
      <c r="C4024" s="2" t="s">
        <v>13750</v>
      </c>
      <c r="D4024" s="2">
        <v>43</v>
      </c>
      <c r="E4024" s="2">
        <v>43</v>
      </c>
      <c r="F4024" s="2" t="s">
        <v>13751</v>
      </c>
      <c r="H4024" s="2" t="s">
        <v>17</v>
      </c>
      <c r="K4024" s="4">
        <v>12754</v>
      </c>
      <c r="L4024" s="4">
        <v>32426</v>
      </c>
      <c r="M4024" s="2" t="s">
        <v>53</v>
      </c>
      <c r="N4024" s="2" t="s">
        <v>894</v>
      </c>
    </row>
    <row r="4025" spans="1:14">
      <c r="A4025" s="2">
        <v>4024</v>
      </c>
      <c r="B4025" s="3" t="s">
        <v>13752</v>
      </c>
      <c r="C4025" s="2" t="s">
        <v>13753</v>
      </c>
      <c r="D4025" s="2">
        <v>43</v>
      </c>
      <c r="E4025" s="2">
        <v>43</v>
      </c>
      <c r="F4025" s="2" t="s">
        <v>13754</v>
      </c>
      <c r="H4025" s="2" t="s">
        <v>17</v>
      </c>
      <c r="K4025" s="4">
        <v>3995</v>
      </c>
      <c r="M4025" s="2" t="s">
        <v>53</v>
      </c>
      <c r="N4025" s="2" t="s">
        <v>10485</v>
      </c>
    </row>
    <row r="4026" spans="1:14">
      <c r="A4026" s="2">
        <v>4025</v>
      </c>
      <c r="B4026" s="3" t="s">
        <v>13755</v>
      </c>
      <c r="C4026" s="2" t="s">
        <v>13756</v>
      </c>
      <c r="D4026" s="2">
        <v>43</v>
      </c>
      <c r="E4026" s="2">
        <v>43</v>
      </c>
      <c r="F4026" s="2" t="s">
        <v>13757</v>
      </c>
      <c r="H4026" s="2" t="s">
        <v>17</v>
      </c>
      <c r="K4026" s="4">
        <v>4446</v>
      </c>
      <c r="L4026" s="4">
        <v>27378</v>
      </c>
      <c r="M4026" s="2" t="s">
        <v>140</v>
      </c>
    </row>
    <row r="4027" spans="1:14">
      <c r="A4027" s="2">
        <v>4026</v>
      </c>
      <c r="B4027" s="3" t="s">
        <v>13758</v>
      </c>
      <c r="C4027" s="2" t="s">
        <v>13759</v>
      </c>
      <c r="D4027" s="2">
        <v>38</v>
      </c>
      <c r="E4027" s="2">
        <v>43</v>
      </c>
      <c r="F4027" s="2" t="s">
        <v>13760</v>
      </c>
      <c r="H4027" s="2" t="s">
        <v>17</v>
      </c>
      <c r="K4027" s="4">
        <v>3131</v>
      </c>
      <c r="L4027" s="4">
        <v>36927</v>
      </c>
      <c r="M4027" s="2" t="s">
        <v>423</v>
      </c>
      <c r="N4027" s="2" t="s">
        <v>456</v>
      </c>
    </row>
    <row r="4028" spans="1:14">
      <c r="A4028" s="2">
        <v>4027</v>
      </c>
      <c r="B4028" s="3" t="s">
        <v>13761</v>
      </c>
      <c r="C4028" s="2" t="s">
        <v>13762</v>
      </c>
      <c r="D4028" s="2">
        <v>42</v>
      </c>
      <c r="E4028" s="2">
        <v>43</v>
      </c>
      <c r="F4028" s="2" t="s">
        <v>13763</v>
      </c>
      <c r="H4028" s="2" t="s">
        <v>17</v>
      </c>
      <c r="K4028" s="4">
        <v>7312</v>
      </c>
      <c r="L4028" s="4">
        <v>37441</v>
      </c>
      <c r="M4028" s="2" t="s">
        <v>47</v>
      </c>
      <c r="N4028" s="2" t="s">
        <v>48</v>
      </c>
    </row>
    <row r="4029" spans="1:14">
      <c r="A4029" s="2">
        <v>4028</v>
      </c>
      <c r="B4029" s="3" t="s">
        <v>13764</v>
      </c>
      <c r="C4029" s="2" t="s">
        <v>13765</v>
      </c>
      <c r="D4029" s="2">
        <v>43</v>
      </c>
      <c r="E4029" s="2">
        <v>43</v>
      </c>
      <c r="F4029" s="2" t="s">
        <v>13766</v>
      </c>
      <c r="H4029" s="2" t="s">
        <v>17</v>
      </c>
      <c r="K4029" s="4">
        <v>1996</v>
      </c>
      <c r="L4029" s="4">
        <v>29935</v>
      </c>
      <c r="M4029" s="2" t="s">
        <v>164</v>
      </c>
      <c r="N4029" s="2" t="s">
        <v>165</v>
      </c>
    </row>
    <row r="4030" spans="1:14">
      <c r="A4030" s="2">
        <v>4029</v>
      </c>
      <c r="B4030" s="3" t="s">
        <v>13767</v>
      </c>
      <c r="C4030" s="2" t="s">
        <v>13768</v>
      </c>
      <c r="D4030" s="2">
        <v>42</v>
      </c>
      <c r="E4030" s="2">
        <v>43</v>
      </c>
      <c r="F4030" s="2" t="s">
        <v>13769</v>
      </c>
      <c r="H4030" s="2" t="s">
        <v>17</v>
      </c>
      <c r="K4030" s="4">
        <v>5010</v>
      </c>
      <c r="L4030" s="4">
        <v>35457</v>
      </c>
      <c r="M4030" s="2" t="s">
        <v>40</v>
      </c>
      <c r="N4030" s="2" t="s">
        <v>1381</v>
      </c>
    </row>
    <row r="4031" spans="1:14">
      <c r="A4031" s="2">
        <v>4030</v>
      </c>
      <c r="B4031" s="3" t="s">
        <v>13770</v>
      </c>
      <c r="C4031" s="2" t="s">
        <v>13771</v>
      </c>
      <c r="D4031" s="2">
        <v>42</v>
      </c>
      <c r="E4031" s="2">
        <v>43</v>
      </c>
      <c r="F4031" s="2" t="s">
        <v>13772</v>
      </c>
      <c r="H4031" s="2" t="s">
        <v>17</v>
      </c>
      <c r="K4031" s="4">
        <v>14327</v>
      </c>
      <c r="L4031" s="4">
        <v>39616</v>
      </c>
      <c r="M4031" s="2" t="s">
        <v>198</v>
      </c>
      <c r="N4031" s="2" t="s">
        <v>199</v>
      </c>
    </row>
    <row r="4032" spans="1:14">
      <c r="A4032" s="2">
        <v>4031</v>
      </c>
      <c r="B4032" s="3" t="s">
        <v>13773</v>
      </c>
      <c r="C4032" s="2" t="s">
        <v>13774</v>
      </c>
      <c r="D4032" s="2">
        <v>42</v>
      </c>
      <c r="E4032" s="2">
        <v>43</v>
      </c>
      <c r="F4032" s="2" t="s">
        <v>13775</v>
      </c>
      <c r="H4032" s="2" t="s">
        <v>17</v>
      </c>
      <c r="K4032" s="4">
        <v>9542</v>
      </c>
      <c r="L4032" s="4">
        <v>28513</v>
      </c>
      <c r="M4032" s="2" t="s">
        <v>30</v>
      </c>
      <c r="N4032" s="2" t="s">
        <v>12486</v>
      </c>
    </row>
    <row r="4033" spans="1:14">
      <c r="A4033" s="2">
        <v>4032</v>
      </c>
      <c r="B4033" s="3" t="s">
        <v>13776</v>
      </c>
      <c r="C4033" s="2" t="s">
        <v>13777</v>
      </c>
      <c r="D4033" s="2">
        <v>42</v>
      </c>
      <c r="E4033" s="2">
        <v>43</v>
      </c>
      <c r="F4033" s="2" t="s">
        <v>13778</v>
      </c>
      <c r="H4033" s="2" t="s">
        <v>17</v>
      </c>
      <c r="K4033" s="4">
        <v>5946</v>
      </c>
      <c r="L4033" s="4">
        <v>29904</v>
      </c>
      <c r="M4033" s="2" t="s">
        <v>76</v>
      </c>
      <c r="N4033" s="2" t="s">
        <v>764</v>
      </c>
    </row>
    <row r="4034" spans="1:14">
      <c r="A4034" s="2">
        <v>4033</v>
      </c>
      <c r="B4034" s="3" t="s">
        <v>13779</v>
      </c>
      <c r="C4034" s="2" t="s">
        <v>13780</v>
      </c>
      <c r="D4034" s="2">
        <v>43</v>
      </c>
      <c r="E4034" s="2">
        <v>43</v>
      </c>
      <c r="F4034" s="2" t="s">
        <v>13781</v>
      </c>
      <c r="H4034" s="2" t="s">
        <v>17</v>
      </c>
      <c r="K4034" s="4">
        <v>7539</v>
      </c>
      <c r="L4034" s="4">
        <v>33994</v>
      </c>
      <c r="M4034" s="2" t="s">
        <v>30</v>
      </c>
      <c r="N4034" s="2" t="s">
        <v>9809</v>
      </c>
    </row>
    <row r="4035" spans="1:14">
      <c r="A4035" s="2">
        <v>4034</v>
      </c>
      <c r="B4035" s="3" t="s">
        <v>13782</v>
      </c>
      <c r="C4035" s="2" t="s">
        <v>13783</v>
      </c>
      <c r="D4035" s="2">
        <v>42</v>
      </c>
      <c r="E4035" s="2">
        <v>43</v>
      </c>
      <c r="F4035" s="2" t="s">
        <v>13784</v>
      </c>
      <c r="H4035" s="2" t="s">
        <v>17</v>
      </c>
      <c r="K4035" s="4">
        <v>8205</v>
      </c>
      <c r="L4035" s="4">
        <v>40496</v>
      </c>
      <c r="M4035" s="2" t="s">
        <v>170</v>
      </c>
    </row>
    <row r="4036" spans="1:14">
      <c r="A4036" s="2">
        <v>4035</v>
      </c>
      <c r="B4036" s="3" t="s">
        <v>13785</v>
      </c>
      <c r="C4036" s="2" t="s">
        <v>13786</v>
      </c>
      <c r="D4036" s="2">
        <v>42</v>
      </c>
      <c r="E4036" s="2">
        <v>43</v>
      </c>
      <c r="F4036" s="2" t="s">
        <v>13787</v>
      </c>
      <c r="H4036" s="2" t="s">
        <v>17</v>
      </c>
      <c r="K4036" s="4">
        <v>10370</v>
      </c>
      <c r="L4036" s="4">
        <v>35764</v>
      </c>
      <c r="M4036" s="2" t="s">
        <v>198</v>
      </c>
      <c r="N4036" s="2" t="s">
        <v>199</v>
      </c>
    </row>
    <row r="4037" spans="1:14">
      <c r="A4037" s="2">
        <v>4036</v>
      </c>
      <c r="B4037" s="3" t="s">
        <v>13788</v>
      </c>
      <c r="C4037" s="2" t="s">
        <v>13789</v>
      </c>
      <c r="D4037" s="2">
        <v>39</v>
      </c>
      <c r="E4037" s="2">
        <v>43</v>
      </c>
      <c r="F4037" s="2" t="s">
        <v>13790</v>
      </c>
      <c r="H4037" s="2" t="s">
        <v>17</v>
      </c>
      <c r="K4037" s="4">
        <v>444</v>
      </c>
      <c r="L4037" s="4">
        <v>35382</v>
      </c>
      <c r="M4037" s="2" t="s">
        <v>198</v>
      </c>
      <c r="N4037" s="2" t="s">
        <v>13791</v>
      </c>
    </row>
    <row r="4038" spans="1:14">
      <c r="A4038" s="2">
        <v>4037</v>
      </c>
      <c r="B4038" s="3" t="s">
        <v>13792</v>
      </c>
      <c r="C4038" s="2" t="s">
        <v>13793</v>
      </c>
      <c r="D4038" s="2">
        <v>42</v>
      </c>
      <c r="E4038" s="2">
        <v>43</v>
      </c>
      <c r="F4038" s="2" t="s">
        <v>13794</v>
      </c>
      <c r="H4038" s="2" t="s">
        <v>17</v>
      </c>
      <c r="K4038" s="4">
        <v>9556</v>
      </c>
      <c r="L4038" s="4">
        <v>33702</v>
      </c>
      <c r="M4038" s="2" t="s">
        <v>47</v>
      </c>
      <c r="N4038" s="2" t="s">
        <v>13795</v>
      </c>
    </row>
    <row r="4039" spans="1:14">
      <c r="A4039" s="2">
        <v>4038</v>
      </c>
      <c r="B4039" s="3" t="s">
        <v>13796</v>
      </c>
      <c r="C4039" s="2" t="s">
        <v>13797</v>
      </c>
      <c r="D4039" s="2">
        <v>42</v>
      </c>
      <c r="E4039" s="2">
        <v>43</v>
      </c>
      <c r="F4039" s="2" t="s">
        <v>13798</v>
      </c>
      <c r="H4039" s="2" t="s">
        <v>17</v>
      </c>
      <c r="K4039" s="4">
        <v>12734</v>
      </c>
      <c r="L4039" s="4">
        <v>37972</v>
      </c>
      <c r="M4039" s="2" t="s">
        <v>170</v>
      </c>
      <c r="N4039" s="2" t="s">
        <v>13799</v>
      </c>
    </row>
    <row r="4040" spans="1:14">
      <c r="A4040" s="2">
        <v>4039</v>
      </c>
      <c r="B4040" s="3" t="s">
        <v>13800</v>
      </c>
      <c r="C4040" s="2" t="s">
        <v>13801</v>
      </c>
      <c r="D4040" s="2">
        <v>43</v>
      </c>
      <c r="E4040" s="2">
        <v>43</v>
      </c>
      <c r="F4040" s="2" t="s">
        <v>13802</v>
      </c>
      <c r="H4040" s="2" t="s">
        <v>45</v>
      </c>
      <c r="K4040" s="4">
        <v>12202</v>
      </c>
      <c r="M4040" s="2" t="s">
        <v>170</v>
      </c>
      <c r="N4040" s="2" t="s">
        <v>323</v>
      </c>
    </row>
    <row r="4041" spans="1:14">
      <c r="A4041" s="2">
        <v>4040</v>
      </c>
      <c r="B4041" s="3" t="s">
        <v>13803</v>
      </c>
      <c r="C4041" s="2" t="s">
        <v>13804</v>
      </c>
      <c r="D4041" s="2">
        <v>43</v>
      </c>
      <c r="E4041" s="2">
        <v>43</v>
      </c>
      <c r="F4041" s="2" t="s">
        <v>13805</v>
      </c>
      <c r="H4041" s="2" t="s">
        <v>17</v>
      </c>
      <c r="K4041" s="4">
        <v>8653</v>
      </c>
      <c r="L4041" s="4">
        <v>41230</v>
      </c>
      <c r="M4041" s="2" t="s">
        <v>35</v>
      </c>
      <c r="N4041" s="2" t="s">
        <v>13806</v>
      </c>
    </row>
    <row r="4042" spans="1:14">
      <c r="A4042" s="2">
        <v>4041</v>
      </c>
      <c r="B4042" s="3" t="s">
        <v>13807</v>
      </c>
      <c r="C4042" s="2" t="s">
        <v>13808</v>
      </c>
      <c r="D4042" s="2">
        <v>42</v>
      </c>
      <c r="E4042" s="2">
        <v>43</v>
      </c>
      <c r="F4042" s="2" t="s">
        <v>13809</v>
      </c>
      <c r="H4042" s="2" t="s">
        <v>17</v>
      </c>
      <c r="K4042" s="4">
        <v>4859</v>
      </c>
      <c r="L4042" s="4">
        <v>27950</v>
      </c>
    </row>
    <row r="4043" spans="1:14">
      <c r="A4043" s="2">
        <v>4042</v>
      </c>
      <c r="B4043" s="3" t="s">
        <v>13810</v>
      </c>
      <c r="C4043" s="2" t="s">
        <v>13811</v>
      </c>
      <c r="D4043" s="2">
        <v>39</v>
      </c>
      <c r="E4043" s="2">
        <v>43</v>
      </c>
      <c r="F4043" s="2" t="s">
        <v>13812</v>
      </c>
      <c r="H4043" s="2" t="s">
        <v>17</v>
      </c>
      <c r="K4043" s="4">
        <v>1646</v>
      </c>
      <c r="L4043" s="4">
        <v>32621</v>
      </c>
      <c r="M4043" s="2" t="s">
        <v>47</v>
      </c>
      <c r="N4043" s="2" t="s">
        <v>691</v>
      </c>
    </row>
    <row r="4044" spans="1:14">
      <c r="A4044" s="2">
        <v>4043</v>
      </c>
      <c r="B4044" s="3" t="s">
        <v>13813</v>
      </c>
      <c r="C4044" s="2" t="s">
        <v>13814</v>
      </c>
      <c r="D4044" s="2">
        <v>41</v>
      </c>
      <c r="E4044" s="2">
        <v>43</v>
      </c>
      <c r="F4044" s="2" t="s">
        <v>13815</v>
      </c>
      <c r="H4044" s="2" t="s">
        <v>17</v>
      </c>
      <c r="K4044" s="4">
        <v>7073</v>
      </c>
      <c r="L4044" s="4">
        <v>31625</v>
      </c>
      <c r="M4044" s="2" t="s">
        <v>66</v>
      </c>
      <c r="N4044" s="2" t="s">
        <v>9911</v>
      </c>
    </row>
    <row r="4045" spans="1:14">
      <c r="A4045" s="2">
        <v>4044</v>
      </c>
      <c r="B4045" s="3" t="s">
        <v>13816</v>
      </c>
      <c r="C4045" s="2" t="s">
        <v>13817</v>
      </c>
      <c r="D4045" s="2">
        <v>43</v>
      </c>
      <c r="E4045" s="2">
        <v>43</v>
      </c>
      <c r="F4045" s="2" t="s">
        <v>13818</v>
      </c>
      <c r="H4045" s="2" t="s">
        <v>17</v>
      </c>
      <c r="K4045" s="4">
        <v>9984</v>
      </c>
      <c r="L4045" s="4">
        <v>33863</v>
      </c>
      <c r="M4045" s="2" t="s">
        <v>170</v>
      </c>
      <c r="N4045" s="2" t="s">
        <v>323</v>
      </c>
    </row>
    <row r="4046" spans="1:14">
      <c r="A4046" s="2">
        <v>4045</v>
      </c>
      <c r="B4046" s="3" t="s">
        <v>13819</v>
      </c>
      <c r="C4046" s="2" t="s">
        <v>13820</v>
      </c>
      <c r="D4046" s="2">
        <v>43</v>
      </c>
      <c r="E4046" s="2">
        <v>43</v>
      </c>
      <c r="F4046" s="2" t="s">
        <v>13821</v>
      </c>
      <c r="H4046" s="2" t="s">
        <v>17</v>
      </c>
      <c r="K4046" s="4">
        <v>10346</v>
      </c>
      <c r="L4046" s="4">
        <v>34515</v>
      </c>
      <c r="M4046" s="2" t="s">
        <v>47</v>
      </c>
      <c r="N4046" s="2" t="s">
        <v>48</v>
      </c>
    </row>
    <row r="4047" spans="1:14">
      <c r="A4047" s="2">
        <v>4046</v>
      </c>
      <c r="B4047" s="3" t="s">
        <v>13822</v>
      </c>
      <c r="C4047" s="2" t="s">
        <v>13823</v>
      </c>
      <c r="D4047" s="2">
        <v>42</v>
      </c>
      <c r="E4047" s="2">
        <v>43</v>
      </c>
      <c r="F4047" s="2" t="s">
        <v>13824</v>
      </c>
      <c r="H4047" s="2" t="s">
        <v>17</v>
      </c>
      <c r="K4047" s="4">
        <v>11931</v>
      </c>
      <c r="M4047" s="2" t="s">
        <v>35</v>
      </c>
      <c r="N4047" s="2" t="s">
        <v>1462</v>
      </c>
    </row>
    <row r="4048" spans="1:14">
      <c r="A4048" s="2">
        <v>4047</v>
      </c>
      <c r="B4048" s="3" t="s">
        <v>13825</v>
      </c>
      <c r="C4048" s="2" t="s">
        <v>13826</v>
      </c>
      <c r="D4048" s="2">
        <v>43</v>
      </c>
      <c r="E4048" s="2">
        <v>43</v>
      </c>
      <c r="F4048" s="2" t="s">
        <v>13827</v>
      </c>
      <c r="H4048" s="2" t="s">
        <v>45</v>
      </c>
      <c r="K4048" s="4">
        <v>12690</v>
      </c>
      <c r="M4048" s="2" t="s">
        <v>423</v>
      </c>
      <c r="N4048" s="2" t="s">
        <v>3005</v>
      </c>
    </row>
    <row r="4049" spans="1:14">
      <c r="A4049" s="2">
        <v>4048</v>
      </c>
      <c r="B4049" s="3" t="s">
        <v>13828</v>
      </c>
      <c r="C4049" s="2" t="s">
        <v>13829</v>
      </c>
      <c r="D4049" s="2">
        <v>42</v>
      </c>
      <c r="E4049" s="2">
        <v>43</v>
      </c>
      <c r="F4049" s="2" t="s">
        <v>13830</v>
      </c>
      <c r="H4049" s="2" t="s">
        <v>17</v>
      </c>
      <c r="K4049" s="4">
        <v>6085</v>
      </c>
      <c r="L4049" s="4">
        <v>35708</v>
      </c>
      <c r="M4049" s="2" t="s">
        <v>35</v>
      </c>
      <c r="N4049" s="2" t="s">
        <v>13831</v>
      </c>
    </row>
    <row r="4050" spans="1:14">
      <c r="A4050" s="2">
        <v>4049</v>
      </c>
      <c r="B4050" s="3" t="s">
        <v>13832</v>
      </c>
      <c r="C4050" s="2" t="s">
        <v>13833</v>
      </c>
      <c r="D4050" s="2">
        <v>42</v>
      </c>
      <c r="E4050" s="2">
        <v>43</v>
      </c>
      <c r="F4050" s="2" t="s">
        <v>13834</v>
      </c>
      <c r="H4050" s="2" t="s">
        <v>17</v>
      </c>
      <c r="K4050" s="4">
        <v>7478</v>
      </c>
      <c r="L4050" s="4">
        <v>33996</v>
      </c>
      <c r="M4050" s="2" t="s">
        <v>185</v>
      </c>
      <c r="N4050" s="2" t="s">
        <v>13835</v>
      </c>
    </row>
    <row r="4051" spans="1:14">
      <c r="A4051" s="2">
        <v>4050</v>
      </c>
      <c r="B4051" s="3" t="s">
        <v>13836</v>
      </c>
      <c r="C4051" s="2" t="s">
        <v>13837</v>
      </c>
      <c r="D4051" s="2">
        <v>43</v>
      </c>
      <c r="E4051" s="2">
        <v>43</v>
      </c>
      <c r="F4051" s="2" t="s">
        <v>13838</v>
      </c>
      <c r="H4051" s="2" t="s">
        <v>17</v>
      </c>
      <c r="K4051" s="4">
        <v>7331</v>
      </c>
      <c r="M4051" s="2" t="s">
        <v>40</v>
      </c>
      <c r="N4051" s="2" t="s">
        <v>41</v>
      </c>
    </row>
    <row r="4052" spans="1:14">
      <c r="A4052" s="2">
        <v>4051</v>
      </c>
      <c r="B4052" s="3" t="s">
        <v>13839</v>
      </c>
      <c r="C4052" s="2" t="s">
        <v>13840</v>
      </c>
      <c r="D4052" s="2">
        <v>41</v>
      </c>
      <c r="E4052" s="2">
        <v>43</v>
      </c>
      <c r="F4052" s="2" t="s">
        <v>13841</v>
      </c>
      <c r="H4052" s="2" t="s">
        <v>17</v>
      </c>
      <c r="K4052" s="4">
        <v>4918</v>
      </c>
      <c r="L4052" s="4">
        <v>37529</v>
      </c>
      <c r="M4052" s="2" t="s">
        <v>146</v>
      </c>
      <c r="N4052" s="2" t="s">
        <v>8505</v>
      </c>
    </row>
    <row r="4053" spans="1:14">
      <c r="A4053" s="2">
        <v>4052</v>
      </c>
      <c r="B4053" s="3" t="s">
        <v>13842</v>
      </c>
      <c r="C4053" s="2" t="s">
        <v>13843</v>
      </c>
      <c r="D4053" s="2">
        <v>43</v>
      </c>
      <c r="E4053" s="2">
        <v>43</v>
      </c>
      <c r="F4053" s="2" t="s">
        <v>13844</v>
      </c>
      <c r="H4053" s="2" t="s">
        <v>17</v>
      </c>
      <c r="K4053" s="4">
        <v>6388</v>
      </c>
      <c r="L4053" s="4">
        <v>43062</v>
      </c>
      <c r="M4053" s="2" t="s">
        <v>35</v>
      </c>
      <c r="N4053" s="2" t="s">
        <v>13845</v>
      </c>
    </row>
    <row r="4054" spans="1:14">
      <c r="A4054" s="2">
        <v>4053</v>
      </c>
      <c r="B4054" s="3" t="s">
        <v>13846</v>
      </c>
      <c r="C4054" s="2" t="s">
        <v>13847</v>
      </c>
      <c r="D4054" s="2">
        <v>40</v>
      </c>
      <c r="E4054" s="2">
        <v>43</v>
      </c>
      <c r="F4054" s="2" t="s">
        <v>13848</v>
      </c>
      <c r="H4054" s="2" t="s">
        <v>17</v>
      </c>
      <c r="K4054" s="4">
        <v>1708</v>
      </c>
      <c r="L4054" s="4">
        <v>27915</v>
      </c>
      <c r="M4054" s="2" t="s">
        <v>40</v>
      </c>
      <c r="N4054" s="2" t="s">
        <v>3693</v>
      </c>
    </row>
    <row r="4055" spans="1:14">
      <c r="A4055" s="2">
        <v>4054</v>
      </c>
      <c r="B4055" s="3" t="s">
        <v>13849</v>
      </c>
      <c r="C4055" s="2" t="s">
        <v>13850</v>
      </c>
      <c r="D4055" s="2">
        <v>43</v>
      </c>
      <c r="E4055" s="2">
        <v>43</v>
      </c>
      <c r="F4055" s="2" t="s">
        <v>13851</v>
      </c>
      <c r="H4055" s="2" t="s">
        <v>17</v>
      </c>
      <c r="K4055" s="4">
        <v>10735</v>
      </c>
      <c r="M4055" s="2" t="s">
        <v>85</v>
      </c>
      <c r="N4055" s="2" t="s">
        <v>2563</v>
      </c>
    </row>
    <row r="4056" spans="1:14">
      <c r="A4056" s="2">
        <v>4055</v>
      </c>
      <c r="B4056" s="3" t="s">
        <v>13852</v>
      </c>
      <c r="C4056" s="2" t="s">
        <v>13853</v>
      </c>
      <c r="D4056" s="2">
        <v>42</v>
      </c>
      <c r="E4056" s="2">
        <v>43</v>
      </c>
      <c r="F4056" s="2" t="s">
        <v>13854</v>
      </c>
      <c r="H4056" s="2" t="s">
        <v>17</v>
      </c>
      <c r="K4056" s="4">
        <v>11125</v>
      </c>
      <c r="L4056" s="4">
        <v>43164</v>
      </c>
      <c r="M4056" s="2" t="s">
        <v>423</v>
      </c>
      <c r="N4056" s="2" t="s">
        <v>6384</v>
      </c>
    </row>
    <row r="4057" spans="1:14">
      <c r="A4057" s="2">
        <v>4056</v>
      </c>
      <c r="B4057" s="3" t="s">
        <v>13855</v>
      </c>
      <c r="C4057" s="2" t="s">
        <v>13856</v>
      </c>
      <c r="D4057" s="2">
        <v>42</v>
      </c>
      <c r="E4057" s="2">
        <v>43</v>
      </c>
      <c r="F4057" s="2" t="s">
        <v>13857</v>
      </c>
      <c r="H4057" s="2" t="s">
        <v>17</v>
      </c>
      <c r="K4057" s="4">
        <v>11781</v>
      </c>
      <c r="L4057" s="4">
        <v>41457</v>
      </c>
      <c r="M4057" s="2" t="s">
        <v>40</v>
      </c>
      <c r="N4057" s="2" t="s">
        <v>41</v>
      </c>
    </row>
    <row r="4058" spans="1:14">
      <c r="A4058" s="2">
        <v>4057</v>
      </c>
      <c r="B4058" s="3" t="s">
        <v>13858</v>
      </c>
      <c r="C4058" s="2" t="s">
        <v>13859</v>
      </c>
      <c r="D4058" s="2">
        <v>42</v>
      </c>
      <c r="E4058" s="2">
        <v>43</v>
      </c>
      <c r="F4058" s="2" t="s">
        <v>13860</v>
      </c>
      <c r="H4058" s="2" t="s">
        <v>17</v>
      </c>
      <c r="K4058" s="4">
        <v>6866</v>
      </c>
      <c r="M4058" s="2" t="s">
        <v>47</v>
      </c>
      <c r="N4058" s="2" t="s">
        <v>6306</v>
      </c>
    </row>
    <row r="4059" spans="1:14">
      <c r="A4059" s="2">
        <v>4058</v>
      </c>
      <c r="B4059" s="3" t="s">
        <v>13861</v>
      </c>
      <c r="C4059" s="2" t="s">
        <v>13862</v>
      </c>
      <c r="D4059" s="2">
        <v>43</v>
      </c>
      <c r="E4059" s="2">
        <v>43</v>
      </c>
      <c r="F4059" s="2" t="s">
        <v>13863</v>
      </c>
      <c r="H4059" s="2" t="s">
        <v>17</v>
      </c>
      <c r="K4059" s="4">
        <v>13345</v>
      </c>
      <c r="L4059" s="4">
        <v>39906</v>
      </c>
      <c r="M4059" s="2" t="s">
        <v>170</v>
      </c>
      <c r="N4059" s="2" t="s">
        <v>323</v>
      </c>
    </row>
    <row r="4060" spans="1:14">
      <c r="A4060" s="2">
        <v>4059</v>
      </c>
      <c r="B4060" s="3" t="s">
        <v>13864</v>
      </c>
      <c r="C4060" s="2" t="s">
        <v>13865</v>
      </c>
      <c r="D4060" s="2">
        <v>43</v>
      </c>
      <c r="E4060" s="2">
        <v>43</v>
      </c>
      <c r="F4060" s="2" t="s">
        <v>13866</v>
      </c>
      <c r="H4060" s="2" t="s">
        <v>17</v>
      </c>
      <c r="K4060" s="4">
        <v>9706</v>
      </c>
      <c r="M4060" s="2" t="s">
        <v>47</v>
      </c>
      <c r="N4060" s="2" t="s">
        <v>48</v>
      </c>
    </row>
    <row r="4061" spans="1:14">
      <c r="A4061" s="2">
        <v>4060</v>
      </c>
      <c r="B4061" s="3" t="s">
        <v>13867</v>
      </c>
      <c r="C4061" s="2" t="s">
        <v>13868</v>
      </c>
      <c r="D4061" s="2">
        <v>43</v>
      </c>
      <c r="E4061" s="2">
        <v>43</v>
      </c>
      <c r="F4061" s="2" t="s">
        <v>13869</v>
      </c>
      <c r="H4061" s="2" t="s">
        <v>17</v>
      </c>
      <c r="K4061" s="4">
        <v>8091</v>
      </c>
      <c r="L4061" s="4">
        <v>32133</v>
      </c>
      <c r="M4061" s="2" t="s">
        <v>66</v>
      </c>
      <c r="N4061" s="2" t="s">
        <v>1069</v>
      </c>
    </row>
    <row r="4062" spans="1:14">
      <c r="A4062" s="2">
        <v>4061</v>
      </c>
      <c r="B4062" s="3" t="s">
        <v>13870</v>
      </c>
      <c r="C4062" s="2" t="s">
        <v>13871</v>
      </c>
      <c r="D4062" s="2">
        <v>43</v>
      </c>
      <c r="E4062" s="2">
        <v>43</v>
      </c>
      <c r="F4062" s="2" t="s">
        <v>13872</v>
      </c>
      <c r="H4062" s="2" t="s">
        <v>17</v>
      </c>
      <c r="K4062" s="4">
        <v>5144</v>
      </c>
      <c r="L4062" s="4">
        <v>35669</v>
      </c>
      <c r="M4062" s="2" t="s">
        <v>969</v>
      </c>
    </row>
    <row r="4063" spans="1:14">
      <c r="A4063" s="2">
        <v>4062</v>
      </c>
      <c r="B4063" s="3" t="s">
        <v>13873</v>
      </c>
      <c r="C4063" s="2" t="s">
        <v>13874</v>
      </c>
      <c r="D4063" s="2">
        <v>43</v>
      </c>
      <c r="E4063" s="2">
        <v>43</v>
      </c>
      <c r="F4063" s="2" t="s">
        <v>13875</v>
      </c>
      <c r="H4063" s="2" t="s">
        <v>17</v>
      </c>
      <c r="K4063" s="4">
        <v>8199</v>
      </c>
      <c r="L4063" s="4">
        <v>35068</v>
      </c>
      <c r="M4063" s="2" t="s">
        <v>571</v>
      </c>
      <c r="N4063" s="2" t="s">
        <v>572</v>
      </c>
    </row>
    <row r="4064" spans="1:14">
      <c r="A4064" s="2">
        <v>4063</v>
      </c>
      <c r="B4064" s="3" t="s">
        <v>13876</v>
      </c>
      <c r="C4064" s="2" t="s">
        <v>13877</v>
      </c>
      <c r="D4064" s="2">
        <v>42</v>
      </c>
      <c r="E4064" s="2">
        <v>43</v>
      </c>
      <c r="F4064" s="2" t="s">
        <v>13878</v>
      </c>
      <c r="H4064" s="2" t="s">
        <v>17</v>
      </c>
      <c r="K4064" s="4">
        <v>9420</v>
      </c>
      <c r="L4064" s="4">
        <v>36737</v>
      </c>
      <c r="M4064" s="2" t="s">
        <v>247</v>
      </c>
      <c r="N4064" s="2" t="s">
        <v>886</v>
      </c>
    </row>
    <row r="4065" spans="1:14">
      <c r="A4065" s="2">
        <v>4064</v>
      </c>
      <c r="B4065" s="3" t="s">
        <v>13879</v>
      </c>
      <c r="C4065" s="2" t="s">
        <v>13880</v>
      </c>
      <c r="D4065" s="2">
        <v>42</v>
      </c>
      <c r="E4065" s="2">
        <v>43</v>
      </c>
      <c r="F4065" s="2" t="s">
        <v>13881</v>
      </c>
      <c r="H4065" s="2" t="s">
        <v>17</v>
      </c>
      <c r="K4065" s="4">
        <v>7333</v>
      </c>
      <c r="L4065" s="4">
        <v>26383</v>
      </c>
      <c r="M4065" s="2" t="s">
        <v>40</v>
      </c>
      <c r="N4065" s="2" t="s">
        <v>41</v>
      </c>
    </row>
    <row r="4066" spans="1:14">
      <c r="A4066" s="2">
        <v>4065</v>
      </c>
      <c r="B4066" s="3" t="s">
        <v>13882</v>
      </c>
      <c r="C4066" s="2" t="s">
        <v>13883</v>
      </c>
      <c r="D4066" s="2">
        <v>41</v>
      </c>
      <c r="E4066" s="2">
        <v>43</v>
      </c>
      <c r="F4066" s="2" t="s">
        <v>13884</v>
      </c>
      <c r="H4066" s="2" t="s">
        <v>17</v>
      </c>
      <c r="K4066" s="4">
        <v>2894</v>
      </c>
      <c r="L4066" s="4">
        <v>28769</v>
      </c>
      <c r="M4066" s="2" t="s">
        <v>66</v>
      </c>
      <c r="N4066" s="2" t="s">
        <v>3640</v>
      </c>
    </row>
    <row r="4067" spans="1:14">
      <c r="A4067" s="2">
        <v>4066</v>
      </c>
      <c r="B4067" s="3" t="s">
        <v>13885</v>
      </c>
      <c r="C4067" s="2" t="s">
        <v>13886</v>
      </c>
      <c r="D4067" s="2">
        <v>43</v>
      </c>
      <c r="E4067" s="2">
        <v>43</v>
      </c>
      <c r="F4067" s="2" t="s">
        <v>13887</v>
      </c>
      <c r="H4067" s="2" t="s">
        <v>17</v>
      </c>
      <c r="K4067" s="4" t="s">
        <v>13888</v>
      </c>
      <c r="L4067" s="4">
        <v>27050</v>
      </c>
      <c r="M4067" s="2" t="s">
        <v>164</v>
      </c>
      <c r="N4067" s="2" t="s">
        <v>165</v>
      </c>
    </row>
    <row r="4068" spans="1:14">
      <c r="A4068" s="2">
        <v>4067</v>
      </c>
      <c r="B4068" s="3" t="s">
        <v>13889</v>
      </c>
      <c r="C4068" s="2" t="s">
        <v>13890</v>
      </c>
      <c r="D4068" s="2">
        <v>40</v>
      </c>
      <c r="E4068" s="2">
        <v>43</v>
      </c>
      <c r="F4068" s="2" t="s">
        <v>13891</v>
      </c>
      <c r="H4068" s="2" t="s">
        <v>17</v>
      </c>
      <c r="K4068" s="4">
        <v>611</v>
      </c>
      <c r="L4068" s="4">
        <v>27935</v>
      </c>
      <c r="M4068" s="2" t="s">
        <v>85</v>
      </c>
      <c r="N4068" s="2" t="s">
        <v>3850</v>
      </c>
    </row>
    <row r="4069" spans="1:14">
      <c r="A4069" s="2">
        <v>4068</v>
      </c>
      <c r="B4069" s="3" t="s">
        <v>13892</v>
      </c>
      <c r="C4069" s="2" t="s">
        <v>13893</v>
      </c>
      <c r="D4069" s="2">
        <v>43</v>
      </c>
      <c r="E4069" s="2">
        <v>43</v>
      </c>
      <c r="F4069" s="2" t="s">
        <v>13894</v>
      </c>
      <c r="H4069" s="2" t="s">
        <v>17</v>
      </c>
      <c r="K4069" s="4">
        <v>4883</v>
      </c>
      <c r="L4069" s="4">
        <v>34221</v>
      </c>
      <c r="M4069" s="2" t="s">
        <v>35</v>
      </c>
      <c r="N4069" s="2" t="s">
        <v>10783</v>
      </c>
    </row>
    <row r="4070" spans="1:14">
      <c r="A4070" s="2">
        <v>4069</v>
      </c>
      <c r="B4070" s="3" t="s">
        <v>13895</v>
      </c>
      <c r="C4070" s="2" t="s">
        <v>13896</v>
      </c>
      <c r="D4070" s="2">
        <v>40</v>
      </c>
      <c r="E4070" s="2">
        <v>43</v>
      </c>
      <c r="F4070" s="2" t="s">
        <v>13897</v>
      </c>
      <c r="H4070" s="2" t="s">
        <v>17</v>
      </c>
      <c r="K4070" s="4">
        <v>4802</v>
      </c>
      <c r="L4070" s="4">
        <v>40556</v>
      </c>
      <c r="M4070" s="2" t="s">
        <v>35</v>
      </c>
      <c r="N4070" s="2" t="s">
        <v>3929</v>
      </c>
    </row>
    <row r="4071" spans="1:14">
      <c r="A4071" s="2">
        <v>4070</v>
      </c>
      <c r="B4071" s="3" t="s">
        <v>13898</v>
      </c>
      <c r="C4071" s="2" t="s">
        <v>13899</v>
      </c>
      <c r="D4071" s="2">
        <v>42</v>
      </c>
      <c r="E4071" s="2">
        <v>43</v>
      </c>
      <c r="F4071" s="2" t="s">
        <v>13900</v>
      </c>
      <c r="H4071" s="2" t="s">
        <v>17</v>
      </c>
      <c r="K4071" s="4">
        <v>2974</v>
      </c>
      <c r="L4071" s="4">
        <v>30460</v>
      </c>
      <c r="M4071" s="2" t="s">
        <v>170</v>
      </c>
      <c r="N4071" s="2" t="s">
        <v>1624</v>
      </c>
    </row>
    <row r="4072" spans="1:14">
      <c r="A4072" s="2">
        <v>4071</v>
      </c>
      <c r="B4072" s="3" t="s">
        <v>13901</v>
      </c>
      <c r="C4072" s="2" t="s">
        <v>13902</v>
      </c>
      <c r="D4072" s="2">
        <v>38</v>
      </c>
      <c r="E4072" s="2">
        <v>43</v>
      </c>
      <c r="F4072" s="2" t="s">
        <v>13903</v>
      </c>
      <c r="H4072" s="2" t="s">
        <v>17</v>
      </c>
      <c r="K4072" s="4">
        <v>5440</v>
      </c>
      <c r="L4072" s="4">
        <v>33917</v>
      </c>
      <c r="M4072" s="2" t="s">
        <v>146</v>
      </c>
      <c r="N4072" s="2" t="s">
        <v>13904</v>
      </c>
    </row>
    <row r="4073" spans="1:14">
      <c r="A4073" s="2">
        <v>4072</v>
      </c>
      <c r="B4073" s="3" t="s">
        <v>13905</v>
      </c>
      <c r="C4073" s="2" t="s">
        <v>13906</v>
      </c>
      <c r="D4073" s="2">
        <v>41</v>
      </c>
      <c r="E4073" s="2">
        <v>43</v>
      </c>
      <c r="F4073" s="2" t="s">
        <v>13907</v>
      </c>
      <c r="H4073" s="2" t="s">
        <v>17</v>
      </c>
      <c r="K4073" s="4" t="s">
        <v>13908</v>
      </c>
      <c r="L4073" s="4">
        <v>32890</v>
      </c>
    </row>
    <row r="4074" spans="1:14">
      <c r="A4074" s="2">
        <v>4073</v>
      </c>
      <c r="B4074" s="3" t="s">
        <v>13909</v>
      </c>
      <c r="C4074" s="2" t="s">
        <v>13910</v>
      </c>
      <c r="D4074" s="2">
        <v>38</v>
      </c>
      <c r="E4074" s="2">
        <v>43</v>
      </c>
      <c r="F4074" s="2" t="s">
        <v>13911</v>
      </c>
      <c r="H4074" s="2" t="s">
        <v>17</v>
      </c>
      <c r="K4074" s="4" t="s">
        <v>13912</v>
      </c>
      <c r="L4074" s="4">
        <v>25325</v>
      </c>
      <c r="M4074" s="2" t="s">
        <v>170</v>
      </c>
      <c r="N4074" s="2" t="s">
        <v>1712</v>
      </c>
    </row>
    <row r="4075" spans="1:14">
      <c r="A4075" s="2">
        <v>4074</v>
      </c>
      <c r="B4075" s="3" t="s">
        <v>13913</v>
      </c>
      <c r="C4075" s="2" t="s">
        <v>13914</v>
      </c>
      <c r="D4075" s="2">
        <v>42</v>
      </c>
      <c r="E4075" s="2">
        <v>43</v>
      </c>
      <c r="F4075" s="2" t="s">
        <v>13915</v>
      </c>
      <c r="H4075" s="2" t="s">
        <v>17</v>
      </c>
      <c r="K4075" s="4">
        <v>7950</v>
      </c>
      <c r="L4075" s="4">
        <v>44849</v>
      </c>
      <c r="M4075" s="2" t="s">
        <v>76</v>
      </c>
      <c r="N4075" s="2" t="s">
        <v>77</v>
      </c>
    </row>
    <row r="4076" spans="1:14">
      <c r="A4076" s="2">
        <v>4075</v>
      </c>
      <c r="B4076" s="3" t="s">
        <v>13916</v>
      </c>
      <c r="C4076" s="2" t="s">
        <v>13917</v>
      </c>
      <c r="D4076" s="2">
        <v>43</v>
      </c>
      <c r="E4076" s="2">
        <v>43</v>
      </c>
      <c r="F4076" s="2" t="s">
        <v>13918</v>
      </c>
      <c r="H4076" s="2" t="s">
        <v>17</v>
      </c>
      <c r="K4076" s="4">
        <v>9689</v>
      </c>
      <c r="L4076" s="4">
        <v>30257</v>
      </c>
      <c r="M4076" s="2" t="s">
        <v>66</v>
      </c>
      <c r="N4076" s="2" t="s">
        <v>1693</v>
      </c>
    </row>
    <row r="4077" spans="1:14">
      <c r="A4077" s="2">
        <v>4076</v>
      </c>
      <c r="B4077" s="3" t="s">
        <v>13919</v>
      </c>
      <c r="C4077" s="2" t="s">
        <v>13920</v>
      </c>
      <c r="D4077" s="2">
        <v>43</v>
      </c>
      <c r="E4077" s="2">
        <v>43</v>
      </c>
      <c r="F4077" s="2" t="s">
        <v>13921</v>
      </c>
      <c r="H4077" s="2" t="s">
        <v>17</v>
      </c>
      <c r="K4077" s="4">
        <v>2615</v>
      </c>
      <c r="L4077" s="4">
        <v>34612</v>
      </c>
      <c r="M4077" s="2" t="s">
        <v>76</v>
      </c>
      <c r="N4077" s="2" t="s">
        <v>1644</v>
      </c>
    </row>
    <row r="4078" spans="1:14">
      <c r="A4078" s="2">
        <v>4077</v>
      </c>
      <c r="B4078" s="3" t="s">
        <v>13922</v>
      </c>
      <c r="C4078" s="2" t="s">
        <v>13923</v>
      </c>
      <c r="D4078" s="2">
        <v>38</v>
      </c>
      <c r="E4078" s="2">
        <v>43</v>
      </c>
      <c r="F4078" s="2" t="s">
        <v>13924</v>
      </c>
      <c r="H4078" s="2" t="s">
        <v>17</v>
      </c>
      <c r="K4078" s="4">
        <v>3467</v>
      </c>
      <c r="L4078" s="4">
        <v>34514</v>
      </c>
      <c r="M4078" s="2" t="s">
        <v>35</v>
      </c>
      <c r="N4078" s="2" t="s">
        <v>12348</v>
      </c>
    </row>
    <row r="4079" spans="1:14">
      <c r="A4079" s="2">
        <v>4078</v>
      </c>
      <c r="B4079" s="3" t="s">
        <v>13925</v>
      </c>
      <c r="C4079" s="2" t="s">
        <v>13926</v>
      </c>
      <c r="D4079" s="2">
        <v>43</v>
      </c>
      <c r="E4079" s="2">
        <v>43</v>
      </c>
      <c r="F4079" s="2" t="s">
        <v>13927</v>
      </c>
      <c r="H4079" s="2" t="s">
        <v>17</v>
      </c>
      <c r="K4079" s="4">
        <v>11822</v>
      </c>
      <c r="M4079" s="2" t="s">
        <v>164</v>
      </c>
      <c r="N4079" s="2" t="s">
        <v>165</v>
      </c>
    </row>
    <row r="4080" spans="1:14">
      <c r="A4080" s="2">
        <v>4079</v>
      </c>
      <c r="B4080" s="3" t="s">
        <v>13928</v>
      </c>
      <c r="C4080" s="2" t="s">
        <v>13929</v>
      </c>
      <c r="D4080" s="2">
        <v>40</v>
      </c>
      <c r="E4080" s="2">
        <v>43</v>
      </c>
      <c r="F4080" s="2" t="s">
        <v>13930</v>
      </c>
      <c r="H4080" s="2" t="s">
        <v>17</v>
      </c>
      <c r="K4080" s="4">
        <v>4110</v>
      </c>
      <c r="L4080" s="4">
        <v>29991</v>
      </c>
      <c r="M4080" s="2" t="s">
        <v>198</v>
      </c>
      <c r="N4080" s="2" t="s">
        <v>199</v>
      </c>
    </row>
    <row r="4081" spans="1:14">
      <c r="A4081" s="2">
        <v>4080</v>
      </c>
      <c r="B4081" s="3" t="s">
        <v>13931</v>
      </c>
      <c r="C4081" s="2" t="s">
        <v>13932</v>
      </c>
      <c r="D4081" s="2">
        <v>43</v>
      </c>
      <c r="E4081" s="2">
        <v>43</v>
      </c>
      <c r="F4081" s="2" t="s">
        <v>13933</v>
      </c>
      <c r="H4081" s="2" t="s">
        <v>17</v>
      </c>
      <c r="K4081" s="4">
        <v>8328</v>
      </c>
      <c r="L4081" s="4">
        <v>29293</v>
      </c>
      <c r="M4081" s="2" t="s">
        <v>35</v>
      </c>
    </row>
    <row r="4082" spans="1:14">
      <c r="A4082" s="2">
        <v>4081</v>
      </c>
      <c r="B4082" s="3" t="s">
        <v>13934</v>
      </c>
      <c r="C4082" s="2" t="s">
        <v>13935</v>
      </c>
      <c r="D4082" s="2">
        <v>38</v>
      </c>
      <c r="E4082" s="2">
        <v>43</v>
      </c>
      <c r="F4082" s="2" t="s">
        <v>13936</v>
      </c>
      <c r="H4082" s="2" t="s">
        <v>17</v>
      </c>
      <c r="K4082" s="4">
        <v>3751</v>
      </c>
      <c r="L4082" s="4">
        <v>35101</v>
      </c>
      <c r="M4082" s="2" t="s">
        <v>40</v>
      </c>
      <c r="N4082" s="2" t="s">
        <v>41</v>
      </c>
    </row>
    <row r="4083" spans="1:14">
      <c r="A4083" s="2">
        <v>4082</v>
      </c>
      <c r="B4083" s="3" t="s">
        <v>13937</v>
      </c>
      <c r="C4083" s="2" t="s">
        <v>13938</v>
      </c>
      <c r="D4083" s="2">
        <v>40</v>
      </c>
      <c r="E4083" s="2">
        <v>43</v>
      </c>
      <c r="F4083" s="2" t="s">
        <v>13939</v>
      </c>
      <c r="H4083" s="2" t="s">
        <v>17</v>
      </c>
      <c r="K4083" s="4">
        <v>10572</v>
      </c>
      <c r="L4083" s="4">
        <v>42471</v>
      </c>
      <c r="M4083" s="2" t="s">
        <v>198</v>
      </c>
      <c r="N4083" s="2" t="s">
        <v>9229</v>
      </c>
    </row>
    <row r="4084" spans="1:14">
      <c r="A4084" s="2">
        <v>4083</v>
      </c>
      <c r="B4084" s="3" t="s">
        <v>13940</v>
      </c>
      <c r="C4084" s="2" t="s">
        <v>13941</v>
      </c>
      <c r="D4084" s="2">
        <v>41</v>
      </c>
      <c r="E4084" s="2">
        <v>43</v>
      </c>
      <c r="F4084" s="2" t="s">
        <v>13942</v>
      </c>
      <c r="H4084" s="2" t="s">
        <v>17</v>
      </c>
      <c r="K4084" s="4">
        <v>4037</v>
      </c>
      <c r="L4084" s="4">
        <v>38759</v>
      </c>
      <c r="M4084" s="2" t="s">
        <v>47</v>
      </c>
      <c r="N4084" s="2" t="s">
        <v>3278</v>
      </c>
    </row>
    <row r="4085" spans="1:14">
      <c r="A4085" s="2">
        <v>4084</v>
      </c>
      <c r="B4085" s="3" t="s">
        <v>13943</v>
      </c>
      <c r="C4085" s="2" t="s">
        <v>13944</v>
      </c>
      <c r="D4085" s="2">
        <v>40</v>
      </c>
      <c r="E4085" s="2">
        <v>43</v>
      </c>
      <c r="F4085" s="2" t="s">
        <v>13945</v>
      </c>
      <c r="H4085" s="2" t="s">
        <v>17</v>
      </c>
      <c r="K4085" s="4">
        <v>3770</v>
      </c>
      <c r="L4085" s="4">
        <v>38812</v>
      </c>
      <c r="M4085" s="2" t="s">
        <v>40</v>
      </c>
      <c r="N4085" s="2" t="s">
        <v>1219</v>
      </c>
    </row>
    <row r="4086" spans="1:14">
      <c r="A4086" s="2">
        <v>4085</v>
      </c>
      <c r="B4086" s="3" t="s">
        <v>13946</v>
      </c>
      <c r="C4086" s="2" t="s">
        <v>13947</v>
      </c>
      <c r="D4086" s="2">
        <v>43</v>
      </c>
      <c r="E4086" s="2">
        <v>43</v>
      </c>
      <c r="F4086" s="2" t="s">
        <v>13948</v>
      </c>
      <c r="H4086" s="2" t="s">
        <v>45</v>
      </c>
      <c r="K4086" s="4">
        <v>10517</v>
      </c>
      <c r="L4086" s="4">
        <v>39876</v>
      </c>
      <c r="M4086" s="2" t="s">
        <v>35</v>
      </c>
      <c r="N4086" s="2" t="s">
        <v>328</v>
      </c>
    </row>
    <row r="4087" spans="1:14">
      <c r="A4087" s="2">
        <v>4086</v>
      </c>
      <c r="B4087" s="3" t="s">
        <v>13949</v>
      </c>
      <c r="C4087" s="2" t="s">
        <v>13950</v>
      </c>
      <c r="D4087" s="2">
        <v>39</v>
      </c>
      <c r="E4087" s="2">
        <v>43</v>
      </c>
      <c r="F4087" s="2" t="s">
        <v>13951</v>
      </c>
      <c r="H4087" s="2" t="s">
        <v>17</v>
      </c>
      <c r="K4087" s="4">
        <v>4665</v>
      </c>
      <c r="L4087" s="4">
        <v>35614</v>
      </c>
      <c r="M4087" s="2" t="s">
        <v>40</v>
      </c>
      <c r="N4087" s="2" t="s">
        <v>2221</v>
      </c>
    </row>
    <row r="4088" spans="1:14">
      <c r="A4088" s="2">
        <v>4087</v>
      </c>
      <c r="B4088" s="3" t="s">
        <v>13952</v>
      </c>
      <c r="C4088" s="2" t="s">
        <v>13953</v>
      </c>
      <c r="D4088" s="2">
        <v>42</v>
      </c>
      <c r="E4088" s="2">
        <v>43</v>
      </c>
      <c r="F4088" s="2" t="s">
        <v>13954</v>
      </c>
      <c r="H4088" s="2" t="s">
        <v>17</v>
      </c>
      <c r="K4088" s="4">
        <v>10042</v>
      </c>
      <c r="L4088" s="4">
        <v>35793</v>
      </c>
      <c r="M4088" s="2" t="s">
        <v>423</v>
      </c>
      <c r="N4088" s="2" t="s">
        <v>1134</v>
      </c>
    </row>
    <row r="4089" spans="1:14">
      <c r="A4089" s="2">
        <v>4088</v>
      </c>
      <c r="B4089" s="3" t="s">
        <v>13955</v>
      </c>
      <c r="C4089" s="2" t="s">
        <v>13956</v>
      </c>
      <c r="D4089" s="2">
        <v>42</v>
      </c>
      <c r="E4089" s="2">
        <v>43</v>
      </c>
      <c r="F4089" s="2" t="s">
        <v>13957</v>
      </c>
      <c r="H4089" s="2" t="s">
        <v>17</v>
      </c>
      <c r="K4089" s="4">
        <v>5072</v>
      </c>
      <c r="L4089" s="4">
        <v>38408</v>
      </c>
      <c r="M4089" s="2" t="s">
        <v>40</v>
      </c>
      <c r="N4089" s="2" t="s">
        <v>13958</v>
      </c>
    </row>
    <row r="4090" spans="1:14">
      <c r="A4090" s="2">
        <v>4089</v>
      </c>
      <c r="B4090" s="3" t="s">
        <v>13959</v>
      </c>
      <c r="C4090" s="2" t="s">
        <v>13960</v>
      </c>
      <c r="D4090" s="2">
        <v>41</v>
      </c>
      <c r="E4090" s="2">
        <v>43</v>
      </c>
      <c r="F4090" s="2" t="s">
        <v>13961</v>
      </c>
      <c r="H4090" s="2" t="s">
        <v>17</v>
      </c>
      <c r="K4090" s="4">
        <v>6867</v>
      </c>
      <c r="L4090" s="4">
        <v>34858</v>
      </c>
      <c r="M4090" s="2" t="s">
        <v>423</v>
      </c>
      <c r="N4090" s="2" t="s">
        <v>3005</v>
      </c>
    </row>
    <row r="4091" spans="1:14">
      <c r="A4091" s="2">
        <v>4090</v>
      </c>
      <c r="B4091" s="3" t="s">
        <v>13962</v>
      </c>
      <c r="C4091" s="2" t="s">
        <v>13963</v>
      </c>
      <c r="D4091" s="2">
        <v>38</v>
      </c>
      <c r="E4091" s="2">
        <v>43</v>
      </c>
      <c r="F4091" s="2" t="s">
        <v>13964</v>
      </c>
      <c r="H4091" s="2" t="s">
        <v>17</v>
      </c>
      <c r="K4091" s="4">
        <v>6190</v>
      </c>
      <c r="L4091" s="4">
        <v>29349</v>
      </c>
      <c r="M4091" s="2" t="s">
        <v>76</v>
      </c>
      <c r="N4091" s="2" t="s">
        <v>6506</v>
      </c>
    </row>
    <row r="4092" spans="1:14">
      <c r="A4092" s="2">
        <v>4091</v>
      </c>
      <c r="B4092" s="3" t="s">
        <v>13965</v>
      </c>
      <c r="C4092" s="2" t="s">
        <v>13966</v>
      </c>
      <c r="D4092" s="2">
        <v>42</v>
      </c>
      <c r="E4092" s="2">
        <v>43</v>
      </c>
      <c r="F4092" s="2" t="s">
        <v>13967</v>
      </c>
      <c r="H4092" s="2" t="s">
        <v>17</v>
      </c>
      <c r="K4092" s="4">
        <v>6626</v>
      </c>
      <c r="L4092" s="4">
        <v>40052</v>
      </c>
      <c r="M4092" s="2" t="s">
        <v>423</v>
      </c>
      <c r="N4092" s="2" t="s">
        <v>3005</v>
      </c>
    </row>
    <row r="4093" spans="1:14">
      <c r="A4093" s="2">
        <v>4092</v>
      </c>
      <c r="B4093" s="3" t="s">
        <v>13968</v>
      </c>
      <c r="C4093" s="2" t="s">
        <v>13969</v>
      </c>
      <c r="D4093" s="2">
        <v>42</v>
      </c>
      <c r="E4093" s="2">
        <v>43</v>
      </c>
      <c r="F4093" s="2" t="s">
        <v>13970</v>
      </c>
      <c r="H4093" s="2" t="s">
        <v>17</v>
      </c>
      <c r="K4093" s="4">
        <v>6545</v>
      </c>
      <c r="L4093" s="4">
        <v>33263</v>
      </c>
      <c r="M4093" s="2" t="s">
        <v>423</v>
      </c>
      <c r="N4093" s="2" t="s">
        <v>3005</v>
      </c>
    </row>
    <row r="4094" spans="1:14">
      <c r="A4094" s="2">
        <v>4093</v>
      </c>
      <c r="B4094" s="3" t="s">
        <v>13971</v>
      </c>
      <c r="C4094" s="2" t="s">
        <v>13972</v>
      </c>
      <c r="D4094" s="2">
        <v>39</v>
      </c>
      <c r="E4094" s="2">
        <v>43</v>
      </c>
      <c r="F4094" s="2" t="s">
        <v>13973</v>
      </c>
      <c r="H4094" s="2" t="s">
        <v>17</v>
      </c>
      <c r="K4094" s="4" t="s">
        <v>13974</v>
      </c>
      <c r="L4094" s="4">
        <v>33220</v>
      </c>
      <c r="M4094" s="2" t="s">
        <v>35</v>
      </c>
      <c r="N4094" s="2" t="s">
        <v>2849</v>
      </c>
    </row>
    <row r="4095" spans="1:14">
      <c r="A4095" s="2">
        <v>4094</v>
      </c>
      <c r="B4095" s="3" t="s">
        <v>13975</v>
      </c>
      <c r="C4095" s="2" t="s">
        <v>13976</v>
      </c>
      <c r="D4095" s="2">
        <v>42</v>
      </c>
      <c r="E4095" s="2">
        <v>43</v>
      </c>
      <c r="F4095" s="2" t="s">
        <v>13977</v>
      </c>
      <c r="H4095" s="2" t="s">
        <v>17</v>
      </c>
      <c r="K4095" s="4">
        <v>7328</v>
      </c>
      <c r="L4095" s="4">
        <v>33894</v>
      </c>
      <c r="M4095" s="2" t="s">
        <v>35</v>
      </c>
      <c r="N4095" s="2" t="s">
        <v>13978</v>
      </c>
    </row>
    <row r="4096" spans="1:14">
      <c r="A4096" s="2">
        <v>4095</v>
      </c>
      <c r="B4096" s="3" t="s">
        <v>13979</v>
      </c>
      <c r="C4096" s="2" t="s">
        <v>13980</v>
      </c>
      <c r="D4096" s="2">
        <v>43</v>
      </c>
      <c r="E4096" s="2">
        <v>43</v>
      </c>
      <c r="F4096" s="2" t="s">
        <v>13981</v>
      </c>
      <c r="H4096" s="2" t="s">
        <v>17</v>
      </c>
      <c r="K4096" s="4">
        <v>7105</v>
      </c>
      <c r="L4096" s="4">
        <v>37730</v>
      </c>
      <c r="M4096" s="2" t="s">
        <v>85</v>
      </c>
      <c r="N4096" s="2" t="s">
        <v>1392</v>
      </c>
    </row>
    <row r="4097" spans="1:14">
      <c r="A4097" s="2">
        <v>4096</v>
      </c>
      <c r="B4097" s="3" t="s">
        <v>13982</v>
      </c>
      <c r="C4097" s="2" t="s">
        <v>13983</v>
      </c>
      <c r="D4097" s="2">
        <v>43</v>
      </c>
      <c r="E4097" s="2">
        <v>43</v>
      </c>
      <c r="F4097" s="2" t="s">
        <v>13984</v>
      </c>
      <c r="H4097" s="2" t="s">
        <v>17</v>
      </c>
      <c r="K4097" s="4">
        <v>9637</v>
      </c>
      <c r="L4097" s="4">
        <v>25164</v>
      </c>
      <c r="M4097" s="2" t="s">
        <v>170</v>
      </c>
      <c r="N4097" s="2" t="s">
        <v>323</v>
      </c>
    </row>
    <row r="4098" spans="1:14">
      <c r="A4098" s="2">
        <v>4097</v>
      </c>
      <c r="B4098" s="3" t="s">
        <v>13985</v>
      </c>
      <c r="C4098" s="2" t="s">
        <v>13986</v>
      </c>
      <c r="D4098" s="2">
        <v>43</v>
      </c>
      <c r="E4098" s="2">
        <v>43</v>
      </c>
      <c r="F4098" s="2" t="s">
        <v>13987</v>
      </c>
      <c r="H4098" s="2" t="s">
        <v>17</v>
      </c>
      <c r="K4098" s="4">
        <v>9063</v>
      </c>
      <c r="L4098" s="4">
        <v>42106</v>
      </c>
      <c r="M4098" s="2" t="s">
        <v>66</v>
      </c>
      <c r="N4098" s="2" t="s">
        <v>6644</v>
      </c>
    </row>
    <row r="4099" spans="1:14">
      <c r="A4099" s="2">
        <v>4098</v>
      </c>
      <c r="B4099" s="3" t="s">
        <v>13988</v>
      </c>
      <c r="C4099" s="2" t="s">
        <v>13989</v>
      </c>
      <c r="D4099" s="2">
        <v>43</v>
      </c>
      <c r="E4099" s="2">
        <v>43</v>
      </c>
      <c r="F4099" s="2" t="s">
        <v>13990</v>
      </c>
      <c r="H4099" s="2" t="s">
        <v>17</v>
      </c>
      <c r="K4099" s="4">
        <v>7568</v>
      </c>
      <c r="L4099" s="4">
        <v>36187</v>
      </c>
      <c r="M4099" s="2" t="s">
        <v>53</v>
      </c>
      <c r="N4099" s="2" t="s">
        <v>686</v>
      </c>
    </row>
    <row r="4100" spans="1:14">
      <c r="A4100" s="2">
        <v>4099</v>
      </c>
      <c r="B4100" s="3" t="s">
        <v>13991</v>
      </c>
      <c r="C4100" s="2" t="s">
        <v>13992</v>
      </c>
      <c r="D4100" s="2">
        <v>40</v>
      </c>
      <c r="E4100" s="2">
        <v>43</v>
      </c>
      <c r="F4100" s="2" t="s">
        <v>13993</v>
      </c>
      <c r="H4100" s="2" t="s">
        <v>17</v>
      </c>
      <c r="K4100" s="4">
        <v>4236</v>
      </c>
      <c r="L4100" s="4">
        <v>30352</v>
      </c>
      <c r="M4100" s="2" t="s">
        <v>91</v>
      </c>
      <c r="N4100" s="2" t="s">
        <v>13994</v>
      </c>
    </row>
    <row r="4101" spans="1:14">
      <c r="A4101" s="2">
        <v>4100</v>
      </c>
      <c r="B4101" s="3" t="s">
        <v>13995</v>
      </c>
      <c r="C4101" s="2" t="s">
        <v>13996</v>
      </c>
      <c r="D4101" s="2">
        <v>43</v>
      </c>
      <c r="E4101" s="2">
        <v>43</v>
      </c>
      <c r="F4101" s="2" t="s">
        <v>13997</v>
      </c>
      <c r="H4101" s="2" t="s">
        <v>17</v>
      </c>
      <c r="K4101" s="4">
        <v>8872</v>
      </c>
      <c r="L4101" s="4">
        <v>39619</v>
      </c>
      <c r="M4101" s="2" t="s">
        <v>198</v>
      </c>
      <c r="N4101" s="2" t="s">
        <v>199</v>
      </c>
    </row>
    <row r="4102" spans="1:14">
      <c r="A4102" s="2">
        <v>4101</v>
      </c>
      <c r="B4102" s="3" t="s">
        <v>13998</v>
      </c>
      <c r="C4102" s="2" t="s">
        <v>13999</v>
      </c>
      <c r="D4102" s="2">
        <v>43</v>
      </c>
      <c r="E4102" s="2">
        <v>43</v>
      </c>
      <c r="F4102" s="2" t="s">
        <v>14000</v>
      </c>
      <c r="H4102" s="2" t="s">
        <v>17</v>
      </c>
      <c r="K4102" s="4">
        <v>5235</v>
      </c>
      <c r="L4102" s="4">
        <v>38560</v>
      </c>
      <c r="M4102" s="2" t="s">
        <v>76</v>
      </c>
      <c r="N4102" s="2" t="s">
        <v>14001</v>
      </c>
    </row>
    <row r="4103" spans="1:14">
      <c r="A4103" s="2">
        <v>4102</v>
      </c>
      <c r="B4103" s="3" t="s">
        <v>14002</v>
      </c>
      <c r="C4103" s="2" t="s">
        <v>14003</v>
      </c>
      <c r="D4103" s="2">
        <v>42</v>
      </c>
      <c r="E4103" s="2">
        <v>43</v>
      </c>
      <c r="F4103" s="2" t="s">
        <v>14004</v>
      </c>
      <c r="H4103" s="2" t="s">
        <v>17</v>
      </c>
      <c r="K4103" s="4">
        <v>6807</v>
      </c>
      <c r="L4103" s="4">
        <v>30365</v>
      </c>
      <c r="M4103" s="2" t="s">
        <v>47</v>
      </c>
      <c r="N4103" s="2" t="s">
        <v>5010</v>
      </c>
    </row>
    <row r="4104" spans="1:14">
      <c r="A4104" s="2">
        <v>4103</v>
      </c>
      <c r="B4104" s="3" t="s">
        <v>14005</v>
      </c>
      <c r="C4104" s="2" t="s">
        <v>14006</v>
      </c>
      <c r="D4104" s="2">
        <v>41</v>
      </c>
      <c r="E4104" s="2">
        <v>43</v>
      </c>
      <c r="F4104" s="2" t="s">
        <v>14007</v>
      </c>
      <c r="H4104" s="2" t="s">
        <v>17</v>
      </c>
      <c r="K4104" s="4">
        <v>3306</v>
      </c>
      <c r="L4104" s="4">
        <v>38110</v>
      </c>
      <c r="M4104" s="2" t="s">
        <v>35</v>
      </c>
    </row>
    <row r="4105" spans="1:14">
      <c r="A4105" s="2">
        <v>4104</v>
      </c>
      <c r="B4105" s="3" t="s">
        <v>14008</v>
      </c>
      <c r="C4105" s="2" t="s">
        <v>14009</v>
      </c>
      <c r="D4105" s="2">
        <v>42</v>
      </c>
      <c r="E4105" s="2">
        <v>43</v>
      </c>
      <c r="F4105" s="2" t="s">
        <v>14010</v>
      </c>
      <c r="H4105" s="2" t="s">
        <v>17</v>
      </c>
      <c r="K4105" s="4">
        <v>11352</v>
      </c>
      <c r="L4105" s="4">
        <v>38454</v>
      </c>
      <c r="M4105" s="2" t="s">
        <v>146</v>
      </c>
      <c r="N4105" s="2" t="s">
        <v>3561</v>
      </c>
    </row>
    <row r="4106" spans="1:14">
      <c r="A4106" s="2">
        <v>4105</v>
      </c>
      <c r="B4106" s="3" t="s">
        <v>14011</v>
      </c>
      <c r="C4106" s="2" t="s">
        <v>14012</v>
      </c>
      <c r="D4106" s="2">
        <v>43</v>
      </c>
      <c r="E4106" s="2">
        <v>43</v>
      </c>
      <c r="F4106" s="2" t="s">
        <v>14013</v>
      </c>
      <c r="H4106" s="2" t="s">
        <v>17</v>
      </c>
      <c r="K4106" s="4">
        <v>10104</v>
      </c>
      <c r="M4106" s="2" t="s">
        <v>170</v>
      </c>
    </row>
    <row r="4107" spans="1:14">
      <c r="A4107" s="2">
        <v>4106</v>
      </c>
      <c r="B4107" s="3" t="s">
        <v>14014</v>
      </c>
      <c r="C4107" s="2" t="s">
        <v>14015</v>
      </c>
      <c r="D4107" s="2">
        <v>41</v>
      </c>
      <c r="E4107" s="2">
        <v>43</v>
      </c>
      <c r="F4107" s="2" t="s">
        <v>14016</v>
      </c>
      <c r="H4107" s="2" t="s">
        <v>17</v>
      </c>
      <c r="K4107" s="4">
        <v>6823</v>
      </c>
      <c r="L4107" s="4">
        <v>36907</v>
      </c>
      <c r="M4107" s="2" t="s">
        <v>198</v>
      </c>
      <c r="N4107" s="2" t="s">
        <v>199</v>
      </c>
    </row>
    <row r="4108" spans="1:14">
      <c r="A4108" s="2">
        <v>4107</v>
      </c>
      <c r="B4108" s="3" t="s">
        <v>14017</v>
      </c>
      <c r="C4108" s="2" t="s">
        <v>14018</v>
      </c>
      <c r="D4108" s="2">
        <v>39</v>
      </c>
      <c r="E4108" s="2">
        <v>43</v>
      </c>
      <c r="F4108" s="2" t="s">
        <v>14019</v>
      </c>
      <c r="H4108" s="2" t="s">
        <v>17</v>
      </c>
      <c r="K4108" s="4">
        <v>2436</v>
      </c>
      <c r="L4108" s="4">
        <v>30418</v>
      </c>
      <c r="M4108" s="2" t="s">
        <v>35</v>
      </c>
      <c r="N4108" s="2" t="s">
        <v>6880</v>
      </c>
    </row>
    <row r="4109" spans="1:14">
      <c r="A4109" s="2">
        <v>4108</v>
      </c>
      <c r="B4109" s="3" t="s">
        <v>14020</v>
      </c>
      <c r="C4109" s="2" t="s">
        <v>14021</v>
      </c>
      <c r="D4109" s="2">
        <v>38</v>
      </c>
      <c r="E4109" s="2">
        <v>43</v>
      </c>
      <c r="F4109" s="2" t="s">
        <v>14022</v>
      </c>
      <c r="H4109" s="2" t="s">
        <v>17</v>
      </c>
      <c r="K4109" s="4">
        <v>1189</v>
      </c>
      <c r="L4109" s="4">
        <v>30064</v>
      </c>
      <c r="M4109" s="2" t="s">
        <v>76</v>
      </c>
      <c r="N4109" s="2" t="s">
        <v>14023</v>
      </c>
    </row>
    <row r="4110" spans="1:14">
      <c r="A4110" s="2">
        <v>4109</v>
      </c>
      <c r="B4110" s="3" t="s">
        <v>14024</v>
      </c>
      <c r="C4110" s="2" t="s">
        <v>14025</v>
      </c>
      <c r="D4110" s="2">
        <v>41</v>
      </c>
      <c r="E4110" s="2">
        <v>43</v>
      </c>
      <c r="F4110" s="2" t="s">
        <v>14026</v>
      </c>
      <c r="H4110" s="2" t="s">
        <v>17</v>
      </c>
      <c r="K4110" s="4">
        <v>5340</v>
      </c>
      <c r="L4110" s="4">
        <v>32149</v>
      </c>
      <c r="M4110" s="2" t="s">
        <v>18</v>
      </c>
      <c r="N4110" s="2" t="s">
        <v>19</v>
      </c>
    </row>
    <row r="4111" spans="1:14">
      <c r="A4111" s="2">
        <v>4110</v>
      </c>
      <c r="B4111" s="3" t="s">
        <v>14027</v>
      </c>
      <c r="C4111" s="2" t="s">
        <v>14028</v>
      </c>
      <c r="D4111" s="2">
        <v>43</v>
      </c>
      <c r="E4111" s="2">
        <v>43</v>
      </c>
      <c r="F4111" s="2" t="s">
        <v>14029</v>
      </c>
      <c r="H4111" s="2" t="s">
        <v>17</v>
      </c>
      <c r="K4111" s="4">
        <v>6872</v>
      </c>
      <c r="M4111" s="2" t="s">
        <v>185</v>
      </c>
      <c r="N4111" s="2" t="s">
        <v>2069</v>
      </c>
    </row>
    <row r="4112" spans="1:14">
      <c r="A4112" s="2">
        <v>4111</v>
      </c>
      <c r="B4112" s="3" t="s">
        <v>14030</v>
      </c>
      <c r="C4112" s="2" t="s">
        <v>14031</v>
      </c>
      <c r="D4112" s="2">
        <v>40</v>
      </c>
      <c r="E4112" s="2">
        <v>43</v>
      </c>
      <c r="F4112" s="2" t="s">
        <v>14032</v>
      </c>
      <c r="H4112" s="2" t="s">
        <v>17</v>
      </c>
      <c r="K4112" s="4">
        <v>192</v>
      </c>
      <c r="L4112" s="4">
        <v>30118</v>
      </c>
      <c r="M4112" s="2" t="s">
        <v>40</v>
      </c>
      <c r="N4112" s="2" t="s">
        <v>41</v>
      </c>
    </row>
    <row r="4113" spans="1:14">
      <c r="A4113" s="2">
        <v>4112</v>
      </c>
      <c r="B4113" s="3" t="s">
        <v>14033</v>
      </c>
      <c r="C4113" s="2" t="s">
        <v>14034</v>
      </c>
      <c r="D4113" s="2">
        <v>43</v>
      </c>
      <c r="E4113" s="2">
        <v>43</v>
      </c>
      <c r="F4113" s="2" t="s">
        <v>14035</v>
      </c>
      <c r="H4113" s="2" t="s">
        <v>17</v>
      </c>
      <c r="K4113" s="4">
        <v>11306</v>
      </c>
      <c r="L4113" s="4">
        <v>40572</v>
      </c>
      <c r="M4113" s="2" t="s">
        <v>35</v>
      </c>
      <c r="N4113" s="2" t="s">
        <v>58</v>
      </c>
    </row>
    <row r="4114" spans="1:14">
      <c r="A4114" s="2">
        <v>4113</v>
      </c>
      <c r="B4114" s="3" t="s">
        <v>14036</v>
      </c>
      <c r="C4114" s="2" t="s">
        <v>14037</v>
      </c>
      <c r="D4114" s="2">
        <v>43</v>
      </c>
      <c r="E4114" s="2">
        <v>43</v>
      </c>
      <c r="F4114" s="2" t="s">
        <v>14038</v>
      </c>
      <c r="H4114" s="2" t="s">
        <v>17</v>
      </c>
      <c r="K4114" s="4">
        <v>6989</v>
      </c>
      <c r="L4114" s="4">
        <v>39977</v>
      </c>
      <c r="M4114" s="2" t="s">
        <v>47</v>
      </c>
      <c r="N4114" s="2" t="s">
        <v>9901</v>
      </c>
    </row>
    <row r="4115" spans="1:14">
      <c r="A4115" s="2">
        <v>4114</v>
      </c>
      <c r="B4115" s="3" t="s">
        <v>14039</v>
      </c>
      <c r="C4115" s="2" t="s">
        <v>14040</v>
      </c>
      <c r="D4115" s="2">
        <v>42</v>
      </c>
      <c r="E4115" s="2">
        <v>43</v>
      </c>
      <c r="F4115" s="2" t="s">
        <v>14041</v>
      </c>
      <c r="H4115" s="2" t="s">
        <v>17</v>
      </c>
      <c r="K4115" s="4">
        <v>4666</v>
      </c>
      <c r="L4115" s="4">
        <v>25852</v>
      </c>
      <c r="M4115" s="2" t="s">
        <v>85</v>
      </c>
      <c r="N4115" s="2" t="s">
        <v>1868</v>
      </c>
    </row>
    <row r="4116" spans="1:14">
      <c r="A4116" s="2">
        <v>4115</v>
      </c>
      <c r="B4116" s="3" t="s">
        <v>14042</v>
      </c>
      <c r="C4116" s="2" t="s">
        <v>14043</v>
      </c>
      <c r="D4116" s="2">
        <v>39</v>
      </c>
      <c r="E4116" s="2">
        <v>43</v>
      </c>
      <c r="F4116" s="2" t="s">
        <v>14044</v>
      </c>
      <c r="H4116" s="2" t="s">
        <v>17</v>
      </c>
      <c r="K4116" s="4" t="s">
        <v>14045</v>
      </c>
      <c r="L4116" s="4">
        <v>32405</v>
      </c>
      <c r="M4116" s="2" t="s">
        <v>85</v>
      </c>
      <c r="N4116" s="2" t="s">
        <v>86</v>
      </c>
    </row>
    <row r="4117" spans="1:14">
      <c r="A4117" s="2">
        <v>4116</v>
      </c>
      <c r="B4117" s="3" t="s">
        <v>14046</v>
      </c>
      <c r="C4117" s="2" t="s">
        <v>14047</v>
      </c>
      <c r="D4117" s="2">
        <v>43</v>
      </c>
      <c r="E4117" s="2">
        <v>43</v>
      </c>
      <c r="F4117" s="2" t="s">
        <v>14048</v>
      </c>
      <c r="H4117" s="2" t="s">
        <v>17</v>
      </c>
      <c r="K4117" s="4">
        <v>15192</v>
      </c>
      <c r="M4117" s="2" t="s">
        <v>85</v>
      </c>
      <c r="N4117" s="2" t="s">
        <v>1868</v>
      </c>
    </row>
    <row r="4118" spans="1:14">
      <c r="A4118" s="2">
        <v>4117</v>
      </c>
      <c r="B4118" s="3" t="s">
        <v>14049</v>
      </c>
      <c r="C4118" s="2" t="s">
        <v>14050</v>
      </c>
      <c r="D4118" s="2">
        <v>38</v>
      </c>
      <c r="E4118" s="2">
        <v>43</v>
      </c>
      <c r="F4118" s="2" t="s">
        <v>14051</v>
      </c>
      <c r="H4118" s="2" t="s">
        <v>17</v>
      </c>
      <c r="K4118" s="4" t="s">
        <v>14052</v>
      </c>
      <c r="L4118" s="4">
        <v>31975</v>
      </c>
      <c r="M4118" s="2" t="s">
        <v>40</v>
      </c>
      <c r="N4118" s="2" t="s">
        <v>41</v>
      </c>
    </row>
    <row r="4119" spans="1:14">
      <c r="A4119" s="2">
        <v>4118</v>
      </c>
      <c r="B4119" s="3" t="s">
        <v>14053</v>
      </c>
      <c r="C4119" s="2" t="s">
        <v>14054</v>
      </c>
      <c r="D4119" s="2">
        <v>40</v>
      </c>
      <c r="E4119" s="2">
        <v>43</v>
      </c>
      <c r="F4119" s="2" t="s">
        <v>14055</v>
      </c>
      <c r="H4119" s="2" t="s">
        <v>17</v>
      </c>
      <c r="K4119" s="4">
        <v>8227</v>
      </c>
      <c r="L4119" s="4">
        <v>35236</v>
      </c>
      <c r="M4119" s="2" t="s">
        <v>185</v>
      </c>
      <c r="N4119" s="2" t="s">
        <v>838</v>
      </c>
    </row>
    <row r="4120" spans="1:14">
      <c r="A4120" s="2">
        <v>4119</v>
      </c>
      <c r="B4120" s="3" t="s">
        <v>14056</v>
      </c>
      <c r="C4120" s="2" t="s">
        <v>14057</v>
      </c>
      <c r="D4120" s="2">
        <v>42</v>
      </c>
      <c r="E4120" s="2">
        <v>43</v>
      </c>
      <c r="F4120" s="2" t="s">
        <v>14058</v>
      </c>
      <c r="H4120" s="2" t="s">
        <v>17</v>
      </c>
      <c r="K4120" s="4">
        <v>10228</v>
      </c>
      <c r="L4120" s="4">
        <v>31507</v>
      </c>
      <c r="M4120" s="2" t="s">
        <v>47</v>
      </c>
      <c r="N4120" s="2" t="s">
        <v>8859</v>
      </c>
    </row>
    <row r="4121" spans="1:14">
      <c r="A4121" s="2">
        <v>4120</v>
      </c>
      <c r="B4121" s="3" t="s">
        <v>14059</v>
      </c>
      <c r="C4121" s="2" t="s">
        <v>14060</v>
      </c>
      <c r="D4121" s="2">
        <v>43</v>
      </c>
      <c r="E4121" s="2">
        <v>43</v>
      </c>
      <c r="F4121" s="2" t="s">
        <v>14061</v>
      </c>
      <c r="H4121" s="2" t="s">
        <v>17</v>
      </c>
      <c r="K4121" s="4">
        <v>4892</v>
      </c>
      <c r="L4121" s="4">
        <v>30119</v>
      </c>
      <c r="M4121" s="2" t="s">
        <v>76</v>
      </c>
      <c r="N4121" s="2" t="s">
        <v>6588</v>
      </c>
    </row>
    <row r="4122" spans="1:14">
      <c r="A4122" s="2">
        <v>4121</v>
      </c>
      <c r="B4122" s="3" t="s">
        <v>14062</v>
      </c>
      <c r="C4122" s="2" t="s">
        <v>14063</v>
      </c>
      <c r="D4122" s="2">
        <v>42</v>
      </c>
      <c r="E4122" s="2">
        <v>43</v>
      </c>
      <c r="F4122" s="2" t="s">
        <v>14064</v>
      </c>
      <c r="H4122" s="2" t="s">
        <v>17</v>
      </c>
      <c r="K4122" s="4">
        <v>11579</v>
      </c>
      <c r="L4122" s="4">
        <v>45568</v>
      </c>
      <c r="M4122" s="2" t="s">
        <v>170</v>
      </c>
      <c r="N4122" s="2" t="s">
        <v>323</v>
      </c>
    </row>
    <row r="4123" spans="1:14">
      <c r="A4123" s="2">
        <v>4122</v>
      </c>
      <c r="B4123" s="3" t="s">
        <v>14065</v>
      </c>
      <c r="C4123" s="2" t="s">
        <v>14066</v>
      </c>
      <c r="D4123" s="2">
        <v>43</v>
      </c>
      <c r="E4123" s="2">
        <v>43</v>
      </c>
      <c r="F4123" s="2" t="s">
        <v>14067</v>
      </c>
      <c r="H4123" s="2" t="s">
        <v>17</v>
      </c>
      <c r="K4123" s="4">
        <v>11768</v>
      </c>
      <c r="L4123" s="4">
        <v>44886</v>
      </c>
      <c r="M4123" s="2" t="s">
        <v>170</v>
      </c>
    </row>
    <row r="4124" spans="1:14">
      <c r="A4124" s="2">
        <v>4123</v>
      </c>
      <c r="B4124" s="3" t="s">
        <v>14068</v>
      </c>
      <c r="C4124" s="2" t="s">
        <v>14069</v>
      </c>
      <c r="D4124" s="2">
        <v>42</v>
      </c>
      <c r="E4124" s="2">
        <v>43</v>
      </c>
      <c r="F4124" s="2" t="s">
        <v>14070</v>
      </c>
      <c r="H4124" s="2" t="s">
        <v>17</v>
      </c>
      <c r="K4124" s="4">
        <v>5099</v>
      </c>
      <c r="M4124" s="2" t="s">
        <v>30</v>
      </c>
      <c r="N4124" s="2" t="s">
        <v>9809</v>
      </c>
    </row>
    <row r="4125" spans="1:14">
      <c r="A4125" s="2">
        <v>4124</v>
      </c>
      <c r="B4125" s="3" t="s">
        <v>14071</v>
      </c>
      <c r="C4125" s="2" t="s">
        <v>14072</v>
      </c>
      <c r="D4125" s="2">
        <v>43</v>
      </c>
      <c r="E4125" s="2">
        <v>43</v>
      </c>
      <c r="F4125" s="2" t="s">
        <v>14073</v>
      </c>
      <c r="H4125" s="2" t="s">
        <v>17</v>
      </c>
      <c r="K4125" s="4">
        <v>4229</v>
      </c>
      <c r="L4125" s="4">
        <v>35716</v>
      </c>
      <c r="M4125" s="2" t="s">
        <v>66</v>
      </c>
      <c r="N4125" s="2" t="s">
        <v>14074</v>
      </c>
    </row>
    <row r="4126" spans="1:14">
      <c r="A4126" s="2">
        <v>4125</v>
      </c>
      <c r="B4126" s="3" t="s">
        <v>14075</v>
      </c>
      <c r="C4126" s="2" t="s">
        <v>14076</v>
      </c>
      <c r="D4126" s="2">
        <v>41</v>
      </c>
      <c r="E4126" s="2">
        <v>43</v>
      </c>
      <c r="F4126" s="2" t="s">
        <v>14077</v>
      </c>
      <c r="H4126" s="2" t="s">
        <v>17</v>
      </c>
      <c r="K4126" s="4">
        <v>5005</v>
      </c>
      <c r="L4126" s="4">
        <v>40203</v>
      </c>
      <c r="M4126" s="2" t="s">
        <v>40</v>
      </c>
      <c r="N4126" s="2" t="s">
        <v>14078</v>
      </c>
    </row>
    <row r="4127" spans="1:14">
      <c r="A4127" s="2">
        <v>4126</v>
      </c>
      <c r="B4127" s="3" t="s">
        <v>14079</v>
      </c>
      <c r="C4127" s="2" t="s">
        <v>14080</v>
      </c>
      <c r="D4127" s="2">
        <v>38</v>
      </c>
      <c r="E4127" s="2">
        <v>43</v>
      </c>
      <c r="F4127" s="2" t="s">
        <v>14081</v>
      </c>
      <c r="H4127" s="2" t="s">
        <v>17</v>
      </c>
      <c r="K4127" s="4">
        <v>2238</v>
      </c>
      <c r="L4127" s="4">
        <v>31187</v>
      </c>
      <c r="M4127" s="2" t="s">
        <v>40</v>
      </c>
      <c r="N4127" s="2" t="s">
        <v>12238</v>
      </c>
    </row>
    <row r="4128" spans="1:14">
      <c r="A4128" s="2">
        <v>4127</v>
      </c>
      <c r="B4128" s="3" t="s">
        <v>14082</v>
      </c>
      <c r="C4128" s="2" t="s">
        <v>14083</v>
      </c>
      <c r="D4128" s="2">
        <v>43</v>
      </c>
      <c r="E4128" s="2">
        <v>43</v>
      </c>
      <c r="F4128" s="2" t="s">
        <v>14084</v>
      </c>
      <c r="H4128" s="2" t="s">
        <v>17</v>
      </c>
      <c r="K4128" s="4">
        <v>10242</v>
      </c>
      <c r="L4128" s="4">
        <v>41256</v>
      </c>
      <c r="M4128" s="2" t="s">
        <v>170</v>
      </c>
      <c r="N4128" s="2" t="s">
        <v>1154</v>
      </c>
    </row>
    <row r="4129" spans="1:14">
      <c r="A4129" s="2">
        <v>4128</v>
      </c>
      <c r="B4129" s="3" t="s">
        <v>14085</v>
      </c>
      <c r="C4129" s="2" t="s">
        <v>14086</v>
      </c>
      <c r="D4129" s="2">
        <v>40</v>
      </c>
      <c r="E4129" s="2">
        <v>43</v>
      </c>
      <c r="F4129" s="2" t="s">
        <v>14087</v>
      </c>
      <c r="H4129" s="2" t="s">
        <v>17</v>
      </c>
      <c r="K4129" s="4">
        <v>6504</v>
      </c>
      <c r="L4129" s="4">
        <v>36566</v>
      </c>
      <c r="M4129" s="2" t="s">
        <v>341</v>
      </c>
      <c r="N4129" s="2" t="s">
        <v>4191</v>
      </c>
    </row>
    <row r="4130" spans="1:14">
      <c r="A4130" s="2">
        <v>4129</v>
      </c>
      <c r="B4130" s="3" t="s">
        <v>14088</v>
      </c>
      <c r="C4130" s="2" t="s">
        <v>14089</v>
      </c>
      <c r="D4130" s="2">
        <v>40</v>
      </c>
      <c r="E4130" s="2">
        <v>43</v>
      </c>
      <c r="F4130" s="2" t="s">
        <v>14090</v>
      </c>
      <c r="H4130" s="2" t="s">
        <v>17</v>
      </c>
      <c r="K4130" s="4">
        <v>8236</v>
      </c>
      <c r="L4130" s="4">
        <v>39715</v>
      </c>
      <c r="M4130" s="2" t="s">
        <v>146</v>
      </c>
      <c r="N4130" s="2" t="s">
        <v>14091</v>
      </c>
    </row>
    <row r="4131" spans="1:14">
      <c r="A4131" s="2">
        <v>4130</v>
      </c>
      <c r="B4131" s="3" t="s">
        <v>14092</v>
      </c>
      <c r="C4131" s="2" t="s">
        <v>14093</v>
      </c>
      <c r="D4131" s="2">
        <v>42</v>
      </c>
      <c r="E4131" s="2">
        <v>43</v>
      </c>
      <c r="F4131" s="2" t="s">
        <v>14094</v>
      </c>
      <c r="H4131" s="2" t="s">
        <v>17</v>
      </c>
      <c r="K4131" s="4">
        <v>7184</v>
      </c>
      <c r="L4131" s="4">
        <v>30509</v>
      </c>
      <c r="M4131" s="2" t="s">
        <v>35</v>
      </c>
      <c r="N4131" s="2" t="s">
        <v>6289</v>
      </c>
    </row>
    <row r="4132" spans="1:14">
      <c r="A4132" s="2">
        <v>4131</v>
      </c>
      <c r="B4132" s="3" t="s">
        <v>14095</v>
      </c>
      <c r="C4132" s="2" t="s">
        <v>14096</v>
      </c>
      <c r="D4132" s="2">
        <v>40</v>
      </c>
      <c r="E4132" s="2">
        <v>43</v>
      </c>
      <c r="F4132" s="2" t="s">
        <v>14097</v>
      </c>
      <c r="H4132" s="2" t="s">
        <v>17</v>
      </c>
      <c r="K4132" s="4">
        <v>4960</v>
      </c>
      <c r="L4132" s="4">
        <v>27314</v>
      </c>
      <c r="M4132" s="2" t="s">
        <v>198</v>
      </c>
      <c r="N4132" s="2" t="s">
        <v>10139</v>
      </c>
    </row>
    <row r="4133" spans="1:14">
      <c r="A4133" s="2">
        <v>4132</v>
      </c>
      <c r="B4133" s="3" t="s">
        <v>14098</v>
      </c>
      <c r="C4133" s="2" t="s">
        <v>14099</v>
      </c>
      <c r="D4133" s="2">
        <v>42</v>
      </c>
      <c r="E4133" s="2">
        <v>43</v>
      </c>
      <c r="F4133" s="2" t="s">
        <v>14100</v>
      </c>
      <c r="H4133" s="2" t="s">
        <v>17</v>
      </c>
      <c r="K4133" s="4">
        <v>6317</v>
      </c>
      <c r="L4133" s="4">
        <v>38409</v>
      </c>
      <c r="M4133" s="2" t="s">
        <v>198</v>
      </c>
      <c r="N4133" s="2" t="s">
        <v>3671</v>
      </c>
    </row>
    <row r="4134" spans="1:14">
      <c r="A4134" s="2">
        <v>4133</v>
      </c>
      <c r="B4134" s="3" t="s">
        <v>14101</v>
      </c>
      <c r="C4134" s="2" t="s">
        <v>14102</v>
      </c>
      <c r="D4134" s="2">
        <v>39</v>
      </c>
      <c r="E4134" s="2">
        <v>43</v>
      </c>
      <c r="F4134" s="2" t="s">
        <v>14103</v>
      </c>
      <c r="H4134" s="2" t="s">
        <v>17</v>
      </c>
      <c r="K4134" s="4">
        <v>5249</v>
      </c>
      <c r="L4134" s="4">
        <v>30441</v>
      </c>
      <c r="M4134" s="2" t="s">
        <v>66</v>
      </c>
      <c r="N4134" s="2" t="s">
        <v>71</v>
      </c>
    </row>
    <row r="4135" spans="1:14">
      <c r="A4135" s="2">
        <v>4134</v>
      </c>
      <c r="B4135" s="3" t="s">
        <v>14104</v>
      </c>
      <c r="C4135" s="2" t="s">
        <v>14105</v>
      </c>
      <c r="D4135" s="2">
        <v>39</v>
      </c>
      <c r="E4135" s="2">
        <v>43</v>
      </c>
      <c r="F4135" s="2" t="s">
        <v>14106</v>
      </c>
      <c r="H4135" s="2" t="s">
        <v>17</v>
      </c>
      <c r="K4135" s="4">
        <v>1300</v>
      </c>
      <c r="L4135" s="4">
        <v>34582</v>
      </c>
      <c r="M4135" s="2" t="s">
        <v>336</v>
      </c>
      <c r="N4135" s="2" t="s">
        <v>2505</v>
      </c>
    </row>
    <row r="4136" spans="1:14">
      <c r="A4136" s="2">
        <v>4135</v>
      </c>
      <c r="B4136" s="3" t="s">
        <v>14107</v>
      </c>
      <c r="C4136" s="2" t="s">
        <v>14108</v>
      </c>
      <c r="D4136" s="2">
        <v>42</v>
      </c>
      <c r="E4136" s="2">
        <v>43</v>
      </c>
      <c r="F4136" s="2" t="s">
        <v>14109</v>
      </c>
      <c r="H4136" s="2" t="s">
        <v>17</v>
      </c>
      <c r="K4136" s="4">
        <v>5933</v>
      </c>
      <c r="L4136" s="4">
        <v>37753</v>
      </c>
      <c r="M4136" s="2" t="s">
        <v>35</v>
      </c>
      <c r="N4136" s="2" t="s">
        <v>14110</v>
      </c>
    </row>
    <row r="4137" spans="1:14">
      <c r="A4137" s="2">
        <v>4136</v>
      </c>
      <c r="B4137" s="3" t="s">
        <v>14111</v>
      </c>
      <c r="C4137" s="2" t="s">
        <v>14112</v>
      </c>
      <c r="D4137" s="2">
        <v>40</v>
      </c>
      <c r="E4137" s="2">
        <v>43</v>
      </c>
      <c r="F4137" s="2" t="s">
        <v>14113</v>
      </c>
      <c r="H4137" s="2" t="s">
        <v>17</v>
      </c>
      <c r="K4137" s="4" t="s">
        <v>14114</v>
      </c>
      <c r="L4137" s="4">
        <v>29459</v>
      </c>
      <c r="M4137" s="2" t="s">
        <v>35</v>
      </c>
      <c r="N4137" s="2" t="s">
        <v>1462</v>
      </c>
    </row>
    <row r="4138" spans="1:14">
      <c r="A4138" s="2">
        <v>4137</v>
      </c>
      <c r="B4138" s="3" t="s">
        <v>14115</v>
      </c>
      <c r="C4138" s="2" t="s">
        <v>14116</v>
      </c>
      <c r="D4138" s="2">
        <v>40</v>
      </c>
      <c r="E4138" s="2">
        <v>43</v>
      </c>
      <c r="F4138" s="2" t="s">
        <v>14117</v>
      </c>
      <c r="H4138" s="2" t="s">
        <v>17</v>
      </c>
      <c r="K4138" s="4">
        <v>7116</v>
      </c>
      <c r="L4138" s="4">
        <v>32334</v>
      </c>
      <c r="M4138" s="2" t="s">
        <v>66</v>
      </c>
      <c r="N4138" s="2" t="s">
        <v>3865</v>
      </c>
    </row>
    <row r="4139" spans="1:14">
      <c r="A4139" s="2">
        <v>4138</v>
      </c>
      <c r="B4139" s="3" t="s">
        <v>14118</v>
      </c>
      <c r="C4139" s="2" t="s">
        <v>14119</v>
      </c>
      <c r="D4139" s="2">
        <v>39</v>
      </c>
      <c r="E4139" s="2">
        <v>43</v>
      </c>
      <c r="F4139" s="2" t="s">
        <v>14120</v>
      </c>
      <c r="H4139" s="2" t="s">
        <v>17</v>
      </c>
      <c r="K4139" s="4" t="s">
        <v>14121</v>
      </c>
      <c r="L4139" s="4">
        <v>30027</v>
      </c>
      <c r="M4139" s="2" t="s">
        <v>35</v>
      </c>
      <c r="N4139" s="2" t="s">
        <v>2327</v>
      </c>
    </row>
    <row r="4140" spans="1:14">
      <c r="A4140" s="2">
        <v>4139</v>
      </c>
      <c r="B4140" s="3" t="s">
        <v>14122</v>
      </c>
      <c r="C4140" s="2" t="s">
        <v>14123</v>
      </c>
      <c r="D4140" s="2">
        <v>43</v>
      </c>
      <c r="E4140" s="2">
        <v>43</v>
      </c>
      <c r="F4140" s="2" t="s">
        <v>14124</v>
      </c>
      <c r="H4140" s="2" t="s">
        <v>17</v>
      </c>
      <c r="K4140" s="4">
        <v>10054</v>
      </c>
      <c r="L4140" s="4">
        <v>32025</v>
      </c>
      <c r="M4140" s="2" t="s">
        <v>170</v>
      </c>
      <c r="N4140" s="2" t="s">
        <v>323</v>
      </c>
    </row>
    <row r="4141" spans="1:14">
      <c r="A4141" s="2">
        <v>4140</v>
      </c>
      <c r="B4141" s="3" t="s">
        <v>14125</v>
      </c>
      <c r="C4141" s="2" t="s">
        <v>14126</v>
      </c>
      <c r="D4141" s="2">
        <v>43</v>
      </c>
      <c r="E4141" s="2">
        <v>43</v>
      </c>
      <c r="F4141" s="2" t="s">
        <v>14127</v>
      </c>
      <c r="H4141" s="2" t="s">
        <v>17</v>
      </c>
      <c r="K4141" s="4">
        <v>5679</v>
      </c>
      <c r="L4141" s="4">
        <v>38002</v>
      </c>
      <c r="M4141" s="2" t="s">
        <v>85</v>
      </c>
      <c r="N4141" s="2" t="s">
        <v>960</v>
      </c>
    </row>
    <row r="4142" spans="1:14">
      <c r="A4142" s="2">
        <v>4141</v>
      </c>
      <c r="B4142" s="3" t="s">
        <v>14128</v>
      </c>
      <c r="C4142" s="2" t="s">
        <v>14129</v>
      </c>
      <c r="D4142" s="2">
        <v>39</v>
      </c>
      <c r="E4142" s="2">
        <v>43</v>
      </c>
      <c r="F4142" s="2" t="s">
        <v>14130</v>
      </c>
      <c r="H4142" s="2" t="s">
        <v>17</v>
      </c>
      <c r="K4142" s="4">
        <v>7212</v>
      </c>
      <c r="L4142" s="4">
        <v>32297</v>
      </c>
      <c r="M4142" s="2" t="s">
        <v>85</v>
      </c>
      <c r="N4142" s="2" t="s">
        <v>86</v>
      </c>
    </row>
    <row r="4143" spans="1:14">
      <c r="A4143" s="2">
        <v>4142</v>
      </c>
      <c r="B4143" s="3" t="s">
        <v>14131</v>
      </c>
      <c r="C4143" s="2" t="s">
        <v>14132</v>
      </c>
      <c r="D4143" s="2">
        <v>41</v>
      </c>
      <c r="E4143" s="2">
        <v>43</v>
      </c>
      <c r="F4143" s="2" t="s">
        <v>14133</v>
      </c>
      <c r="H4143" s="2" t="s">
        <v>17</v>
      </c>
      <c r="K4143" s="4">
        <v>6095</v>
      </c>
      <c r="L4143" s="4">
        <v>40345</v>
      </c>
      <c r="M4143" s="2" t="s">
        <v>170</v>
      </c>
      <c r="N4143" s="2" t="s">
        <v>784</v>
      </c>
    </row>
    <row r="4144" spans="1:14">
      <c r="A4144" s="2">
        <v>4143</v>
      </c>
      <c r="B4144" s="3" t="s">
        <v>14134</v>
      </c>
      <c r="C4144" s="2" t="s">
        <v>14135</v>
      </c>
      <c r="D4144" s="2">
        <v>41</v>
      </c>
      <c r="E4144" s="2">
        <v>43</v>
      </c>
      <c r="F4144" s="2" t="s">
        <v>14136</v>
      </c>
      <c r="H4144" s="2" t="s">
        <v>17</v>
      </c>
      <c r="K4144" s="4">
        <v>5995</v>
      </c>
      <c r="L4144" s="4">
        <v>37964</v>
      </c>
      <c r="M4144" s="2" t="s">
        <v>35</v>
      </c>
      <c r="N4144" s="2" t="s">
        <v>12348</v>
      </c>
    </row>
    <row r="4145" spans="1:14">
      <c r="A4145" s="2">
        <v>4144</v>
      </c>
      <c r="B4145" s="3" t="s">
        <v>14137</v>
      </c>
      <c r="C4145" s="2" t="s">
        <v>14138</v>
      </c>
      <c r="D4145" s="2">
        <v>39</v>
      </c>
      <c r="E4145" s="2">
        <v>43</v>
      </c>
      <c r="F4145" s="2" t="s">
        <v>14139</v>
      </c>
      <c r="H4145" s="2" t="s">
        <v>17</v>
      </c>
      <c r="K4145" s="4">
        <v>3282</v>
      </c>
      <c r="L4145" s="4">
        <v>24610</v>
      </c>
      <c r="M4145" s="2" t="s">
        <v>85</v>
      </c>
      <c r="N4145" s="2" t="s">
        <v>86</v>
      </c>
    </row>
    <row r="4146" spans="1:14">
      <c r="A4146" s="2">
        <v>4145</v>
      </c>
      <c r="B4146" s="3" t="s">
        <v>14140</v>
      </c>
      <c r="C4146" s="2" t="s">
        <v>14141</v>
      </c>
      <c r="D4146" s="2">
        <v>42</v>
      </c>
      <c r="E4146" s="2">
        <v>43</v>
      </c>
      <c r="F4146" s="2" t="s">
        <v>14142</v>
      </c>
      <c r="H4146" s="2" t="s">
        <v>17</v>
      </c>
      <c r="K4146" s="4">
        <v>11984</v>
      </c>
      <c r="L4146" s="4">
        <v>30095</v>
      </c>
      <c r="M4146" s="2" t="s">
        <v>247</v>
      </c>
      <c r="N4146" s="2" t="s">
        <v>8809</v>
      </c>
    </row>
    <row r="4147" spans="1:14">
      <c r="A4147" s="2">
        <v>4146</v>
      </c>
      <c r="B4147" s="3" t="s">
        <v>14143</v>
      </c>
      <c r="C4147" s="2" t="s">
        <v>14144</v>
      </c>
      <c r="D4147" s="2">
        <v>43</v>
      </c>
      <c r="E4147" s="2">
        <v>43</v>
      </c>
      <c r="F4147" s="2" t="s">
        <v>14145</v>
      </c>
      <c r="H4147" s="2" t="s">
        <v>17</v>
      </c>
      <c r="K4147" s="4">
        <v>8376</v>
      </c>
      <c r="L4147" s="4">
        <v>25460</v>
      </c>
      <c r="M4147" s="2" t="s">
        <v>341</v>
      </c>
    </row>
    <row r="4148" spans="1:14">
      <c r="A4148" s="2">
        <v>4147</v>
      </c>
      <c r="B4148" s="3" t="s">
        <v>14146</v>
      </c>
      <c r="C4148" s="2" t="s">
        <v>14147</v>
      </c>
      <c r="D4148" s="2">
        <v>41</v>
      </c>
      <c r="E4148" s="2">
        <v>43</v>
      </c>
      <c r="F4148" s="2" t="s">
        <v>14148</v>
      </c>
      <c r="H4148" s="2" t="s">
        <v>17</v>
      </c>
      <c r="K4148" s="4">
        <v>6773</v>
      </c>
      <c r="L4148" s="4">
        <v>33358</v>
      </c>
      <c r="M4148" s="2" t="s">
        <v>192</v>
      </c>
      <c r="N4148" s="2" t="s">
        <v>577</v>
      </c>
    </row>
    <row r="4149" spans="1:14">
      <c r="A4149" s="2">
        <v>4148</v>
      </c>
      <c r="B4149" s="3" t="s">
        <v>14149</v>
      </c>
      <c r="C4149" s="2" t="s">
        <v>14150</v>
      </c>
      <c r="D4149" s="2">
        <v>42</v>
      </c>
      <c r="E4149" s="2">
        <v>43</v>
      </c>
      <c r="F4149" s="2" t="s">
        <v>14151</v>
      </c>
      <c r="H4149" s="2" t="s">
        <v>17</v>
      </c>
      <c r="K4149" s="4">
        <v>6382</v>
      </c>
      <c r="L4149" s="4">
        <v>43144</v>
      </c>
      <c r="M4149" s="2" t="s">
        <v>18</v>
      </c>
    </row>
    <row r="4150" spans="1:14">
      <c r="A4150" s="2">
        <v>4149</v>
      </c>
      <c r="B4150" s="3" t="s">
        <v>14152</v>
      </c>
      <c r="C4150" s="2" t="s">
        <v>14153</v>
      </c>
      <c r="D4150" s="2">
        <v>42</v>
      </c>
      <c r="E4150" s="2">
        <v>43</v>
      </c>
      <c r="F4150" s="2" t="s">
        <v>14154</v>
      </c>
      <c r="H4150" s="2" t="s">
        <v>17</v>
      </c>
      <c r="K4150" s="4">
        <v>6710</v>
      </c>
      <c r="L4150" s="4">
        <v>27169</v>
      </c>
      <c r="M4150" s="2" t="s">
        <v>85</v>
      </c>
      <c r="N4150" s="2" t="s">
        <v>14155</v>
      </c>
    </row>
    <row r="4151" spans="1:14">
      <c r="A4151" s="2">
        <v>4150</v>
      </c>
      <c r="B4151" s="3" t="s">
        <v>14156</v>
      </c>
      <c r="C4151" s="2" t="s">
        <v>14157</v>
      </c>
      <c r="D4151" s="2">
        <v>40</v>
      </c>
      <c r="E4151" s="2">
        <v>43</v>
      </c>
      <c r="F4151" s="2" t="s">
        <v>14158</v>
      </c>
      <c r="H4151" s="2" t="s">
        <v>17</v>
      </c>
      <c r="K4151" s="4">
        <v>3019</v>
      </c>
      <c r="L4151" s="4">
        <v>25149</v>
      </c>
      <c r="M4151" s="2" t="s">
        <v>336</v>
      </c>
      <c r="N4151" s="2" t="s">
        <v>2681</v>
      </c>
    </row>
    <row r="4152" spans="1:14">
      <c r="A4152" s="2">
        <v>4151</v>
      </c>
      <c r="B4152" s="3" t="s">
        <v>14159</v>
      </c>
      <c r="C4152" s="2" t="s">
        <v>14160</v>
      </c>
      <c r="D4152" s="2">
        <v>40</v>
      </c>
      <c r="E4152" s="2">
        <v>43</v>
      </c>
      <c r="F4152" s="2" t="s">
        <v>14161</v>
      </c>
      <c r="H4152" s="2" t="s">
        <v>17</v>
      </c>
      <c r="K4152" s="4">
        <v>5481</v>
      </c>
      <c r="L4152" s="4">
        <v>40766</v>
      </c>
      <c r="M4152" s="2" t="s">
        <v>47</v>
      </c>
      <c r="N4152" s="2" t="s">
        <v>48</v>
      </c>
    </row>
    <row r="4153" spans="1:14">
      <c r="A4153" s="2">
        <v>4152</v>
      </c>
      <c r="B4153" s="3" t="s">
        <v>14162</v>
      </c>
      <c r="C4153" s="2" t="s">
        <v>14163</v>
      </c>
      <c r="D4153" s="2">
        <v>42</v>
      </c>
      <c r="E4153" s="2">
        <v>43</v>
      </c>
      <c r="F4153" s="2" t="s">
        <v>14164</v>
      </c>
      <c r="H4153" s="2" t="s">
        <v>17</v>
      </c>
      <c r="K4153" s="4">
        <v>8971</v>
      </c>
      <c r="L4153" s="4">
        <v>31647</v>
      </c>
      <c r="M4153" s="2" t="s">
        <v>66</v>
      </c>
      <c r="N4153" s="2" t="s">
        <v>8305</v>
      </c>
    </row>
    <row r="4154" spans="1:14">
      <c r="A4154" s="2">
        <v>4153</v>
      </c>
      <c r="B4154" s="3" t="s">
        <v>14165</v>
      </c>
      <c r="C4154" s="2" t="s">
        <v>14166</v>
      </c>
      <c r="D4154" s="2">
        <v>43</v>
      </c>
      <c r="E4154" s="2">
        <v>43</v>
      </c>
      <c r="F4154" s="2" t="s">
        <v>14167</v>
      </c>
      <c r="H4154" s="2" t="s">
        <v>17</v>
      </c>
      <c r="K4154" s="4">
        <v>6066</v>
      </c>
      <c r="L4154" s="4">
        <v>35267</v>
      </c>
      <c r="M4154" s="2" t="s">
        <v>192</v>
      </c>
      <c r="N4154" s="2" t="s">
        <v>12113</v>
      </c>
    </row>
    <row r="4155" spans="1:14">
      <c r="A4155" s="2">
        <v>4154</v>
      </c>
      <c r="B4155" s="3" t="s">
        <v>14168</v>
      </c>
      <c r="C4155" s="2" t="s">
        <v>14169</v>
      </c>
      <c r="D4155" s="2">
        <v>41</v>
      </c>
      <c r="E4155" s="2">
        <v>42</v>
      </c>
      <c r="F4155" s="2" t="s">
        <v>14170</v>
      </c>
      <c r="H4155" s="2" t="s">
        <v>17</v>
      </c>
      <c r="K4155" s="4">
        <v>5160</v>
      </c>
      <c r="L4155" s="4">
        <v>36200</v>
      </c>
      <c r="M4155" s="2" t="s">
        <v>76</v>
      </c>
      <c r="N4155" s="2" t="s">
        <v>368</v>
      </c>
    </row>
    <row r="4156" spans="1:14">
      <c r="A4156" s="2">
        <v>4155</v>
      </c>
      <c r="B4156" s="3" t="s">
        <v>14171</v>
      </c>
      <c r="C4156" s="2" t="s">
        <v>14172</v>
      </c>
      <c r="D4156" s="2">
        <v>41</v>
      </c>
      <c r="E4156" s="2">
        <v>42</v>
      </c>
      <c r="F4156" s="2" t="s">
        <v>14173</v>
      </c>
      <c r="H4156" s="2" t="s">
        <v>17</v>
      </c>
      <c r="K4156" s="4">
        <v>6127</v>
      </c>
      <c r="L4156" s="4">
        <v>34161</v>
      </c>
      <c r="M4156" s="2" t="s">
        <v>146</v>
      </c>
      <c r="N4156" s="2" t="s">
        <v>13390</v>
      </c>
    </row>
    <row r="4157" spans="1:14">
      <c r="A4157" s="2">
        <v>4156</v>
      </c>
      <c r="B4157" s="3" t="s">
        <v>14174</v>
      </c>
      <c r="C4157" s="2" t="s">
        <v>14175</v>
      </c>
      <c r="D4157" s="2">
        <v>39</v>
      </c>
      <c r="E4157" s="2">
        <v>42</v>
      </c>
      <c r="F4157" s="2" t="s">
        <v>14176</v>
      </c>
      <c r="H4157" s="2" t="s">
        <v>17</v>
      </c>
      <c r="K4157" s="4">
        <v>5308</v>
      </c>
      <c r="L4157" s="4">
        <v>30266</v>
      </c>
      <c r="M4157" s="2" t="s">
        <v>85</v>
      </c>
      <c r="N4157" s="2" t="s">
        <v>221</v>
      </c>
    </row>
    <row r="4158" spans="1:14">
      <c r="A4158" s="2">
        <v>4157</v>
      </c>
      <c r="B4158" s="3" t="s">
        <v>14177</v>
      </c>
      <c r="C4158" s="2" t="s">
        <v>14178</v>
      </c>
      <c r="D4158" s="2">
        <v>42</v>
      </c>
      <c r="E4158" s="2">
        <v>42</v>
      </c>
      <c r="F4158" s="2" t="s">
        <v>14179</v>
      </c>
      <c r="H4158" s="2" t="s">
        <v>17</v>
      </c>
      <c r="K4158" s="4">
        <v>8015</v>
      </c>
      <c r="L4158" s="4">
        <v>28768</v>
      </c>
      <c r="M4158" s="2" t="s">
        <v>35</v>
      </c>
    </row>
    <row r="4159" spans="1:14">
      <c r="A4159" s="2">
        <v>4158</v>
      </c>
      <c r="B4159" s="3" t="s">
        <v>14180</v>
      </c>
      <c r="C4159" s="2" t="s">
        <v>14181</v>
      </c>
      <c r="D4159" s="2">
        <v>42</v>
      </c>
      <c r="E4159" s="2">
        <v>42</v>
      </c>
      <c r="F4159" s="2" t="s">
        <v>14182</v>
      </c>
      <c r="H4159" s="2" t="s">
        <v>17</v>
      </c>
      <c r="K4159" s="4">
        <v>10777</v>
      </c>
      <c r="M4159" s="2" t="s">
        <v>35</v>
      </c>
      <c r="N4159" s="2" t="s">
        <v>8451</v>
      </c>
    </row>
    <row r="4160" spans="1:14">
      <c r="A4160" s="2">
        <v>4159</v>
      </c>
      <c r="B4160" s="3" t="s">
        <v>14183</v>
      </c>
      <c r="C4160" s="2" t="s">
        <v>14184</v>
      </c>
      <c r="D4160" s="2">
        <v>42</v>
      </c>
      <c r="E4160" s="2">
        <v>42</v>
      </c>
      <c r="F4160" s="2" t="s">
        <v>14185</v>
      </c>
      <c r="H4160" s="2" t="s">
        <v>17</v>
      </c>
      <c r="K4160" s="4">
        <v>2927</v>
      </c>
      <c r="L4160" s="4">
        <v>28656</v>
      </c>
      <c r="M4160" s="2" t="s">
        <v>47</v>
      </c>
      <c r="N4160" s="2" t="s">
        <v>11475</v>
      </c>
    </row>
    <row r="4161" spans="1:14">
      <c r="A4161" s="2">
        <v>4160</v>
      </c>
      <c r="B4161" s="3" t="s">
        <v>14186</v>
      </c>
      <c r="C4161" s="2" t="s">
        <v>14187</v>
      </c>
      <c r="D4161" s="2">
        <v>42</v>
      </c>
      <c r="E4161" s="2">
        <v>42</v>
      </c>
      <c r="F4161" s="2" t="s">
        <v>14188</v>
      </c>
      <c r="H4161" s="2" t="s">
        <v>17</v>
      </c>
      <c r="K4161" s="4" t="s">
        <v>14189</v>
      </c>
      <c r="L4161" s="4">
        <v>25526</v>
      </c>
      <c r="M4161" s="2" t="s">
        <v>40</v>
      </c>
      <c r="N4161" s="2" t="s">
        <v>14190</v>
      </c>
    </row>
    <row r="4162" spans="1:14">
      <c r="A4162" s="2">
        <v>4161</v>
      </c>
      <c r="B4162" s="3" t="s">
        <v>14191</v>
      </c>
      <c r="C4162" s="2" t="s">
        <v>14192</v>
      </c>
      <c r="D4162" s="2">
        <v>42</v>
      </c>
      <c r="E4162" s="2">
        <v>42</v>
      </c>
      <c r="F4162" s="2" t="s">
        <v>14193</v>
      </c>
      <c r="H4162" s="2" t="s">
        <v>17</v>
      </c>
      <c r="K4162" s="4">
        <v>11273</v>
      </c>
      <c r="L4162" s="4">
        <v>43905</v>
      </c>
      <c r="M4162" s="2" t="s">
        <v>35</v>
      </c>
      <c r="N4162" s="2" t="s">
        <v>58</v>
      </c>
    </row>
    <row r="4163" spans="1:14">
      <c r="A4163" s="2">
        <v>4162</v>
      </c>
      <c r="B4163" s="3" t="s">
        <v>14194</v>
      </c>
      <c r="C4163" s="2" t="s">
        <v>14195</v>
      </c>
      <c r="D4163" s="2">
        <v>41</v>
      </c>
      <c r="E4163" s="2">
        <v>42</v>
      </c>
      <c r="F4163" s="2" t="s">
        <v>14196</v>
      </c>
      <c r="H4163" s="2" t="s">
        <v>17</v>
      </c>
      <c r="K4163" s="4">
        <v>6610</v>
      </c>
      <c r="L4163" s="4">
        <v>31725</v>
      </c>
      <c r="M4163" s="2" t="s">
        <v>35</v>
      </c>
      <c r="N4163" s="2" t="s">
        <v>2466</v>
      </c>
    </row>
    <row r="4164" spans="1:14">
      <c r="A4164" s="2">
        <v>4163</v>
      </c>
      <c r="B4164" s="3" t="s">
        <v>14197</v>
      </c>
      <c r="C4164" s="2" t="s">
        <v>14198</v>
      </c>
      <c r="D4164" s="2">
        <v>41</v>
      </c>
      <c r="E4164" s="2">
        <v>42</v>
      </c>
      <c r="F4164" s="2" t="s">
        <v>14199</v>
      </c>
      <c r="H4164" s="2" t="s">
        <v>17</v>
      </c>
      <c r="K4164" s="4" t="s">
        <v>14200</v>
      </c>
      <c r="M4164" s="2" t="s">
        <v>35</v>
      </c>
      <c r="N4164" s="2" t="s">
        <v>3929</v>
      </c>
    </row>
    <row r="4165" spans="1:14">
      <c r="A4165" s="2">
        <v>4164</v>
      </c>
      <c r="B4165" s="3" t="s">
        <v>14201</v>
      </c>
      <c r="C4165" s="2" t="s">
        <v>14202</v>
      </c>
      <c r="D4165" s="2">
        <v>42</v>
      </c>
      <c r="E4165" s="2">
        <v>42</v>
      </c>
      <c r="F4165" s="2" t="s">
        <v>14203</v>
      </c>
      <c r="H4165" s="2" t="s">
        <v>17</v>
      </c>
      <c r="K4165" s="4">
        <v>9868</v>
      </c>
      <c r="L4165" s="4">
        <v>26392</v>
      </c>
      <c r="M4165" s="2" t="s">
        <v>30</v>
      </c>
      <c r="N4165" s="2" t="s">
        <v>2001</v>
      </c>
    </row>
    <row r="4166" spans="1:14">
      <c r="A4166" s="2">
        <v>4165</v>
      </c>
      <c r="B4166" s="3" t="s">
        <v>14204</v>
      </c>
      <c r="C4166" s="2" t="s">
        <v>14205</v>
      </c>
      <c r="D4166" s="2">
        <v>42</v>
      </c>
      <c r="E4166" s="2">
        <v>42</v>
      </c>
      <c r="F4166" s="2" t="s">
        <v>14206</v>
      </c>
      <c r="H4166" s="2" t="s">
        <v>17</v>
      </c>
      <c r="K4166" s="4">
        <v>7671</v>
      </c>
      <c r="L4166" s="4">
        <v>33673</v>
      </c>
      <c r="M4166" s="2" t="s">
        <v>140</v>
      </c>
      <c r="N4166" s="2" t="s">
        <v>14207</v>
      </c>
    </row>
    <row r="4167" spans="1:14">
      <c r="A4167" s="2">
        <v>4166</v>
      </c>
      <c r="B4167" s="3" t="s">
        <v>14208</v>
      </c>
      <c r="C4167" s="2" t="s">
        <v>14209</v>
      </c>
      <c r="D4167" s="2">
        <v>42</v>
      </c>
      <c r="E4167" s="2">
        <v>42</v>
      </c>
      <c r="F4167" s="2" t="s">
        <v>14210</v>
      </c>
      <c r="H4167" s="2" t="s">
        <v>17</v>
      </c>
      <c r="K4167" s="4">
        <v>9706</v>
      </c>
      <c r="L4167" s="4">
        <v>42845</v>
      </c>
      <c r="M4167" s="2" t="s">
        <v>336</v>
      </c>
      <c r="N4167" s="2" t="s">
        <v>14211</v>
      </c>
    </row>
    <row r="4168" spans="1:14">
      <c r="A4168" s="2">
        <v>4167</v>
      </c>
      <c r="B4168" s="3" t="s">
        <v>14212</v>
      </c>
      <c r="C4168" s="2" t="s">
        <v>14213</v>
      </c>
      <c r="D4168" s="2">
        <v>39</v>
      </c>
      <c r="E4168" s="2">
        <v>42</v>
      </c>
      <c r="F4168" s="2" t="s">
        <v>14214</v>
      </c>
      <c r="H4168" s="2" t="s">
        <v>17</v>
      </c>
      <c r="K4168" s="4">
        <v>1043</v>
      </c>
      <c r="L4168" s="4">
        <v>26219</v>
      </c>
      <c r="M4168" s="2" t="s">
        <v>85</v>
      </c>
      <c r="N4168" s="2" t="s">
        <v>3689</v>
      </c>
    </row>
    <row r="4169" spans="1:14">
      <c r="A4169" s="2">
        <v>4168</v>
      </c>
      <c r="B4169" s="3" t="s">
        <v>14215</v>
      </c>
      <c r="C4169" s="2" t="s">
        <v>14216</v>
      </c>
      <c r="D4169" s="2">
        <v>41</v>
      </c>
      <c r="E4169" s="2">
        <v>42</v>
      </c>
      <c r="F4169" s="2" t="s">
        <v>14217</v>
      </c>
      <c r="H4169" s="2" t="s">
        <v>17</v>
      </c>
      <c r="K4169" s="4">
        <v>2677</v>
      </c>
      <c r="L4169" s="4">
        <v>24067</v>
      </c>
      <c r="M4169" s="2" t="s">
        <v>47</v>
      </c>
      <c r="N4169" s="2" t="s">
        <v>48</v>
      </c>
    </row>
    <row r="4170" spans="1:14">
      <c r="A4170" s="2">
        <v>4169</v>
      </c>
      <c r="B4170" s="3" t="s">
        <v>14218</v>
      </c>
      <c r="C4170" s="2" t="s">
        <v>14219</v>
      </c>
      <c r="D4170" s="2">
        <v>38</v>
      </c>
      <c r="E4170" s="2">
        <v>42</v>
      </c>
      <c r="F4170" s="2" t="s">
        <v>14220</v>
      </c>
      <c r="H4170" s="2" t="s">
        <v>17</v>
      </c>
      <c r="K4170" s="4">
        <v>1952</v>
      </c>
      <c r="L4170" s="4">
        <v>28552</v>
      </c>
      <c r="M4170" s="2" t="s">
        <v>40</v>
      </c>
      <c r="N4170" s="2" t="s">
        <v>41</v>
      </c>
    </row>
    <row r="4171" spans="1:14">
      <c r="A4171" s="2">
        <v>4170</v>
      </c>
      <c r="B4171" s="3" t="s">
        <v>14221</v>
      </c>
      <c r="C4171" s="2" t="s">
        <v>14222</v>
      </c>
      <c r="D4171" s="2">
        <v>42</v>
      </c>
      <c r="E4171" s="2">
        <v>42</v>
      </c>
      <c r="F4171" s="2" t="s">
        <v>14223</v>
      </c>
      <c r="H4171" s="2" t="s">
        <v>17</v>
      </c>
      <c r="K4171" s="4">
        <v>5847</v>
      </c>
      <c r="M4171" s="2" t="s">
        <v>47</v>
      </c>
      <c r="N4171" s="2" t="s">
        <v>48</v>
      </c>
    </row>
    <row r="4172" spans="1:14">
      <c r="A4172" s="2">
        <v>4171</v>
      </c>
      <c r="B4172" s="3" t="s">
        <v>14224</v>
      </c>
      <c r="C4172" s="2" t="s">
        <v>14225</v>
      </c>
      <c r="D4172" s="2">
        <v>38</v>
      </c>
      <c r="E4172" s="2">
        <v>42</v>
      </c>
      <c r="F4172" s="2" t="s">
        <v>14226</v>
      </c>
      <c r="H4172" s="2" t="s">
        <v>17</v>
      </c>
      <c r="K4172" s="4">
        <v>525</v>
      </c>
      <c r="L4172" s="4">
        <v>30522</v>
      </c>
      <c r="M4172" s="2" t="s">
        <v>40</v>
      </c>
      <c r="N4172" s="2" t="s">
        <v>41</v>
      </c>
    </row>
    <row r="4173" spans="1:14">
      <c r="A4173" s="2">
        <v>4172</v>
      </c>
      <c r="B4173" s="3" t="s">
        <v>14227</v>
      </c>
      <c r="C4173" s="2" t="s">
        <v>14228</v>
      </c>
      <c r="D4173" s="2">
        <v>42</v>
      </c>
      <c r="E4173" s="2">
        <v>42</v>
      </c>
      <c r="F4173" s="2" t="s">
        <v>14229</v>
      </c>
      <c r="H4173" s="2" t="s">
        <v>17</v>
      </c>
      <c r="K4173" s="4">
        <v>2555</v>
      </c>
      <c r="L4173" s="4">
        <v>25781</v>
      </c>
      <c r="M4173" s="2" t="s">
        <v>40</v>
      </c>
      <c r="N4173" s="2" t="s">
        <v>41</v>
      </c>
    </row>
    <row r="4174" spans="1:14">
      <c r="A4174" s="2">
        <v>4173</v>
      </c>
      <c r="B4174" s="3" t="s">
        <v>14230</v>
      </c>
      <c r="C4174" s="2" t="s">
        <v>14231</v>
      </c>
      <c r="D4174" s="2">
        <v>42</v>
      </c>
      <c r="E4174" s="2">
        <v>42</v>
      </c>
      <c r="F4174" s="2" t="s">
        <v>14232</v>
      </c>
      <c r="H4174" s="2" t="s">
        <v>17</v>
      </c>
      <c r="K4174" s="4">
        <v>8818</v>
      </c>
      <c r="L4174" s="4">
        <v>40672</v>
      </c>
      <c r="M4174" s="2" t="s">
        <v>47</v>
      </c>
      <c r="N4174" s="2" t="s">
        <v>1538</v>
      </c>
    </row>
    <row r="4175" spans="1:14">
      <c r="A4175" s="2">
        <v>4174</v>
      </c>
      <c r="B4175" s="3" t="s">
        <v>14233</v>
      </c>
      <c r="C4175" s="2" t="s">
        <v>14234</v>
      </c>
      <c r="D4175" s="2">
        <v>42</v>
      </c>
      <c r="E4175" s="2">
        <v>42</v>
      </c>
      <c r="F4175" s="2" t="s">
        <v>14235</v>
      </c>
      <c r="H4175" s="2" t="s">
        <v>17</v>
      </c>
      <c r="K4175" s="4">
        <v>7333</v>
      </c>
      <c r="L4175" s="4">
        <v>36710</v>
      </c>
      <c r="M4175" s="2" t="s">
        <v>423</v>
      </c>
      <c r="N4175" s="2" t="s">
        <v>14236</v>
      </c>
    </row>
    <row r="4176" spans="1:14">
      <c r="A4176" s="2">
        <v>4175</v>
      </c>
      <c r="B4176" s="3" t="s">
        <v>14237</v>
      </c>
      <c r="C4176" s="2" t="s">
        <v>14238</v>
      </c>
      <c r="D4176" s="2">
        <v>42</v>
      </c>
      <c r="E4176" s="2">
        <v>42</v>
      </c>
      <c r="F4176" s="2" t="s">
        <v>14239</v>
      </c>
      <c r="H4176" s="2" t="s">
        <v>17</v>
      </c>
      <c r="K4176" s="4">
        <v>5806</v>
      </c>
      <c r="L4176" s="4">
        <v>30919</v>
      </c>
      <c r="M4176" s="2" t="s">
        <v>164</v>
      </c>
      <c r="N4176" s="2" t="s">
        <v>165</v>
      </c>
    </row>
    <row r="4177" spans="1:14">
      <c r="A4177" s="2">
        <v>4176</v>
      </c>
      <c r="B4177" s="3" t="s">
        <v>14240</v>
      </c>
      <c r="C4177" s="2" t="s">
        <v>14241</v>
      </c>
      <c r="D4177" s="2">
        <v>42</v>
      </c>
      <c r="E4177" s="2">
        <v>42</v>
      </c>
      <c r="F4177" s="2" t="s">
        <v>14242</v>
      </c>
      <c r="H4177" s="2" t="s">
        <v>17</v>
      </c>
      <c r="K4177" s="4">
        <v>453</v>
      </c>
      <c r="L4177" s="4">
        <v>29197</v>
      </c>
      <c r="M4177" s="2" t="s">
        <v>35</v>
      </c>
      <c r="N4177" s="2" t="s">
        <v>7082</v>
      </c>
    </row>
    <row r="4178" spans="1:14">
      <c r="A4178" s="2">
        <v>4177</v>
      </c>
      <c r="B4178" s="3" t="s">
        <v>14243</v>
      </c>
      <c r="C4178" s="2" t="s">
        <v>14244</v>
      </c>
      <c r="D4178" s="2">
        <v>40</v>
      </c>
      <c r="E4178" s="2">
        <v>42</v>
      </c>
      <c r="F4178" s="2" t="s">
        <v>14245</v>
      </c>
      <c r="H4178" s="2" t="s">
        <v>17</v>
      </c>
      <c r="K4178" s="4">
        <v>8446</v>
      </c>
      <c r="L4178" s="4">
        <v>41653</v>
      </c>
      <c r="M4178" s="2" t="s">
        <v>40</v>
      </c>
      <c r="N4178" s="2" t="s">
        <v>14246</v>
      </c>
    </row>
    <row r="4179" spans="1:14">
      <c r="A4179" s="2">
        <v>4178</v>
      </c>
      <c r="B4179" s="3" t="s">
        <v>14247</v>
      </c>
      <c r="C4179" s="2" t="s">
        <v>14248</v>
      </c>
      <c r="D4179" s="2">
        <v>40</v>
      </c>
      <c r="E4179" s="2">
        <v>42</v>
      </c>
      <c r="F4179" s="2" t="s">
        <v>14249</v>
      </c>
      <c r="H4179" s="2" t="s">
        <v>17</v>
      </c>
      <c r="K4179" s="4">
        <v>1410</v>
      </c>
      <c r="L4179" s="4">
        <v>25291</v>
      </c>
      <c r="M4179" s="2" t="s">
        <v>154</v>
      </c>
      <c r="N4179" s="2" t="s">
        <v>11385</v>
      </c>
    </row>
    <row r="4180" spans="1:14">
      <c r="A4180" s="2">
        <v>4179</v>
      </c>
      <c r="B4180" s="3" t="s">
        <v>14250</v>
      </c>
      <c r="C4180" s="2" t="s">
        <v>14251</v>
      </c>
      <c r="D4180" s="2">
        <v>42</v>
      </c>
      <c r="E4180" s="2">
        <v>42</v>
      </c>
      <c r="F4180" s="2" t="s">
        <v>14252</v>
      </c>
      <c r="H4180" s="2" t="s">
        <v>17</v>
      </c>
      <c r="K4180" s="4">
        <v>12072</v>
      </c>
      <c r="L4180" s="4">
        <v>32232</v>
      </c>
      <c r="M4180" s="2" t="s">
        <v>47</v>
      </c>
      <c r="N4180" s="2" t="s">
        <v>48</v>
      </c>
    </row>
    <row r="4181" spans="1:14">
      <c r="A4181" s="2">
        <v>4180</v>
      </c>
      <c r="B4181" s="3" t="s">
        <v>14253</v>
      </c>
      <c r="C4181" s="2" t="s">
        <v>14254</v>
      </c>
      <c r="D4181" s="2">
        <v>42</v>
      </c>
      <c r="E4181" s="2">
        <v>42</v>
      </c>
      <c r="F4181" s="2" t="s">
        <v>14255</v>
      </c>
      <c r="H4181" s="2" t="s">
        <v>17</v>
      </c>
      <c r="K4181" s="4">
        <v>5540</v>
      </c>
      <c r="L4181" s="4">
        <v>24041</v>
      </c>
      <c r="M4181" s="2" t="s">
        <v>85</v>
      </c>
      <c r="N4181" s="2" t="s">
        <v>2120</v>
      </c>
    </row>
    <row r="4182" spans="1:14">
      <c r="A4182" s="2">
        <v>4181</v>
      </c>
      <c r="B4182" s="3" t="s">
        <v>14256</v>
      </c>
      <c r="C4182" s="2" t="s">
        <v>14257</v>
      </c>
      <c r="D4182" s="2">
        <v>42</v>
      </c>
      <c r="E4182" s="2">
        <v>42</v>
      </c>
      <c r="F4182" s="2" t="s">
        <v>14258</v>
      </c>
      <c r="H4182" s="2" t="s">
        <v>17</v>
      </c>
      <c r="K4182" s="4">
        <v>4896</v>
      </c>
      <c r="L4182" s="4">
        <v>33043</v>
      </c>
      <c r="M4182" s="2" t="s">
        <v>35</v>
      </c>
      <c r="N4182" s="2" t="s">
        <v>14259</v>
      </c>
    </row>
    <row r="4183" spans="1:14">
      <c r="A4183" s="2">
        <v>4182</v>
      </c>
      <c r="B4183" s="3" t="s">
        <v>14260</v>
      </c>
      <c r="C4183" s="2" t="s">
        <v>14261</v>
      </c>
      <c r="D4183" s="2">
        <v>42</v>
      </c>
      <c r="E4183" s="2">
        <v>42</v>
      </c>
      <c r="F4183" s="2" t="s">
        <v>14262</v>
      </c>
      <c r="H4183" s="2" t="s">
        <v>17</v>
      </c>
      <c r="K4183" s="4">
        <v>7606</v>
      </c>
      <c r="L4183" s="4">
        <v>31396</v>
      </c>
      <c r="M4183" s="2" t="s">
        <v>91</v>
      </c>
      <c r="N4183" s="2" t="s">
        <v>677</v>
      </c>
    </row>
    <row r="4184" spans="1:14">
      <c r="A4184" s="2">
        <v>4183</v>
      </c>
      <c r="B4184" s="3" t="s">
        <v>14263</v>
      </c>
      <c r="C4184" s="2" t="s">
        <v>14264</v>
      </c>
      <c r="D4184" s="2">
        <v>42</v>
      </c>
      <c r="E4184" s="2">
        <v>42</v>
      </c>
      <c r="F4184" s="2" t="s">
        <v>14265</v>
      </c>
      <c r="H4184" s="2" t="s">
        <v>17</v>
      </c>
      <c r="K4184" s="4">
        <v>4082</v>
      </c>
      <c r="L4184" s="4">
        <v>24084</v>
      </c>
      <c r="M4184" s="2" t="s">
        <v>336</v>
      </c>
    </row>
    <row r="4185" spans="1:14">
      <c r="A4185" s="2">
        <v>4184</v>
      </c>
      <c r="B4185" s="3" t="s">
        <v>14266</v>
      </c>
      <c r="C4185" s="2" t="s">
        <v>14267</v>
      </c>
      <c r="D4185" s="2">
        <v>42</v>
      </c>
      <c r="E4185" s="2">
        <v>42</v>
      </c>
      <c r="F4185" s="2" t="s">
        <v>14268</v>
      </c>
      <c r="H4185" s="2" t="s">
        <v>17</v>
      </c>
      <c r="K4185" s="4">
        <v>8817</v>
      </c>
      <c r="M4185" s="2" t="s">
        <v>247</v>
      </c>
      <c r="N4185" s="2" t="s">
        <v>4003</v>
      </c>
    </row>
    <row r="4186" spans="1:14">
      <c r="A4186" s="2">
        <v>4185</v>
      </c>
      <c r="B4186" s="3" t="s">
        <v>14269</v>
      </c>
      <c r="C4186" s="2" t="s">
        <v>14270</v>
      </c>
      <c r="D4186" s="2">
        <v>40</v>
      </c>
      <c r="E4186" s="2">
        <v>42</v>
      </c>
      <c r="F4186" s="2" t="s">
        <v>14271</v>
      </c>
      <c r="H4186" s="2" t="s">
        <v>17</v>
      </c>
      <c r="K4186" s="4">
        <v>7723</v>
      </c>
      <c r="L4186" s="4">
        <v>34446</v>
      </c>
      <c r="M4186" s="2" t="s">
        <v>91</v>
      </c>
      <c r="N4186" s="2" t="s">
        <v>14272</v>
      </c>
    </row>
    <row r="4187" spans="1:14">
      <c r="A4187" s="2">
        <v>4186</v>
      </c>
      <c r="B4187" s="3" t="s">
        <v>14273</v>
      </c>
      <c r="C4187" s="2" t="s">
        <v>14274</v>
      </c>
      <c r="D4187" s="2">
        <v>41</v>
      </c>
      <c r="E4187" s="2">
        <v>42</v>
      </c>
      <c r="F4187" s="2" t="s">
        <v>14275</v>
      </c>
      <c r="H4187" s="2" t="s">
        <v>17</v>
      </c>
      <c r="K4187" s="4">
        <v>1521</v>
      </c>
      <c r="L4187" s="4">
        <v>31268</v>
      </c>
      <c r="M4187" s="2" t="s">
        <v>66</v>
      </c>
      <c r="N4187" s="2" t="s">
        <v>71</v>
      </c>
    </row>
    <row r="4188" spans="1:14">
      <c r="A4188" s="2">
        <v>4187</v>
      </c>
      <c r="B4188" s="3" t="s">
        <v>14276</v>
      </c>
      <c r="C4188" s="2" t="s">
        <v>14277</v>
      </c>
      <c r="D4188" s="2">
        <v>42</v>
      </c>
      <c r="E4188" s="2">
        <v>42</v>
      </c>
      <c r="F4188" s="2" t="s">
        <v>14278</v>
      </c>
      <c r="H4188" s="2" t="s">
        <v>17</v>
      </c>
      <c r="K4188" s="4">
        <v>6206</v>
      </c>
    </row>
    <row r="4189" spans="1:14">
      <c r="A4189" s="2">
        <v>4188</v>
      </c>
      <c r="B4189" s="3" t="s">
        <v>14279</v>
      </c>
      <c r="C4189" s="2" t="s">
        <v>14280</v>
      </c>
      <c r="D4189" s="2">
        <v>39</v>
      </c>
      <c r="E4189" s="2">
        <v>42</v>
      </c>
      <c r="F4189" s="2" t="s">
        <v>14281</v>
      </c>
      <c r="H4189" s="2" t="s">
        <v>17</v>
      </c>
      <c r="K4189" s="4">
        <v>3308</v>
      </c>
      <c r="L4189" s="4">
        <v>33435</v>
      </c>
      <c r="M4189" s="2" t="s">
        <v>91</v>
      </c>
    </row>
    <row r="4190" spans="1:14">
      <c r="A4190" s="2">
        <v>4189</v>
      </c>
      <c r="B4190" s="3" t="s">
        <v>14282</v>
      </c>
      <c r="C4190" s="2" t="s">
        <v>14283</v>
      </c>
      <c r="D4190" s="2">
        <v>42</v>
      </c>
      <c r="E4190" s="2">
        <v>42</v>
      </c>
      <c r="F4190" s="2" t="s">
        <v>14284</v>
      </c>
      <c r="H4190" s="2" t="s">
        <v>17</v>
      </c>
      <c r="K4190" s="4">
        <v>6407</v>
      </c>
      <c r="L4190" s="4">
        <v>26611</v>
      </c>
      <c r="M4190" s="2" t="s">
        <v>85</v>
      </c>
      <c r="N4190" s="2" t="s">
        <v>86</v>
      </c>
    </row>
    <row r="4191" spans="1:14">
      <c r="A4191" s="2">
        <v>4190</v>
      </c>
      <c r="B4191" s="3" t="s">
        <v>14285</v>
      </c>
      <c r="C4191" s="2" t="s">
        <v>14286</v>
      </c>
      <c r="D4191" s="2">
        <v>40</v>
      </c>
      <c r="E4191" s="2">
        <v>42</v>
      </c>
      <c r="F4191" s="2" t="s">
        <v>14287</v>
      </c>
      <c r="H4191" s="2" t="s">
        <v>17</v>
      </c>
      <c r="K4191" s="4">
        <v>2744</v>
      </c>
      <c r="L4191" s="4">
        <v>34323</v>
      </c>
      <c r="M4191" s="2" t="s">
        <v>170</v>
      </c>
      <c r="N4191" s="2" t="s">
        <v>5034</v>
      </c>
    </row>
    <row r="4192" spans="1:14">
      <c r="A4192" s="2">
        <v>4191</v>
      </c>
      <c r="B4192" s="3" t="s">
        <v>14288</v>
      </c>
      <c r="C4192" s="2" t="s">
        <v>14289</v>
      </c>
      <c r="D4192" s="2">
        <v>40</v>
      </c>
      <c r="E4192" s="2">
        <v>42</v>
      </c>
      <c r="F4192" s="2" t="s">
        <v>14290</v>
      </c>
      <c r="H4192" s="2" t="s">
        <v>17</v>
      </c>
      <c r="K4192" s="4">
        <v>8933</v>
      </c>
      <c r="L4192" s="4">
        <v>42025</v>
      </c>
      <c r="M4192" s="2" t="s">
        <v>18</v>
      </c>
    </row>
    <row r="4193" spans="1:14">
      <c r="A4193" s="2">
        <v>4192</v>
      </c>
      <c r="B4193" s="3" t="s">
        <v>14291</v>
      </c>
      <c r="C4193" s="2" t="s">
        <v>14292</v>
      </c>
      <c r="D4193" s="2">
        <v>38</v>
      </c>
      <c r="E4193" s="2">
        <v>42</v>
      </c>
      <c r="F4193" s="2" t="s">
        <v>14293</v>
      </c>
      <c r="H4193" s="2" t="s">
        <v>17</v>
      </c>
      <c r="K4193" s="4" t="s">
        <v>14294</v>
      </c>
      <c r="L4193" s="4">
        <v>24308</v>
      </c>
      <c r="M4193" s="2" t="s">
        <v>35</v>
      </c>
      <c r="N4193" s="2" t="s">
        <v>11183</v>
      </c>
    </row>
    <row r="4194" spans="1:14">
      <c r="A4194" s="2">
        <v>4193</v>
      </c>
      <c r="B4194" s="3" t="s">
        <v>14295</v>
      </c>
      <c r="C4194" s="2" t="s">
        <v>14296</v>
      </c>
      <c r="D4194" s="2">
        <v>39</v>
      </c>
      <c r="E4194" s="2">
        <v>42</v>
      </c>
      <c r="F4194" s="2" t="s">
        <v>14297</v>
      </c>
      <c r="H4194" s="2" t="s">
        <v>17</v>
      </c>
      <c r="K4194" s="4" t="s">
        <v>14298</v>
      </c>
      <c r="L4194" s="4">
        <v>25796</v>
      </c>
      <c r="M4194" s="2" t="s">
        <v>192</v>
      </c>
      <c r="N4194" s="2" t="s">
        <v>3675</v>
      </c>
    </row>
    <row r="4195" spans="1:14">
      <c r="A4195" s="2">
        <v>4194</v>
      </c>
      <c r="B4195" s="3" t="s">
        <v>14299</v>
      </c>
      <c r="C4195" s="2" t="s">
        <v>14300</v>
      </c>
      <c r="D4195" s="2">
        <v>42</v>
      </c>
      <c r="E4195" s="2">
        <v>42</v>
      </c>
      <c r="F4195" s="2" t="s">
        <v>14301</v>
      </c>
      <c r="H4195" s="2" t="s">
        <v>17</v>
      </c>
      <c r="K4195" s="4">
        <v>7030</v>
      </c>
      <c r="L4195" s="4">
        <v>30039</v>
      </c>
      <c r="M4195" s="2" t="s">
        <v>35</v>
      </c>
    </row>
    <row r="4196" spans="1:14">
      <c r="A4196" s="2">
        <v>4195</v>
      </c>
      <c r="B4196" s="3" t="s">
        <v>14302</v>
      </c>
      <c r="C4196" s="2" t="s">
        <v>14303</v>
      </c>
      <c r="D4196" s="2">
        <v>39</v>
      </c>
      <c r="E4196" s="2">
        <v>42</v>
      </c>
      <c r="F4196" s="2" t="s">
        <v>14304</v>
      </c>
      <c r="H4196" s="2" t="s">
        <v>17</v>
      </c>
      <c r="K4196" s="4">
        <v>4989</v>
      </c>
      <c r="L4196" s="4">
        <v>32419</v>
      </c>
      <c r="M4196" s="2" t="s">
        <v>53</v>
      </c>
      <c r="N4196" s="2" t="s">
        <v>894</v>
      </c>
    </row>
    <row r="4197" spans="1:14">
      <c r="A4197" s="2">
        <v>4196</v>
      </c>
      <c r="B4197" s="3" t="s">
        <v>14305</v>
      </c>
      <c r="C4197" s="2" t="s">
        <v>14306</v>
      </c>
      <c r="D4197" s="2">
        <v>42</v>
      </c>
      <c r="E4197" s="2">
        <v>42</v>
      </c>
      <c r="F4197" s="2" t="s">
        <v>14307</v>
      </c>
      <c r="H4197" s="2" t="s">
        <v>17</v>
      </c>
      <c r="K4197" s="4" t="s">
        <v>14308</v>
      </c>
      <c r="L4197" s="4">
        <v>27079</v>
      </c>
      <c r="M4197" s="2" t="s">
        <v>969</v>
      </c>
    </row>
    <row r="4198" spans="1:14">
      <c r="A4198" s="2">
        <v>4197</v>
      </c>
      <c r="B4198" s="3" t="s">
        <v>14309</v>
      </c>
      <c r="C4198" s="2" t="s">
        <v>14310</v>
      </c>
      <c r="D4198" s="2">
        <v>39</v>
      </c>
      <c r="E4198" s="2">
        <v>42</v>
      </c>
      <c r="F4198" s="2" t="s">
        <v>14311</v>
      </c>
      <c r="H4198" s="2" t="s">
        <v>17</v>
      </c>
      <c r="K4198" s="4">
        <v>2961</v>
      </c>
      <c r="L4198" s="4">
        <v>31155</v>
      </c>
      <c r="M4198" s="2" t="s">
        <v>35</v>
      </c>
      <c r="N4198" s="2" t="s">
        <v>10815</v>
      </c>
    </row>
    <row r="4199" spans="1:14">
      <c r="A4199" s="2">
        <v>4198</v>
      </c>
      <c r="B4199" s="3" t="s">
        <v>14312</v>
      </c>
      <c r="C4199" s="2" t="s">
        <v>14313</v>
      </c>
      <c r="D4199" s="2">
        <v>42</v>
      </c>
      <c r="E4199" s="2">
        <v>42</v>
      </c>
      <c r="F4199" s="2" t="s">
        <v>14314</v>
      </c>
      <c r="H4199" s="2" t="s">
        <v>17</v>
      </c>
      <c r="K4199" s="4">
        <v>9667</v>
      </c>
      <c r="L4199" s="4">
        <v>33207</v>
      </c>
      <c r="M4199" s="2" t="s">
        <v>164</v>
      </c>
      <c r="N4199" s="2" t="s">
        <v>14315</v>
      </c>
    </row>
    <row r="4200" spans="1:14">
      <c r="A4200" s="2">
        <v>4199</v>
      </c>
      <c r="B4200" s="3" t="s">
        <v>14316</v>
      </c>
      <c r="C4200" s="2" t="s">
        <v>5938</v>
      </c>
      <c r="D4200" s="2">
        <v>42</v>
      </c>
      <c r="E4200" s="2">
        <v>42</v>
      </c>
      <c r="F4200" s="2" t="s">
        <v>14317</v>
      </c>
      <c r="H4200" s="2" t="s">
        <v>17</v>
      </c>
      <c r="K4200" s="4">
        <v>11617</v>
      </c>
    </row>
    <row r="4201" spans="1:14">
      <c r="A4201" s="2">
        <v>4200</v>
      </c>
      <c r="B4201" s="3" t="s">
        <v>14318</v>
      </c>
      <c r="C4201" s="2" t="s">
        <v>14319</v>
      </c>
      <c r="D4201" s="2">
        <v>41</v>
      </c>
      <c r="E4201" s="2">
        <v>42</v>
      </c>
      <c r="F4201" s="2" t="s">
        <v>14320</v>
      </c>
      <c r="H4201" s="2" t="s">
        <v>17</v>
      </c>
      <c r="K4201" s="4">
        <v>2398</v>
      </c>
      <c r="L4201" s="4">
        <v>26962</v>
      </c>
      <c r="M4201" s="2" t="s">
        <v>146</v>
      </c>
      <c r="N4201" s="2" t="s">
        <v>5903</v>
      </c>
    </row>
    <row r="4202" spans="1:14">
      <c r="A4202" s="2">
        <v>4201</v>
      </c>
      <c r="B4202" s="3" t="s">
        <v>14321</v>
      </c>
      <c r="C4202" s="2" t="s">
        <v>14322</v>
      </c>
      <c r="D4202" s="2">
        <v>41</v>
      </c>
      <c r="E4202" s="2">
        <v>42</v>
      </c>
      <c r="F4202" s="2" t="s">
        <v>14323</v>
      </c>
      <c r="H4202" s="2" t="s">
        <v>17</v>
      </c>
      <c r="K4202" s="4">
        <v>9995</v>
      </c>
      <c r="L4202" s="4">
        <v>44207</v>
      </c>
      <c r="M4202" s="2" t="s">
        <v>35</v>
      </c>
      <c r="N4202" s="2" t="s">
        <v>10783</v>
      </c>
    </row>
    <row r="4203" spans="1:14">
      <c r="A4203" s="2">
        <v>4202</v>
      </c>
      <c r="B4203" s="3" t="s">
        <v>14324</v>
      </c>
      <c r="C4203" s="2" t="s">
        <v>14325</v>
      </c>
      <c r="D4203" s="2">
        <v>42</v>
      </c>
      <c r="E4203" s="2">
        <v>42</v>
      </c>
      <c r="F4203" s="2" t="s">
        <v>14326</v>
      </c>
      <c r="H4203" s="2" t="s">
        <v>17</v>
      </c>
      <c r="K4203" s="4">
        <v>4497</v>
      </c>
      <c r="L4203" s="4">
        <v>27633</v>
      </c>
      <c r="M4203" s="2" t="s">
        <v>170</v>
      </c>
      <c r="N4203" s="2" t="s">
        <v>323</v>
      </c>
    </row>
    <row r="4204" spans="1:14">
      <c r="A4204" s="2">
        <v>4203</v>
      </c>
      <c r="B4204" s="3" t="s">
        <v>14327</v>
      </c>
      <c r="C4204" s="2" t="s">
        <v>14328</v>
      </c>
      <c r="D4204" s="2">
        <v>42</v>
      </c>
      <c r="E4204" s="2">
        <v>42</v>
      </c>
      <c r="F4204" s="2" t="s">
        <v>14329</v>
      </c>
      <c r="H4204" s="2" t="s">
        <v>17</v>
      </c>
      <c r="M4204" s="2" t="s">
        <v>164</v>
      </c>
      <c r="N4204" s="2" t="s">
        <v>165</v>
      </c>
    </row>
    <row r="4205" spans="1:14">
      <c r="A4205" s="2">
        <v>4204</v>
      </c>
      <c r="B4205" s="3" t="s">
        <v>14330</v>
      </c>
      <c r="C4205" s="2" t="s">
        <v>14331</v>
      </c>
      <c r="D4205" s="2">
        <v>42</v>
      </c>
      <c r="E4205" s="2">
        <v>42</v>
      </c>
      <c r="F4205" s="2" t="s">
        <v>14332</v>
      </c>
      <c r="H4205" s="2" t="s">
        <v>17</v>
      </c>
      <c r="K4205" s="4">
        <v>13054</v>
      </c>
      <c r="M4205" s="2" t="s">
        <v>336</v>
      </c>
      <c r="N4205" s="2" t="s">
        <v>3732</v>
      </c>
    </row>
    <row r="4206" spans="1:14">
      <c r="A4206" s="2">
        <v>4205</v>
      </c>
      <c r="B4206" s="3" t="s">
        <v>14333</v>
      </c>
      <c r="C4206" s="2" t="s">
        <v>14334</v>
      </c>
      <c r="D4206" s="2">
        <v>41</v>
      </c>
      <c r="E4206" s="2">
        <v>42</v>
      </c>
      <c r="F4206" s="2" t="s">
        <v>14335</v>
      </c>
      <c r="H4206" s="2" t="s">
        <v>17</v>
      </c>
      <c r="K4206" s="4">
        <v>6424</v>
      </c>
      <c r="L4206" s="4">
        <v>33864</v>
      </c>
      <c r="M4206" s="2" t="s">
        <v>53</v>
      </c>
      <c r="N4206" s="2" t="s">
        <v>14336</v>
      </c>
    </row>
    <row r="4207" spans="1:14">
      <c r="A4207" s="2">
        <v>4206</v>
      </c>
      <c r="B4207" s="3" t="s">
        <v>14337</v>
      </c>
      <c r="C4207" s="2" t="s">
        <v>14338</v>
      </c>
      <c r="D4207" s="2">
        <v>42</v>
      </c>
      <c r="E4207" s="2">
        <v>42</v>
      </c>
      <c r="F4207" s="2" t="s">
        <v>14339</v>
      </c>
      <c r="H4207" s="2" t="s">
        <v>17</v>
      </c>
      <c r="K4207" s="4">
        <v>7911</v>
      </c>
      <c r="M4207" s="2" t="s">
        <v>35</v>
      </c>
      <c r="N4207" s="2" t="s">
        <v>14340</v>
      </c>
    </row>
    <row r="4208" spans="1:14">
      <c r="A4208" s="2">
        <v>4207</v>
      </c>
      <c r="B4208" s="3" t="s">
        <v>14341</v>
      </c>
      <c r="C4208" s="2" t="s">
        <v>14342</v>
      </c>
      <c r="D4208" s="2">
        <v>40</v>
      </c>
      <c r="E4208" s="2">
        <v>42</v>
      </c>
      <c r="F4208" s="2" t="s">
        <v>14343</v>
      </c>
      <c r="H4208" s="2" t="s">
        <v>17</v>
      </c>
      <c r="K4208" s="4">
        <v>6329</v>
      </c>
      <c r="L4208" s="4">
        <v>35407</v>
      </c>
      <c r="M4208" s="2" t="s">
        <v>35</v>
      </c>
      <c r="N4208" s="2" t="s">
        <v>8451</v>
      </c>
    </row>
    <row r="4209" spans="1:14">
      <c r="A4209" s="2">
        <v>4208</v>
      </c>
      <c r="B4209" s="3" t="s">
        <v>14344</v>
      </c>
      <c r="C4209" s="2" t="s">
        <v>14345</v>
      </c>
      <c r="D4209" s="2">
        <v>40</v>
      </c>
      <c r="E4209" s="2">
        <v>42</v>
      </c>
      <c r="F4209" s="2" t="s">
        <v>14346</v>
      </c>
      <c r="H4209" s="2" t="s">
        <v>17</v>
      </c>
      <c r="K4209" s="4">
        <v>6013</v>
      </c>
      <c r="L4209" s="4">
        <v>32740</v>
      </c>
      <c r="M4209" s="2" t="s">
        <v>66</v>
      </c>
      <c r="N4209" s="2" t="s">
        <v>6179</v>
      </c>
    </row>
    <row r="4210" spans="1:14">
      <c r="A4210" s="2">
        <v>4209</v>
      </c>
      <c r="B4210" s="3" t="s">
        <v>14347</v>
      </c>
      <c r="C4210" s="2" t="s">
        <v>14348</v>
      </c>
      <c r="D4210" s="2">
        <v>41</v>
      </c>
      <c r="E4210" s="2">
        <v>42</v>
      </c>
      <c r="F4210" s="2" t="s">
        <v>14349</v>
      </c>
      <c r="H4210" s="2" t="s">
        <v>17</v>
      </c>
      <c r="K4210" s="4">
        <v>3099</v>
      </c>
      <c r="L4210" s="4">
        <v>34074</v>
      </c>
      <c r="M4210" s="2" t="s">
        <v>185</v>
      </c>
      <c r="N4210" s="2" t="s">
        <v>11483</v>
      </c>
    </row>
    <row r="4211" spans="1:14">
      <c r="A4211" s="2">
        <v>4210</v>
      </c>
      <c r="B4211" s="3" t="s">
        <v>14350</v>
      </c>
      <c r="C4211" s="2" t="s">
        <v>14351</v>
      </c>
      <c r="D4211" s="2">
        <v>42</v>
      </c>
      <c r="E4211" s="2">
        <v>42</v>
      </c>
      <c r="F4211" s="2" t="s">
        <v>14352</v>
      </c>
      <c r="H4211" s="2" t="s">
        <v>17</v>
      </c>
      <c r="K4211" s="4">
        <v>8944</v>
      </c>
      <c r="L4211" s="4">
        <v>37295</v>
      </c>
      <c r="M4211" s="2" t="s">
        <v>91</v>
      </c>
      <c r="N4211" s="2" t="s">
        <v>5141</v>
      </c>
    </row>
    <row r="4212" spans="1:14">
      <c r="A4212" s="2">
        <v>4211</v>
      </c>
      <c r="B4212" s="3" t="s">
        <v>14353</v>
      </c>
      <c r="C4212" s="2" t="s">
        <v>14354</v>
      </c>
      <c r="D4212" s="2">
        <v>39</v>
      </c>
      <c r="E4212" s="2">
        <v>42</v>
      </c>
      <c r="F4212" s="2" t="s">
        <v>14355</v>
      </c>
      <c r="H4212" s="2" t="s">
        <v>17</v>
      </c>
      <c r="K4212" s="4">
        <v>4978</v>
      </c>
      <c r="L4212" s="4">
        <v>32158</v>
      </c>
      <c r="M4212" s="2" t="s">
        <v>185</v>
      </c>
      <c r="N4212" s="2" t="s">
        <v>3283</v>
      </c>
    </row>
    <row r="4213" spans="1:14">
      <c r="A4213" s="2">
        <v>4212</v>
      </c>
      <c r="B4213" s="3" t="s">
        <v>14356</v>
      </c>
      <c r="C4213" s="2" t="s">
        <v>14357</v>
      </c>
      <c r="D4213" s="2">
        <v>41</v>
      </c>
      <c r="E4213" s="2">
        <v>42</v>
      </c>
      <c r="F4213" s="2" t="s">
        <v>14358</v>
      </c>
      <c r="H4213" s="2" t="s">
        <v>17</v>
      </c>
      <c r="K4213" s="4">
        <v>9669</v>
      </c>
      <c r="L4213" s="4">
        <v>28864</v>
      </c>
      <c r="M4213" s="2" t="s">
        <v>76</v>
      </c>
      <c r="N4213" s="2" t="s">
        <v>77</v>
      </c>
    </row>
    <row r="4214" spans="1:14">
      <c r="A4214" s="2">
        <v>4213</v>
      </c>
      <c r="B4214" s="3" t="s">
        <v>14359</v>
      </c>
      <c r="C4214" s="2" t="s">
        <v>14360</v>
      </c>
      <c r="D4214" s="2">
        <v>42</v>
      </c>
      <c r="E4214" s="2">
        <v>42</v>
      </c>
      <c r="F4214" s="2" t="s">
        <v>14361</v>
      </c>
      <c r="H4214" s="2" t="s">
        <v>17</v>
      </c>
      <c r="K4214" s="4">
        <v>5191</v>
      </c>
      <c r="L4214" s="4">
        <v>33009</v>
      </c>
      <c r="M4214" s="2" t="s">
        <v>47</v>
      </c>
      <c r="N4214" s="2" t="s">
        <v>417</v>
      </c>
    </row>
    <row r="4215" spans="1:14">
      <c r="A4215" s="2">
        <v>4214</v>
      </c>
      <c r="B4215" s="3" t="s">
        <v>14362</v>
      </c>
      <c r="C4215" s="2" t="s">
        <v>12118</v>
      </c>
      <c r="D4215" s="2">
        <v>37</v>
      </c>
      <c r="E4215" s="2">
        <v>42</v>
      </c>
      <c r="F4215" s="2" t="s">
        <v>14363</v>
      </c>
      <c r="H4215" s="2" t="s">
        <v>17</v>
      </c>
      <c r="K4215" s="4" t="s">
        <v>14364</v>
      </c>
      <c r="L4215" s="4">
        <v>28471</v>
      </c>
      <c r="M4215" s="2" t="s">
        <v>18</v>
      </c>
      <c r="N4215" s="2" t="s">
        <v>19</v>
      </c>
    </row>
    <row r="4216" spans="1:14">
      <c r="A4216" s="2">
        <v>4215</v>
      </c>
      <c r="B4216" s="3" t="s">
        <v>14365</v>
      </c>
      <c r="C4216" s="2" t="s">
        <v>14366</v>
      </c>
      <c r="D4216" s="2">
        <v>41</v>
      </c>
      <c r="E4216" s="2">
        <v>42</v>
      </c>
      <c r="F4216" s="2" t="s">
        <v>14367</v>
      </c>
      <c r="H4216" s="2" t="s">
        <v>17</v>
      </c>
      <c r="K4216" s="4">
        <v>7868</v>
      </c>
      <c r="L4216" s="4">
        <v>39050</v>
      </c>
      <c r="M4216" s="2" t="s">
        <v>85</v>
      </c>
      <c r="N4216" s="2" t="s">
        <v>1356</v>
      </c>
    </row>
    <row r="4217" spans="1:14">
      <c r="A4217" s="2">
        <v>4216</v>
      </c>
      <c r="B4217" s="3" t="s">
        <v>14368</v>
      </c>
      <c r="C4217" s="2" t="s">
        <v>14369</v>
      </c>
      <c r="D4217" s="2">
        <v>42</v>
      </c>
      <c r="E4217" s="2">
        <v>42</v>
      </c>
      <c r="F4217" s="2" t="s">
        <v>14370</v>
      </c>
      <c r="H4217" s="2" t="s">
        <v>17</v>
      </c>
      <c r="K4217" s="4">
        <v>8271</v>
      </c>
      <c r="L4217" s="4">
        <v>27279</v>
      </c>
      <c r="M4217" s="2" t="s">
        <v>198</v>
      </c>
      <c r="N4217" s="2" t="s">
        <v>199</v>
      </c>
    </row>
    <row r="4218" spans="1:14">
      <c r="A4218" s="2">
        <v>4217</v>
      </c>
      <c r="B4218" s="3" t="s">
        <v>14371</v>
      </c>
      <c r="C4218" s="2" t="s">
        <v>14372</v>
      </c>
      <c r="D4218" s="2">
        <v>40</v>
      </c>
      <c r="E4218" s="2">
        <v>42</v>
      </c>
      <c r="F4218" s="2" t="s">
        <v>14373</v>
      </c>
      <c r="H4218" s="2" t="s">
        <v>17</v>
      </c>
      <c r="K4218" s="4">
        <v>6623</v>
      </c>
      <c r="L4218" s="4">
        <v>34162</v>
      </c>
      <c r="M4218" s="2" t="s">
        <v>170</v>
      </c>
      <c r="N4218" s="2" t="s">
        <v>323</v>
      </c>
    </row>
    <row r="4219" spans="1:14">
      <c r="A4219" s="2">
        <v>4218</v>
      </c>
      <c r="B4219" s="3" t="s">
        <v>14374</v>
      </c>
      <c r="C4219" s="2" t="s">
        <v>14375</v>
      </c>
      <c r="D4219" s="2">
        <v>42</v>
      </c>
      <c r="E4219" s="2">
        <v>42</v>
      </c>
      <c r="F4219" s="2" t="s">
        <v>14376</v>
      </c>
      <c r="H4219" s="2" t="s">
        <v>17</v>
      </c>
      <c r="K4219" s="4">
        <v>7123</v>
      </c>
      <c r="L4219" s="4">
        <v>40819</v>
      </c>
      <c r="M4219" s="2" t="s">
        <v>35</v>
      </c>
      <c r="N4219" s="2" t="s">
        <v>14377</v>
      </c>
    </row>
    <row r="4220" spans="1:14">
      <c r="A4220" s="2">
        <v>4219</v>
      </c>
      <c r="B4220" s="3" t="s">
        <v>14378</v>
      </c>
      <c r="C4220" s="2" t="s">
        <v>14379</v>
      </c>
      <c r="D4220" s="2">
        <v>42</v>
      </c>
      <c r="E4220" s="2">
        <v>42</v>
      </c>
      <c r="F4220" s="2" t="s">
        <v>14380</v>
      </c>
      <c r="H4220" s="2" t="s">
        <v>17</v>
      </c>
      <c r="K4220" s="4">
        <v>1186</v>
      </c>
      <c r="L4220" s="4">
        <v>30490</v>
      </c>
      <c r="M4220" s="2" t="s">
        <v>76</v>
      </c>
      <c r="N4220" s="2" t="s">
        <v>14023</v>
      </c>
    </row>
    <row r="4221" spans="1:14">
      <c r="A4221" s="2">
        <v>4220</v>
      </c>
      <c r="B4221" s="3" t="s">
        <v>14381</v>
      </c>
      <c r="C4221" s="2" t="s">
        <v>14382</v>
      </c>
      <c r="D4221" s="2">
        <v>41</v>
      </c>
      <c r="E4221" s="2">
        <v>42</v>
      </c>
      <c r="F4221" s="2" t="s">
        <v>14383</v>
      </c>
      <c r="H4221" s="2" t="s">
        <v>17</v>
      </c>
      <c r="K4221" s="4">
        <v>4893</v>
      </c>
      <c r="L4221" s="4">
        <v>33199</v>
      </c>
      <c r="M4221" s="2" t="s">
        <v>85</v>
      </c>
      <c r="N4221" s="2" t="s">
        <v>86</v>
      </c>
    </row>
    <row r="4222" spans="1:14">
      <c r="A4222" s="2">
        <v>4221</v>
      </c>
      <c r="B4222" s="3" t="s">
        <v>14384</v>
      </c>
      <c r="C4222" s="2" t="s">
        <v>14385</v>
      </c>
      <c r="D4222" s="2">
        <v>42</v>
      </c>
      <c r="E4222" s="2">
        <v>42</v>
      </c>
      <c r="F4222" s="2" t="s">
        <v>14386</v>
      </c>
      <c r="H4222" s="2" t="s">
        <v>17</v>
      </c>
      <c r="K4222" s="4">
        <v>8911</v>
      </c>
      <c r="L4222" s="4">
        <v>43085</v>
      </c>
      <c r="M4222" s="2" t="s">
        <v>185</v>
      </c>
      <c r="N4222" s="2" t="s">
        <v>838</v>
      </c>
    </row>
    <row r="4223" spans="1:14">
      <c r="A4223" s="2">
        <v>4222</v>
      </c>
      <c r="B4223" s="3" t="s">
        <v>14387</v>
      </c>
      <c r="C4223" s="2" t="s">
        <v>14388</v>
      </c>
      <c r="D4223" s="2">
        <v>42</v>
      </c>
      <c r="E4223" s="2">
        <v>42</v>
      </c>
      <c r="F4223" s="2" t="s">
        <v>14389</v>
      </c>
      <c r="H4223" s="2" t="s">
        <v>17</v>
      </c>
      <c r="K4223" s="4">
        <v>9423</v>
      </c>
      <c r="L4223" s="4">
        <v>34151</v>
      </c>
      <c r="M4223" s="2" t="s">
        <v>192</v>
      </c>
      <c r="N4223" s="2" t="s">
        <v>3675</v>
      </c>
    </row>
    <row r="4224" spans="1:14">
      <c r="A4224" s="2">
        <v>4223</v>
      </c>
      <c r="B4224" s="3" t="s">
        <v>14390</v>
      </c>
      <c r="C4224" s="2" t="s">
        <v>14391</v>
      </c>
      <c r="D4224" s="2">
        <v>41</v>
      </c>
      <c r="E4224" s="2">
        <v>42</v>
      </c>
      <c r="F4224" s="2" t="s">
        <v>14392</v>
      </c>
      <c r="H4224" s="2" t="s">
        <v>17</v>
      </c>
      <c r="K4224" s="4">
        <v>237</v>
      </c>
      <c r="L4224" s="4">
        <v>29020</v>
      </c>
      <c r="M4224" s="2" t="s">
        <v>170</v>
      </c>
      <c r="N4224" s="2" t="s">
        <v>355</v>
      </c>
    </row>
    <row r="4225" spans="1:14">
      <c r="A4225" s="2">
        <v>4224</v>
      </c>
      <c r="B4225" s="3" t="s">
        <v>14393</v>
      </c>
      <c r="C4225" s="2" t="s">
        <v>14394</v>
      </c>
      <c r="D4225" s="2">
        <v>42</v>
      </c>
      <c r="E4225" s="2">
        <v>42</v>
      </c>
      <c r="F4225" s="2" t="s">
        <v>14395</v>
      </c>
      <c r="H4225" s="2" t="s">
        <v>17</v>
      </c>
      <c r="K4225" s="4">
        <v>4127</v>
      </c>
      <c r="L4225" s="4">
        <v>29735</v>
      </c>
      <c r="M4225" s="2" t="s">
        <v>423</v>
      </c>
      <c r="N4225" s="2" t="s">
        <v>11585</v>
      </c>
    </row>
    <row r="4226" spans="1:14">
      <c r="A4226" s="2">
        <v>4225</v>
      </c>
      <c r="B4226" s="3" t="s">
        <v>14396</v>
      </c>
      <c r="C4226" s="2" t="s">
        <v>14397</v>
      </c>
      <c r="D4226" s="2">
        <v>42</v>
      </c>
      <c r="E4226" s="2">
        <v>42</v>
      </c>
      <c r="F4226" s="2" t="s">
        <v>14398</v>
      </c>
      <c r="H4226" s="2" t="s">
        <v>17</v>
      </c>
      <c r="K4226" s="4">
        <v>10801</v>
      </c>
      <c r="M4226" s="2" t="s">
        <v>76</v>
      </c>
      <c r="N4226" s="2" t="s">
        <v>77</v>
      </c>
    </row>
    <row r="4227" spans="1:14">
      <c r="A4227" s="2">
        <v>4226</v>
      </c>
      <c r="B4227" s="3" t="s">
        <v>14399</v>
      </c>
      <c r="C4227" s="2" t="s">
        <v>14400</v>
      </c>
      <c r="D4227" s="2">
        <v>42</v>
      </c>
      <c r="E4227" s="2">
        <v>42</v>
      </c>
      <c r="F4227" s="2" t="s">
        <v>14401</v>
      </c>
      <c r="H4227" s="2" t="s">
        <v>17</v>
      </c>
      <c r="K4227" s="4">
        <v>8601</v>
      </c>
      <c r="L4227" s="4">
        <v>33042</v>
      </c>
      <c r="M4227" s="2" t="s">
        <v>30</v>
      </c>
      <c r="N4227" s="2" t="s">
        <v>4003</v>
      </c>
    </row>
    <row r="4228" spans="1:14">
      <c r="A4228" s="2">
        <v>4227</v>
      </c>
      <c r="B4228" s="3" t="s">
        <v>14402</v>
      </c>
      <c r="C4228" s="2" t="s">
        <v>14403</v>
      </c>
      <c r="D4228" s="2">
        <v>39</v>
      </c>
      <c r="E4228" s="2">
        <v>42</v>
      </c>
      <c r="F4228" s="2" t="s">
        <v>14404</v>
      </c>
      <c r="H4228" s="2" t="s">
        <v>17</v>
      </c>
      <c r="K4228" s="4">
        <v>4316</v>
      </c>
      <c r="L4228" s="4">
        <v>37448</v>
      </c>
      <c r="M4228" s="2" t="s">
        <v>170</v>
      </c>
    </row>
    <row r="4229" spans="1:14">
      <c r="A4229" s="2">
        <v>4228</v>
      </c>
      <c r="B4229" s="3" t="s">
        <v>14405</v>
      </c>
      <c r="C4229" s="2" t="s">
        <v>14406</v>
      </c>
      <c r="D4229" s="2">
        <v>39</v>
      </c>
      <c r="E4229" s="2">
        <v>42</v>
      </c>
      <c r="F4229" s="2" t="s">
        <v>14407</v>
      </c>
      <c r="H4229" s="2" t="s">
        <v>17</v>
      </c>
      <c r="K4229" s="4">
        <v>3599</v>
      </c>
      <c r="L4229" s="4">
        <v>26984</v>
      </c>
      <c r="M4229" s="2" t="s">
        <v>170</v>
      </c>
    </row>
    <row r="4230" spans="1:14">
      <c r="A4230" s="2">
        <v>4229</v>
      </c>
      <c r="B4230" s="3" t="s">
        <v>14408</v>
      </c>
      <c r="C4230" s="2" t="s">
        <v>14409</v>
      </c>
      <c r="D4230" s="2">
        <v>42</v>
      </c>
      <c r="E4230" s="2">
        <v>42</v>
      </c>
      <c r="F4230" s="2" t="s">
        <v>14410</v>
      </c>
      <c r="H4230" s="2" t="s">
        <v>17</v>
      </c>
      <c r="K4230" s="4">
        <v>5547</v>
      </c>
      <c r="M4230" s="2" t="s">
        <v>140</v>
      </c>
    </row>
    <row r="4231" spans="1:14">
      <c r="A4231" s="2">
        <v>4230</v>
      </c>
      <c r="B4231" s="3" t="s">
        <v>14411</v>
      </c>
      <c r="C4231" s="2" t="s">
        <v>14412</v>
      </c>
      <c r="D4231" s="2">
        <v>42</v>
      </c>
      <c r="E4231" s="2">
        <v>42</v>
      </c>
      <c r="F4231" s="2" t="s">
        <v>14413</v>
      </c>
      <c r="H4231" s="2" t="s">
        <v>17</v>
      </c>
      <c r="K4231" s="4">
        <v>10254</v>
      </c>
      <c r="L4231" s="4">
        <v>36843</v>
      </c>
      <c r="M4231" s="2" t="s">
        <v>47</v>
      </c>
      <c r="N4231" s="2" t="s">
        <v>14414</v>
      </c>
    </row>
    <row r="4232" spans="1:14">
      <c r="A4232" s="2">
        <v>4231</v>
      </c>
      <c r="B4232" s="3" t="s">
        <v>14415</v>
      </c>
      <c r="C4232" s="2" t="s">
        <v>14416</v>
      </c>
      <c r="D4232" s="2">
        <v>42</v>
      </c>
      <c r="E4232" s="2">
        <v>42</v>
      </c>
      <c r="F4232" s="2" t="s">
        <v>14417</v>
      </c>
      <c r="H4232" s="2" t="s">
        <v>17</v>
      </c>
      <c r="K4232" s="4">
        <v>10526</v>
      </c>
      <c r="L4232" s="4">
        <v>39855</v>
      </c>
      <c r="M4232" s="2" t="s">
        <v>164</v>
      </c>
      <c r="N4232" s="2" t="s">
        <v>14418</v>
      </c>
    </row>
    <row r="4233" spans="1:14">
      <c r="A4233" s="2">
        <v>4232</v>
      </c>
      <c r="B4233" s="3" t="s">
        <v>14419</v>
      </c>
      <c r="C4233" s="2" t="s">
        <v>14420</v>
      </c>
      <c r="D4233" s="2">
        <v>41</v>
      </c>
      <c r="E4233" s="2">
        <v>42</v>
      </c>
      <c r="F4233" s="2" t="s">
        <v>14421</v>
      </c>
      <c r="H4233" s="2" t="s">
        <v>17</v>
      </c>
      <c r="K4233" s="4">
        <v>6032</v>
      </c>
      <c r="L4233" s="4">
        <v>33143</v>
      </c>
      <c r="M4233" s="2" t="s">
        <v>170</v>
      </c>
      <c r="N4233" s="2" t="s">
        <v>323</v>
      </c>
    </row>
    <row r="4234" spans="1:14">
      <c r="A4234" s="2">
        <v>4233</v>
      </c>
      <c r="B4234" s="3" t="s">
        <v>14422</v>
      </c>
      <c r="C4234" s="2" t="s">
        <v>14423</v>
      </c>
      <c r="D4234" s="2">
        <v>42</v>
      </c>
      <c r="E4234" s="2">
        <v>42</v>
      </c>
      <c r="F4234" s="2" t="s">
        <v>14424</v>
      </c>
      <c r="H4234" s="2" t="s">
        <v>17</v>
      </c>
      <c r="K4234" s="4" t="s">
        <v>14425</v>
      </c>
      <c r="L4234" s="4">
        <v>28682</v>
      </c>
      <c r="M4234" s="2" t="s">
        <v>170</v>
      </c>
      <c r="N4234" s="2" t="s">
        <v>323</v>
      </c>
    </row>
    <row r="4235" spans="1:14">
      <c r="A4235" s="2">
        <v>4234</v>
      </c>
      <c r="B4235" s="3" t="s">
        <v>14426</v>
      </c>
      <c r="C4235" s="2" t="s">
        <v>14427</v>
      </c>
      <c r="D4235" s="2">
        <v>38</v>
      </c>
      <c r="E4235" s="2">
        <v>42</v>
      </c>
      <c r="F4235" s="2" t="s">
        <v>14428</v>
      </c>
      <c r="H4235" s="2" t="s">
        <v>17</v>
      </c>
      <c r="K4235" s="4">
        <v>5618</v>
      </c>
      <c r="L4235" s="4">
        <v>33917</v>
      </c>
      <c r="M4235" s="2" t="s">
        <v>247</v>
      </c>
      <c r="N4235" s="2" t="s">
        <v>886</v>
      </c>
    </row>
    <row r="4236" spans="1:14">
      <c r="A4236" s="2">
        <v>4235</v>
      </c>
      <c r="B4236" s="3" t="s">
        <v>14429</v>
      </c>
      <c r="C4236" s="2" t="s">
        <v>14430</v>
      </c>
      <c r="D4236" s="2">
        <v>40</v>
      </c>
      <c r="E4236" s="2">
        <v>42</v>
      </c>
      <c r="F4236" s="2" t="s">
        <v>14431</v>
      </c>
      <c r="H4236" s="2" t="s">
        <v>17</v>
      </c>
      <c r="K4236" s="4">
        <v>8185</v>
      </c>
      <c r="L4236" s="4">
        <v>41542</v>
      </c>
      <c r="M4236" s="2" t="s">
        <v>85</v>
      </c>
      <c r="N4236" s="2" t="s">
        <v>4721</v>
      </c>
    </row>
    <row r="4237" spans="1:14">
      <c r="A4237" s="2">
        <v>4236</v>
      </c>
      <c r="B4237" s="3" t="s">
        <v>14432</v>
      </c>
      <c r="C4237" s="2" t="s">
        <v>14433</v>
      </c>
      <c r="D4237" s="2">
        <v>42</v>
      </c>
      <c r="E4237" s="2">
        <v>42</v>
      </c>
      <c r="F4237" s="2" t="s">
        <v>14434</v>
      </c>
      <c r="H4237" s="2" t="s">
        <v>17</v>
      </c>
      <c r="K4237" s="4">
        <v>8831</v>
      </c>
    </row>
    <row r="4238" spans="1:14">
      <c r="A4238" s="2">
        <v>4237</v>
      </c>
      <c r="B4238" s="3" t="s">
        <v>14435</v>
      </c>
      <c r="C4238" s="2" t="s">
        <v>14436</v>
      </c>
      <c r="D4238" s="2">
        <v>42</v>
      </c>
      <c r="E4238" s="2">
        <v>42</v>
      </c>
      <c r="F4238" s="2" t="s">
        <v>14437</v>
      </c>
      <c r="H4238" s="2" t="s">
        <v>17</v>
      </c>
      <c r="K4238" s="4">
        <v>6152</v>
      </c>
      <c r="L4238" s="4">
        <v>23232</v>
      </c>
      <c r="M4238" s="2" t="s">
        <v>91</v>
      </c>
      <c r="N4238" s="2" t="s">
        <v>8758</v>
      </c>
    </row>
    <row r="4239" spans="1:14">
      <c r="A4239" s="2">
        <v>4238</v>
      </c>
      <c r="B4239" s="3" t="s">
        <v>14438</v>
      </c>
      <c r="C4239" s="2" t="s">
        <v>14439</v>
      </c>
      <c r="D4239" s="2">
        <v>40</v>
      </c>
      <c r="E4239" s="2">
        <v>42</v>
      </c>
      <c r="F4239" s="2" t="s">
        <v>14440</v>
      </c>
      <c r="H4239" s="2" t="s">
        <v>17</v>
      </c>
      <c r="K4239" s="4">
        <v>8914</v>
      </c>
      <c r="L4239" s="4">
        <v>28174</v>
      </c>
      <c r="M4239" s="2" t="s">
        <v>85</v>
      </c>
      <c r="N4239" s="2" t="s">
        <v>86</v>
      </c>
    </row>
    <row r="4240" spans="1:14">
      <c r="A4240" s="2">
        <v>4239</v>
      </c>
      <c r="B4240" s="3" t="s">
        <v>14441</v>
      </c>
      <c r="C4240" s="2" t="s">
        <v>14442</v>
      </c>
      <c r="D4240" s="2">
        <v>42</v>
      </c>
      <c r="E4240" s="2">
        <v>42</v>
      </c>
      <c r="F4240" s="2" t="s">
        <v>14443</v>
      </c>
      <c r="H4240" s="2" t="s">
        <v>17</v>
      </c>
      <c r="K4240" s="4">
        <v>1367</v>
      </c>
      <c r="L4240" s="4">
        <v>36108</v>
      </c>
      <c r="M4240" s="2" t="s">
        <v>170</v>
      </c>
      <c r="N4240" s="2" t="s">
        <v>323</v>
      </c>
    </row>
    <row r="4241" spans="1:14">
      <c r="A4241" s="2">
        <v>4240</v>
      </c>
      <c r="B4241" s="3" t="s">
        <v>14444</v>
      </c>
      <c r="C4241" s="2" t="s">
        <v>14445</v>
      </c>
      <c r="D4241" s="2">
        <v>41</v>
      </c>
      <c r="E4241" s="2">
        <v>42</v>
      </c>
      <c r="F4241" s="2" t="s">
        <v>14446</v>
      </c>
      <c r="H4241" s="2" t="s">
        <v>17</v>
      </c>
      <c r="K4241" s="4">
        <v>10712</v>
      </c>
      <c r="L4241" s="4">
        <v>23624</v>
      </c>
      <c r="M4241" s="2" t="s">
        <v>91</v>
      </c>
      <c r="N4241" s="2" t="s">
        <v>11063</v>
      </c>
    </row>
    <row r="4242" spans="1:14">
      <c r="A4242" s="2">
        <v>4241</v>
      </c>
      <c r="B4242" s="3" t="s">
        <v>14447</v>
      </c>
      <c r="C4242" s="2" t="s">
        <v>14448</v>
      </c>
      <c r="D4242" s="2">
        <v>42</v>
      </c>
      <c r="E4242" s="2">
        <v>42</v>
      </c>
      <c r="F4242" s="2" t="s">
        <v>14449</v>
      </c>
      <c r="H4242" s="2" t="s">
        <v>17</v>
      </c>
      <c r="K4242" s="4">
        <v>3783</v>
      </c>
      <c r="L4242" s="4">
        <v>33618</v>
      </c>
      <c r="M4242" s="2" t="s">
        <v>154</v>
      </c>
      <c r="N4242" s="2" t="s">
        <v>208</v>
      </c>
    </row>
    <row r="4243" spans="1:14">
      <c r="A4243" s="2">
        <v>4242</v>
      </c>
      <c r="B4243" s="3" t="s">
        <v>14450</v>
      </c>
      <c r="C4243" s="2" t="s">
        <v>14451</v>
      </c>
      <c r="D4243" s="2">
        <v>42</v>
      </c>
      <c r="E4243" s="2">
        <v>42</v>
      </c>
      <c r="F4243" s="2" t="s">
        <v>14452</v>
      </c>
      <c r="H4243" s="2" t="s">
        <v>17</v>
      </c>
      <c r="K4243" s="4">
        <v>5696</v>
      </c>
      <c r="M4243" s="2" t="s">
        <v>247</v>
      </c>
      <c r="N4243" s="2" t="s">
        <v>1109</v>
      </c>
    </row>
    <row r="4244" spans="1:14">
      <c r="A4244" s="2">
        <v>4243</v>
      </c>
      <c r="B4244" s="3" t="s">
        <v>14453</v>
      </c>
      <c r="C4244" s="2" t="s">
        <v>14454</v>
      </c>
      <c r="D4244" s="2">
        <v>39</v>
      </c>
      <c r="E4244" s="2">
        <v>42</v>
      </c>
      <c r="F4244" s="2" t="s">
        <v>14455</v>
      </c>
      <c r="H4244" s="2" t="s">
        <v>17</v>
      </c>
      <c r="K4244" s="4">
        <v>2516</v>
      </c>
      <c r="L4244" s="4">
        <v>25143</v>
      </c>
      <c r="M4244" s="2" t="s">
        <v>185</v>
      </c>
      <c r="N4244" s="2" t="s">
        <v>820</v>
      </c>
    </row>
    <row r="4245" spans="1:14">
      <c r="A4245" s="2">
        <v>4244</v>
      </c>
      <c r="B4245" s="3" t="s">
        <v>14456</v>
      </c>
      <c r="C4245" s="2" t="s">
        <v>14457</v>
      </c>
      <c r="D4245" s="2">
        <v>41</v>
      </c>
      <c r="E4245" s="2">
        <v>42</v>
      </c>
      <c r="F4245" s="2" t="s">
        <v>14458</v>
      </c>
      <c r="H4245" s="2" t="s">
        <v>17</v>
      </c>
      <c r="K4245" s="4">
        <v>7263</v>
      </c>
      <c r="L4245" s="4">
        <v>33646</v>
      </c>
      <c r="M4245" s="2" t="s">
        <v>185</v>
      </c>
      <c r="N4245" s="2" t="s">
        <v>14459</v>
      </c>
    </row>
    <row r="4246" spans="1:14">
      <c r="A4246" s="2">
        <v>4245</v>
      </c>
      <c r="B4246" s="3" t="s">
        <v>14460</v>
      </c>
      <c r="C4246" s="2" t="s">
        <v>14461</v>
      </c>
      <c r="D4246" s="2">
        <v>42</v>
      </c>
      <c r="E4246" s="2">
        <v>42</v>
      </c>
      <c r="F4246" s="2" t="s">
        <v>14462</v>
      </c>
      <c r="H4246" s="2" t="s">
        <v>17</v>
      </c>
      <c r="K4246" s="4">
        <v>5846</v>
      </c>
      <c r="M4246" s="2" t="s">
        <v>170</v>
      </c>
      <c r="N4246" s="2" t="s">
        <v>3958</v>
      </c>
    </row>
    <row r="4247" spans="1:14">
      <c r="A4247" s="2">
        <v>4246</v>
      </c>
      <c r="B4247" s="3" t="s">
        <v>14463</v>
      </c>
      <c r="C4247" s="2" t="s">
        <v>14464</v>
      </c>
      <c r="D4247" s="2">
        <v>42</v>
      </c>
      <c r="E4247" s="2">
        <v>42</v>
      </c>
      <c r="F4247" s="2" t="s">
        <v>14465</v>
      </c>
      <c r="H4247" s="2" t="s">
        <v>17</v>
      </c>
      <c r="K4247" s="4">
        <v>10032</v>
      </c>
      <c r="L4247" s="4">
        <v>35930</v>
      </c>
      <c r="M4247" s="2" t="s">
        <v>85</v>
      </c>
      <c r="N4247" s="2" t="s">
        <v>1868</v>
      </c>
    </row>
    <row r="4248" spans="1:14">
      <c r="A4248" s="2">
        <v>4247</v>
      </c>
      <c r="B4248" s="3" t="s">
        <v>14466</v>
      </c>
      <c r="C4248" s="2" t="s">
        <v>14467</v>
      </c>
      <c r="D4248" s="2">
        <v>42</v>
      </c>
      <c r="E4248" s="2">
        <v>42</v>
      </c>
      <c r="F4248" s="2" t="s">
        <v>14468</v>
      </c>
      <c r="H4248" s="2" t="s">
        <v>17</v>
      </c>
      <c r="K4248" s="4">
        <v>8104</v>
      </c>
      <c r="L4248" s="4">
        <v>37147</v>
      </c>
      <c r="M4248" s="2" t="s">
        <v>40</v>
      </c>
      <c r="N4248" s="2" t="s">
        <v>41</v>
      </c>
    </row>
    <row r="4249" spans="1:14">
      <c r="A4249" s="2">
        <v>4248</v>
      </c>
      <c r="B4249" s="3" t="s">
        <v>14469</v>
      </c>
      <c r="C4249" s="2" t="s">
        <v>14470</v>
      </c>
      <c r="D4249" s="2">
        <v>42</v>
      </c>
      <c r="E4249" s="2">
        <v>42</v>
      </c>
      <c r="F4249" s="2" t="s">
        <v>14471</v>
      </c>
      <c r="H4249" s="2" t="s">
        <v>17</v>
      </c>
      <c r="K4249" s="4">
        <v>5526</v>
      </c>
      <c r="L4249" s="4">
        <v>36351</v>
      </c>
      <c r="M4249" s="2" t="s">
        <v>198</v>
      </c>
      <c r="N4249" s="2" t="s">
        <v>10139</v>
      </c>
    </row>
    <row r="4250" spans="1:14">
      <c r="A4250" s="2">
        <v>4249</v>
      </c>
      <c r="B4250" s="3" t="s">
        <v>14472</v>
      </c>
      <c r="C4250" s="2" t="s">
        <v>14473</v>
      </c>
      <c r="D4250" s="2">
        <v>39</v>
      </c>
      <c r="E4250" s="2">
        <v>42</v>
      </c>
      <c r="F4250" s="2" t="s">
        <v>14474</v>
      </c>
      <c r="H4250" s="2" t="s">
        <v>17</v>
      </c>
      <c r="K4250" s="4" t="s">
        <v>14475</v>
      </c>
      <c r="L4250" s="4">
        <v>24112</v>
      </c>
      <c r="M4250" s="2" t="s">
        <v>91</v>
      </c>
    </row>
    <row r="4251" spans="1:14">
      <c r="A4251" s="2">
        <v>4250</v>
      </c>
      <c r="B4251" s="3" t="s">
        <v>14476</v>
      </c>
      <c r="C4251" s="2" t="s">
        <v>14477</v>
      </c>
      <c r="D4251" s="2">
        <v>42</v>
      </c>
      <c r="E4251" s="2">
        <v>42</v>
      </c>
      <c r="F4251" s="2" t="s">
        <v>14478</v>
      </c>
      <c r="H4251" s="2" t="s">
        <v>17</v>
      </c>
      <c r="K4251" s="4">
        <v>3718</v>
      </c>
      <c r="L4251" s="4">
        <v>41443</v>
      </c>
      <c r="M4251" s="2" t="s">
        <v>47</v>
      </c>
      <c r="N4251" s="2" t="s">
        <v>1181</v>
      </c>
    </row>
    <row r="4252" spans="1:14">
      <c r="A4252" s="2">
        <v>4251</v>
      </c>
      <c r="B4252" s="3" t="s">
        <v>14479</v>
      </c>
      <c r="C4252" s="2" t="s">
        <v>14480</v>
      </c>
      <c r="D4252" s="2">
        <v>41</v>
      </c>
      <c r="E4252" s="2">
        <v>42</v>
      </c>
      <c r="F4252" s="2" t="s">
        <v>14481</v>
      </c>
      <c r="H4252" s="2" t="s">
        <v>17</v>
      </c>
      <c r="K4252" s="4">
        <v>3730</v>
      </c>
      <c r="L4252" s="4">
        <v>31063</v>
      </c>
      <c r="M4252" s="2" t="s">
        <v>35</v>
      </c>
      <c r="N4252" s="2" t="s">
        <v>1462</v>
      </c>
    </row>
    <row r="4253" spans="1:14">
      <c r="A4253" s="2">
        <v>4252</v>
      </c>
      <c r="B4253" s="3" t="s">
        <v>14482</v>
      </c>
      <c r="C4253" s="2" t="s">
        <v>14483</v>
      </c>
      <c r="D4253" s="2">
        <v>42</v>
      </c>
      <c r="E4253" s="2">
        <v>42</v>
      </c>
      <c r="F4253" s="2" t="s">
        <v>14484</v>
      </c>
      <c r="H4253" s="2" t="s">
        <v>17</v>
      </c>
      <c r="K4253" s="4">
        <v>9730</v>
      </c>
      <c r="L4253" s="4">
        <v>36214</v>
      </c>
      <c r="M4253" s="2" t="s">
        <v>66</v>
      </c>
      <c r="N4253" s="2" t="s">
        <v>6963</v>
      </c>
    </row>
    <row r="4254" spans="1:14">
      <c r="A4254" s="2">
        <v>4253</v>
      </c>
      <c r="B4254" s="3" t="s">
        <v>14485</v>
      </c>
      <c r="C4254" s="2" t="s">
        <v>14486</v>
      </c>
      <c r="D4254" s="2">
        <v>42</v>
      </c>
      <c r="E4254" s="2">
        <v>42</v>
      </c>
      <c r="F4254" s="2" t="s">
        <v>14487</v>
      </c>
      <c r="H4254" s="2" t="s">
        <v>17</v>
      </c>
      <c r="K4254" s="4" t="s">
        <v>14488</v>
      </c>
      <c r="L4254" s="4">
        <v>27890</v>
      </c>
      <c r="M4254" s="2" t="s">
        <v>140</v>
      </c>
      <c r="N4254" s="2" t="s">
        <v>294</v>
      </c>
    </row>
    <row r="4255" spans="1:14">
      <c r="A4255" s="2">
        <v>4254</v>
      </c>
      <c r="B4255" s="3" t="s">
        <v>14489</v>
      </c>
      <c r="C4255" s="2" t="s">
        <v>14490</v>
      </c>
      <c r="D4255" s="2">
        <v>42</v>
      </c>
      <c r="E4255" s="2">
        <v>42</v>
      </c>
      <c r="F4255" s="2" t="s">
        <v>14491</v>
      </c>
      <c r="H4255" s="2" t="s">
        <v>17</v>
      </c>
      <c r="K4255" s="4">
        <v>3733</v>
      </c>
      <c r="L4255" s="4">
        <v>25728</v>
      </c>
      <c r="M4255" s="2" t="s">
        <v>47</v>
      </c>
      <c r="N4255" s="2" t="s">
        <v>4440</v>
      </c>
    </row>
    <row r="4256" spans="1:14">
      <c r="A4256" s="2">
        <v>4255</v>
      </c>
      <c r="B4256" s="3" t="s">
        <v>14492</v>
      </c>
      <c r="C4256" s="2" t="s">
        <v>14493</v>
      </c>
      <c r="D4256" s="2">
        <v>42</v>
      </c>
      <c r="E4256" s="2">
        <v>42</v>
      </c>
      <c r="F4256" s="2" t="s">
        <v>14494</v>
      </c>
      <c r="H4256" s="2" t="s">
        <v>17</v>
      </c>
      <c r="K4256" s="4">
        <v>10252</v>
      </c>
      <c r="L4256" s="4">
        <v>40279</v>
      </c>
      <c r="M4256" s="2" t="s">
        <v>146</v>
      </c>
      <c r="N4256" s="2" t="s">
        <v>8637</v>
      </c>
    </row>
    <row r="4257" spans="1:14">
      <c r="A4257" s="2">
        <v>4256</v>
      </c>
      <c r="B4257" s="3" t="s">
        <v>14495</v>
      </c>
      <c r="C4257" s="2" t="s">
        <v>14496</v>
      </c>
      <c r="D4257" s="2">
        <v>42</v>
      </c>
      <c r="E4257" s="2">
        <v>42</v>
      </c>
      <c r="F4257" s="2" t="s">
        <v>14497</v>
      </c>
      <c r="H4257" s="2" t="s">
        <v>17</v>
      </c>
      <c r="K4257" s="4">
        <v>11137</v>
      </c>
      <c r="L4257" s="4">
        <v>40239</v>
      </c>
      <c r="M4257" s="2" t="s">
        <v>170</v>
      </c>
      <c r="N4257" s="2" t="s">
        <v>2533</v>
      </c>
    </row>
    <row r="4258" spans="1:14">
      <c r="A4258" s="2">
        <v>4257</v>
      </c>
      <c r="B4258" s="3" t="s">
        <v>14498</v>
      </c>
      <c r="C4258" s="2" t="s">
        <v>14499</v>
      </c>
      <c r="D4258" s="2">
        <v>42</v>
      </c>
      <c r="E4258" s="2">
        <v>42</v>
      </c>
      <c r="F4258" s="2" t="s">
        <v>14500</v>
      </c>
      <c r="H4258" s="2" t="s">
        <v>17</v>
      </c>
      <c r="K4258" s="4">
        <v>6229</v>
      </c>
      <c r="L4258" s="4">
        <v>36481</v>
      </c>
      <c r="M4258" s="2" t="s">
        <v>47</v>
      </c>
      <c r="N4258" s="2" t="s">
        <v>48</v>
      </c>
    </row>
    <row r="4259" spans="1:14">
      <c r="A4259" s="2">
        <v>4258</v>
      </c>
      <c r="B4259" s="3" t="s">
        <v>14501</v>
      </c>
      <c r="C4259" s="2" t="s">
        <v>14502</v>
      </c>
      <c r="D4259" s="2">
        <v>42</v>
      </c>
      <c r="E4259" s="2">
        <v>42</v>
      </c>
      <c r="F4259" s="2" t="s">
        <v>14503</v>
      </c>
      <c r="H4259" s="2" t="s">
        <v>17</v>
      </c>
      <c r="K4259" s="4">
        <v>5642</v>
      </c>
      <c r="L4259" s="4">
        <v>24165</v>
      </c>
      <c r="M4259" s="2" t="s">
        <v>192</v>
      </c>
      <c r="N4259" s="2" t="s">
        <v>3113</v>
      </c>
    </row>
    <row r="4260" spans="1:14">
      <c r="A4260" s="2">
        <v>4259</v>
      </c>
      <c r="B4260" s="3" t="s">
        <v>14504</v>
      </c>
      <c r="C4260" s="2" t="s">
        <v>14505</v>
      </c>
      <c r="D4260" s="2">
        <v>42</v>
      </c>
      <c r="E4260" s="2">
        <v>42</v>
      </c>
      <c r="F4260" s="2" t="s">
        <v>14506</v>
      </c>
      <c r="H4260" s="2" t="s">
        <v>17</v>
      </c>
      <c r="K4260" s="4">
        <v>10281</v>
      </c>
      <c r="L4260" s="4">
        <v>40013</v>
      </c>
      <c r="M4260" s="2" t="s">
        <v>30</v>
      </c>
      <c r="N4260" s="2" t="s">
        <v>31</v>
      </c>
    </row>
    <row r="4261" spans="1:14">
      <c r="A4261" s="2">
        <v>4260</v>
      </c>
      <c r="B4261" s="3" t="s">
        <v>14507</v>
      </c>
      <c r="C4261" s="2" t="s">
        <v>14508</v>
      </c>
      <c r="D4261" s="2">
        <v>41</v>
      </c>
      <c r="E4261" s="2">
        <v>42</v>
      </c>
      <c r="F4261" s="2" t="s">
        <v>14509</v>
      </c>
      <c r="H4261" s="2" t="s">
        <v>17</v>
      </c>
      <c r="K4261" s="4">
        <v>5866</v>
      </c>
      <c r="L4261" s="4">
        <v>35489</v>
      </c>
      <c r="M4261" s="2" t="s">
        <v>66</v>
      </c>
      <c r="N4261" s="2" t="s">
        <v>14510</v>
      </c>
    </row>
    <row r="4262" spans="1:14">
      <c r="A4262" s="2">
        <v>4261</v>
      </c>
      <c r="B4262" s="3" t="s">
        <v>14511</v>
      </c>
      <c r="C4262" s="2" t="s">
        <v>14512</v>
      </c>
      <c r="D4262" s="2">
        <v>42</v>
      </c>
      <c r="E4262" s="2">
        <v>42</v>
      </c>
      <c r="F4262" s="2" t="s">
        <v>14513</v>
      </c>
      <c r="H4262" s="2" t="s">
        <v>17</v>
      </c>
      <c r="K4262" s="4">
        <v>5735</v>
      </c>
      <c r="L4262" s="4">
        <v>30047</v>
      </c>
      <c r="M4262" s="2" t="s">
        <v>40</v>
      </c>
      <c r="N4262" s="2" t="s">
        <v>9352</v>
      </c>
    </row>
    <row r="4263" spans="1:14">
      <c r="A4263" s="2">
        <v>4262</v>
      </c>
      <c r="B4263" s="3" t="s">
        <v>14514</v>
      </c>
      <c r="C4263" s="2" t="s">
        <v>14515</v>
      </c>
      <c r="D4263" s="2">
        <v>41</v>
      </c>
      <c r="E4263" s="2">
        <v>42</v>
      </c>
      <c r="F4263" s="2" t="s">
        <v>14516</v>
      </c>
      <c r="H4263" s="2" t="s">
        <v>17</v>
      </c>
      <c r="K4263" s="4" t="s">
        <v>14517</v>
      </c>
      <c r="L4263" s="4">
        <v>29712</v>
      </c>
      <c r="M4263" s="2" t="s">
        <v>170</v>
      </c>
    </row>
    <row r="4264" spans="1:14">
      <c r="A4264" s="2">
        <v>4263</v>
      </c>
      <c r="B4264" s="3" t="s">
        <v>14518</v>
      </c>
      <c r="C4264" s="2" t="s">
        <v>14519</v>
      </c>
      <c r="D4264" s="2">
        <v>42</v>
      </c>
      <c r="E4264" s="2">
        <v>42</v>
      </c>
      <c r="F4264" s="2" t="s">
        <v>14520</v>
      </c>
      <c r="H4264" s="2" t="s">
        <v>17</v>
      </c>
      <c r="K4264" s="4">
        <v>8400</v>
      </c>
      <c r="M4264" s="2" t="s">
        <v>185</v>
      </c>
      <c r="N4264" s="2" t="s">
        <v>838</v>
      </c>
    </row>
    <row r="4265" spans="1:14">
      <c r="A4265" s="2">
        <v>4264</v>
      </c>
      <c r="B4265" s="3" t="s">
        <v>14521</v>
      </c>
      <c r="C4265" s="2" t="s">
        <v>14522</v>
      </c>
      <c r="D4265" s="2">
        <v>42</v>
      </c>
      <c r="E4265" s="2">
        <v>42</v>
      </c>
      <c r="F4265" s="2" t="s">
        <v>14523</v>
      </c>
      <c r="H4265" s="2" t="s">
        <v>17</v>
      </c>
      <c r="K4265" s="4">
        <v>12550</v>
      </c>
      <c r="L4265" s="4">
        <v>41102</v>
      </c>
      <c r="M4265" s="2" t="s">
        <v>53</v>
      </c>
      <c r="N4265" s="2" t="s">
        <v>1697</v>
      </c>
    </row>
    <row r="4266" spans="1:14">
      <c r="A4266" s="2">
        <v>4265</v>
      </c>
      <c r="B4266" s="3" t="s">
        <v>14524</v>
      </c>
      <c r="C4266" s="2" t="s">
        <v>14525</v>
      </c>
      <c r="D4266" s="2">
        <v>42</v>
      </c>
      <c r="E4266" s="2">
        <v>42</v>
      </c>
      <c r="F4266" s="2" t="s">
        <v>14526</v>
      </c>
      <c r="H4266" s="2" t="s">
        <v>17</v>
      </c>
      <c r="K4266" s="4">
        <v>9439</v>
      </c>
      <c r="L4266" s="4">
        <v>44174</v>
      </c>
      <c r="M4266" s="2" t="s">
        <v>30</v>
      </c>
      <c r="N4266" s="2" t="s">
        <v>31</v>
      </c>
    </row>
    <row r="4267" spans="1:14">
      <c r="A4267" s="2">
        <v>4266</v>
      </c>
      <c r="B4267" s="3" t="s">
        <v>14527</v>
      </c>
      <c r="C4267" s="2" t="s">
        <v>14528</v>
      </c>
      <c r="D4267" s="2">
        <v>42</v>
      </c>
      <c r="E4267" s="2">
        <v>42</v>
      </c>
      <c r="F4267" s="2" t="s">
        <v>14529</v>
      </c>
      <c r="H4267" s="2" t="s">
        <v>17</v>
      </c>
      <c r="K4267" s="4">
        <v>8597</v>
      </c>
      <c r="L4267" s="4">
        <v>37209</v>
      </c>
      <c r="M4267" s="2" t="s">
        <v>47</v>
      </c>
      <c r="N4267" s="2" t="s">
        <v>48</v>
      </c>
    </row>
    <row r="4268" spans="1:14">
      <c r="A4268" s="2">
        <v>4267</v>
      </c>
      <c r="B4268" s="3" t="s">
        <v>14530</v>
      </c>
      <c r="C4268" s="2" t="s">
        <v>14531</v>
      </c>
      <c r="D4268" s="2">
        <v>41</v>
      </c>
      <c r="E4268" s="2">
        <v>42</v>
      </c>
      <c r="F4268" s="2" t="s">
        <v>14532</v>
      </c>
      <c r="H4268" s="2" t="s">
        <v>17</v>
      </c>
      <c r="K4268" s="4">
        <v>9366</v>
      </c>
      <c r="L4268" s="4">
        <v>33667</v>
      </c>
      <c r="M4268" s="2" t="s">
        <v>170</v>
      </c>
    </row>
    <row r="4269" spans="1:14">
      <c r="A4269" s="2">
        <v>4268</v>
      </c>
      <c r="B4269" s="3" t="s">
        <v>14533</v>
      </c>
      <c r="C4269" s="2" t="s">
        <v>14534</v>
      </c>
      <c r="D4269" s="2">
        <v>41</v>
      </c>
      <c r="E4269" s="2">
        <v>42</v>
      </c>
      <c r="F4269" s="2" t="s">
        <v>14535</v>
      </c>
      <c r="H4269" s="2" t="s">
        <v>17</v>
      </c>
      <c r="K4269" s="4">
        <v>9346</v>
      </c>
      <c r="L4269" s="4">
        <v>34937</v>
      </c>
      <c r="M4269" s="2" t="s">
        <v>198</v>
      </c>
      <c r="N4269" s="2" t="s">
        <v>199</v>
      </c>
    </row>
    <row r="4270" spans="1:14">
      <c r="A4270" s="2">
        <v>4269</v>
      </c>
      <c r="B4270" s="3" t="s">
        <v>14536</v>
      </c>
      <c r="C4270" s="2" t="s">
        <v>14537</v>
      </c>
      <c r="D4270" s="2">
        <v>42</v>
      </c>
      <c r="E4270" s="2">
        <v>42</v>
      </c>
      <c r="F4270" s="2" t="s">
        <v>14538</v>
      </c>
      <c r="H4270" s="2" t="s">
        <v>17</v>
      </c>
      <c r="K4270" s="4">
        <v>9303</v>
      </c>
      <c r="L4270" s="4">
        <v>43282</v>
      </c>
      <c r="M4270" s="2" t="s">
        <v>40</v>
      </c>
      <c r="N4270" s="2" t="s">
        <v>10416</v>
      </c>
    </row>
    <row r="4271" spans="1:14">
      <c r="A4271" s="2">
        <v>4270</v>
      </c>
      <c r="B4271" s="3" t="s">
        <v>14539</v>
      </c>
      <c r="C4271" s="2" t="s">
        <v>14540</v>
      </c>
      <c r="D4271" s="2">
        <v>38</v>
      </c>
      <c r="E4271" s="2">
        <v>42</v>
      </c>
      <c r="F4271" s="2" t="s">
        <v>14541</v>
      </c>
      <c r="H4271" s="2" t="s">
        <v>17</v>
      </c>
      <c r="K4271" s="4">
        <v>779</v>
      </c>
      <c r="L4271" s="4">
        <v>30017</v>
      </c>
      <c r="M4271" s="2" t="s">
        <v>969</v>
      </c>
      <c r="N4271" s="2" t="s">
        <v>323</v>
      </c>
    </row>
    <row r="4272" spans="1:14">
      <c r="A4272" s="2">
        <v>4271</v>
      </c>
      <c r="B4272" s="3" t="s">
        <v>14542</v>
      </c>
      <c r="C4272" s="2" t="s">
        <v>14543</v>
      </c>
      <c r="D4272" s="2">
        <v>40</v>
      </c>
      <c r="E4272" s="2">
        <v>42</v>
      </c>
      <c r="F4272" s="2" t="s">
        <v>14544</v>
      </c>
      <c r="H4272" s="2" t="s">
        <v>17</v>
      </c>
      <c r="K4272" s="4">
        <v>6327</v>
      </c>
      <c r="L4272" s="4">
        <v>41396</v>
      </c>
      <c r="M4272" s="2" t="s">
        <v>40</v>
      </c>
      <c r="N4272" s="2" t="s">
        <v>41</v>
      </c>
    </row>
    <row r="4273" spans="1:14">
      <c r="A4273" s="2">
        <v>4272</v>
      </c>
      <c r="B4273" s="3" t="s">
        <v>14545</v>
      </c>
      <c r="C4273" s="2" t="s">
        <v>14546</v>
      </c>
      <c r="D4273" s="2">
        <v>42</v>
      </c>
      <c r="E4273" s="2">
        <v>42</v>
      </c>
      <c r="F4273" s="2" t="s">
        <v>14547</v>
      </c>
      <c r="H4273" s="2" t="s">
        <v>17</v>
      </c>
      <c r="K4273" s="4">
        <v>3576</v>
      </c>
      <c r="L4273" s="4">
        <v>29058</v>
      </c>
      <c r="M4273" s="2" t="s">
        <v>35</v>
      </c>
      <c r="N4273" s="2" t="s">
        <v>2996</v>
      </c>
    </row>
    <row r="4274" spans="1:14">
      <c r="A4274" s="2">
        <v>4273</v>
      </c>
      <c r="B4274" s="3" t="s">
        <v>14548</v>
      </c>
      <c r="C4274" s="2" t="s">
        <v>14549</v>
      </c>
      <c r="D4274" s="2">
        <v>38</v>
      </c>
      <c r="E4274" s="2">
        <v>42</v>
      </c>
      <c r="F4274" s="2" t="s">
        <v>14550</v>
      </c>
      <c r="H4274" s="2" t="s">
        <v>17</v>
      </c>
      <c r="K4274" s="4">
        <v>3955</v>
      </c>
      <c r="L4274" s="4">
        <v>37616</v>
      </c>
      <c r="M4274" s="2" t="s">
        <v>47</v>
      </c>
      <c r="N4274" s="2" t="s">
        <v>442</v>
      </c>
    </row>
    <row r="4275" spans="1:14">
      <c r="A4275" s="2">
        <v>4274</v>
      </c>
      <c r="B4275" s="3" t="s">
        <v>14551</v>
      </c>
      <c r="C4275" s="2" t="s">
        <v>14552</v>
      </c>
      <c r="D4275" s="2">
        <v>42</v>
      </c>
      <c r="E4275" s="2">
        <v>42</v>
      </c>
      <c r="F4275" s="2" t="s">
        <v>14553</v>
      </c>
      <c r="H4275" s="2" t="s">
        <v>17</v>
      </c>
      <c r="K4275" s="4">
        <v>8078</v>
      </c>
      <c r="L4275" s="4">
        <v>33057</v>
      </c>
      <c r="M4275" s="2" t="s">
        <v>170</v>
      </c>
      <c r="N4275" s="2" t="s">
        <v>1154</v>
      </c>
    </row>
    <row r="4276" spans="1:14">
      <c r="A4276" s="2">
        <v>4275</v>
      </c>
      <c r="B4276" s="3" t="s">
        <v>14554</v>
      </c>
      <c r="C4276" s="2" t="s">
        <v>14555</v>
      </c>
      <c r="D4276" s="2">
        <v>40</v>
      </c>
      <c r="E4276" s="2">
        <v>42</v>
      </c>
      <c r="F4276" s="2" t="s">
        <v>14556</v>
      </c>
      <c r="H4276" s="2" t="s">
        <v>17</v>
      </c>
      <c r="K4276" s="4">
        <v>6719</v>
      </c>
      <c r="L4276" s="4">
        <v>35957</v>
      </c>
      <c r="M4276" s="2" t="s">
        <v>76</v>
      </c>
      <c r="N4276" s="2" t="s">
        <v>8624</v>
      </c>
    </row>
    <row r="4277" spans="1:14">
      <c r="A4277" s="2">
        <v>4276</v>
      </c>
      <c r="B4277" s="3" t="s">
        <v>14557</v>
      </c>
      <c r="C4277" s="2" t="s">
        <v>14558</v>
      </c>
      <c r="D4277" s="2">
        <v>41</v>
      </c>
      <c r="E4277" s="2">
        <v>42</v>
      </c>
      <c r="F4277" s="2" t="s">
        <v>14559</v>
      </c>
      <c r="H4277" s="2" t="s">
        <v>17</v>
      </c>
      <c r="K4277" s="4">
        <v>6675</v>
      </c>
      <c r="L4277" s="4">
        <v>37989</v>
      </c>
      <c r="M4277" s="2" t="s">
        <v>969</v>
      </c>
      <c r="N4277" s="2" t="s">
        <v>323</v>
      </c>
    </row>
    <row r="4278" spans="1:14">
      <c r="A4278" s="2">
        <v>4277</v>
      </c>
      <c r="B4278" s="3" t="s">
        <v>14560</v>
      </c>
      <c r="C4278" s="2" t="s">
        <v>14561</v>
      </c>
      <c r="D4278" s="2">
        <v>41</v>
      </c>
      <c r="E4278" s="2">
        <v>42</v>
      </c>
      <c r="F4278" s="2" t="s">
        <v>14562</v>
      </c>
      <c r="H4278" s="2" t="s">
        <v>17</v>
      </c>
      <c r="K4278" s="4">
        <v>2087</v>
      </c>
      <c r="L4278" s="4">
        <v>29573</v>
      </c>
      <c r="M4278" s="2" t="s">
        <v>66</v>
      </c>
      <c r="N4278" s="2" t="s">
        <v>12230</v>
      </c>
    </row>
    <row r="4279" spans="1:14">
      <c r="A4279" s="2">
        <v>4278</v>
      </c>
      <c r="B4279" s="3" t="s">
        <v>14563</v>
      </c>
      <c r="C4279" s="2" t="s">
        <v>14564</v>
      </c>
      <c r="D4279" s="2">
        <v>38</v>
      </c>
      <c r="E4279" s="2">
        <v>42</v>
      </c>
      <c r="F4279" s="2" t="s">
        <v>14565</v>
      </c>
      <c r="H4279" s="2" t="s">
        <v>17</v>
      </c>
      <c r="K4279" s="4">
        <v>1355</v>
      </c>
      <c r="L4279" s="4">
        <v>32427</v>
      </c>
      <c r="M4279" s="2" t="s">
        <v>47</v>
      </c>
      <c r="N4279" s="2" t="s">
        <v>4050</v>
      </c>
    </row>
    <row r="4280" spans="1:14">
      <c r="A4280" s="2">
        <v>4279</v>
      </c>
      <c r="B4280" s="3" t="s">
        <v>14566</v>
      </c>
      <c r="C4280" s="2" t="s">
        <v>14567</v>
      </c>
      <c r="D4280" s="2">
        <v>37</v>
      </c>
      <c r="E4280" s="2">
        <v>42</v>
      </c>
      <c r="F4280" s="2" t="s">
        <v>14568</v>
      </c>
      <c r="H4280" s="2" t="s">
        <v>17</v>
      </c>
      <c r="K4280" s="4" t="s">
        <v>14569</v>
      </c>
      <c r="L4280" s="4">
        <v>32037</v>
      </c>
      <c r="M4280" s="2" t="s">
        <v>198</v>
      </c>
      <c r="N4280" s="2" t="s">
        <v>1284</v>
      </c>
    </row>
    <row r="4281" spans="1:14">
      <c r="A4281" s="2">
        <v>4280</v>
      </c>
      <c r="B4281" s="3" t="s">
        <v>14570</v>
      </c>
      <c r="C4281" s="2" t="s">
        <v>14571</v>
      </c>
      <c r="D4281" s="2">
        <v>42</v>
      </c>
      <c r="E4281" s="2">
        <v>42</v>
      </c>
      <c r="F4281" s="2" t="s">
        <v>14572</v>
      </c>
      <c r="H4281" s="2" t="s">
        <v>17</v>
      </c>
      <c r="K4281" s="4">
        <v>7295</v>
      </c>
      <c r="L4281" s="4">
        <v>36816</v>
      </c>
      <c r="M4281" s="2" t="s">
        <v>40</v>
      </c>
      <c r="N4281" s="2" t="s">
        <v>41</v>
      </c>
    </row>
    <row r="4282" spans="1:14">
      <c r="A4282" s="2">
        <v>4281</v>
      </c>
      <c r="B4282" s="3" t="s">
        <v>14573</v>
      </c>
      <c r="C4282" s="2" t="s">
        <v>14574</v>
      </c>
      <c r="D4282" s="2">
        <v>42</v>
      </c>
      <c r="E4282" s="2">
        <v>42</v>
      </c>
      <c r="F4282" s="2" t="s">
        <v>14575</v>
      </c>
      <c r="H4282" s="2" t="s">
        <v>17</v>
      </c>
      <c r="K4282" s="4">
        <v>7355</v>
      </c>
      <c r="M4282" s="2" t="s">
        <v>47</v>
      </c>
    </row>
    <row r="4283" spans="1:14">
      <c r="A4283" s="2">
        <v>4282</v>
      </c>
      <c r="B4283" s="3" t="s">
        <v>14576</v>
      </c>
      <c r="C4283" s="2" t="s">
        <v>7801</v>
      </c>
      <c r="D4283" s="2">
        <v>38</v>
      </c>
      <c r="E4283" s="2">
        <v>42</v>
      </c>
      <c r="F4283" s="2" t="s">
        <v>14577</v>
      </c>
      <c r="H4283" s="2" t="s">
        <v>17</v>
      </c>
      <c r="K4283" s="4">
        <v>1342</v>
      </c>
      <c r="L4283" s="4">
        <v>26017</v>
      </c>
      <c r="M4283" s="2" t="s">
        <v>40</v>
      </c>
      <c r="N4283" s="2" t="s">
        <v>2573</v>
      </c>
    </row>
    <row r="4284" spans="1:14">
      <c r="A4284" s="2">
        <v>4283</v>
      </c>
      <c r="B4284" s="3" t="s">
        <v>14578</v>
      </c>
      <c r="C4284" s="2" t="s">
        <v>7805</v>
      </c>
      <c r="D4284" s="2">
        <v>42</v>
      </c>
      <c r="E4284" s="2">
        <v>42</v>
      </c>
      <c r="F4284" s="2" t="s">
        <v>14579</v>
      </c>
      <c r="H4284" s="2" t="s">
        <v>17</v>
      </c>
      <c r="K4284" s="4">
        <v>5155</v>
      </c>
      <c r="L4284" s="4">
        <v>28311</v>
      </c>
      <c r="M4284" s="2" t="s">
        <v>154</v>
      </c>
      <c r="N4284" s="2" t="s">
        <v>14580</v>
      </c>
    </row>
    <row r="4285" spans="1:14">
      <c r="A4285" s="2">
        <v>4284</v>
      </c>
      <c r="B4285" s="3" t="s">
        <v>14581</v>
      </c>
      <c r="C4285" s="2" t="s">
        <v>14582</v>
      </c>
      <c r="D4285" s="2">
        <v>42</v>
      </c>
      <c r="E4285" s="2">
        <v>42</v>
      </c>
      <c r="F4285" s="2" t="s">
        <v>14583</v>
      </c>
      <c r="H4285" s="2" t="s">
        <v>17</v>
      </c>
      <c r="K4285" s="4">
        <v>8609</v>
      </c>
      <c r="M4285" s="2" t="s">
        <v>47</v>
      </c>
      <c r="N4285" s="2" t="s">
        <v>691</v>
      </c>
    </row>
    <row r="4286" spans="1:14">
      <c r="A4286" s="2">
        <v>4285</v>
      </c>
      <c r="B4286" s="3" t="s">
        <v>14584</v>
      </c>
      <c r="C4286" s="2" t="s">
        <v>14585</v>
      </c>
      <c r="D4286" s="2">
        <v>41</v>
      </c>
      <c r="E4286" s="2">
        <v>42</v>
      </c>
      <c r="F4286" s="2" t="s">
        <v>14586</v>
      </c>
      <c r="H4286" s="2" t="s">
        <v>17</v>
      </c>
      <c r="K4286" s="4">
        <v>6196</v>
      </c>
      <c r="L4286" s="4">
        <v>32128</v>
      </c>
      <c r="M4286" s="2" t="s">
        <v>198</v>
      </c>
      <c r="N4286" s="2" t="s">
        <v>199</v>
      </c>
    </row>
    <row r="4287" spans="1:14">
      <c r="A4287" s="2">
        <v>4286</v>
      </c>
      <c r="B4287" s="3" t="s">
        <v>14587</v>
      </c>
      <c r="C4287" s="2" t="s">
        <v>14588</v>
      </c>
      <c r="D4287" s="2">
        <v>42</v>
      </c>
      <c r="E4287" s="2">
        <v>42</v>
      </c>
      <c r="F4287" s="2" t="s">
        <v>14589</v>
      </c>
      <c r="H4287" s="2" t="s">
        <v>17</v>
      </c>
      <c r="K4287" s="4">
        <v>3903</v>
      </c>
      <c r="L4287" s="4">
        <v>24504</v>
      </c>
      <c r="M4287" s="2" t="s">
        <v>185</v>
      </c>
      <c r="N4287" s="2" t="s">
        <v>14590</v>
      </c>
    </row>
    <row r="4288" spans="1:14">
      <c r="A4288" s="2">
        <v>4287</v>
      </c>
      <c r="B4288" s="3" t="s">
        <v>14591</v>
      </c>
      <c r="C4288" s="2" t="s">
        <v>14592</v>
      </c>
      <c r="D4288" s="2">
        <v>42</v>
      </c>
      <c r="E4288" s="2">
        <v>42</v>
      </c>
      <c r="F4288" s="2" t="s">
        <v>14593</v>
      </c>
      <c r="H4288" s="2" t="s">
        <v>17</v>
      </c>
      <c r="K4288" s="4">
        <v>7643</v>
      </c>
      <c r="L4288" s="4">
        <v>40477</v>
      </c>
      <c r="M4288" s="2" t="s">
        <v>164</v>
      </c>
      <c r="N4288" s="2" t="s">
        <v>165</v>
      </c>
    </row>
    <row r="4289" spans="1:14">
      <c r="A4289" s="2">
        <v>4288</v>
      </c>
      <c r="B4289" s="3" t="s">
        <v>14594</v>
      </c>
      <c r="C4289" s="2" t="s">
        <v>14595</v>
      </c>
      <c r="D4289" s="2">
        <v>42</v>
      </c>
      <c r="E4289" s="2">
        <v>42</v>
      </c>
      <c r="F4289" s="2" t="s">
        <v>14596</v>
      </c>
      <c r="H4289" s="2" t="s">
        <v>17</v>
      </c>
      <c r="K4289" s="4">
        <v>5611</v>
      </c>
      <c r="L4289" s="4">
        <v>38887</v>
      </c>
      <c r="M4289" s="2" t="s">
        <v>91</v>
      </c>
      <c r="N4289" s="2" t="s">
        <v>14597</v>
      </c>
    </row>
    <row r="4290" spans="1:14">
      <c r="A4290" s="2">
        <v>4289</v>
      </c>
      <c r="B4290" s="3" t="s">
        <v>14598</v>
      </c>
      <c r="C4290" s="2" t="s">
        <v>14599</v>
      </c>
      <c r="D4290" s="2">
        <v>42</v>
      </c>
      <c r="E4290" s="2">
        <v>42</v>
      </c>
      <c r="F4290" s="2" t="s">
        <v>14600</v>
      </c>
      <c r="H4290" s="2" t="s">
        <v>17</v>
      </c>
      <c r="K4290" s="4">
        <v>6270</v>
      </c>
      <c r="L4290" s="4">
        <v>40352</v>
      </c>
      <c r="M4290" s="2" t="s">
        <v>47</v>
      </c>
      <c r="N4290" s="2" t="s">
        <v>9312</v>
      </c>
    </row>
    <row r="4291" spans="1:14">
      <c r="A4291" s="2">
        <v>4290</v>
      </c>
      <c r="B4291" s="3" t="s">
        <v>14601</v>
      </c>
      <c r="C4291" s="2" t="s">
        <v>14602</v>
      </c>
      <c r="D4291" s="2">
        <v>42</v>
      </c>
      <c r="E4291" s="2">
        <v>42</v>
      </c>
      <c r="F4291" s="2" t="s">
        <v>14603</v>
      </c>
      <c r="H4291" s="2" t="s">
        <v>17</v>
      </c>
      <c r="K4291" s="4">
        <v>10751</v>
      </c>
    </row>
    <row r="4292" spans="1:14">
      <c r="A4292" s="2">
        <v>4291</v>
      </c>
      <c r="B4292" s="3" t="s">
        <v>14604</v>
      </c>
      <c r="C4292" s="2" t="s">
        <v>14605</v>
      </c>
      <c r="D4292" s="2">
        <v>42</v>
      </c>
      <c r="E4292" s="2">
        <v>42</v>
      </c>
      <c r="F4292" s="2" t="s">
        <v>14606</v>
      </c>
      <c r="H4292" s="2" t="s">
        <v>17</v>
      </c>
    </row>
    <row r="4293" spans="1:14">
      <c r="A4293" s="2">
        <v>4292</v>
      </c>
      <c r="B4293" s="3" t="s">
        <v>14607</v>
      </c>
      <c r="C4293" s="2" t="s">
        <v>14608</v>
      </c>
      <c r="D4293" s="2">
        <v>42</v>
      </c>
      <c r="E4293" s="2">
        <v>42</v>
      </c>
      <c r="F4293" s="2" t="s">
        <v>14609</v>
      </c>
      <c r="H4293" s="2" t="s">
        <v>17</v>
      </c>
      <c r="K4293" s="4">
        <v>10624</v>
      </c>
      <c r="L4293" s="4">
        <v>36964</v>
      </c>
      <c r="M4293" s="2" t="s">
        <v>53</v>
      </c>
      <c r="N4293" s="2" t="s">
        <v>54</v>
      </c>
    </row>
    <row r="4294" spans="1:14">
      <c r="A4294" s="2">
        <v>4293</v>
      </c>
      <c r="B4294" s="3" t="s">
        <v>14610</v>
      </c>
      <c r="C4294" s="2" t="s">
        <v>5324</v>
      </c>
      <c r="D4294" s="2">
        <v>41</v>
      </c>
      <c r="E4294" s="2">
        <v>42</v>
      </c>
      <c r="F4294" s="2" t="s">
        <v>14611</v>
      </c>
      <c r="H4294" s="2" t="s">
        <v>17</v>
      </c>
      <c r="K4294" s="4">
        <v>4235</v>
      </c>
      <c r="L4294" s="4">
        <v>35982</v>
      </c>
      <c r="M4294" s="2" t="s">
        <v>35</v>
      </c>
      <c r="N4294" s="2" t="s">
        <v>9848</v>
      </c>
    </row>
    <row r="4295" spans="1:14">
      <c r="A4295" s="2">
        <v>4294</v>
      </c>
      <c r="B4295" s="3" t="s">
        <v>14612</v>
      </c>
      <c r="C4295" s="2" t="s">
        <v>14613</v>
      </c>
      <c r="D4295" s="2">
        <v>41</v>
      </c>
      <c r="E4295" s="2">
        <v>42</v>
      </c>
      <c r="F4295" s="2" t="s">
        <v>14614</v>
      </c>
      <c r="H4295" s="2" t="s">
        <v>17</v>
      </c>
      <c r="K4295" s="4">
        <v>10733</v>
      </c>
      <c r="M4295" s="2" t="s">
        <v>47</v>
      </c>
      <c r="N4295" s="2" t="s">
        <v>14615</v>
      </c>
    </row>
    <row r="4296" spans="1:14">
      <c r="A4296" s="2">
        <v>4295</v>
      </c>
      <c r="B4296" s="3" t="s">
        <v>14616</v>
      </c>
      <c r="C4296" s="2" t="s">
        <v>14617</v>
      </c>
      <c r="D4296" s="2">
        <v>42</v>
      </c>
      <c r="E4296" s="2">
        <v>42</v>
      </c>
      <c r="F4296" s="2" t="s">
        <v>14618</v>
      </c>
      <c r="H4296" s="2" t="s">
        <v>17</v>
      </c>
    </row>
    <row r="4297" spans="1:14">
      <c r="A4297" s="2">
        <v>4296</v>
      </c>
      <c r="B4297" s="3" t="s">
        <v>14619</v>
      </c>
      <c r="C4297" s="2" t="s">
        <v>14620</v>
      </c>
      <c r="D4297" s="2">
        <v>39</v>
      </c>
      <c r="E4297" s="2">
        <v>42</v>
      </c>
      <c r="F4297" s="2" t="s">
        <v>14621</v>
      </c>
      <c r="H4297" s="2" t="s">
        <v>17</v>
      </c>
      <c r="K4297" s="4">
        <v>4750</v>
      </c>
      <c r="L4297" s="4">
        <v>32452</v>
      </c>
      <c r="M4297" s="2" t="s">
        <v>40</v>
      </c>
      <c r="N4297" s="2" t="s">
        <v>41</v>
      </c>
    </row>
    <row r="4298" spans="1:14">
      <c r="A4298" s="2">
        <v>4297</v>
      </c>
      <c r="B4298" s="3" t="s">
        <v>14622</v>
      </c>
      <c r="C4298" s="2" t="s">
        <v>14623</v>
      </c>
      <c r="D4298" s="2">
        <v>41</v>
      </c>
      <c r="E4298" s="2">
        <v>42</v>
      </c>
      <c r="F4298" s="2" t="s">
        <v>14624</v>
      </c>
      <c r="H4298" s="2" t="s">
        <v>17</v>
      </c>
      <c r="K4298" s="4">
        <v>8163</v>
      </c>
      <c r="M4298" s="2" t="s">
        <v>185</v>
      </c>
      <c r="N4298" s="2" t="s">
        <v>838</v>
      </c>
    </row>
    <row r="4299" spans="1:14">
      <c r="A4299" s="2">
        <v>4298</v>
      </c>
      <c r="B4299" s="3" t="s">
        <v>14625</v>
      </c>
      <c r="C4299" s="2" t="s">
        <v>14626</v>
      </c>
      <c r="D4299" s="2">
        <v>40</v>
      </c>
      <c r="E4299" s="2">
        <v>42</v>
      </c>
      <c r="F4299" s="2" t="s">
        <v>14627</v>
      </c>
      <c r="H4299" s="2" t="s">
        <v>17</v>
      </c>
      <c r="K4299" s="4">
        <v>11072</v>
      </c>
      <c r="M4299" s="2" t="s">
        <v>185</v>
      </c>
      <c r="N4299" s="2" t="s">
        <v>3645</v>
      </c>
    </row>
    <row r="4300" spans="1:14">
      <c r="A4300" s="2">
        <v>4299</v>
      </c>
      <c r="B4300" s="3" t="s">
        <v>14628</v>
      </c>
      <c r="C4300" s="2" t="s">
        <v>14629</v>
      </c>
      <c r="D4300" s="2">
        <v>42</v>
      </c>
      <c r="E4300" s="2">
        <v>42</v>
      </c>
      <c r="F4300" s="2" t="s">
        <v>14630</v>
      </c>
      <c r="H4300" s="2" t="s">
        <v>17</v>
      </c>
      <c r="K4300" s="4" t="s">
        <v>14631</v>
      </c>
      <c r="L4300" s="4">
        <v>27593</v>
      </c>
      <c r="M4300" s="2" t="s">
        <v>85</v>
      </c>
      <c r="N4300" s="2" t="s">
        <v>7960</v>
      </c>
    </row>
    <row r="4301" spans="1:14">
      <c r="A4301" s="2">
        <v>4300</v>
      </c>
      <c r="B4301" s="3" t="s">
        <v>14632</v>
      </c>
      <c r="C4301" s="2" t="s">
        <v>14633</v>
      </c>
      <c r="D4301" s="2">
        <v>40</v>
      </c>
      <c r="E4301" s="2">
        <v>42</v>
      </c>
      <c r="F4301" s="2" t="s">
        <v>14634</v>
      </c>
      <c r="H4301" s="2" t="s">
        <v>17</v>
      </c>
      <c r="K4301" s="4">
        <v>5600</v>
      </c>
      <c r="M4301" s="2" t="s">
        <v>76</v>
      </c>
      <c r="N4301" s="2" t="s">
        <v>906</v>
      </c>
    </row>
    <row r="4302" spans="1:14">
      <c r="A4302" s="2">
        <v>4301</v>
      </c>
      <c r="B4302" s="3" t="s">
        <v>14635</v>
      </c>
      <c r="C4302" s="2" t="s">
        <v>14636</v>
      </c>
      <c r="D4302" s="2">
        <v>41</v>
      </c>
      <c r="E4302" s="2">
        <v>42</v>
      </c>
      <c r="F4302" s="2" t="s">
        <v>14637</v>
      </c>
      <c r="H4302" s="2" t="s">
        <v>17</v>
      </c>
      <c r="K4302" s="4">
        <v>10754</v>
      </c>
      <c r="L4302" s="4">
        <v>40146</v>
      </c>
      <c r="M4302" s="2" t="s">
        <v>198</v>
      </c>
      <c r="N4302" s="2" t="s">
        <v>14638</v>
      </c>
    </row>
    <row r="4303" spans="1:14">
      <c r="A4303" s="2">
        <v>4302</v>
      </c>
      <c r="B4303" s="3" t="s">
        <v>14639</v>
      </c>
      <c r="C4303" s="2" t="s">
        <v>14640</v>
      </c>
      <c r="D4303" s="2">
        <v>41</v>
      </c>
      <c r="E4303" s="2">
        <v>42</v>
      </c>
      <c r="F4303" s="2" t="s">
        <v>14641</v>
      </c>
      <c r="H4303" s="2" t="s">
        <v>17</v>
      </c>
      <c r="K4303" s="4">
        <v>4645</v>
      </c>
      <c r="L4303" s="4">
        <v>27668</v>
      </c>
      <c r="M4303" s="2" t="s">
        <v>140</v>
      </c>
      <c r="N4303" s="2" t="s">
        <v>3352</v>
      </c>
    </row>
    <row r="4304" spans="1:14">
      <c r="A4304" s="2">
        <v>4303</v>
      </c>
      <c r="B4304" s="3" t="s">
        <v>14642</v>
      </c>
      <c r="C4304" s="2" t="s">
        <v>14643</v>
      </c>
      <c r="D4304" s="2">
        <v>40</v>
      </c>
      <c r="E4304" s="2">
        <v>42</v>
      </c>
      <c r="F4304" s="2" t="s">
        <v>14644</v>
      </c>
      <c r="H4304" s="2" t="s">
        <v>17</v>
      </c>
      <c r="K4304" s="4">
        <v>8058</v>
      </c>
      <c r="L4304" s="4">
        <v>38159</v>
      </c>
      <c r="M4304" s="2" t="s">
        <v>66</v>
      </c>
      <c r="N4304" s="2" t="s">
        <v>1693</v>
      </c>
    </row>
    <row r="4305" spans="1:14">
      <c r="A4305" s="2">
        <v>4304</v>
      </c>
      <c r="B4305" s="3" t="s">
        <v>14645</v>
      </c>
      <c r="C4305" s="2" t="s">
        <v>14646</v>
      </c>
      <c r="D4305" s="2">
        <v>38</v>
      </c>
      <c r="E4305" s="2">
        <v>42</v>
      </c>
      <c r="F4305" s="2" t="s">
        <v>14647</v>
      </c>
      <c r="H4305" s="2" t="s">
        <v>17</v>
      </c>
      <c r="K4305" s="4">
        <v>1004</v>
      </c>
      <c r="L4305" s="4">
        <v>30321</v>
      </c>
      <c r="M4305" s="2" t="s">
        <v>35</v>
      </c>
      <c r="N4305" s="2" t="s">
        <v>3806</v>
      </c>
    </row>
    <row r="4306" spans="1:14">
      <c r="A4306" s="2">
        <v>4305</v>
      </c>
      <c r="B4306" s="3" t="s">
        <v>14648</v>
      </c>
      <c r="C4306" s="2" t="s">
        <v>14649</v>
      </c>
      <c r="D4306" s="2">
        <v>40</v>
      </c>
      <c r="E4306" s="2">
        <v>42</v>
      </c>
      <c r="F4306" s="2" t="s">
        <v>14650</v>
      </c>
      <c r="H4306" s="2" t="s">
        <v>17</v>
      </c>
      <c r="K4306" s="4">
        <v>3762</v>
      </c>
      <c r="L4306" s="4">
        <v>28502</v>
      </c>
      <c r="M4306" s="2" t="s">
        <v>66</v>
      </c>
      <c r="N4306" s="2" t="s">
        <v>14651</v>
      </c>
    </row>
    <row r="4307" spans="1:14">
      <c r="A4307" s="2">
        <v>4306</v>
      </c>
      <c r="B4307" s="3" t="s">
        <v>14652</v>
      </c>
      <c r="C4307" s="2" t="s">
        <v>14653</v>
      </c>
      <c r="D4307" s="2">
        <v>42</v>
      </c>
      <c r="E4307" s="2">
        <v>42</v>
      </c>
      <c r="F4307" s="2" t="s">
        <v>14654</v>
      </c>
      <c r="H4307" s="2" t="s">
        <v>17</v>
      </c>
    </row>
    <row r="4308" spans="1:14">
      <c r="A4308" s="2">
        <v>4307</v>
      </c>
      <c r="B4308" s="3" t="s">
        <v>14655</v>
      </c>
      <c r="C4308" s="2" t="s">
        <v>14656</v>
      </c>
      <c r="D4308" s="2">
        <v>42</v>
      </c>
      <c r="E4308" s="2">
        <v>42</v>
      </c>
      <c r="F4308" s="2" t="s">
        <v>14657</v>
      </c>
      <c r="H4308" s="2" t="s">
        <v>17</v>
      </c>
      <c r="K4308" s="4">
        <v>4350</v>
      </c>
      <c r="L4308" s="4">
        <v>31357</v>
      </c>
      <c r="M4308" s="2" t="s">
        <v>47</v>
      </c>
      <c r="N4308" s="2" t="s">
        <v>48</v>
      </c>
    </row>
    <row r="4309" spans="1:14">
      <c r="A4309" s="2">
        <v>4308</v>
      </c>
      <c r="B4309" s="3" t="s">
        <v>14658</v>
      </c>
      <c r="C4309" s="2" t="s">
        <v>14659</v>
      </c>
      <c r="D4309" s="2">
        <v>42</v>
      </c>
      <c r="E4309" s="2">
        <v>42</v>
      </c>
      <c r="F4309" s="2" t="s">
        <v>14660</v>
      </c>
      <c r="H4309" s="2" t="s">
        <v>17</v>
      </c>
      <c r="K4309" s="4">
        <v>9331</v>
      </c>
      <c r="L4309" s="4">
        <v>39349</v>
      </c>
      <c r="M4309" s="2" t="s">
        <v>53</v>
      </c>
      <c r="N4309" s="2" t="s">
        <v>8328</v>
      </c>
    </row>
    <row r="4310" spans="1:14">
      <c r="A4310" s="2">
        <v>4309</v>
      </c>
      <c r="B4310" s="3" t="s">
        <v>14661</v>
      </c>
      <c r="C4310" s="2" t="s">
        <v>14662</v>
      </c>
      <c r="D4310" s="2">
        <v>40</v>
      </c>
      <c r="E4310" s="2">
        <v>42</v>
      </c>
      <c r="F4310" s="2" t="s">
        <v>14663</v>
      </c>
      <c r="H4310" s="2" t="s">
        <v>17</v>
      </c>
      <c r="K4310" s="4">
        <v>8259</v>
      </c>
      <c r="L4310" s="4">
        <v>37752</v>
      </c>
      <c r="M4310" s="2" t="s">
        <v>140</v>
      </c>
      <c r="N4310" s="2" t="s">
        <v>294</v>
      </c>
    </row>
    <row r="4311" spans="1:14">
      <c r="A4311" s="2">
        <v>4310</v>
      </c>
      <c r="B4311" s="3" t="s">
        <v>14664</v>
      </c>
      <c r="C4311" s="2" t="s">
        <v>14665</v>
      </c>
      <c r="D4311" s="2">
        <v>40</v>
      </c>
      <c r="E4311" s="2">
        <v>42</v>
      </c>
      <c r="F4311" s="2" t="s">
        <v>14666</v>
      </c>
      <c r="H4311" s="2" t="s">
        <v>17</v>
      </c>
      <c r="K4311" s="4">
        <v>4282</v>
      </c>
      <c r="L4311" s="4">
        <v>36739</v>
      </c>
      <c r="M4311" s="2" t="s">
        <v>164</v>
      </c>
      <c r="N4311" s="2" t="s">
        <v>165</v>
      </c>
    </row>
    <row r="4312" spans="1:14">
      <c r="A4312" s="2">
        <v>4311</v>
      </c>
      <c r="B4312" s="3" t="s">
        <v>14667</v>
      </c>
      <c r="C4312" s="2" t="s">
        <v>14668</v>
      </c>
      <c r="D4312" s="2">
        <v>42</v>
      </c>
      <c r="E4312" s="2">
        <v>42</v>
      </c>
      <c r="F4312" s="2" t="s">
        <v>14669</v>
      </c>
      <c r="H4312" s="2" t="s">
        <v>17</v>
      </c>
      <c r="K4312" s="4">
        <v>9281</v>
      </c>
      <c r="L4312" s="4">
        <v>34389</v>
      </c>
      <c r="M4312" s="2" t="s">
        <v>85</v>
      </c>
      <c r="N4312" s="2" t="s">
        <v>6702</v>
      </c>
    </row>
    <row r="4313" spans="1:14">
      <c r="A4313" s="2">
        <v>4312</v>
      </c>
      <c r="B4313" s="3" t="s">
        <v>14670</v>
      </c>
      <c r="C4313" s="2" t="s">
        <v>14671</v>
      </c>
      <c r="D4313" s="2">
        <v>41</v>
      </c>
      <c r="E4313" s="2">
        <v>42</v>
      </c>
      <c r="F4313" s="2" t="s">
        <v>14672</v>
      </c>
      <c r="H4313" s="2" t="s">
        <v>17</v>
      </c>
      <c r="K4313" s="4">
        <v>6121</v>
      </c>
      <c r="L4313" s="4">
        <v>41341</v>
      </c>
      <c r="M4313" s="2" t="s">
        <v>40</v>
      </c>
      <c r="N4313" s="2" t="s">
        <v>5394</v>
      </c>
    </row>
    <row r="4314" spans="1:14">
      <c r="A4314" s="2">
        <v>4313</v>
      </c>
      <c r="B4314" s="3" t="s">
        <v>14673</v>
      </c>
      <c r="C4314" s="2" t="s">
        <v>14674</v>
      </c>
      <c r="D4314" s="2">
        <v>40</v>
      </c>
      <c r="E4314" s="2">
        <v>42</v>
      </c>
      <c r="F4314" s="2" t="s">
        <v>14675</v>
      </c>
      <c r="H4314" s="2" t="s">
        <v>17</v>
      </c>
      <c r="K4314" s="4" t="s">
        <v>14676</v>
      </c>
      <c r="L4314" s="4">
        <v>26358</v>
      </c>
      <c r="M4314" s="2" t="s">
        <v>192</v>
      </c>
      <c r="N4314" s="2" t="s">
        <v>14677</v>
      </c>
    </row>
    <row r="4315" spans="1:14">
      <c r="A4315" s="2">
        <v>4314</v>
      </c>
      <c r="B4315" s="3" t="s">
        <v>14678</v>
      </c>
      <c r="C4315" s="2" t="s">
        <v>14679</v>
      </c>
      <c r="D4315" s="2">
        <v>42</v>
      </c>
      <c r="E4315" s="2">
        <v>42</v>
      </c>
      <c r="F4315" s="2" t="s">
        <v>14680</v>
      </c>
      <c r="H4315" s="2" t="s">
        <v>17</v>
      </c>
      <c r="K4315" s="4">
        <v>4903</v>
      </c>
      <c r="L4315" s="4">
        <v>40506</v>
      </c>
      <c r="M4315" s="2" t="s">
        <v>66</v>
      </c>
      <c r="N4315" s="2" t="s">
        <v>3043</v>
      </c>
    </row>
    <row r="4316" spans="1:14">
      <c r="A4316" s="2">
        <v>4315</v>
      </c>
      <c r="B4316" s="3" t="s">
        <v>14681</v>
      </c>
      <c r="C4316" s="2" t="s">
        <v>14682</v>
      </c>
      <c r="D4316" s="2">
        <v>42</v>
      </c>
      <c r="E4316" s="2">
        <v>42</v>
      </c>
      <c r="F4316" s="2" t="s">
        <v>14683</v>
      </c>
      <c r="H4316" s="2" t="s">
        <v>17</v>
      </c>
      <c r="K4316" s="4">
        <v>2229</v>
      </c>
      <c r="L4316" s="4">
        <v>32745</v>
      </c>
      <c r="M4316" s="2" t="s">
        <v>53</v>
      </c>
      <c r="N4316" s="2" t="s">
        <v>11714</v>
      </c>
    </row>
    <row r="4317" spans="1:14">
      <c r="A4317" s="2">
        <v>4316</v>
      </c>
      <c r="B4317" s="3" t="s">
        <v>14684</v>
      </c>
      <c r="C4317" s="2" t="s">
        <v>14685</v>
      </c>
      <c r="D4317" s="2">
        <v>42</v>
      </c>
      <c r="E4317" s="2">
        <v>42</v>
      </c>
      <c r="F4317" s="2" t="s">
        <v>14686</v>
      </c>
      <c r="H4317" s="2" t="s">
        <v>17</v>
      </c>
      <c r="K4317" s="4">
        <v>5341</v>
      </c>
      <c r="M4317" s="2" t="s">
        <v>423</v>
      </c>
      <c r="N4317" s="2" t="s">
        <v>3324</v>
      </c>
    </row>
    <row r="4318" spans="1:14">
      <c r="A4318" s="2">
        <v>4317</v>
      </c>
      <c r="B4318" s="3" t="s">
        <v>14687</v>
      </c>
      <c r="C4318" s="2" t="s">
        <v>14688</v>
      </c>
      <c r="D4318" s="2">
        <v>41</v>
      </c>
      <c r="E4318" s="2">
        <v>42</v>
      </c>
      <c r="F4318" s="2" t="s">
        <v>14689</v>
      </c>
      <c r="H4318" s="2" t="s">
        <v>17</v>
      </c>
      <c r="K4318" s="4">
        <v>12513</v>
      </c>
      <c r="L4318" s="4">
        <v>37567</v>
      </c>
      <c r="M4318" s="2" t="s">
        <v>76</v>
      </c>
      <c r="N4318" s="2" t="s">
        <v>11516</v>
      </c>
    </row>
    <row r="4319" spans="1:14">
      <c r="A4319" s="2">
        <v>4318</v>
      </c>
      <c r="B4319" s="3" t="s">
        <v>14690</v>
      </c>
      <c r="C4319" s="2" t="s">
        <v>14691</v>
      </c>
      <c r="D4319" s="2">
        <v>42</v>
      </c>
      <c r="E4319" s="2">
        <v>42</v>
      </c>
      <c r="F4319" s="2" t="s">
        <v>14692</v>
      </c>
      <c r="H4319" s="2" t="s">
        <v>17</v>
      </c>
      <c r="K4319" s="4">
        <v>14148</v>
      </c>
      <c r="M4319" s="2" t="s">
        <v>170</v>
      </c>
      <c r="N4319" s="2" t="s">
        <v>323</v>
      </c>
    </row>
    <row r="4320" spans="1:14">
      <c r="A4320" s="2">
        <v>4319</v>
      </c>
      <c r="B4320" s="3" t="s">
        <v>14693</v>
      </c>
      <c r="C4320" s="2" t="s">
        <v>14694</v>
      </c>
      <c r="D4320" s="2">
        <v>40</v>
      </c>
      <c r="E4320" s="2">
        <v>42</v>
      </c>
      <c r="F4320" s="2" t="s">
        <v>14695</v>
      </c>
      <c r="H4320" s="2" t="s">
        <v>17</v>
      </c>
      <c r="K4320" s="4">
        <v>7771</v>
      </c>
      <c r="L4320" s="4">
        <v>39770</v>
      </c>
      <c r="M4320" s="2" t="s">
        <v>47</v>
      </c>
      <c r="N4320" s="2" t="s">
        <v>14696</v>
      </c>
    </row>
    <row r="4321" spans="1:14">
      <c r="A4321" s="2">
        <v>4320</v>
      </c>
      <c r="B4321" s="3" t="s">
        <v>14697</v>
      </c>
      <c r="C4321" s="2" t="s">
        <v>14698</v>
      </c>
      <c r="D4321" s="2">
        <v>42</v>
      </c>
      <c r="E4321" s="2">
        <v>42</v>
      </c>
      <c r="F4321" s="2" t="s">
        <v>14699</v>
      </c>
      <c r="H4321" s="2" t="s">
        <v>17</v>
      </c>
      <c r="K4321" s="4">
        <v>5207</v>
      </c>
      <c r="L4321" s="4">
        <v>26543</v>
      </c>
      <c r="M4321" s="2" t="s">
        <v>198</v>
      </c>
      <c r="N4321" s="2" t="s">
        <v>5846</v>
      </c>
    </row>
    <row r="4322" spans="1:14">
      <c r="A4322" s="2">
        <v>4321</v>
      </c>
      <c r="B4322" s="3" t="s">
        <v>14700</v>
      </c>
      <c r="C4322" s="2" t="s">
        <v>14701</v>
      </c>
      <c r="D4322" s="2">
        <v>37</v>
      </c>
      <c r="E4322" s="2">
        <v>42</v>
      </c>
      <c r="F4322" s="2" t="s">
        <v>14702</v>
      </c>
      <c r="H4322" s="2" t="s">
        <v>17</v>
      </c>
      <c r="K4322" s="4">
        <v>3010</v>
      </c>
      <c r="L4322" s="4">
        <v>33029</v>
      </c>
      <c r="N4322" s="2" t="s">
        <v>14703</v>
      </c>
    </row>
    <row r="4323" spans="1:14">
      <c r="A4323" s="2">
        <v>4322</v>
      </c>
      <c r="B4323" s="3" t="s">
        <v>14704</v>
      </c>
      <c r="C4323" s="2" t="s">
        <v>14705</v>
      </c>
      <c r="D4323" s="2">
        <v>41</v>
      </c>
      <c r="E4323" s="2">
        <v>42</v>
      </c>
      <c r="F4323" s="2" t="s">
        <v>14706</v>
      </c>
      <c r="H4323" s="2" t="s">
        <v>17</v>
      </c>
      <c r="K4323" s="4">
        <v>3438</v>
      </c>
      <c r="L4323" s="4">
        <v>35726</v>
      </c>
      <c r="M4323" s="2" t="s">
        <v>140</v>
      </c>
      <c r="N4323" s="2" t="s">
        <v>14707</v>
      </c>
    </row>
    <row r="4324" spans="1:14">
      <c r="A4324" s="2">
        <v>4323</v>
      </c>
      <c r="B4324" s="3" t="s">
        <v>14708</v>
      </c>
      <c r="C4324" s="2" t="s">
        <v>14709</v>
      </c>
      <c r="D4324" s="2">
        <v>38</v>
      </c>
      <c r="E4324" s="2">
        <v>42</v>
      </c>
      <c r="F4324" s="2" t="s">
        <v>14710</v>
      </c>
      <c r="H4324" s="2" t="s">
        <v>17</v>
      </c>
      <c r="K4324" s="4">
        <v>5292</v>
      </c>
      <c r="L4324" s="4">
        <v>34061</v>
      </c>
      <c r="M4324" s="2" t="s">
        <v>35</v>
      </c>
      <c r="N4324" s="2" t="s">
        <v>6033</v>
      </c>
    </row>
    <row r="4325" spans="1:14">
      <c r="A4325" s="2">
        <v>4324</v>
      </c>
      <c r="B4325" s="3" t="s">
        <v>14711</v>
      </c>
      <c r="C4325" s="2" t="s">
        <v>14712</v>
      </c>
      <c r="D4325" s="2">
        <v>40</v>
      </c>
      <c r="E4325" s="2">
        <v>42</v>
      </c>
      <c r="F4325" s="2" t="s">
        <v>14713</v>
      </c>
      <c r="H4325" s="2" t="s">
        <v>17</v>
      </c>
      <c r="K4325" s="4">
        <v>3647</v>
      </c>
      <c r="L4325" s="4">
        <v>30653</v>
      </c>
      <c r="M4325" s="2" t="s">
        <v>30</v>
      </c>
      <c r="N4325" s="2" t="s">
        <v>31</v>
      </c>
    </row>
    <row r="4326" spans="1:14">
      <c r="A4326" s="2">
        <v>4325</v>
      </c>
      <c r="B4326" s="3" t="s">
        <v>14714</v>
      </c>
      <c r="C4326" s="2" t="s">
        <v>14715</v>
      </c>
      <c r="D4326" s="2">
        <v>42</v>
      </c>
      <c r="E4326" s="2">
        <v>42</v>
      </c>
      <c r="F4326" s="2" t="s">
        <v>14716</v>
      </c>
      <c r="H4326" s="2" t="s">
        <v>17</v>
      </c>
      <c r="K4326" s="4">
        <v>8155</v>
      </c>
      <c r="L4326" s="4">
        <v>27993</v>
      </c>
      <c r="M4326" s="2" t="s">
        <v>85</v>
      </c>
      <c r="N4326" s="2" t="s">
        <v>1868</v>
      </c>
    </row>
    <row r="4327" spans="1:14">
      <c r="A4327" s="2">
        <v>4326</v>
      </c>
      <c r="B4327" s="3" t="s">
        <v>14717</v>
      </c>
      <c r="C4327" s="2" t="s">
        <v>14718</v>
      </c>
      <c r="D4327" s="2">
        <v>41</v>
      </c>
      <c r="E4327" s="2">
        <v>42</v>
      </c>
      <c r="F4327" s="2" t="s">
        <v>14719</v>
      </c>
      <c r="H4327" s="2" t="s">
        <v>17</v>
      </c>
      <c r="K4327" s="4" t="s">
        <v>14720</v>
      </c>
      <c r="L4327" s="4">
        <v>29699</v>
      </c>
      <c r="M4327" s="2" t="s">
        <v>66</v>
      </c>
      <c r="N4327" s="2" t="s">
        <v>3865</v>
      </c>
    </row>
    <row r="4328" spans="1:14">
      <c r="A4328" s="2">
        <v>4327</v>
      </c>
      <c r="B4328" s="3" t="s">
        <v>14721</v>
      </c>
      <c r="C4328" s="2" t="s">
        <v>14722</v>
      </c>
      <c r="D4328" s="2">
        <v>42</v>
      </c>
      <c r="E4328" s="2">
        <v>42</v>
      </c>
      <c r="F4328" s="2" t="s">
        <v>14723</v>
      </c>
      <c r="H4328" s="2" t="s">
        <v>17</v>
      </c>
      <c r="K4328" s="4">
        <v>9648</v>
      </c>
      <c r="L4328" s="4">
        <v>42330</v>
      </c>
      <c r="M4328" s="2" t="s">
        <v>35</v>
      </c>
      <c r="N4328" s="2" t="s">
        <v>58</v>
      </c>
    </row>
    <row r="4329" spans="1:14">
      <c r="A4329" s="2">
        <v>4328</v>
      </c>
      <c r="B4329" s="3" t="s">
        <v>14724</v>
      </c>
      <c r="C4329" s="2" t="s">
        <v>14725</v>
      </c>
      <c r="D4329" s="2">
        <v>42</v>
      </c>
      <c r="E4329" s="2">
        <v>42</v>
      </c>
      <c r="F4329" s="2" t="s">
        <v>14726</v>
      </c>
      <c r="H4329" s="2" t="s">
        <v>17</v>
      </c>
      <c r="K4329" s="4">
        <v>4902</v>
      </c>
      <c r="L4329" s="4">
        <v>24365</v>
      </c>
      <c r="M4329" s="2" t="s">
        <v>247</v>
      </c>
      <c r="N4329" s="2" t="s">
        <v>886</v>
      </c>
    </row>
    <row r="4330" spans="1:14">
      <c r="A4330" s="2">
        <v>4329</v>
      </c>
      <c r="B4330" s="3" t="s">
        <v>14727</v>
      </c>
      <c r="C4330" s="2" t="s">
        <v>14728</v>
      </c>
      <c r="D4330" s="2">
        <v>40</v>
      </c>
      <c r="E4330" s="2">
        <v>42</v>
      </c>
      <c r="F4330" s="2" t="s">
        <v>14729</v>
      </c>
      <c r="H4330" s="2" t="s">
        <v>17</v>
      </c>
      <c r="K4330" s="4" t="s">
        <v>14730</v>
      </c>
      <c r="L4330" s="4">
        <v>30775</v>
      </c>
      <c r="M4330" s="2" t="s">
        <v>40</v>
      </c>
      <c r="N4330" s="2" t="s">
        <v>41</v>
      </c>
    </row>
    <row r="4331" spans="1:14">
      <c r="A4331" s="2">
        <v>4330</v>
      </c>
      <c r="B4331" s="3" t="s">
        <v>14731</v>
      </c>
      <c r="C4331" s="2" t="s">
        <v>14732</v>
      </c>
      <c r="D4331" s="2">
        <v>42</v>
      </c>
      <c r="E4331" s="2">
        <v>42</v>
      </c>
      <c r="F4331" s="2" t="s">
        <v>14733</v>
      </c>
      <c r="H4331" s="2" t="s">
        <v>17</v>
      </c>
      <c r="K4331" s="4">
        <v>1949</v>
      </c>
      <c r="L4331" s="4">
        <v>34104</v>
      </c>
      <c r="M4331" s="2" t="s">
        <v>185</v>
      </c>
      <c r="N4331" s="2" t="s">
        <v>7405</v>
      </c>
    </row>
    <row r="4332" spans="1:14">
      <c r="A4332" s="2">
        <v>4331</v>
      </c>
      <c r="B4332" s="3" t="s">
        <v>14734</v>
      </c>
      <c r="C4332" s="2" t="s">
        <v>14735</v>
      </c>
      <c r="D4332" s="2">
        <v>42</v>
      </c>
      <c r="E4332" s="2">
        <v>42</v>
      </c>
      <c r="F4332" s="2" t="s">
        <v>14736</v>
      </c>
      <c r="H4332" s="2" t="s">
        <v>17</v>
      </c>
      <c r="K4332" s="4">
        <v>7966</v>
      </c>
      <c r="L4332" s="4">
        <v>28557</v>
      </c>
      <c r="M4332" s="2" t="s">
        <v>170</v>
      </c>
      <c r="N4332" s="2" t="s">
        <v>323</v>
      </c>
    </row>
    <row r="4333" spans="1:14">
      <c r="A4333" s="2">
        <v>4332</v>
      </c>
      <c r="B4333" s="3" t="s">
        <v>14737</v>
      </c>
      <c r="C4333" s="2" t="s">
        <v>14738</v>
      </c>
      <c r="D4333" s="2">
        <v>42</v>
      </c>
      <c r="E4333" s="2">
        <v>42</v>
      </c>
      <c r="F4333" s="2" t="s">
        <v>14739</v>
      </c>
      <c r="H4333" s="2" t="s">
        <v>17</v>
      </c>
      <c r="K4333" s="4">
        <v>6218</v>
      </c>
      <c r="L4333" s="4">
        <v>39150</v>
      </c>
      <c r="M4333" s="2" t="s">
        <v>85</v>
      </c>
      <c r="N4333" s="2" t="s">
        <v>14740</v>
      </c>
    </row>
    <row r="4334" spans="1:14">
      <c r="A4334" s="2">
        <v>4333</v>
      </c>
      <c r="B4334" s="3" t="s">
        <v>14741</v>
      </c>
      <c r="C4334" s="2" t="s">
        <v>14742</v>
      </c>
      <c r="D4334" s="2">
        <v>41</v>
      </c>
      <c r="E4334" s="2">
        <v>42</v>
      </c>
      <c r="F4334" s="2" t="s">
        <v>14743</v>
      </c>
      <c r="H4334" s="2" t="s">
        <v>17</v>
      </c>
      <c r="K4334" s="4">
        <v>4744</v>
      </c>
      <c r="L4334" s="4">
        <v>23134</v>
      </c>
      <c r="M4334" s="2" t="s">
        <v>185</v>
      </c>
      <c r="N4334" s="2" t="s">
        <v>838</v>
      </c>
    </row>
    <row r="4335" spans="1:14">
      <c r="A4335" s="2">
        <v>4334</v>
      </c>
      <c r="B4335" s="3" t="s">
        <v>14744</v>
      </c>
      <c r="C4335" s="2" t="s">
        <v>14745</v>
      </c>
      <c r="D4335" s="2">
        <v>41</v>
      </c>
      <c r="E4335" s="2">
        <v>42</v>
      </c>
      <c r="F4335" s="2" t="s">
        <v>14746</v>
      </c>
      <c r="H4335" s="2" t="s">
        <v>17</v>
      </c>
      <c r="K4335" s="4">
        <v>4887</v>
      </c>
      <c r="L4335" s="4">
        <v>27827</v>
      </c>
      <c r="M4335" s="2" t="s">
        <v>47</v>
      </c>
      <c r="N4335" s="2" t="s">
        <v>691</v>
      </c>
    </row>
    <row r="4336" spans="1:14">
      <c r="A4336" s="2">
        <v>4335</v>
      </c>
      <c r="B4336" s="3" t="s">
        <v>14747</v>
      </c>
      <c r="C4336" s="2" t="s">
        <v>14748</v>
      </c>
      <c r="D4336" s="2">
        <v>42</v>
      </c>
      <c r="E4336" s="2">
        <v>42</v>
      </c>
      <c r="F4336" s="2" t="s">
        <v>14749</v>
      </c>
      <c r="H4336" s="2" t="s">
        <v>17</v>
      </c>
      <c r="K4336" s="4">
        <v>8058</v>
      </c>
      <c r="L4336" s="4">
        <v>27113</v>
      </c>
      <c r="M4336" s="2" t="s">
        <v>170</v>
      </c>
      <c r="N4336" s="2" t="s">
        <v>323</v>
      </c>
    </row>
    <row r="4337" spans="1:14">
      <c r="A4337" s="2">
        <v>4336</v>
      </c>
      <c r="B4337" s="3" t="s">
        <v>14750</v>
      </c>
      <c r="C4337" s="2" t="s">
        <v>14751</v>
      </c>
      <c r="D4337" s="2">
        <v>42</v>
      </c>
      <c r="E4337" s="2">
        <v>42</v>
      </c>
      <c r="F4337" s="2" t="s">
        <v>14752</v>
      </c>
      <c r="H4337" s="2" t="s">
        <v>17</v>
      </c>
      <c r="K4337" s="4">
        <v>5046</v>
      </c>
      <c r="L4337" s="4">
        <v>28476</v>
      </c>
      <c r="M4337" s="2" t="s">
        <v>47</v>
      </c>
      <c r="N4337" s="2" t="s">
        <v>14753</v>
      </c>
    </row>
    <row r="4338" spans="1:14">
      <c r="A4338" s="2">
        <v>4337</v>
      </c>
      <c r="B4338" s="3" t="s">
        <v>14754</v>
      </c>
      <c r="C4338" s="2" t="s">
        <v>14755</v>
      </c>
      <c r="D4338" s="2">
        <v>42</v>
      </c>
      <c r="E4338" s="2">
        <v>42</v>
      </c>
      <c r="F4338" s="2" t="s">
        <v>14756</v>
      </c>
      <c r="H4338" s="2" t="s">
        <v>17</v>
      </c>
      <c r="K4338" s="4">
        <v>6160</v>
      </c>
      <c r="L4338" s="4">
        <v>39529</v>
      </c>
      <c r="M4338" s="2" t="s">
        <v>66</v>
      </c>
      <c r="N4338" s="2" t="s">
        <v>2712</v>
      </c>
    </row>
    <row r="4339" spans="1:14">
      <c r="A4339" s="2">
        <v>4338</v>
      </c>
      <c r="B4339" s="3" t="s">
        <v>14757</v>
      </c>
      <c r="C4339" s="2" t="s">
        <v>14758</v>
      </c>
      <c r="D4339" s="2">
        <v>38</v>
      </c>
      <c r="E4339" s="2">
        <v>42</v>
      </c>
      <c r="F4339" s="2" t="s">
        <v>14759</v>
      </c>
      <c r="H4339" s="2" t="s">
        <v>17</v>
      </c>
      <c r="K4339" s="4">
        <v>1969</v>
      </c>
      <c r="L4339" s="4">
        <v>27496</v>
      </c>
      <c r="M4339" s="2" t="s">
        <v>85</v>
      </c>
      <c r="N4339" s="2" t="s">
        <v>86</v>
      </c>
    </row>
    <row r="4340" spans="1:14">
      <c r="A4340" s="2">
        <v>4339</v>
      </c>
      <c r="B4340" s="3" t="s">
        <v>14760</v>
      </c>
      <c r="C4340" s="2" t="s">
        <v>14761</v>
      </c>
      <c r="D4340" s="2">
        <v>40</v>
      </c>
      <c r="E4340" s="2">
        <v>42</v>
      </c>
      <c r="F4340" s="2" t="s">
        <v>14762</v>
      </c>
      <c r="H4340" s="2" t="s">
        <v>17</v>
      </c>
      <c r="K4340" s="4">
        <v>2495</v>
      </c>
      <c r="L4340" s="4">
        <v>30358</v>
      </c>
      <c r="M4340" s="2" t="s">
        <v>140</v>
      </c>
      <c r="N4340" s="2" t="s">
        <v>3179</v>
      </c>
    </row>
    <row r="4341" spans="1:14">
      <c r="A4341" s="2">
        <v>4340</v>
      </c>
      <c r="B4341" s="3" t="s">
        <v>14763</v>
      </c>
      <c r="C4341" s="2" t="s">
        <v>14764</v>
      </c>
      <c r="D4341" s="2">
        <v>42</v>
      </c>
      <c r="E4341" s="2">
        <v>42</v>
      </c>
      <c r="F4341" s="2" t="s">
        <v>14765</v>
      </c>
      <c r="H4341" s="2" t="s">
        <v>17</v>
      </c>
      <c r="K4341" s="4">
        <v>3007</v>
      </c>
      <c r="L4341" s="4">
        <v>33479</v>
      </c>
      <c r="M4341" s="2" t="s">
        <v>154</v>
      </c>
      <c r="N4341" s="2" t="s">
        <v>4855</v>
      </c>
    </row>
    <row r="4342" spans="1:14">
      <c r="A4342" s="2">
        <v>4341</v>
      </c>
      <c r="B4342" s="3" t="s">
        <v>14766</v>
      </c>
      <c r="C4342" s="2" t="s">
        <v>14767</v>
      </c>
      <c r="D4342" s="2">
        <v>39</v>
      </c>
      <c r="E4342" s="2">
        <v>42</v>
      </c>
      <c r="F4342" s="2" t="s">
        <v>14768</v>
      </c>
      <c r="H4342" s="2" t="s">
        <v>17</v>
      </c>
      <c r="K4342" s="4">
        <v>5485</v>
      </c>
      <c r="L4342" s="4">
        <v>24272</v>
      </c>
      <c r="M4342" s="2" t="s">
        <v>198</v>
      </c>
      <c r="N4342" s="2" t="s">
        <v>14769</v>
      </c>
    </row>
    <row r="4343" spans="1:14">
      <c r="A4343" s="2">
        <v>4342</v>
      </c>
      <c r="B4343" s="3" t="s">
        <v>14770</v>
      </c>
      <c r="C4343" s="2" t="s">
        <v>14771</v>
      </c>
      <c r="D4343" s="2">
        <v>39</v>
      </c>
      <c r="E4343" s="2">
        <v>42</v>
      </c>
      <c r="F4343" s="2" t="s">
        <v>14772</v>
      </c>
      <c r="H4343" s="2" t="s">
        <v>17</v>
      </c>
      <c r="K4343" s="4">
        <v>982</v>
      </c>
      <c r="L4343" s="4">
        <v>27543</v>
      </c>
      <c r="M4343" s="2" t="s">
        <v>85</v>
      </c>
      <c r="N4343" s="2" t="s">
        <v>2261</v>
      </c>
    </row>
    <row r="4344" spans="1:14">
      <c r="A4344" s="2">
        <v>4343</v>
      </c>
      <c r="B4344" s="3" t="s">
        <v>14773</v>
      </c>
      <c r="C4344" s="2" t="s">
        <v>14774</v>
      </c>
      <c r="D4344" s="2">
        <v>40</v>
      </c>
      <c r="E4344" s="2">
        <v>42</v>
      </c>
      <c r="F4344" s="2" t="s">
        <v>14775</v>
      </c>
      <c r="H4344" s="2" t="s">
        <v>17</v>
      </c>
      <c r="K4344" s="4">
        <v>5222</v>
      </c>
      <c r="L4344" s="4">
        <v>31883</v>
      </c>
      <c r="M4344" s="2" t="s">
        <v>154</v>
      </c>
      <c r="N4344" s="2" t="s">
        <v>208</v>
      </c>
    </row>
    <row r="4345" spans="1:14">
      <c r="A4345" s="2">
        <v>4344</v>
      </c>
      <c r="B4345" s="3" t="s">
        <v>14776</v>
      </c>
      <c r="C4345" s="2" t="s">
        <v>8001</v>
      </c>
      <c r="D4345" s="2">
        <v>39</v>
      </c>
      <c r="E4345" s="2">
        <v>42</v>
      </c>
      <c r="F4345" s="2" t="s">
        <v>14777</v>
      </c>
      <c r="H4345" s="2" t="s">
        <v>17</v>
      </c>
      <c r="K4345" s="4">
        <v>7612</v>
      </c>
      <c r="L4345" s="4">
        <v>30629</v>
      </c>
      <c r="M4345" s="2" t="s">
        <v>198</v>
      </c>
      <c r="N4345" s="2" t="s">
        <v>9329</v>
      </c>
    </row>
    <row r="4346" spans="1:14">
      <c r="A4346" s="2">
        <v>4345</v>
      </c>
      <c r="B4346" s="3" t="s">
        <v>14778</v>
      </c>
      <c r="C4346" s="2" t="s">
        <v>14779</v>
      </c>
      <c r="D4346" s="2">
        <v>42</v>
      </c>
      <c r="E4346" s="2">
        <v>42</v>
      </c>
      <c r="F4346" s="2" t="s">
        <v>14780</v>
      </c>
      <c r="H4346" s="2" t="s">
        <v>17</v>
      </c>
      <c r="K4346" s="4">
        <v>5853</v>
      </c>
      <c r="L4346" s="4">
        <v>42109</v>
      </c>
      <c r="M4346" s="2" t="s">
        <v>35</v>
      </c>
      <c r="N4346" s="2" t="s">
        <v>14781</v>
      </c>
    </row>
    <row r="4347" spans="1:14">
      <c r="A4347" s="2">
        <v>4346</v>
      </c>
      <c r="B4347" s="3" t="s">
        <v>14782</v>
      </c>
      <c r="C4347" s="2" t="s">
        <v>14783</v>
      </c>
      <c r="D4347" s="2">
        <v>41</v>
      </c>
      <c r="E4347" s="2">
        <v>42</v>
      </c>
      <c r="F4347" s="2" t="s">
        <v>14784</v>
      </c>
      <c r="H4347" s="2" t="s">
        <v>17</v>
      </c>
      <c r="K4347" s="4">
        <v>6553</v>
      </c>
      <c r="L4347" s="4">
        <v>39511</v>
      </c>
      <c r="M4347" s="2" t="s">
        <v>247</v>
      </c>
      <c r="N4347" s="2" t="s">
        <v>8740</v>
      </c>
    </row>
    <row r="4348" spans="1:14">
      <c r="A4348" s="2">
        <v>4347</v>
      </c>
      <c r="B4348" s="3" t="s">
        <v>14785</v>
      </c>
      <c r="C4348" s="2" t="s">
        <v>14786</v>
      </c>
      <c r="D4348" s="2">
        <v>42</v>
      </c>
      <c r="E4348" s="2">
        <v>42</v>
      </c>
      <c r="F4348" s="2" t="s">
        <v>14787</v>
      </c>
      <c r="H4348" s="2" t="s">
        <v>17</v>
      </c>
      <c r="K4348" s="4">
        <v>8293</v>
      </c>
      <c r="M4348" s="2" t="s">
        <v>969</v>
      </c>
      <c r="N4348" s="2" t="s">
        <v>323</v>
      </c>
    </row>
    <row r="4349" spans="1:14">
      <c r="A4349" s="2">
        <v>4348</v>
      </c>
      <c r="B4349" s="3" t="s">
        <v>14788</v>
      </c>
      <c r="C4349" s="2" t="s">
        <v>14789</v>
      </c>
      <c r="D4349" s="2">
        <v>42</v>
      </c>
      <c r="E4349" s="2">
        <v>42</v>
      </c>
      <c r="F4349" s="2" t="s">
        <v>14790</v>
      </c>
      <c r="H4349" s="2" t="s">
        <v>17</v>
      </c>
      <c r="K4349" s="4">
        <v>7438</v>
      </c>
      <c r="M4349" s="2" t="s">
        <v>53</v>
      </c>
      <c r="N4349" s="2" t="s">
        <v>54</v>
      </c>
    </row>
    <row r="4350" spans="1:14">
      <c r="A4350" s="2">
        <v>4349</v>
      </c>
      <c r="B4350" s="3" t="s">
        <v>14791</v>
      </c>
      <c r="C4350" s="2" t="s">
        <v>14792</v>
      </c>
      <c r="D4350" s="2">
        <v>40</v>
      </c>
      <c r="E4350" s="2">
        <v>42</v>
      </c>
      <c r="F4350" s="2" t="s">
        <v>14793</v>
      </c>
      <c r="H4350" s="2" t="s">
        <v>17</v>
      </c>
      <c r="K4350" s="4">
        <v>395</v>
      </c>
      <c r="L4350" s="4">
        <v>24829</v>
      </c>
      <c r="M4350" s="2" t="s">
        <v>170</v>
      </c>
      <c r="N4350" s="2" t="s">
        <v>3274</v>
      </c>
    </row>
    <row r="4351" spans="1:14">
      <c r="A4351" s="2">
        <v>4350</v>
      </c>
      <c r="B4351" s="3" t="s">
        <v>14794</v>
      </c>
      <c r="C4351" s="2" t="s">
        <v>14795</v>
      </c>
      <c r="D4351" s="2">
        <v>40</v>
      </c>
      <c r="E4351" s="2">
        <v>42</v>
      </c>
      <c r="F4351" s="2" t="s">
        <v>14796</v>
      </c>
      <c r="H4351" s="2" t="s">
        <v>17</v>
      </c>
      <c r="K4351" s="4">
        <v>5859</v>
      </c>
      <c r="L4351" s="4">
        <v>37454</v>
      </c>
      <c r="M4351" s="2" t="s">
        <v>154</v>
      </c>
      <c r="N4351" s="2" t="s">
        <v>208</v>
      </c>
    </row>
    <row r="4352" spans="1:14">
      <c r="A4352" s="2">
        <v>4351</v>
      </c>
      <c r="B4352" s="3" t="s">
        <v>14797</v>
      </c>
      <c r="C4352" s="2" t="s">
        <v>14798</v>
      </c>
      <c r="D4352" s="2">
        <v>42</v>
      </c>
      <c r="E4352" s="2">
        <v>42</v>
      </c>
      <c r="F4352" s="2" t="s">
        <v>14799</v>
      </c>
      <c r="H4352" s="2" t="s">
        <v>17</v>
      </c>
      <c r="K4352" s="4">
        <v>1340</v>
      </c>
    </row>
    <row r="4353" spans="1:14">
      <c r="A4353" s="2">
        <v>4352</v>
      </c>
      <c r="B4353" s="3" t="s">
        <v>14800</v>
      </c>
      <c r="C4353" s="2" t="s">
        <v>14801</v>
      </c>
      <c r="D4353" s="2">
        <v>42</v>
      </c>
      <c r="E4353" s="2">
        <v>42</v>
      </c>
      <c r="F4353" s="2" t="s">
        <v>14802</v>
      </c>
      <c r="H4353" s="2" t="s">
        <v>17</v>
      </c>
      <c r="K4353" s="4" t="s">
        <v>14803</v>
      </c>
      <c r="L4353" s="4">
        <v>32913</v>
      </c>
      <c r="M4353" s="2" t="s">
        <v>35</v>
      </c>
      <c r="N4353" s="2" t="s">
        <v>14804</v>
      </c>
    </row>
    <row r="4354" spans="1:14">
      <c r="A4354" s="2">
        <v>4353</v>
      </c>
      <c r="B4354" s="3" t="s">
        <v>14805</v>
      </c>
      <c r="C4354" s="2" t="s">
        <v>14806</v>
      </c>
      <c r="D4354" s="2">
        <v>42</v>
      </c>
      <c r="E4354" s="2">
        <v>42</v>
      </c>
      <c r="F4354" s="2" t="s">
        <v>14807</v>
      </c>
      <c r="H4354" s="2" t="s">
        <v>17</v>
      </c>
      <c r="K4354" s="4">
        <v>8943</v>
      </c>
      <c r="L4354" s="4">
        <v>44251</v>
      </c>
      <c r="M4354" s="2" t="s">
        <v>66</v>
      </c>
      <c r="N4354" s="2" t="s">
        <v>1147</v>
      </c>
    </row>
    <row r="4355" spans="1:14">
      <c r="A4355" s="2">
        <v>4354</v>
      </c>
      <c r="B4355" s="3" t="s">
        <v>14808</v>
      </c>
      <c r="C4355" s="2" t="s">
        <v>10707</v>
      </c>
      <c r="D4355" s="2">
        <v>40</v>
      </c>
      <c r="E4355" s="2">
        <v>42</v>
      </c>
      <c r="F4355" s="2" t="s">
        <v>14809</v>
      </c>
      <c r="H4355" s="2" t="s">
        <v>17</v>
      </c>
      <c r="K4355" s="4">
        <v>7703</v>
      </c>
      <c r="L4355" s="4">
        <v>38686</v>
      </c>
      <c r="M4355" s="2" t="s">
        <v>35</v>
      </c>
      <c r="N4355" s="2" t="s">
        <v>1158</v>
      </c>
    </row>
    <row r="4356" spans="1:14">
      <c r="A4356" s="2">
        <v>4355</v>
      </c>
      <c r="B4356" s="3" t="s">
        <v>14810</v>
      </c>
      <c r="C4356" s="2" t="s">
        <v>14811</v>
      </c>
      <c r="D4356" s="2">
        <v>41</v>
      </c>
      <c r="E4356" s="2">
        <v>42</v>
      </c>
      <c r="F4356" s="2" t="s">
        <v>14812</v>
      </c>
      <c r="H4356" s="2" t="s">
        <v>17</v>
      </c>
      <c r="K4356" s="4">
        <v>4190</v>
      </c>
      <c r="L4356" s="4">
        <v>29817</v>
      </c>
      <c r="M4356" s="2" t="s">
        <v>66</v>
      </c>
      <c r="N4356" s="2" t="s">
        <v>131</v>
      </c>
    </row>
    <row r="4357" spans="1:14">
      <c r="A4357" s="2">
        <v>4356</v>
      </c>
      <c r="B4357" s="3" t="s">
        <v>14813</v>
      </c>
      <c r="C4357" s="2" t="s">
        <v>14814</v>
      </c>
      <c r="D4357" s="2">
        <v>42</v>
      </c>
      <c r="E4357" s="2">
        <v>42</v>
      </c>
      <c r="F4357" s="2" t="s">
        <v>14815</v>
      </c>
      <c r="H4357" s="2" t="s">
        <v>17</v>
      </c>
      <c r="K4357" s="4">
        <v>8024</v>
      </c>
      <c r="M4357" s="2" t="s">
        <v>47</v>
      </c>
      <c r="N4357" s="2" t="s">
        <v>1315</v>
      </c>
    </row>
    <row r="4358" spans="1:14">
      <c r="A4358" s="2">
        <v>4357</v>
      </c>
      <c r="B4358" s="3" t="s">
        <v>14816</v>
      </c>
      <c r="C4358" s="2" t="s">
        <v>14817</v>
      </c>
      <c r="D4358" s="2">
        <v>42</v>
      </c>
      <c r="E4358" s="2">
        <v>42</v>
      </c>
      <c r="F4358" s="2" t="s">
        <v>14818</v>
      </c>
      <c r="H4358" s="2" t="s">
        <v>17</v>
      </c>
      <c r="K4358" s="4">
        <v>8163</v>
      </c>
      <c r="L4358" s="4">
        <v>30089</v>
      </c>
      <c r="M4358" s="2" t="s">
        <v>85</v>
      </c>
      <c r="N4358" s="2" t="s">
        <v>1868</v>
      </c>
    </row>
    <row r="4359" spans="1:14">
      <c r="A4359" s="2">
        <v>4358</v>
      </c>
      <c r="B4359" s="3" t="s">
        <v>14819</v>
      </c>
      <c r="C4359" s="2" t="s">
        <v>14820</v>
      </c>
      <c r="D4359" s="2">
        <v>42</v>
      </c>
      <c r="E4359" s="2">
        <v>42</v>
      </c>
      <c r="F4359" s="2" t="s">
        <v>14821</v>
      </c>
      <c r="H4359" s="2" t="s">
        <v>17</v>
      </c>
      <c r="K4359" s="4">
        <v>4710</v>
      </c>
      <c r="L4359" s="4">
        <v>27717</v>
      </c>
      <c r="M4359" s="2" t="s">
        <v>35</v>
      </c>
      <c r="N4359" s="2" t="s">
        <v>8309</v>
      </c>
    </row>
    <row r="4360" spans="1:14">
      <c r="A4360" s="2">
        <v>4359</v>
      </c>
      <c r="B4360" s="3" t="s">
        <v>14822</v>
      </c>
      <c r="C4360" s="2" t="s">
        <v>14823</v>
      </c>
      <c r="D4360" s="2">
        <v>41</v>
      </c>
      <c r="E4360" s="2">
        <v>42</v>
      </c>
      <c r="F4360" s="2" t="s">
        <v>14824</v>
      </c>
      <c r="H4360" s="2" t="s">
        <v>17</v>
      </c>
      <c r="K4360" s="4">
        <v>9437</v>
      </c>
      <c r="L4360" s="4">
        <v>34133</v>
      </c>
      <c r="M4360" s="2" t="s">
        <v>170</v>
      </c>
      <c r="N4360" s="2" t="s">
        <v>759</v>
      </c>
    </row>
    <row r="4361" spans="1:14">
      <c r="A4361" s="2">
        <v>4360</v>
      </c>
      <c r="B4361" s="3" t="s">
        <v>14825</v>
      </c>
      <c r="C4361" s="2" t="s">
        <v>14826</v>
      </c>
      <c r="D4361" s="2">
        <v>42</v>
      </c>
      <c r="E4361" s="2">
        <v>42</v>
      </c>
      <c r="F4361" s="2" t="s">
        <v>14827</v>
      </c>
      <c r="H4361" s="2" t="s">
        <v>17</v>
      </c>
      <c r="K4361" s="4">
        <v>6810</v>
      </c>
      <c r="L4361" s="4">
        <v>25009</v>
      </c>
      <c r="M4361" s="2" t="s">
        <v>30</v>
      </c>
      <c r="N4361" s="2" t="s">
        <v>4896</v>
      </c>
    </row>
    <row r="4362" spans="1:14">
      <c r="A4362" s="2">
        <v>4361</v>
      </c>
      <c r="B4362" s="3" t="s">
        <v>14828</v>
      </c>
      <c r="C4362" s="2" t="s">
        <v>14829</v>
      </c>
      <c r="D4362" s="2">
        <v>41</v>
      </c>
      <c r="E4362" s="2">
        <v>42</v>
      </c>
      <c r="F4362" s="2" t="s">
        <v>14830</v>
      </c>
      <c r="H4362" s="2" t="s">
        <v>17</v>
      </c>
      <c r="K4362" s="4">
        <v>9509</v>
      </c>
      <c r="L4362" s="4">
        <v>43659</v>
      </c>
      <c r="M4362" s="2" t="s">
        <v>35</v>
      </c>
      <c r="N4362" s="2" t="s">
        <v>7122</v>
      </c>
    </row>
    <row r="4363" spans="1:14">
      <c r="A4363" s="2">
        <v>4362</v>
      </c>
      <c r="B4363" s="3" t="s">
        <v>14831</v>
      </c>
      <c r="C4363" s="2" t="s">
        <v>14832</v>
      </c>
      <c r="D4363" s="2">
        <v>39</v>
      </c>
      <c r="E4363" s="2">
        <v>42</v>
      </c>
      <c r="F4363" s="2" t="s">
        <v>14833</v>
      </c>
      <c r="H4363" s="2" t="s">
        <v>17</v>
      </c>
      <c r="K4363" s="4">
        <v>3246</v>
      </c>
      <c r="L4363" s="4">
        <v>30533</v>
      </c>
      <c r="M4363" s="2" t="s">
        <v>47</v>
      </c>
      <c r="N4363" s="2" t="s">
        <v>14834</v>
      </c>
    </row>
    <row r="4364" spans="1:14">
      <c r="A4364" s="2">
        <v>4363</v>
      </c>
      <c r="B4364" s="3" t="s">
        <v>14835</v>
      </c>
      <c r="C4364" s="2" t="s">
        <v>14836</v>
      </c>
      <c r="D4364" s="2">
        <v>42</v>
      </c>
      <c r="E4364" s="2">
        <v>42</v>
      </c>
      <c r="F4364" s="2" t="s">
        <v>14837</v>
      </c>
      <c r="H4364" s="2" t="s">
        <v>17</v>
      </c>
      <c r="K4364" s="4">
        <v>5817</v>
      </c>
      <c r="L4364" s="4">
        <v>39121</v>
      </c>
      <c r="M4364" s="2" t="s">
        <v>47</v>
      </c>
      <c r="N4364" s="2" t="s">
        <v>14838</v>
      </c>
    </row>
    <row r="4365" spans="1:14">
      <c r="A4365" s="2">
        <v>4364</v>
      </c>
      <c r="B4365" s="3" t="s">
        <v>14839</v>
      </c>
      <c r="C4365" s="2" t="s">
        <v>14840</v>
      </c>
      <c r="D4365" s="2">
        <v>42</v>
      </c>
      <c r="E4365" s="2">
        <v>42</v>
      </c>
      <c r="F4365" s="2" t="s">
        <v>14841</v>
      </c>
      <c r="H4365" s="2" t="s">
        <v>17</v>
      </c>
      <c r="K4365" s="4">
        <v>6455</v>
      </c>
      <c r="L4365" s="4">
        <v>38453</v>
      </c>
      <c r="M4365" s="2" t="s">
        <v>35</v>
      </c>
      <c r="N4365" s="2" t="s">
        <v>3885</v>
      </c>
    </row>
    <row r="4366" spans="1:14">
      <c r="A4366" s="2">
        <v>4365</v>
      </c>
      <c r="B4366" s="3" t="s">
        <v>14842</v>
      </c>
      <c r="C4366" s="2" t="s">
        <v>14843</v>
      </c>
      <c r="D4366" s="2">
        <v>38</v>
      </c>
      <c r="E4366" s="2">
        <v>42</v>
      </c>
      <c r="F4366" s="2" t="s">
        <v>14844</v>
      </c>
      <c r="H4366" s="2" t="s">
        <v>17</v>
      </c>
      <c r="K4366" s="4">
        <v>3230</v>
      </c>
      <c r="L4366" s="4">
        <v>25012</v>
      </c>
      <c r="M4366" s="2" t="s">
        <v>85</v>
      </c>
      <c r="N4366" s="2" t="s">
        <v>86</v>
      </c>
    </row>
    <row r="4367" spans="1:14">
      <c r="A4367" s="2">
        <v>4366</v>
      </c>
      <c r="B4367" s="3" t="s">
        <v>14845</v>
      </c>
      <c r="C4367" s="2" t="s">
        <v>14846</v>
      </c>
      <c r="D4367" s="2">
        <v>36</v>
      </c>
      <c r="E4367" s="2">
        <v>42</v>
      </c>
      <c r="F4367" s="2" t="s">
        <v>14847</v>
      </c>
      <c r="H4367" s="2" t="s">
        <v>17</v>
      </c>
      <c r="K4367" s="4">
        <v>579</v>
      </c>
      <c r="L4367" s="4">
        <v>27456</v>
      </c>
      <c r="M4367" s="2" t="s">
        <v>35</v>
      </c>
      <c r="N4367" s="2" t="s">
        <v>14848</v>
      </c>
    </row>
    <row r="4368" spans="1:14">
      <c r="A4368" s="2">
        <v>4367</v>
      </c>
      <c r="B4368" s="3" t="s">
        <v>14849</v>
      </c>
      <c r="C4368" s="2" t="s">
        <v>14850</v>
      </c>
      <c r="D4368" s="2">
        <v>42</v>
      </c>
      <c r="E4368" s="2">
        <v>42</v>
      </c>
      <c r="F4368" s="2" t="s">
        <v>14851</v>
      </c>
      <c r="H4368" s="2" t="s">
        <v>17</v>
      </c>
      <c r="K4368" s="4">
        <v>9453</v>
      </c>
      <c r="L4368" s="4">
        <v>40793</v>
      </c>
      <c r="M4368" s="2" t="s">
        <v>66</v>
      </c>
      <c r="N4368" s="2" t="s">
        <v>10840</v>
      </c>
    </row>
    <row r="4369" spans="1:14">
      <c r="A4369" s="2">
        <v>4368</v>
      </c>
      <c r="B4369" s="3" t="s">
        <v>14852</v>
      </c>
      <c r="C4369" s="2" t="s">
        <v>14853</v>
      </c>
      <c r="D4369" s="2">
        <v>40</v>
      </c>
      <c r="E4369" s="2">
        <v>42</v>
      </c>
      <c r="F4369" s="2" t="s">
        <v>14854</v>
      </c>
      <c r="H4369" s="2" t="s">
        <v>17</v>
      </c>
      <c r="K4369" s="4">
        <v>6681</v>
      </c>
      <c r="L4369" s="4">
        <v>28853</v>
      </c>
      <c r="M4369" s="2" t="s">
        <v>185</v>
      </c>
      <c r="N4369" s="2" t="s">
        <v>4073</v>
      </c>
    </row>
    <row r="4370" spans="1:14">
      <c r="A4370" s="2">
        <v>4369</v>
      </c>
      <c r="B4370" s="3" t="s">
        <v>14855</v>
      </c>
      <c r="C4370" s="2" t="s">
        <v>14856</v>
      </c>
      <c r="D4370" s="2">
        <v>42</v>
      </c>
      <c r="E4370" s="2">
        <v>42</v>
      </c>
      <c r="F4370" s="2" t="s">
        <v>14857</v>
      </c>
      <c r="H4370" s="2" t="s">
        <v>17</v>
      </c>
      <c r="K4370" s="4">
        <v>5167</v>
      </c>
      <c r="L4370" s="4">
        <v>36996</v>
      </c>
      <c r="M4370" s="2" t="s">
        <v>40</v>
      </c>
      <c r="N4370" s="2" t="s">
        <v>6544</v>
      </c>
    </row>
    <row r="4371" spans="1:14">
      <c r="A4371" s="2">
        <v>4370</v>
      </c>
      <c r="B4371" s="3" t="s">
        <v>14858</v>
      </c>
      <c r="C4371" s="2" t="s">
        <v>14859</v>
      </c>
      <c r="D4371" s="2">
        <v>42</v>
      </c>
      <c r="E4371" s="2">
        <v>42</v>
      </c>
      <c r="F4371" s="2" t="s">
        <v>14860</v>
      </c>
      <c r="H4371" s="2" t="s">
        <v>17</v>
      </c>
      <c r="K4371" s="4">
        <v>7067</v>
      </c>
      <c r="L4371" s="4">
        <v>26026</v>
      </c>
      <c r="M4371" s="2" t="s">
        <v>423</v>
      </c>
      <c r="N4371" s="2" t="s">
        <v>14861</v>
      </c>
    </row>
    <row r="4372" spans="1:14">
      <c r="A4372" s="2">
        <v>4371</v>
      </c>
      <c r="B4372" s="3" t="s">
        <v>14862</v>
      </c>
      <c r="C4372" s="2" t="s">
        <v>14863</v>
      </c>
      <c r="D4372" s="2">
        <v>38</v>
      </c>
      <c r="E4372" s="2">
        <v>42</v>
      </c>
      <c r="F4372" s="2" t="s">
        <v>14864</v>
      </c>
      <c r="H4372" s="2" t="s">
        <v>17</v>
      </c>
      <c r="K4372" s="4">
        <v>2899</v>
      </c>
      <c r="L4372" s="4">
        <v>33130</v>
      </c>
      <c r="M4372" s="2" t="s">
        <v>47</v>
      </c>
      <c r="N4372" s="2" t="s">
        <v>9386</v>
      </c>
    </row>
    <row r="4373" spans="1:14">
      <c r="A4373" s="2">
        <v>4372</v>
      </c>
      <c r="B4373" s="3" t="s">
        <v>14865</v>
      </c>
      <c r="C4373" s="2" t="s">
        <v>14866</v>
      </c>
      <c r="D4373" s="2">
        <v>42</v>
      </c>
      <c r="E4373" s="2">
        <v>42</v>
      </c>
      <c r="F4373" s="2" t="s">
        <v>14867</v>
      </c>
      <c r="H4373" s="2" t="s">
        <v>17</v>
      </c>
      <c r="K4373" s="4">
        <v>4875</v>
      </c>
      <c r="L4373" s="4">
        <v>31794</v>
      </c>
      <c r="M4373" s="2" t="s">
        <v>35</v>
      </c>
      <c r="N4373" s="2" t="s">
        <v>14868</v>
      </c>
    </row>
    <row r="4374" spans="1:14">
      <c r="A4374" s="2">
        <v>4373</v>
      </c>
      <c r="B4374" s="3" t="s">
        <v>14869</v>
      </c>
      <c r="C4374" s="2" t="s">
        <v>14870</v>
      </c>
      <c r="D4374" s="2">
        <v>42</v>
      </c>
      <c r="E4374" s="2">
        <v>42</v>
      </c>
      <c r="F4374" s="2" t="s">
        <v>14871</v>
      </c>
      <c r="H4374" s="2" t="s">
        <v>17</v>
      </c>
      <c r="K4374" s="4">
        <v>2691</v>
      </c>
      <c r="L4374" s="4">
        <v>31637</v>
      </c>
      <c r="M4374" s="2" t="s">
        <v>66</v>
      </c>
      <c r="N4374" s="2" t="s">
        <v>71</v>
      </c>
    </row>
    <row r="4375" spans="1:14">
      <c r="A4375" s="2">
        <v>4374</v>
      </c>
      <c r="B4375" s="3" t="s">
        <v>14872</v>
      </c>
      <c r="C4375" s="2" t="s">
        <v>14873</v>
      </c>
      <c r="D4375" s="2">
        <v>41</v>
      </c>
      <c r="E4375" s="2">
        <v>42</v>
      </c>
      <c r="F4375" s="2" t="s">
        <v>14874</v>
      </c>
      <c r="H4375" s="2" t="s">
        <v>17</v>
      </c>
      <c r="K4375" s="4">
        <v>3309</v>
      </c>
      <c r="L4375" s="4">
        <v>31150</v>
      </c>
      <c r="M4375" s="2" t="s">
        <v>170</v>
      </c>
    </row>
    <row r="4376" spans="1:14">
      <c r="A4376" s="2">
        <v>4375</v>
      </c>
      <c r="B4376" s="3" t="s">
        <v>14875</v>
      </c>
      <c r="C4376" s="2" t="s">
        <v>14876</v>
      </c>
      <c r="D4376" s="2">
        <v>40</v>
      </c>
      <c r="E4376" s="2">
        <v>42</v>
      </c>
      <c r="F4376" s="2" t="s">
        <v>14877</v>
      </c>
      <c r="H4376" s="2" t="s">
        <v>17</v>
      </c>
      <c r="K4376" s="4">
        <v>4893</v>
      </c>
      <c r="L4376" s="4">
        <v>27985</v>
      </c>
      <c r="M4376" s="2" t="s">
        <v>85</v>
      </c>
      <c r="N4376" s="2" t="s">
        <v>2474</v>
      </c>
    </row>
    <row r="4377" spans="1:14">
      <c r="A4377" s="2">
        <v>4376</v>
      </c>
      <c r="B4377" s="3" t="s">
        <v>14878</v>
      </c>
      <c r="C4377" s="2" t="s">
        <v>14879</v>
      </c>
      <c r="D4377" s="2">
        <v>41</v>
      </c>
      <c r="E4377" s="2">
        <v>42</v>
      </c>
      <c r="F4377" s="2" t="s">
        <v>14880</v>
      </c>
      <c r="H4377" s="2" t="s">
        <v>17</v>
      </c>
      <c r="K4377" s="4">
        <v>5912</v>
      </c>
      <c r="L4377" s="4">
        <v>25020</v>
      </c>
      <c r="M4377" s="2" t="s">
        <v>35</v>
      </c>
      <c r="N4377" s="2" t="s">
        <v>6880</v>
      </c>
    </row>
    <row r="4378" spans="1:14">
      <c r="A4378" s="2">
        <v>4377</v>
      </c>
      <c r="B4378" s="3" t="s">
        <v>14881</v>
      </c>
      <c r="C4378" s="2" t="s">
        <v>14882</v>
      </c>
      <c r="D4378" s="2">
        <v>39</v>
      </c>
      <c r="E4378" s="2">
        <v>42</v>
      </c>
      <c r="F4378" s="2" t="s">
        <v>14883</v>
      </c>
      <c r="H4378" s="2" t="s">
        <v>17</v>
      </c>
      <c r="K4378" s="4">
        <v>5929</v>
      </c>
      <c r="L4378" s="4">
        <v>38991</v>
      </c>
      <c r="M4378" s="2" t="s">
        <v>341</v>
      </c>
      <c r="N4378" s="2" t="s">
        <v>7837</v>
      </c>
    </row>
    <row r="4379" spans="1:14">
      <c r="A4379" s="2">
        <v>4378</v>
      </c>
      <c r="B4379" s="3" t="s">
        <v>14884</v>
      </c>
      <c r="C4379" s="2" t="s">
        <v>14885</v>
      </c>
      <c r="D4379" s="2">
        <v>42</v>
      </c>
      <c r="E4379" s="2">
        <v>42</v>
      </c>
      <c r="F4379" s="2" t="s">
        <v>14886</v>
      </c>
      <c r="H4379" s="2" t="s">
        <v>17</v>
      </c>
      <c r="K4379" s="4" t="s">
        <v>14887</v>
      </c>
      <c r="L4379" s="4">
        <v>25861</v>
      </c>
      <c r="M4379" s="2" t="s">
        <v>47</v>
      </c>
      <c r="N4379" s="2" t="s">
        <v>9981</v>
      </c>
    </row>
    <row r="4380" spans="1:14">
      <c r="A4380" s="2">
        <v>4379</v>
      </c>
      <c r="B4380" s="3" t="s">
        <v>14888</v>
      </c>
      <c r="C4380" s="2" t="s">
        <v>14889</v>
      </c>
      <c r="D4380" s="2">
        <v>42</v>
      </c>
      <c r="E4380" s="2">
        <v>42</v>
      </c>
      <c r="F4380" s="2" t="s">
        <v>14890</v>
      </c>
      <c r="H4380" s="2" t="s">
        <v>17</v>
      </c>
      <c r="K4380" s="4">
        <v>7627</v>
      </c>
      <c r="L4380" s="4">
        <v>39606</v>
      </c>
      <c r="M4380" s="2" t="s">
        <v>154</v>
      </c>
      <c r="N4380" s="2" t="s">
        <v>208</v>
      </c>
    </row>
    <row r="4381" spans="1:14">
      <c r="A4381" s="2">
        <v>4380</v>
      </c>
      <c r="B4381" s="3" t="s">
        <v>14891</v>
      </c>
      <c r="C4381" s="2" t="s">
        <v>14892</v>
      </c>
      <c r="D4381" s="2">
        <v>38</v>
      </c>
      <c r="E4381" s="2">
        <v>42</v>
      </c>
      <c r="F4381" s="2" t="s">
        <v>14893</v>
      </c>
      <c r="H4381" s="2" t="s">
        <v>17</v>
      </c>
      <c r="K4381" s="4">
        <v>1670</v>
      </c>
      <c r="L4381" s="4">
        <v>28992</v>
      </c>
      <c r="M4381" s="2" t="s">
        <v>18</v>
      </c>
      <c r="N4381" s="2" t="s">
        <v>19</v>
      </c>
    </row>
    <row r="4382" spans="1:14">
      <c r="A4382" s="2">
        <v>4381</v>
      </c>
      <c r="B4382" s="3" t="s">
        <v>14894</v>
      </c>
      <c r="C4382" s="2" t="s">
        <v>14895</v>
      </c>
      <c r="D4382" s="2">
        <v>41</v>
      </c>
      <c r="E4382" s="2">
        <v>42</v>
      </c>
      <c r="F4382" s="2" t="s">
        <v>14896</v>
      </c>
      <c r="H4382" s="2" t="s">
        <v>17</v>
      </c>
      <c r="K4382" s="4">
        <v>9547</v>
      </c>
      <c r="M4382" s="2" t="s">
        <v>192</v>
      </c>
      <c r="N4382" s="2" t="s">
        <v>3878</v>
      </c>
    </row>
    <row r="4383" spans="1:14">
      <c r="A4383" s="2">
        <v>4382</v>
      </c>
      <c r="B4383" s="3" t="s">
        <v>14897</v>
      </c>
      <c r="C4383" s="2" t="s">
        <v>14898</v>
      </c>
      <c r="D4383" s="2">
        <v>39</v>
      </c>
      <c r="E4383" s="2">
        <v>42</v>
      </c>
      <c r="F4383" s="2" t="s">
        <v>14899</v>
      </c>
      <c r="H4383" s="2" t="s">
        <v>17</v>
      </c>
      <c r="K4383" s="4">
        <v>3770</v>
      </c>
      <c r="L4383" s="4">
        <v>27505</v>
      </c>
      <c r="M4383" s="2" t="s">
        <v>47</v>
      </c>
      <c r="N4383" s="2" t="s">
        <v>14900</v>
      </c>
    </row>
    <row r="4384" spans="1:14">
      <c r="A4384" s="2">
        <v>4383</v>
      </c>
      <c r="B4384" s="3" t="s">
        <v>14901</v>
      </c>
      <c r="C4384" s="2" t="s">
        <v>14902</v>
      </c>
      <c r="D4384" s="2">
        <v>40</v>
      </c>
      <c r="E4384" s="2">
        <v>42</v>
      </c>
      <c r="F4384" s="2" t="s">
        <v>14903</v>
      </c>
      <c r="H4384" s="2" t="s">
        <v>17</v>
      </c>
      <c r="K4384" s="4">
        <v>5969</v>
      </c>
      <c r="L4384" s="4">
        <v>35762</v>
      </c>
      <c r="M4384" s="2" t="s">
        <v>35</v>
      </c>
      <c r="N4384" s="2" t="s">
        <v>14904</v>
      </c>
    </row>
    <row r="4385" spans="1:14">
      <c r="A4385" s="2">
        <v>4384</v>
      </c>
      <c r="B4385" s="3" t="s">
        <v>14905</v>
      </c>
      <c r="C4385" s="2" t="s">
        <v>14906</v>
      </c>
      <c r="D4385" s="2">
        <v>42</v>
      </c>
      <c r="E4385" s="2">
        <v>42</v>
      </c>
      <c r="F4385" s="2" t="s">
        <v>14907</v>
      </c>
      <c r="H4385" s="2" t="s">
        <v>17</v>
      </c>
      <c r="K4385" s="4">
        <v>4976</v>
      </c>
      <c r="L4385" s="4">
        <v>24636</v>
      </c>
      <c r="M4385" s="2" t="s">
        <v>85</v>
      </c>
      <c r="N4385" s="2" t="s">
        <v>86</v>
      </c>
    </row>
    <row r="4386" spans="1:14">
      <c r="A4386" s="2">
        <v>4385</v>
      </c>
      <c r="B4386" s="3" t="s">
        <v>14908</v>
      </c>
      <c r="C4386" s="2" t="s">
        <v>14909</v>
      </c>
      <c r="D4386" s="2">
        <v>41</v>
      </c>
      <c r="E4386" s="2">
        <v>42</v>
      </c>
      <c r="F4386" s="2" t="s">
        <v>14910</v>
      </c>
      <c r="H4386" s="2" t="s">
        <v>17</v>
      </c>
      <c r="K4386" s="4">
        <v>2519</v>
      </c>
      <c r="L4386" s="4">
        <v>34574</v>
      </c>
      <c r="M4386" s="2" t="s">
        <v>336</v>
      </c>
      <c r="N4386" s="2" t="s">
        <v>1883</v>
      </c>
    </row>
    <row r="4387" spans="1:14">
      <c r="A4387" s="2">
        <v>4386</v>
      </c>
      <c r="B4387" s="3" t="s">
        <v>14911</v>
      </c>
      <c r="C4387" s="2" t="s">
        <v>14912</v>
      </c>
      <c r="D4387" s="2">
        <v>38</v>
      </c>
      <c r="E4387" s="2">
        <v>42</v>
      </c>
      <c r="F4387" s="2" t="s">
        <v>14913</v>
      </c>
      <c r="H4387" s="2" t="s">
        <v>17</v>
      </c>
      <c r="K4387" s="4" t="s">
        <v>14914</v>
      </c>
      <c r="L4387" s="4">
        <v>26822</v>
      </c>
      <c r="M4387" s="2" t="s">
        <v>66</v>
      </c>
      <c r="N4387" s="2" t="s">
        <v>71</v>
      </c>
    </row>
    <row r="4388" spans="1:14">
      <c r="A4388" s="2">
        <v>4387</v>
      </c>
      <c r="B4388" s="3" t="s">
        <v>14915</v>
      </c>
      <c r="C4388" s="2" t="s">
        <v>14916</v>
      </c>
      <c r="D4388" s="2">
        <v>41</v>
      </c>
      <c r="E4388" s="2">
        <v>42</v>
      </c>
      <c r="F4388" s="2" t="s">
        <v>14917</v>
      </c>
      <c r="H4388" s="2" t="s">
        <v>17</v>
      </c>
      <c r="K4388" s="4">
        <v>4262</v>
      </c>
      <c r="L4388" s="4">
        <v>37174</v>
      </c>
      <c r="M4388" s="2" t="s">
        <v>164</v>
      </c>
      <c r="N4388" s="2" t="s">
        <v>165</v>
      </c>
    </row>
    <row r="4389" spans="1:14">
      <c r="A4389" s="2">
        <v>4388</v>
      </c>
      <c r="B4389" s="3" t="s">
        <v>14918</v>
      </c>
      <c r="C4389" s="2" t="s">
        <v>14919</v>
      </c>
      <c r="D4389" s="2">
        <v>42</v>
      </c>
      <c r="E4389" s="2">
        <v>42</v>
      </c>
      <c r="F4389" s="2" t="s">
        <v>14920</v>
      </c>
      <c r="H4389" s="2" t="s">
        <v>17</v>
      </c>
      <c r="K4389" s="4">
        <v>4328</v>
      </c>
      <c r="M4389" s="2" t="s">
        <v>66</v>
      </c>
      <c r="N4389" s="2" t="s">
        <v>1147</v>
      </c>
    </row>
    <row r="4390" spans="1:14">
      <c r="A4390" s="2">
        <v>4389</v>
      </c>
      <c r="B4390" s="3" t="s">
        <v>14921</v>
      </c>
      <c r="C4390" s="2" t="s">
        <v>14922</v>
      </c>
      <c r="D4390" s="2">
        <v>40</v>
      </c>
      <c r="E4390" s="2">
        <v>42</v>
      </c>
      <c r="F4390" s="2" t="s">
        <v>14923</v>
      </c>
      <c r="H4390" s="2" t="s">
        <v>17</v>
      </c>
      <c r="K4390" s="4">
        <v>4473</v>
      </c>
      <c r="L4390" s="4">
        <v>31724</v>
      </c>
      <c r="M4390" s="2" t="s">
        <v>164</v>
      </c>
    </row>
    <row r="4391" spans="1:14">
      <c r="A4391" s="2">
        <v>4390</v>
      </c>
      <c r="B4391" s="3" t="s">
        <v>14924</v>
      </c>
      <c r="C4391" s="2" t="s">
        <v>14925</v>
      </c>
      <c r="D4391" s="2">
        <v>42</v>
      </c>
      <c r="E4391" s="2">
        <v>42</v>
      </c>
      <c r="F4391" s="2" t="s">
        <v>14926</v>
      </c>
      <c r="H4391" s="2" t="s">
        <v>17</v>
      </c>
      <c r="K4391" s="4">
        <v>8594</v>
      </c>
      <c r="L4391" s="4">
        <v>36714</v>
      </c>
      <c r="M4391" s="2" t="s">
        <v>76</v>
      </c>
      <c r="N4391" s="2" t="s">
        <v>381</v>
      </c>
    </row>
    <row r="4392" spans="1:14">
      <c r="A4392" s="2">
        <v>4391</v>
      </c>
      <c r="B4392" s="3" t="s">
        <v>14927</v>
      </c>
      <c r="C4392" s="2" t="s">
        <v>14928</v>
      </c>
      <c r="D4392" s="2">
        <v>40</v>
      </c>
      <c r="E4392" s="2">
        <v>42</v>
      </c>
      <c r="F4392" s="2" t="s">
        <v>14929</v>
      </c>
      <c r="H4392" s="2" t="s">
        <v>17</v>
      </c>
      <c r="K4392" s="4">
        <v>8037</v>
      </c>
      <c r="L4392" s="4">
        <v>33418</v>
      </c>
      <c r="M4392" s="2" t="s">
        <v>47</v>
      </c>
      <c r="N4392" s="2" t="s">
        <v>48</v>
      </c>
    </row>
    <row r="4393" spans="1:14">
      <c r="A4393" s="2">
        <v>4392</v>
      </c>
      <c r="B4393" s="3" t="s">
        <v>14930</v>
      </c>
      <c r="C4393" s="2" t="s">
        <v>14931</v>
      </c>
      <c r="D4393" s="2">
        <v>42</v>
      </c>
      <c r="E4393" s="2">
        <v>42</v>
      </c>
      <c r="F4393" s="2" t="s">
        <v>14932</v>
      </c>
      <c r="H4393" s="2" t="s">
        <v>17</v>
      </c>
      <c r="K4393" s="4">
        <v>5396</v>
      </c>
      <c r="L4393" s="4">
        <v>38393</v>
      </c>
      <c r="M4393" s="2" t="s">
        <v>47</v>
      </c>
      <c r="N4393" s="2" t="s">
        <v>48</v>
      </c>
    </row>
    <row r="4394" spans="1:14">
      <c r="A4394" s="2">
        <v>4393</v>
      </c>
      <c r="B4394" s="3" t="s">
        <v>14933</v>
      </c>
      <c r="C4394" s="2" t="s">
        <v>14934</v>
      </c>
      <c r="D4394" s="2">
        <v>42</v>
      </c>
      <c r="E4394" s="2">
        <v>42</v>
      </c>
      <c r="F4394" s="2" t="s">
        <v>14935</v>
      </c>
      <c r="H4394" s="2" t="s">
        <v>17</v>
      </c>
      <c r="K4394" s="4">
        <v>11794</v>
      </c>
      <c r="L4394" s="4">
        <v>42764</v>
      </c>
      <c r="M4394" s="2" t="s">
        <v>192</v>
      </c>
    </row>
    <row r="4395" spans="1:14">
      <c r="A4395" s="2">
        <v>4394</v>
      </c>
      <c r="B4395" s="3" t="s">
        <v>14936</v>
      </c>
      <c r="C4395" s="2" t="s">
        <v>14937</v>
      </c>
      <c r="D4395" s="2">
        <v>42</v>
      </c>
      <c r="E4395" s="2">
        <v>42</v>
      </c>
      <c r="F4395" s="2" t="s">
        <v>14938</v>
      </c>
      <c r="H4395" s="2" t="s">
        <v>17</v>
      </c>
      <c r="K4395" s="4">
        <v>6710</v>
      </c>
      <c r="L4395" s="4">
        <v>27263</v>
      </c>
      <c r="M4395" s="2" t="s">
        <v>66</v>
      </c>
      <c r="N4395" s="2" t="s">
        <v>730</v>
      </c>
    </row>
    <row r="4396" spans="1:14">
      <c r="A4396" s="2">
        <v>4395</v>
      </c>
      <c r="B4396" s="3" t="s">
        <v>14939</v>
      </c>
      <c r="C4396" s="2" t="s">
        <v>14940</v>
      </c>
      <c r="D4396" s="2">
        <v>42</v>
      </c>
      <c r="E4396" s="2">
        <v>42</v>
      </c>
      <c r="F4396" s="2" t="s">
        <v>14941</v>
      </c>
      <c r="H4396" s="2" t="s">
        <v>17</v>
      </c>
      <c r="K4396" s="4">
        <v>10953</v>
      </c>
      <c r="L4396" s="4">
        <v>25953</v>
      </c>
      <c r="M4396" s="2" t="s">
        <v>47</v>
      </c>
      <c r="N4396" s="2" t="s">
        <v>691</v>
      </c>
    </row>
    <row r="4397" spans="1:14">
      <c r="A4397" s="2">
        <v>4396</v>
      </c>
      <c r="B4397" s="3" t="s">
        <v>14942</v>
      </c>
      <c r="C4397" s="2" t="s">
        <v>14943</v>
      </c>
      <c r="D4397" s="2">
        <v>42</v>
      </c>
      <c r="E4397" s="2">
        <v>42</v>
      </c>
      <c r="F4397" s="2" t="s">
        <v>14944</v>
      </c>
      <c r="H4397" s="2" t="s">
        <v>17</v>
      </c>
      <c r="K4397" s="4">
        <v>4879</v>
      </c>
      <c r="L4397" s="4">
        <v>26755</v>
      </c>
      <c r="M4397" s="2" t="s">
        <v>47</v>
      </c>
      <c r="N4397" s="2" t="s">
        <v>691</v>
      </c>
    </row>
    <row r="4398" spans="1:14">
      <c r="A4398" s="2">
        <v>4397</v>
      </c>
      <c r="B4398" s="3" t="s">
        <v>14945</v>
      </c>
      <c r="C4398" s="2" t="s">
        <v>14946</v>
      </c>
      <c r="D4398" s="2">
        <v>41</v>
      </c>
      <c r="E4398" s="2">
        <v>42</v>
      </c>
      <c r="F4398" s="2" t="s">
        <v>14947</v>
      </c>
      <c r="H4398" s="2" t="s">
        <v>17</v>
      </c>
      <c r="K4398" s="4">
        <v>4321</v>
      </c>
      <c r="L4398" s="4">
        <v>23626</v>
      </c>
      <c r="M4398" s="2" t="s">
        <v>170</v>
      </c>
      <c r="N4398" s="2" t="s">
        <v>323</v>
      </c>
    </row>
    <row r="4399" spans="1:14">
      <c r="A4399" s="2">
        <v>4398</v>
      </c>
      <c r="B4399" s="3" t="s">
        <v>14948</v>
      </c>
      <c r="C4399" s="2" t="s">
        <v>14949</v>
      </c>
      <c r="D4399" s="2">
        <v>40</v>
      </c>
      <c r="E4399" s="2">
        <v>42</v>
      </c>
      <c r="F4399" s="2" t="s">
        <v>14950</v>
      </c>
      <c r="H4399" s="2" t="s">
        <v>17</v>
      </c>
      <c r="K4399" s="4">
        <v>5882</v>
      </c>
      <c r="L4399" s="4">
        <v>33420</v>
      </c>
      <c r="M4399" s="2" t="s">
        <v>198</v>
      </c>
      <c r="N4399" s="2" t="s">
        <v>199</v>
      </c>
    </row>
    <row r="4400" spans="1:14">
      <c r="A4400" s="2">
        <v>4399</v>
      </c>
      <c r="B4400" s="3" t="s">
        <v>14951</v>
      </c>
      <c r="C4400" s="2" t="s">
        <v>14952</v>
      </c>
      <c r="D4400" s="2">
        <v>41</v>
      </c>
      <c r="E4400" s="2">
        <v>42</v>
      </c>
      <c r="F4400" s="2" t="s">
        <v>14953</v>
      </c>
      <c r="H4400" s="2" t="s">
        <v>17</v>
      </c>
      <c r="K4400" s="4">
        <v>5996</v>
      </c>
      <c r="L4400" s="4">
        <v>35030</v>
      </c>
      <c r="M4400" s="2" t="s">
        <v>164</v>
      </c>
      <c r="N4400" s="2" t="s">
        <v>1223</v>
      </c>
    </row>
    <row r="4401" spans="1:14">
      <c r="A4401" s="2">
        <v>4400</v>
      </c>
      <c r="B4401" s="3" t="s">
        <v>14954</v>
      </c>
      <c r="C4401" s="2" t="s">
        <v>14955</v>
      </c>
      <c r="D4401" s="2">
        <v>40</v>
      </c>
      <c r="E4401" s="2">
        <v>42</v>
      </c>
      <c r="F4401" s="2" t="s">
        <v>14956</v>
      </c>
      <c r="H4401" s="2" t="s">
        <v>17</v>
      </c>
      <c r="K4401" s="4">
        <v>6083</v>
      </c>
      <c r="L4401" s="4">
        <v>35895</v>
      </c>
      <c r="M4401" s="2" t="s">
        <v>76</v>
      </c>
      <c r="N4401" s="2" t="s">
        <v>1326</v>
      </c>
    </row>
    <row r="4402" spans="1:14">
      <c r="A4402" s="2">
        <v>4401</v>
      </c>
      <c r="B4402" s="3" t="s">
        <v>14957</v>
      </c>
      <c r="C4402" s="2" t="s">
        <v>14958</v>
      </c>
      <c r="D4402" s="2">
        <v>41</v>
      </c>
      <c r="E4402" s="2">
        <v>42</v>
      </c>
      <c r="F4402" s="2" t="s">
        <v>14959</v>
      </c>
      <c r="H4402" s="2" t="s">
        <v>17</v>
      </c>
      <c r="K4402" s="4">
        <v>3887</v>
      </c>
      <c r="L4402" s="4">
        <v>33393</v>
      </c>
      <c r="M4402" s="2" t="s">
        <v>66</v>
      </c>
      <c r="N4402" s="2" t="s">
        <v>1069</v>
      </c>
    </row>
    <row r="4403" spans="1:14">
      <c r="A4403" s="2">
        <v>4402</v>
      </c>
      <c r="B4403" s="3" t="s">
        <v>14960</v>
      </c>
      <c r="C4403" s="2" t="s">
        <v>14961</v>
      </c>
      <c r="D4403" s="2">
        <v>39</v>
      </c>
      <c r="E4403" s="2">
        <v>42</v>
      </c>
      <c r="F4403" s="2" t="s">
        <v>14962</v>
      </c>
      <c r="H4403" s="2" t="s">
        <v>17</v>
      </c>
      <c r="K4403" s="4">
        <v>2462</v>
      </c>
      <c r="L4403" s="4">
        <v>31902</v>
      </c>
      <c r="M4403" s="2" t="s">
        <v>146</v>
      </c>
      <c r="N4403" s="2" t="s">
        <v>8637</v>
      </c>
    </row>
    <row r="4404" spans="1:14">
      <c r="A4404" s="2">
        <v>4403</v>
      </c>
      <c r="B4404" s="3" t="s">
        <v>14963</v>
      </c>
      <c r="C4404" s="2" t="s">
        <v>14964</v>
      </c>
      <c r="D4404" s="2">
        <v>42</v>
      </c>
      <c r="E4404" s="2">
        <v>42</v>
      </c>
      <c r="F4404" s="2" t="s">
        <v>14965</v>
      </c>
      <c r="H4404" s="2" t="s">
        <v>17</v>
      </c>
      <c r="K4404" s="4">
        <v>8161</v>
      </c>
      <c r="L4404" s="4">
        <v>42325</v>
      </c>
      <c r="M4404" s="2" t="s">
        <v>47</v>
      </c>
      <c r="N4404" s="2" t="s">
        <v>14966</v>
      </c>
    </row>
    <row r="4405" spans="1:14">
      <c r="A4405" s="2">
        <v>4404</v>
      </c>
      <c r="B4405" s="3" t="s">
        <v>14967</v>
      </c>
      <c r="C4405" s="2" t="s">
        <v>14968</v>
      </c>
      <c r="D4405" s="2">
        <v>42</v>
      </c>
      <c r="E4405" s="2">
        <v>42</v>
      </c>
      <c r="F4405" s="2" t="s">
        <v>14969</v>
      </c>
      <c r="H4405" s="2" t="s">
        <v>17</v>
      </c>
      <c r="K4405" s="4">
        <v>10393</v>
      </c>
      <c r="M4405" s="2" t="s">
        <v>47</v>
      </c>
      <c r="N4405" s="2" t="s">
        <v>3707</v>
      </c>
    </row>
    <row r="4406" spans="1:14">
      <c r="A4406" s="2">
        <v>4405</v>
      </c>
      <c r="B4406" s="3" t="s">
        <v>14970</v>
      </c>
      <c r="C4406" s="2" t="s">
        <v>14971</v>
      </c>
      <c r="D4406" s="2">
        <v>42</v>
      </c>
      <c r="E4406" s="2">
        <v>42</v>
      </c>
      <c r="F4406" s="2" t="s">
        <v>14972</v>
      </c>
      <c r="H4406" s="2" t="s">
        <v>17</v>
      </c>
      <c r="K4406" s="4">
        <v>4434</v>
      </c>
      <c r="L4406" s="4">
        <v>28936</v>
      </c>
      <c r="M4406" s="2" t="s">
        <v>85</v>
      </c>
      <c r="N4406" s="2" t="s">
        <v>3850</v>
      </c>
    </row>
    <row r="4407" spans="1:14">
      <c r="A4407" s="2">
        <v>4406</v>
      </c>
      <c r="B4407" s="3" t="s">
        <v>14973</v>
      </c>
      <c r="C4407" s="2" t="s">
        <v>14974</v>
      </c>
      <c r="D4407" s="2">
        <v>39</v>
      </c>
      <c r="E4407" s="2">
        <v>42</v>
      </c>
      <c r="F4407" s="2" t="s">
        <v>14975</v>
      </c>
      <c r="H4407" s="2" t="s">
        <v>17</v>
      </c>
      <c r="K4407" s="4">
        <v>5017</v>
      </c>
      <c r="L4407" s="4">
        <v>26344</v>
      </c>
      <c r="M4407" s="2" t="s">
        <v>35</v>
      </c>
      <c r="N4407" s="2" t="s">
        <v>58</v>
      </c>
    </row>
    <row r="4408" spans="1:14">
      <c r="A4408" s="2">
        <v>4407</v>
      </c>
      <c r="B4408" s="3" t="s">
        <v>14976</v>
      </c>
      <c r="C4408" s="2" t="s">
        <v>14977</v>
      </c>
      <c r="D4408" s="2">
        <v>42</v>
      </c>
      <c r="E4408" s="2">
        <v>42</v>
      </c>
      <c r="F4408" s="2" t="s">
        <v>14978</v>
      </c>
      <c r="H4408" s="2" t="s">
        <v>17</v>
      </c>
      <c r="K4408" s="4">
        <v>9695</v>
      </c>
      <c r="M4408" s="2" t="s">
        <v>66</v>
      </c>
      <c r="N4408" s="2" t="s">
        <v>1069</v>
      </c>
    </row>
    <row r="4409" spans="1:14">
      <c r="A4409" s="2">
        <v>4408</v>
      </c>
      <c r="B4409" s="3" t="s">
        <v>14979</v>
      </c>
      <c r="C4409" s="2" t="s">
        <v>14980</v>
      </c>
      <c r="D4409" s="2">
        <v>41</v>
      </c>
      <c r="E4409" s="2">
        <v>42</v>
      </c>
      <c r="F4409" s="2" t="s">
        <v>14981</v>
      </c>
      <c r="H4409" s="2" t="s">
        <v>17</v>
      </c>
      <c r="K4409" s="4">
        <v>3537</v>
      </c>
      <c r="L4409" s="4">
        <v>23705</v>
      </c>
      <c r="M4409" s="2" t="s">
        <v>662</v>
      </c>
      <c r="N4409" s="2" t="s">
        <v>663</v>
      </c>
    </row>
    <row r="4410" spans="1:14">
      <c r="A4410" s="2">
        <v>4409</v>
      </c>
      <c r="B4410" s="3" t="s">
        <v>14982</v>
      </c>
      <c r="C4410" s="2" t="s">
        <v>13328</v>
      </c>
      <c r="D4410" s="2">
        <v>38</v>
      </c>
      <c r="E4410" s="2">
        <v>42</v>
      </c>
      <c r="F4410" s="2" t="s">
        <v>14983</v>
      </c>
      <c r="H4410" s="2" t="s">
        <v>17</v>
      </c>
      <c r="K4410" s="4">
        <v>5107</v>
      </c>
      <c r="L4410" s="4">
        <v>25683</v>
      </c>
      <c r="M4410" s="2" t="s">
        <v>40</v>
      </c>
      <c r="N4410" s="2" t="s">
        <v>8132</v>
      </c>
    </row>
    <row r="4411" spans="1:14">
      <c r="A4411" s="2">
        <v>4410</v>
      </c>
      <c r="B4411" s="3" t="s">
        <v>14984</v>
      </c>
      <c r="C4411" s="2" t="s">
        <v>14985</v>
      </c>
      <c r="D4411" s="2">
        <v>42</v>
      </c>
      <c r="E4411" s="2">
        <v>42</v>
      </c>
      <c r="F4411" s="2" t="s">
        <v>14986</v>
      </c>
      <c r="H4411" s="2" t="s">
        <v>17</v>
      </c>
      <c r="K4411" s="4">
        <v>5649</v>
      </c>
      <c r="L4411" s="4">
        <v>38097</v>
      </c>
      <c r="M4411" s="2" t="s">
        <v>198</v>
      </c>
      <c r="N4411" s="2" t="s">
        <v>199</v>
      </c>
    </row>
    <row r="4412" spans="1:14">
      <c r="A4412" s="2">
        <v>4411</v>
      </c>
      <c r="B4412" s="3" t="s">
        <v>14987</v>
      </c>
      <c r="C4412" s="2" t="s">
        <v>14988</v>
      </c>
      <c r="D4412" s="2">
        <v>42</v>
      </c>
      <c r="E4412" s="2">
        <v>42</v>
      </c>
      <c r="F4412" s="2" t="s">
        <v>14989</v>
      </c>
      <c r="H4412" s="2" t="s">
        <v>17</v>
      </c>
      <c r="K4412" s="4">
        <v>8598</v>
      </c>
      <c r="L4412" s="4">
        <v>41261</v>
      </c>
      <c r="M4412" s="2" t="s">
        <v>47</v>
      </c>
      <c r="N4412" s="2" t="s">
        <v>14990</v>
      </c>
    </row>
    <row r="4413" spans="1:14">
      <c r="A4413" s="2">
        <v>4412</v>
      </c>
      <c r="B4413" s="3" t="s">
        <v>14991</v>
      </c>
      <c r="C4413" s="2" t="s">
        <v>14992</v>
      </c>
      <c r="D4413" s="2">
        <v>42</v>
      </c>
      <c r="E4413" s="2">
        <v>42</v>
      </c>
      <c r="F4413" s="2" t="s">
        <v>14993</v>
      </c>
      <c r="H4413" s="2" t="s">
        <v>17</v>
      </c>
      <c r="K4413" s="4">
        <v>5463</v>
      </c>
      <c r="L4413" s="4">
        <v>28591</v>
      </c>
      <c r="M4413" s="2" t="s">
        <v>40</v>
      </c>
      <c r="N4413" s="2" t="s">
        <v>41</v>
      </c>
    </row>
    <row r="4414" spans="1:14">
      <c r="A4414" s="2">
        <v>4413</v>
      </c>
      <c r="B4414" s="3" t="s">
        <v>14994</v>
      </c>
      <c r="C4414" s="2" t="s">
        <v>14995</v>
      </c>
      <c r="D4414" s="2">
        <v>41</v>
      </c>
      <c r="E4414" s="2">
        <v>42</v>
      </c>
      <c r="F4414" s="2" t="s">
        <v>14996</v>
      </c>
      <c r="H4414" s="2" t="s">
        <v>17</v>
      </c>
      <c r="K4414" s="4" t="s">
        <v>14997</v>
      </c>
      <c r="L4414" s="4">
        <v>29318</v>
      </c>
      <c r="M4414" s="2" t="s">
        <v>47</v>
      </c>
      <c r="N4414" s="2" t="s">
        <v>14966</v>
      </c>
    </row>
    <row r="4415" spans="1:14">
      <c r="A4415" s="2">
        <v>4414</v>
      </c>
      <c r="B4415" s="3" t="s">
        <v>14998</v>
      </c>
      <c r="C4415" s="2" t="s">
        <v>14999</v>
      </c>
      <c r="D4415" s="2">
        <v>42</v>
      </c>
      <c r="E4415" s="2">
        <v>42</v>
      </c>
      <c r="F4415" s="2" t="s">
        <v>15000</v>
      </c>
      <c r="H4415" s="2" t="s">
        <v>17</v>
      </c>
      <c r="K4415" s="4">
        <v>7965</v>
      </c>
      <c r="L4415" s="4">
        <v>40339</v>
      </c>
      <c r="M4415" s="2" t="s">
        <v>47</v>
      </c>
      <c r="N4415" s="2" t="s">
        <v>11282</v>
      </c>
    </row>
    <row r="4416" spans="1:14">
      <c r="A4416" s="2">
        <v>4415</v>
      </c>
      <c r="B4416" s="3" t="s">
        <v>15001</v>
      </c>
      <c r="C4416" s="2" t="s">
        <v>15002</v>
      </c>
      <c r="D4416" s="2">
        <v>42</v>
      </c>
      <c r="E4416" s="2">
        <v>42</v>
      </c>
      <c r="F4416" s="2" t="s">
        <v>15003</v>
      </c>
      <c r="H4416" s="2" t="s">
        <v>17</v>
      </c>
      <c r="K4416" s="4">
        <v>8127</v>
      </c>
      <c r="M4416" s="2" t="s">
        <v>154</v>
      </c>
      <c r="N4416" s="2" t="s">
        <v>208</v>
      </c>
    </row>
    <row r="4417" spans="1:14">
      <c r="A4417" s="2">
        <v>4416</v>
      </c>
      <c r="B4417" s="3" t="s">
        <v>15004</v>
      </c>
      <c r="C4417" s="2" t="s">
        <v>15005</v>
      </c>
      <c r="D4417" s="2">
        <v>40</v>
      </c>
      <c r="E4417" s="2">
        <v>42</v>
      </c>
      <c r="F4417" s="2" t="s">
        <v>15006</v>
      </c>
      <c r="H4417" s="2" t="s">
        <v>17</v>
      </c>
      <c r="K4417" s="4">
        <v>7350</v>
      </c>
      <c r="L4417" s="4">
        <v>40834</v>
      </c>
      <c r="M4417" s="2" t="s">
        <v>170</v>
      </c>
      <c r="N4417" s="2" t="s">
        <v>2157</v>
      </c>
    </row>
    <row r="4418" spans="1:14">
      <c r="A4418" s="2">
        <v>4417</v>
      </c>
      <c r="B4418" s="3" t="s">
        <v>15007</v>
      </c>
      <c r="C4418" s="2" t="s">
        <v>15008</v>
      </c>
      <c r="D4418" s="2">
        <v>39</v>
      </c>
      <c r="E4418" s="2">
        <v>41</v>
      </c>
      <c r="F4418" s="2" t="s">
        <v>15009</v>
      </c>
      <c r="H4418" s="2" t="s">
        <v>17</v>
      </c>
      <c r="K4418" s="4">
        <v>6470</v>
      </c>
      <c r="L4418" s="4">
        <v>33890</v>
      </c>
      <c r="M4418" s="2" t="s">
        <v>66</v>
      </c>
      <c r="N4418" s="2" t="s">
        <v>1069</v>
      </c>
    </row>
    <row r="4419" spans="1:14">
      <c r="A4419" s="2">
        <v>4418</v>
      </c>
      <c r="B4419" s="3" t="s">
        <v>15010</v>
      </c>
      <c r="C4419" s="2" t="s">
        <v>15011</v>
      </c>
      <c r="D4419" s="2">
        <v>41</v>
      </c>
      <c r="E4419" s="2">
        <v>41</v>
      </c>
      <c r="F4419" s="2" t="s">
        <v>15012</v>
      </c>
      <c r="H4419" s="2" t="s">
        <v>17</v>
      </c>
      <c r="K4419" s="4">
        <v>1879</v>
      </c>
      <c r="L4419" s="4">
        <v>31908</v>
      </c>
      <c r="M4419" s="2" t="s">
        <v>185</v>
      </c>
      <c r="N4419" s="2" t="s">
        <v>186</v>
      </c>
    </row>
    <row r="4420" spans="1:14">
      <c r="A4420" s="2">
        <v>4419</v>
      </c>
      <c r="B4420" s="3" t="s">
        <v>15013</v>
      </c>
      <c r="C4420" s="2" t="s">
        <v>15014</v>
      </c>
      <c r="D4420" s="2">
        <v>41</v>
      </c>
      <c r="E4420" s="2">
        <v>41</v>
      </c>
      <c r="F4420" s="2" t="s">
        <v>15015</v>
      </c>
      <c r="H4420" s="2" t="s">
        <v>17</v>
      </c>
      <c r="K4420" s="4">
        <v>3442</v>
      </c>
      <c r="L4420" s="4">
        <v>23071</v>
      </c>
      <c r="M4420" s="2" t="s">
        <v>164</v>
      </c>
      <c r="N4420" s="2" t="s">
        <v>165</v>
      </c>
    </row>
    <row r="4421" spans="1:14">
      <c r="A4421" s="2">
        <v>4420</v>
      </c>
      <c r="B4421" s="3" t="s">
        <v>15016</v>
      </c>
      <c r="C4421" s="2" t="s">
        <v>15017</v>
      </c>
      <c r="D4421" s="2">
        <v>39</v>
      </c>
      <c r="E4421" s="2">
        <v>41</v>
      </c>
      <c r="F4421" s="2" t="s">
        <v>15018</v>
      </c>
      <c r="H4421" s="2" t="s">
        <v>17</v>
      </c>
      <c r="K4421" s="4">
        <v>6948</v>
      </c>
      <c r="L4421" s="4">
        <v>42093</v>
      </c>
      <c r="M4421" s="2" t="s">
        <v>85</v>
      </c>
      <c r="N4421" s="2" t="s">
        <v>86</v>
      </c>
    </row>
    <row r="4422" spans="1:14">
      <c r="A4422" s="2">
        <v>4421</v>
      </c>
      <c r="B4422" s="3" t="s">
        <v>15019</v>
      </c>
      <c r="C4422" s="2" t="s">
        <v>15020</v>
      </c>
      <c r="D4422" s="2">
        <v>41</v>
      </c>
      <c r="E4422" s="2">
        <v>41</v>
      </c>
      <c r="F4422" s="2" t="s">
        <v>15021</v>
      </c>
      <c r="H4422" s="2" t="s">
        <v>17</v>
      </c>
      <c r="K4422" s="4">
        <v>2690</v>
      </c>
      <c r="L4422" s="4">
        <v>24947</v>
      </c>
      <c r="M4422" s="2" t="s">
        <v>35</v>
      </c>
      <c r="N4422" s="2" t="s">
        <v>2585</v>
      </c>
    </row>
    <row r="4423" spans="1:14">
      <c r="A4423" s="2">
        <v>4422</v>
      </c>
      <c r="B4423" s="3" t="s">
        <v>15022</v>
      </c>
      <c r="C4423" s="2" t="s">
        <v>15023</v>
      </c>
      <c r="D4423" s="2">
        <v>40</v>
      </c>
      <c r="E4423" s="2">
        <v>41</v>
      </c>
      <c r="F4423" s="2" t="s">
        <v>15024</v>
      </c>
      <c r="H4423" s="2" t="s">
        <v>17</v>
      </c>
      <c r="K4423" s="4">
        <v>5957</v>
      </c>
      <c r="M4423" s="2" t="s">
        <v>47</v>
      </c>
      <c r="N4423" s="2" t="s">
        <v>4050</v>
      </c>
    </row>
    <row r="4424" spans="1:14">
      <c r="A4424" s="2">
        <v>4423</v>
      </c>
      <c r="B4424" s="3" t="s">
        <v>15025</v>
      </c>
      <c r="C4424" s="2" t="s">
        <v>15026</v>
      </c>
      <c r="D4424" s="2">
        <v>39</v>
      </c>
      <c r="E4424" s="2">
        <v>41</v>
      </c>
      <c r="F4424" s="2" t="s">
        <v>15027</v>
      </c>
      <c r="H4424" s="2" t="s">
        <v>17</v>
      </c>
      <c r="K4424" s="4">
        <v>2354</v>
      </c>
      <c r="L4424" s="4">
        <v>27902</v>
      </c>
      <c r="M4424" s="2" t="s">
        <v>76</v>
      </c>
      <c r="N4424" s="2" t="s">
        <v>15028</v>
      </c>
    </row>
    <row r="4425" spans="1:14">
      <c r="A4425" s="2">
        <v>4424</v>
      </c>
      <c r="B4425" s="3" t="s">
        <v>15029</v>
      </c>
      <c r="C4425" s="2" t="s">
        <v>15030</v>
      </c>
      <c r="D4425" s="2">
        <v>38</v>
      </c>
      <c r="E4425" s="2">
        <v>41</v>
      </c>
      <c r="F4425" s="2" t="s">
        <v>15031</v>
      </c>
      <c r="H4425" s="2" t="s">
        <v>17</v>
      </c>
      <c r="K4425" s="4" t="s">
        <v>15032</v>
      </c>
      <c r="L4425" s="4">
        <v>32631</v>
      </c>
      <c r="M4425" s="2" t="s">
        <v>85</v>
      </c>
      <c r="N4425" s="2" t="s">
        <v>7824</v>
      </c>
    </row>
    <row r="4426" spans="1:14">
      <c r="A4426" s="2">
        <v>4425</v>
      </c>
      <c r="B4426" s="3" t="s">
        <v>15033</v>
      </c>
      <c r="C4426" s="2" t="s">
        <v>15034</v>
      </c>
      <c r="D4426" s="2">
        <v>38</v>
      </c>
      <c r="E4426" s="2">
        <v>41</v>
      </c>
      <c r="F4426" s="2" t="s">
        <v>15035</v>
      </c>
      <c r="H4426" s="2" t="s">
        <v>17</v>
      </c>
      <c r="K4426" s="4" t="s">
        <v>15036</v>
      </c>
      <c r="L4426" s="4">
        <v>29574</v>
      </c>
      <c r="M4426" s="2" t="s">
        <v>47</v>
      </c>
      <c r="N4426" s="2" t="s">
        <v>625</v>
      </c>
    </row>
    <row r="4427" spans="1:14">
      <c r="A4427" s="2">
        <v>4426</v>
      </c>
      <c r="B4427" s="3" t="s">
        <v>15037</v>
      </c>
      <c r="C4427" s="2" t="s">
        <v>15038</v>
      </c>
      <c r="D4427" s="2">
        <v>38</v>
      </c>
      <c r="E4427" s="2">
        <v>41</v>
      </c>
      <c r="F4427" s="2" t="s">
        <v>15039</v>
      </c>
      <c r="H4427" s="2" t="s">
        <v>17</v>
      </c>
      <c r="K4427" s="4" t="s">
        <v>15040</v>
      </c>
      <c r="L4427" s="4">
        <v>32332</v>
      </c>
      <c r="M4427" s="2" t="s">
        <v>192</v>
      </c>
      <c r="N4427" s="2" t="s">
        <v>15041</v>
      </c>
    </row>
    <row r="4428" spans="1:14">
      <c r="A4428" s="2">
        <v>4427</v>
      </c>
      <c r="B4428" s="3" t="s">
        <v>15042</v>
      </c>
      <c r="C4428" s="2" t="s">
        <v>15043</v>
      </c>
      <c r="D4428" s="2">
        <v>40</v>
      </c>
      <c r="E4428" s="2">
        <v>41</v>
      </c>
      <c r="F4428" s="2" t="s">
        <v>15044</v>
      </c>
      <c r="H4428" s="2" t="s">
        <v>17</v>
      </c>
      <c r="K4428" s="4">
        <v>6987</v>
      </c>
      <c r="L4428" s="4">
        <v>40966</v>
      </c>
      <c r="M4428" s="2" t="s">
        <v>164</v>
      </c>
      <c r="N4428" s="2" t="s">
        <v>13311</v>
      </c>
    </row>
    <row r="4429" spans="1:14">
      <c r="A4429" s="2">
        <v>4428</v>
      </c>
      <c r="B4429" s="3" t="s">
        <v>15045</v>
      </c>
      <c r="C4429" s="2" t="s">
        <v>15046</v>
      </c>
      <c r="D4429" s="2">
        <v>41</v>
      </c>
      <c r="E4429" s="2">
        <v>41</v>
      </c>
      <c r="F4429" s="2" t="s">
        <v>15047</v>
      </c>
      <c r="H4429" s="2" t="s">
        <v>17</v>
      </c>
      <c r="K4429" s="4">
        <v>7469</v>
      </c>
      <c r="M4429" s="2" t="s">
        <v>154</v>
      </c>
      <c r="N4429" s="2" t="s">
        <v>208</v>
      </c>
    </row>
    <row r="4430" spans="1:14">
      <c r="A4430" s="2">
        <v>4429</v>
      </c>
      <c r="B4430" s="3" t="s">
        <v>15048</v>
      </c>
      <c r="C4430" s="2" t="s">
        <v>15049</v>
      </c>
      <c r="D4430" s="2">
        <v>40</v>
      </c>
      <c r="E4430" s="2">
        <v>41</v>
      </c>
      <c r="F4430" s="2" t="s">
        <v>15050</v>
      </c>
      <c r="H4430" s="2" t="s">
        <v>17</v>
      </c>
      <c r="K4430" s="4">
        <v>4892</v>
      </c>
      <c r="L4430" s="4">
        <v>27929</v>
      </c>
      <c r="M4430" s="2" t="s">
        <v>185</v>
      </c>
      <c r="N4430" s="2" t="s">
        <v>11483</v>
      </c>
    </row>
    <row r="4431" spans="1:14">
      <c r="A4431" s="2">
        <v>4430</v>
      </c>
      <c r="B4431" s="3" t="s">
        <v>15051</v>
      </c>
      <c r="C4431" s="2" t="s">
        <v>15052</v>
      </c>
      <c r="D4431" s="2">
        <v>41</v>
      </c>
      <c r="E4431" s="2">
        <v>41</v>
      </c>
      <c r="F4431" s="2" t="s">
        <v>15053</v>
      </c>
      <c r="H4431" s="2" t="s">
        <v>17</v>
      </c>
      <c r="K4431" s="4">
        <v>2436</v>
      </c>
      <c r="L4431" s="4">
        <v>23703</v>
      </c>
      <c r="M4431" s="2" t="s">
        <v>40</v>
      </c>
      <c r="N4431" s="2" t="s">
        <v>8172</v>
      </c>
    </row>
    <row r="4432" spans="1:14">
      <c r="A4432" s="2">
        <v>4431</v>
      </c>
      <c r="B4432" s="3" t="s">
        <v>15054</v>
      </c>
      <c r="C4432" s="2" t="s">
        <v>15055</v>
      </c>
      <c r="D4432" s="2">
        <v>41</v>
      </c>
      <c r="E4432" s="2">
        <v>41</v>
      </c>
      <c r="F4432" s="2" t="s">
        <v>15056</v>
      </c>
      <c r="H4432" s="2" t="s">
        <v>17</v>
      </c>
      <c r="K4432" s="4">
        <v>9186</v>
      </c>
      <c r="L4432" s="4">
        <v>34560</v>
      </c>
      <c r="M4432" s="2" t="s">
        <v>18</v>
      </c>
      <c r="N4432" s="2" t="s">
        <v>15057</v>
      </c>
    </row>
    <row r="4433" spans="1:14">
      <c r="A4433" s="2">
        <v>4432</v>
      </c>
      <c r="B4433" s="3" t="s">
        <v>15058</v>
      </c>
      <c r="C4433" s="2" t="s">
        <v>15059</v>
      </c>
      <c r="D4433" s="2">
        <v>41</v>
      </c>
      <c r="E4433" s="2">
        <v>41</v>
      </c>
      <c r="F4433" s="2" t="s">
        <v>15060</v>
      </c>
      <c r="H4433" s="2" t="s">
        <v>17</v>
      </c>
      <c r="K4433" s="4">
        <v>6010</v>
      </c>
      <c r="L4433" s="4">
        <v>23088</v>
      </c>
      <c r="M4433" s="2" t="s">
        <v>76</v>
      </c>
      <c r="N4433" s="2" t="s">
        <v>7803</v>
      </c>
    </row>
    <row r="4434" spans="1:14">
      <c r="A4434" s="2">
        <v>4433</v>
      </c>
      <c r="B4434" s="3" t="s">
        <v>15061</v>
      </c>
      <c r="C4434" s="2" t="s">
        <v>15062</v>
      </c>
      <c r="D4434" s="2">
        <v>36</v>
      </c>
      <c r="E4434" s="2">
        <v>41</v>
      </c>
      <c r="F4434" s="2" t="s">
        <v>15063</v>
      </c>
      <c r="H4434" s="2" t="s">
        <v>17</v>
      </c>
      <c r="K4434" s="4">
        <v>2248</v>
      </c>
      <c r="L4434" s="4">
        <v>32591</v>
      </c>
      <c r="M4434" s="2" t="s">
        <v>423</v>
      </c>
      <c r="N4434" s="2" t="s">
        <v>3942</v>
      </c>
    </row>
    <row r="4435" spans="1:14">
      <c r="A4435" s="2">
        <v>4434</v>
      </c>
      <c r="B4435" s="3" t="s">
        <v>15064</v>
      </c>
      <c r="C4435" s="2" t="s">
        <v>5892</v>
      </c>
      <c r="D4435" s="2">
        <v>40</v>
      </c>
      <c r="E4435" s="2">
        <v>41</v>
      </c>
      <c r="F4435" s="2" t="s">
        <v>15065</v>
      </c>
      <c r="H4435" s="2" t="s">
        <v>17</v>
      </c>
      <c r="K4435" s="4">
        <v>9386</v>
      </c>
      <c r="L4435" s="4">
        <v>43102</v>
      </c>
      <c r="M4435" s="2" t="s">
        <v>198</v>
      </c>
      <c r="N4435" s="2" t="s">
        <v>199</v>
      </c>
    </row>
    <row r="4436" spans="1:14">
      <c r="A4436" s="2">
        <v>4435</v>
      </c>
      <c r="B4436" s="3" t="s">
        <v>15066</v>
      </c>
      <c r="C4436" s="2" t="s">
        <v>15067</v>
      </c>
      <c r="D4436" s="2">
        <v>41</v>
      </c>
      <c r="E4436" s="2">
        <v>41</v>
      </c>
      <c r="F4436" s="2" t="s">
        <v>15068</v>
      </c>
      <c r="H4436" s="2" t="s">
        <v>17</v>
      </c>
      <c r="K4436" s="4">
        <v>2790</v>
      </c>
      <c r="L4436" s="4">
        <v>34058</v>
      </c>
      <c r="M4436" s="2" t="s">
        <v>66</v>
      </c>
      <c r="N4436" s="2" t="s">
        <v>1069</v>
      </c>
    </row>
    <row r="4437" spans="1:14">
      <c r="A4437" s="2">
        <v>4436</v>
      </c>
      <c r="B4437" s="3" t="s">
        <v>15069</v>
      </c>
      <c r="C4437" s="2" t="s">
        <v>7549</v>
      </c>
      <c r="D4437" s="2">
        <v>41</v>
      </c>
      <c r="E4437" s="2">
        <v>41</v>
      </c>
      <c r="F4437" s="2" t="s">
        <v>15070</v>
      </c>
      <c r="H4437" s="2" t="s">
        <v>17</v>
      </c>
      <c r="K4437" s="4">
        <v>7714</v>
      </c>
      <c r="L4437" s="4">
        <v>31867</v>
      </c>
      <c r="M4437" s="2" t="s">
        <v>30</v>
      </c>
      <c r="N4437" s="2" t="s">
        <v>31</v>
      </c>
    </row>
    <row r="4438" spans="1:14">
      <c r="A4438" s="2">
        <v>4437</v>
      </c>
      <c r="B4438" s="3" t="s">
        <v>15071</v>
      </c>
      <c r="C4438" s="2" t="s">
        <v>15072</v>
      </c>
      <c r="D4438" s="2">
        <v>40</v>
      </c>
      <c r="E4438" s="2">
        <v>41</v>
      </c>
      <c r="F4438" s="2" t="s">
        <v>15073</v>
      </c>
      <c r="H4438" s="2" t="s">
        <v>17</v>
      </c>
      <c r="K4438" s="4">
        <v>223</v>
      </c>
      <c r="L4438" s="4">
        <v>32582</v>
      </c>
      <c r="M4438" s="2" t="s">
        <v>66</v>
      </c>
      <c r="N4438" s="2" t="s">
        <v>1069</v>
      </c>
    </row>
    <row r="4439" spans="1:14">
      <c r="A4439" s="2">
        <v>4438</v>
      </c>
      <c r="B4439" s="3" t="s">
        <v>15074</v>
      </c>
      <c r="C4439" s="2" t="s">
        <v>15075</v>
      </c>
      <c r="D4439" s="2">
        <v>41</v>
      </c>
      <c r="E4439" s="2">
        <v>41</v>
      </c>
      <c r="F4439" s="2" t="s">
        <v>15076</v>
      </c>
      <c r="H4439" s="2" t="s">
        <v>17</v>
      </c>
      <c r="K4439" s="4">
        <v>11142</v>
      </c>
      <c r="L4439" s="4">
        <v>26056</v>
      </c>
      <c r="M4439" s="2" t="s">
        <v>247</v>
      </c>
      <c r="N4439" s="2" t="s">
        <v>562</v>
      </c>
    </row>
    <row r="4440" spans="1:14">
      <c r="A4440" s="2">
        <v>4439</v>
      </c>
      <c r="B4440" s="3" t="s">
        <v>15077</v>
      </c>
      <c r="C4440" s="2" t="s">
        <v>15078</v>
      </c>
      <c r="D4440" s="2">
        <v>40</v>
      </c>
      <c r="E4440" s="2">
        <v>41</v>
      </c>
      <c r="F4440" s="2" t="s">
        <v>15079</v>
      </c>
      <c r="H4440" s="2" t="s">
        <v>17</v>
      </c>
      <c r="K4440" s="4">
        <v>2578</v>
      </c>
      <c r="L4440" s="4">
        <v>22246</v>
      </c>
      <c r="M4440" s="2" t="s">
        <v>40</v>
      </c>
      <c r="N4440" s="2" t="s">
        <v>1528</v>
      </c>
    </row>
    <row r="4441" spans="1:14">
      <c r="A4441" s="2">
        <v>4440</v>
      </c>
      <c r="B4441" s="3" t="s">
        <v>15080</v>
      </c>
      <c r="C4441" s="2" t="s">
        <v>15081</v>
      </c>
      <c r="D4441" s="2">
        <v>40</v>
      </c>
      <c r="E4441" s="2">
        <v>41</v>
      </c>
      <c r="F4441" s="2" t="s">
        <v>15082</v>
      </c>
      <c r="H4441" s="2" t="s">
        <v>17</v>
      </c>
      <c r="K4441" s="4">
        <v>5274</v>
      </c>
      <c r="L4441" s="4">
        <v>37700</v>
      </c>
      <c r="M4441" s="2" t="s">
        <v>146</v>
      </c>
      <c r="N4441" s="2" t="s">
        <v>15083</v>
      </c>
    </row>
    <row r="4442" spans="1:14">
      <c r="A4442" s="2">
        <v>4441</v>
      </c>
      <c r="B4442" s="3" t="s">
        <v>15084</v>
      </c>
      <c r="C4442" s="2" t="s">
        <v>15085</v>
      </c>
      <c r="D4442" s="2">
        <v>40</v>
      </c>
      <c r="E4442" s="2">
        <v>41</v>
      </c>
      <c r="F4442" s="2" t="s">
        <v>15086</v>
      </c>
      <c r="H4442" s="2" t="s">
        <v>17</v>
      </c>
      <c r="K4442" s="4" t="s">
        <v>15087</v>
      </c>
      <c r="L4442" s="4">
        <v>25586</v>
      </c>
      <c r="M4442" s="2" t="s">
        <v>35</v>
      </c>
      <c r="N4442" s="2" t="s">
        <v>36</v>
      </c>
    </row>
    <row r="4443" spans="1:14">
      <c r="A4443" s="2">
        <v>4442</v>
      </c>
      <c r="B4443" s="3" t="s">
        <v>15088</v>
      </c>
      <c r="C4443" s="2" t="s">
        <v>15089</v>
      </c>
      <c r="D4443" s="2">
        <v>37</v>
      </c>
      <c r="E4443" s="2">
        <v>41</v>
      </c>
      <c r="F4443" s="2" t="s">
        <v>15090</v>
      </c>
      <c r="H4443" s="2" t="s">
        <v>17</v>
      </c>
      <c r="K4443" s="4" t="s">
        <v>15091</v>
      </c>
      <c r="L4443" s="4">
        <v>36723</v>
      </c>
      <c r="M4443" s="2" t="s">
        <v>198</v>
      </c>
      <c r="N4443" s="2" t="s">
        <v>199</v>
      </c>
    </row>
    <row r="4444" spans="1:14">
      <c r="A4444" s="2">
        <v>4443</v>
      </c>
      <c r="B4444" s="3" t="s">
        <v>15092</v>
      </c>
      <c r="C4444" s="2" t="s">
        <v>15093</v>
      </c>
      <c r="D4444" s="2">
        <v>41</v>
      </c>
      <c r="E4444" s="2">
        <v>41</v>
      </c>
      <c r="F4444" s="2" t="s">
        <v>15094</v>
      </c>
      <c r="H4444" s="2" t="s">
        <v>17</v>
      </c>
      <c r="K4444" s="4">
        <v>4129</v>
      </c>
      <c r="M4444" s="2" t="s">
        <v>47</v>
      </c>
      <c r="N4444" s="2" t="s">
        <v>15095</v>
      </c>
    </row>
    <row r="4445" spans="1:14">
      <c r="A4445" s="2">
        <v>4444</v>
      </c>
      <c r="B4445" s="3" t="s">
        <v>15096</v>
      </c>
      <c r="C4445" s="2" t="s">
        <v>15097</v>
      </c>
      <c r="D4445" s="2">
        <v>33</v>
      </c>
      <c r="E4445" s="2">
        <v>41</v>
      </c>
      <c r="F4445" s="2" t="s">
        <v>15098</v>
      </c>
      <c r="H4445" s="2" t="s">
        <v>17</v>
      </c>
      <c r="K4445" s="4" t="s">
        <v>15099</v>
      </c>
      <c r="L4445" s="4">
        <v>24404</v>
      </c>
      <c r="M4445" s="2" t="s">
        <v>40</v>
      </c>
      <c r="N4445" s="2" t="s">
        <v>6544</v>
      </c>
    </row>
    <row r="4446" spans="1:14">
      <c r="A4446" s="2">
        <v>4445</v>
      </c>
      <c r="B4446" s="3" t="s">
        <v>15100</v>
      </c>
      <c r="C4446" s="2" t="s">
        <v>15101</v>
      </c>
      <c r="D4446" s="2">
        <v>41</v>
      </c>
      <c r="E4446" s="2">
        <v>41</v>
      </c>
      <c r="F4446" s="2" t="s">
        <v>15102</v>
      </c>
      <c r="H4446" s="2" t="s">
        <v>17</v>
      </c>
      <c r="K4446" s="4">
        <v>8410</v>
      </c>
      <c r="M4446" s="2" t="s">
        <v>85</v>
      </c>
      <c r="N4446" s="2" t="s">
        <v>1891</v>
      </c>
    </row>
    <row r="4447" spans="1:14">
      <c r="A4447" s="2">
        <v>4446</v>
      </c>
      <c r="B4447" s="3" t="s">
        <v>15103</v>
      </c>
      <c r="C4447" s="2" t="s">
        <v>15104</v>
      </c>
      <c r="D4447" s="2">
        <v>40</v>
      </c>
      <c r="E4447" s="2">
        <v>41</v>
      </c>
      <c r="F4447" s="2" t="s">
        <v>15105</v>
      </c>
      <c r="H4447" s="2" t="s">
        <v>17</v>
      </c>
      <c r="K4447" s="4">
        <v>72</v>
      </c>
      <c r="L4447" s="4">
        <v>25170</v>
      </c>
      <c r="M4447" s="2" t="s">
        <v>47</v>
      </c>
      <c r="N4447" s="2" t="s">
        <v>48</v>
      </c>
    </row>
    <row r="4448" spans="1:14">
      <c r="A4448" s="2">
        <v>4447</v>
      </c>
      <c r="B4448" s="3" t="s">
        <v>15106</v>
      </c>
      <c r="C4448" s="2" t="s">
        <v>15107</v>
      </c>
      <c r="D4448" s="2">
        <v>41</v>
      </c>
      <c r="E4448" s="2">
        <v>41</v>
      </c>
      <c r="F4448" s="2" t="s">
        <v>15108</v>
      </c>
      <c r="H4448" s="2" t="s">
        <v>17</v>
      </c>
      <c r="K4448" s="4">
        <v>12015</v>
      </c>
      <c r="M4448" s="2" t="s">
        <v>47</v>
      </c>
      <c r="N4448" s="2" t="s">
        <v>6306</v>
      </c>
    </row>
    <row r="4449" spans="1:14">
      <c r="A4449" s="2">
        <v>4448</v>
      </c>
      <c r="B4449" s="3" t="s">
        <v>15109</v>
      </c>
      <c r="C4449" s="2" t="s">
        <v>15110</v>
      </c>
      <c r="D4449" s="2">
        <v>40</v>
      </c>
      <c r="E4449" s="2">
        <v>41</v>
      </c>
      <c r="F4449" s="2" t="s">
        <v>15111</v>
      </c>
      <c r="H4449" s="2" t="s">
        <v>17</v>
      </c>
      <c r="K4449" s="4">
        <v>6546</v>
      </c>
      <c r="L4449" s="4">
        <v>23140</v>
      </c>
      <c r="M4449" s="2" t="s">
        <v>85</v>
      </c>
      <c r="N4449" s="2" t="s">
        <v>86</v>
      </c>
    </row>
    <row r="4450" spans="1:14">
      <c r="A4450" s="2">
        <v>4449</v>
      </c>
      <c r="B4450" s="3" t="s">
        <v>15112</v>
      </c>
      <c r="C4450" s="2" t="s">
        <v>15113</v>
      </c>
      <c r="D4450" s="2">
        <v>40</v>
      </c>
      <c r="E4450" s="2">
        <v>41</v>
      </c>
      <c r="F4450" s="2" t="s">
        <v>15114</v>
      </c>
      <c r="H4450" s="2" t="s">
        <v>17</v>
      </c>
      <c r="K4450" s="4">
        <v>5234</v>
      </c>
      <c r="L4450" s="4">
        <v>28266</v>
      </c>
      <c r="M4450" s="2" t="s">
        <v>170</v>
      </c>
      <c r="N4450" s="2" t="s">
        <v>802</v>
      </c>
    </row>
    <row r="4451" spans="1:14">
      <c r="A4451" s="2">
        <v>4450</v>
      </c>
      <c r="B4451" s="3" t="s">
        <v>15115</v>
      </c>
      <c r="C4451" s="2" t="s">
        <v>15116</v>
      </c>
      <c r="D4451" s="2">
        <v>37</v>
      </c>
      <c r="E4451" s="2">
        <v>41</v>
      </c>
      <c r="F4451" s="2" t="s">
        <v>15117</v>
      </c>
      <c r="H4451" s="2" t="s">
        <v>17</v>
      </c>
      <c r="K4451" s="4" t="s">
        <v>15118</v>
      </c>
      <c r="L4451" s="4">
        <v>22321</v>
      </c>
      <c r="M4451" s="2" t="s">
        <v>35</v>
      </c>
      <c r="N4451" s="2" t="s">
        <v>15119</v>
      </c>
    </row>
    <row r="4452" spans="1:14">
      <c r="A4452" s="2">
        <v>4451</v>
      </c>
      <c r="B4452" s="3" t="s">
        <v>15120</v>
      </c>
      <c r="C4452" s="2" t="s">
        <v>15121</v>
      </c>
      <c r="D4452" s="2">
        <v>39</v>
      </c>
      <c r="E4452" s="2">
        <v>41</v>
      </c>
      <c r="F4452" s="2" t="s">
        <v>15122</v>
      </c>
      <c r="H4452" s="2" t="s">
        <v>17</v>
      </c>
      <c r="K4452" s="4" t="s">
        <v>15123</v>
      </c>
      <c r="M4452" s="2" t="s">
        <v>47</v>
      </c>
      <c r="N4452" s="2" t="s">
        <v>48</v>
      </c>
    </row>
    <row r="4453" spans="1:14">
      <c r="A4453" s="2">
        <v>4452</v>
      </c>
      <c r="B4453" s="3" t="s">
        <v>15124</v>
      </c>
      <c r="C4453" s="2" t="s">
        <v>15125</v>
      </c>
      <c r="D4453" s="2">
        <v>40</v>
      </c>
      <c r="E4453" s="2">
        <v>41</v>
      </c>
      <c r="F4453" s="2" t="s">
        <v>15126</v>
      </c>
      <c r="H4453" s="2" t="s">
        <v>17</v>
      </c>
      <c r="K4453" s="4">
        <v>5445</v>
      </c>
      <c r="L4453" s="4">
        <v>31412</v>
      </c>
      <c r="M4453" s="2" t="s">
        <v>18</v>
      </c>
      <c r="N4453" s="2" t="s">
        <v>342</v>
      </c>
    </row>
    <row r="4454" spans="1:14">
      <c r="A4454" s="2">
        <v>4453</v>
      </c>
      <c r="B4454" s="3" t="s">
        <v>15127</v>
      </c>
      <c r="C4454" s="2" t="s">
        <v>15128</v>
      </c>
      <c r="D4454" s="2">
        <v>40</v>
      </c>
      <c r="E4454" s="2">
        <v>41</v>
      </c>
      <c r="F4454" s="2" t="s">
        <v>15129</v>
      </c>
      <c r="H4454" s="2" t="s">
        <v>17</v>
      </c>
      <c r="K4454" s="4">
        <v>3385</v>
      </c>
      <c r="L4454" s="4">
        <v>35383</v>
      </c>
      <c r="M4454" s="2" t="s">
        <v>423</v>
      </c>
      <c r="N4454" s="2" t="s">
        <v>456</v>
      </c>
    </row>
    <row r="4455" spans="1:14">
      <c r="A4455" s="2">
        <v>4454</v>
      </c>
      <c r="B4455" s="3" t="s">
        <v>15130</v>
      </c>
      <c r="C4455" s="2" t="s">
        <v>15131</v>
      </c>
      <c r="D4455" s="2">
        <v>41</v>
      </c>
      <c r="E4455" s="2">
        <v>41</v>
      </c>
      <c r="F4455" s="2" t="s">
        <v>15132</v>
      </c>
      <c r="H4455" s="2" t="s">
        <v>17</v>
      </c>
      <c r="K4455" s="4">
        <v>7656</v>
      </c>
      <c r="L4455" s="4">
        <v>38101</v>
      </c>
      <c r="M4455" s="2" t="s">
        <v>35</v>
      </c>
      <c r="N4455" s="2" t="s">
        <v>10783</v>
      </c>
    </row>
    <row r="4456" spans="1:14">
      <c r="A4456" s="2">
        <v>4455</v>
      </c>
      <c r="B4456" s="3" t="s">
        <v>15133</v>
      </c>
      <c r="C4456" s="2" t="s">
        <v>15134</v>
      </c>
      <c r="D4456" s="2">
        <v>41</v>
      </c>
      <c r="E4456" s="2">
        <v>41</v>
      </c>
      <c r="F4456" s="2" t="s">
        <v>15135</v>
      </c>
      <c r="H4456" s="2" t="s">
        <v>17</v>
      </c>
      <c r="K4456" s="4">
        <v>7399</v>
      </c>
      <c r="M4456" s="2" t="s">
        <v>35</v>
      </c>
      <c r="N4456" s="2" t="s">
        <v>15136</v>
      </c>
    </row>
    <row r="4457" spans="1:14">
      <c r="A4457" s="2">
        <v>4456</v>
      </c>
      <c r="B4457" s="3" t="s">
        <v>15137</v>
      </c>
      <c r="C4457" s="2" t="s">
        <v>15138</v>
      </c>
      <c r="D4457" s="2">
        <v>41</v>
      </c>
      <c r="E4457" s="2">
        <v>41</v>
      </c>
      <c r="F4457" s="2" t="s">
        <v>15139</v>
      </c>
      <c r="H4457" s="2" t="s">
        <v>17</v>
      </c>
      <c r="K4457" s="4">
        <v>8070</v>
      </c>
      <c r="L4457" s="4">
        <v>37631</v>
      </c>
      <c r="M4457" s="2" t="s">
        <v>198</v>
      </c>
      <c r="N4457" s="2" t="s">
        <v>199</v>
      </c>
    </row>
    <row r="4458" spans="1:14">
      <c r="A4458" s="2">
        <v>4457</v>
      </c>
      <c r="B4458" s="3" t="s">
        <v>15140</v>
      </c>
      <c r="C4458" s="2" t="s">
        <v>15141</v>
      </c>
      <c r="D4458" s="2">
        <v>41</v>
      </c>
      <c r="E4458" s="2">
        <v>41</v>
      </c>
      <c r="F4458" s="2" t="s">
        <v>15142</v>
      </c>
      <c r="H4458" s="2" t="s">
        <v>17</v>
      </c>
      <c r="K4458" s="4">
        <v>4796</v>
      </c>
      <c r="L4458" s="4">
        <v>36618</v>
      </c>
      <c r="M4458" s="2" t="s">
        <v>140</v>
      </c>
      <c r="N4458" s="2" t="s">
        <v>15143</v>
      </c>
    </row>
    <row r="4459" spans="1:14">
      <c r="A4459" s="2">
        <v>4458</v>
      </c>
      <c r="B4459" s="3" t="s">
        <v>15144</v>
      </c>
      <c r="C4459" s="2" t="s">
        <v>15145</v>
      </c>
      <c r="D4459" s="2">
        <v>39</v>
      </c>
      <c r="E4459" s="2">
        <v>41</v>
      </c>
      <c r="F4459" s="2" t="s">
        <v>15146</v>
      </c>
      <c r="H4459" s="2" t="s">
        <v>17</v>
      </c>
      <c r="K4459" s="4">
        <v>301</v>
      </c>
      <c r="L4459" s="4">
        <v>30022</v>
      </c>
      <c r="M4459" s="2" t="s">
        <v>66</v>
      </c>
      <c r="N4459" s="2" t="s">
        <v>71</v>
      </c>
    </row>
    <row r="4460" spans="1:14">
      <c r="A4460" s="2">
        <v>4459</v>
      </c>
      <c r="B4460" s="3" t="s">
        <v>15147</v>
      </c>
      <c r="C4460" s="2" t="s">
        <v>15148</v>
      </c>
      <c r="D4460" s="2">
        <v>41</v>
      </c>
      <c r="E4460" s="2">
        <v>41</v>
      </c>
      <c r="F4460" s="2" t="s">
        <v>15149</v>
      </c>
      <c r="H4460" s="2" t="s">
        <v>17</v>
      </c>
      <c r="K4460" s="4">
        <v>6880</v>
      </c>
      <c r="L4460" s="4">
        <v>33598</v>
      </c>
      <c r="M4460" s="2" t="s">
        <v>85</v>
      </c>
      <c r="N4460" s="2" t="s">
        <v>2120</v>
      </c>
    </row>
    <row r="4461" spans="1:14">
      <c r="A4461" s="2">
        <v>4460</v>
      </c>
      <c r="B4461" s="3" t="s">
        <v>15150</v>
      </c>
      <c r="C4461" s="2" t="s">
        <v>15151</v>
      </c>
      <c r="D4461" s="2">
        <v>40</v>
      </c>
      <c r="E4461" s="2">
        <v>41</v>
      </c>
      <c r="F4461" s="2" t="s">
        <v>15152</v>
      </c>
      <c r="H4461" s="2" t="s">
        <v>17</v>
      </c>
      <c r="K4461" s="4">
        <v>4810</v>
      </c>
      <c r="L4461" s="4">
        <v>32019</v>
      </c>
      <c r="M4461" s="2" t="s">
        <v>85</v>
      </c>
      <c r="N4461" s="2" t="s">
        <v>2474</v>
      </c>
    </row>
    <row r="4462" spans="1:14">
      <c r="A4462" s="2">
        <v>4461</v>
      </c>
      <c r="B4462" s="3" t="s">
        <v>15153</v>
      </c>
      <c r="C4462" s="2" t="s">
        <v>15154</v>
      </c>
      <c r="D4462" s="2">
        <v>39</v>
      </c>
      <c r="E4462" s="2">
        <v>41</v>
      </c>
      <c r="F4462" s="2" t="s">
        <v>15155</v>
      </c>
      <c r="H4462" s="2" t="s">
        <v>17</v>
      </c>
      <c r="K4462" s="4">
        <v>2313</v>
      </c>
      <c r="L4462" s="4">
        <v>22247</v>
      </c>
      <c r="M4462" s="2" t="s">
        <v>198</v>
      </c>
      <c r="N4462" s="2" t="s">
        <v>199</v>
      </c>
    </row>
    <row r="4463" spans="1:14">
      <c r="A4463" s="2">
        <v>4462</v>
      </c>
      <c r="B4463" s="3" t="s">
        <v>15156</v>
      </c>
      <c r="C4463" s="2" t="s">
        <v>15157</v>
      </c>
      <c r="D4463" s="2">
        <v>40</v>
      </c>
      <c r="E4463" s="2">
        <v>41</v>
      </c>
      <c r="F4463" s="2" t="s">
        <v>15158</v>
      </c>
      <c r="H4463" s="2" t="s">
        <v>17</v>
      </c>
      <c r="K4463" s="4">
        <v>5479</v>
      </c>
      <c r="L4463" s="4">
        <v>30083</v>
      </c>
      <c r="M4463" s="2" t="s">
        <v>47</v>
      </c>
      <c r="N4463" s="2" t="s">
        <v>9901</v>
      </c>
    </row>
    <row r="4464" spans="1:14">
      <c r="A4464" s="2">
        <v>4463</v>
      </c>
      <c r="B4464" s="3" t="s">
        <v>15159</v>
      </c>
      <c r="C4464" s="2" t="s">
        <v>15160</v>
      </c>
      <c r="D4464" s="2">
        <v>40</v>
      </c>
      <c r="E4464" s="2">
        <v>41</v>
      </c>
      <c r="F4464" s="2" t="s">
        <v>15161</v>
      </c>
      <c r="H4464" s="2" t="s">
        <v>17</v>
      </c>
      <c r="K4464" s="4">
        <v>5150</v>
      </c>
      <c r="L4464" s="4">
        <v>32106</v>
      </c>
      <c r="M4464" s="2" t="s">
        <v>66</v>
      </c>
      <c r="N4464" s="2" t="s">
        <v>1561</v>
      </c>
    </row>
    <row r="4465" spans="1:14">
      <c r="A4465" s="2">
        <v>4464</v>
      </c>
      <c r="B4465" s="3" t="s">
        <v>15162</v>
      </c>
      <c r="C4465" s="2" t="s">
        <v>15163</v>
      </c>
      <c r="D4465" s="2">
        <v>38</v>
      </c>
      <c r="E4465" s="2">
        <v>41</v>
      </c>
      <c r="F4465" s="2" t="s">
        <v>15164</v>
      </c>
      <c r="H4465" s="2" t="s">
        <v>17</v>
      </c>
      <c r="K4465" s="4" t="s">
        <v>15165</v>
      </c>
      <c r="L4465" s="4">
        <v>25434</v>
      </c>
      <c r="M4465" s="2" t="s">
        <v>40</v>
      </c>
      <c r="N4465" s="2" t="s">
        <v>41</v>
      </c>
    </row>
    <row r="4466" spans="1:14">
      <c r="A4466" s="2">
        <v>4465</v>
      </c>
      <c r="B4466" s="3" t="s">
        <v>15166</v>
      </c>
      <c r="C4466" s="2" t="s">
        <v>15167</v>
      </c>
      <c r="D4466" s="2">
        <v>41</v>
      </c>
      <c r="E4466" s="2">
        <v>41</v>
      </c>
      <c r="F4466" s="2" t="s">
        <v>15168</v>
      </c>
      <c r="H4466" s="2" t="s">
        <v>17</v>
      </c>
      <c r="K4466" s="4" t="s">
        <v>15169</v>
      </c>
      <c r="L4466" s="4">
        <v>32848</v>
      </c>
      <c r="M4466" s="2" t="s">
        <v>53</v>
      </c>
      <c r="N4466" s="2" t="s">
        <v>834</v>
      </c>
    </row>
    <row r="4467" spans="1:14">
      <c r="A4467" s="2">
        <v>4466</v>
      </c>
      <c r="B4467" s="3" t="s">
        <v>15170</v>
      </c>
      <c r="C4467" s="2" t="s">
        <v>15171</v>
      </c>
      <c r="D4467" s="2">
        <v>34</v>
      </c>
      <c r="E4467" s="2">
        <v>41</v>
      </c>
      <c r="F4467" s="2" t="s">
        <v>15172</v>
      </c>
      <c r="H4467" s="2" t="s">
        <v>17</v>
      </c>
      <c r="K4467" s="4" t="s">
        <v>15173</v>
      </c>
      <c r="L4467" s="4">
        <v>25066</v>
      </c>
      <c r="M4467" s="2" t="s">
        <v>164</v>
      </c>
      <c r="N4467" s="2" t="s">
        <v>6164</v>
      </c>
    </row>
    <row r="4468" spans="1:14">
      <c r="A4468" s="2">
        <v>4467</v>
      </c>
      <c r="B4468" s="3" t="s">
        <v>15174</v>
      </c>
      <c r="C4468" s="2" t="s">
        <v>15175</v>
      </c>
      <c r="D4468" s="2">
        <v>41</v>
      </c>
      <c r="E4468" s="2">
        <v>41</v>
      </c>
      <c r="F4468" s="2" t="s">
        <v>15176</v>
      </c>
      <c r="H4468" s="2" t="s">
        <v>17</v>
      </c>
      <c r="K4468" s="4">
        <v>5810</v>
      </c>
      <c r="L4468" s="4">
        <v>26144</v>
      </c>
      <c r="M4468" s="2" t="s">
        <v>336</v>
      </c>
      <c r="N4468" s="2" t="s">
        <v>1883</v>
      </c>
    </row>
    <row r="4469" spans="1:14">
      <c r="A4469" s="2">
        <v>4468</v>
      </c>
      <c r="B4469" s="3" t="s">
        <v>15177</v>
      </c>
      <c r="C4469" s="2" t="s">
        <v>15178</v>
      </c>
      <c r="D4469" s="2">
        <v>41</v>
      </c>
      <c r="E4469" s="2">
        <v>41</v>
      </c>
      <c r="F4469" s="2" t="s">
        <v>15179</v>
      </c>
      <c r="H4469" s="2" t="s">
        <v>17</v>
      </c>
      <c r="K4469" s="4">
        <v>8229</v>
      </c>
      <c r="L4469" s="4">
        <v>28646</v>
      </c>
      <c r="M4469" s="2" t="s">
        <v>76</v>
      </c>
      <c r="N4469" s="2" t="s">
        <v>14023</v>
      </c>
    </row>
    <row r="4470" spans="1:14">
      <c r="A4470" s="2">
        <v>4469</v>
      </c>
      <c r="B4470" s="3" t="s">
        <v>15180</v>
      </c>
      <c r="C4470" s="2" t="s">
        <v>15181</v>
      </c>
      <c r="D4470" s="2">
        <v>36</v>
      </c>
      <c r="E4470" s="2">
        <v>41</v>
      </c>
      <c r="F4470" s="2" t="s">
        <v>15182</v>
      </c>
      <c r="H4470" s="2" t="s">
        <v>17</v>
      </c>
      <c r="K4470" s="4" t="s">
        <v>15183</v>
      </c>
      <c r="L4470" s="4">
        <v>26733</v>
      </c>
      <c r="M4470" s="2" t="s">
        <v>53</v>
      </c>
      <c r="N4470" s="2" t="s">
        <v>54</v>
      </c>
    </row>
    <row r="4471" spans="1:14">
      <c r="A4471" s="2">
        <v>4470</v>
      </c>
      <c r="B4471" s="3" t="s">
        <v>15184</v>
      </c>
      <c r="C4471" s="2" t="s">
        <v>15185</v>
      </c>
      <c r="D4471" s="2">
        <v>40</v>
      </c>
      <c r="E4471" s="2">
        <v>41</v>
      </c>
      <c r="F4471" s="2" t="s">
        <v>15186</v>
      </c>
      <c r="H4471" s="2" t="s">
        <v>17</v>
      </c>
      <c r="K4471" s="4">
        <v>2013</v>
      </c>
      <c r="L4471" s="4">
        <v>37335</v>
      </c>
      <c r="M4471" s="2" t="s">
        <v>76</v>
      </c>
      <c r="N4471" s="2" t="s">
        <v>15187</v>
      </c>
    </row>
    <row r="4472" spans="1:14">
      <c r="A4472" s="2">
        <v>4471</v>
      </c>
      <c r="B4472" s="3" t="s">
        <v>15188</v>
      </c>
      <c r="C4472" s="2" t="s">
        <v>15189</v>
      </c>
      <c r="D4472" s="2">
        <v>41</v>
      </c>
      <c r="E4472" s="2">
        <v>41</v>
      </c>
      <c r="F4472" s="2" t="s">
        <v>15190</v>
      </c>
      <c r="H4472" s="2" t="s">
        <v>17</v>
      </c>
      <c r="K4472" s="4">
        <v>3793</v>
      </c>
      <c r="L4472" s="4">
        <v>31688</v>
      </c>
      <c r="M4472" s="2" t="s">
        <v>66</v>
      </c>
      <c r="N4472" s="2" t="s">
        <v>71</v>
      </c>
    </row>
    <row r="4473" spans="1:14">
      <c r="A4473" s="2">
        <v>4472</v>
      </c>
      <c r="B4473" s="3" t="s">
        <v>15191</v>
      </c>
      <c r="C4473" s="2" t="s">
        <v>15192</v>
      </c>
      <c r="D4473" s="2">
        <v>40</v>
      </c>
      <c r="E4473" s="2">
        <v>41</v>
      </c>
      <c r="F4473" s="2" t="s">
        <v>15193</v>
      </c>
      <c r="H4473" s="2" t="s">
        <v>17</v>
      </c>
      <c r="K4473" s="4">
        <v>10623</v>
      </c>
      <c r="L4473" s="4">
        <v>30380</v>
      </c>
      <c r="M4473" s="2" t="s">
        <v>423</v>
      </c>
      <c r="N4473" s="2" t="s">
        <v>10303</v>
      </c>
    </row>
    <row r="4474" spans="1:14">
      <c r="A4474" s="2">
        <v>4473</v>
      </c>
      <c r="B4474" s="3" t="s">
        <v>15194</v>
      </c>
      <c r="C4474" s="2" t="s">
        <v>15195</v>
      </c>
      <c r="D4474" s="2">
        <v>41</v>
      </c>
      <c r="E4474" s="2">
        <v>41</v>
      </c>
      <c r="F4474" s="2" t="s">
        <v>15196</v>
      </c>
      <c r="H4474" s="2" t="s">
        <v>17</v>
      </c>
      <c r="K4474" s="4">
        <v>4703</v>
      </c>
      <c r="L4474" s="4">
        <v>25627</v>
      </c>
      <c r="M4474" s="2" t="s">
        <v>18</v>
      </c>
      <c r="N4474" s="2" t="s">
        <v>19</v>
      </c>
    </row>
    <row r="4475" spans="1:14">
      <c r="A4475" s="2">
        <v>4474</v>
      </c>
      <c r="B4475" s="3" t="s">
        <v>15197</v>
      </c>
      <c r="C4475" s="2" t="s">
        <v>15198</v>
      </c>
      <c r="D4475" s="2">
        <v>38</v>
      </c>
      <c r="E4475" s="2">
        <v>41</v>
      </c>
      <c r="F4475" s="2" t="s">
        <v>15199</v>
      </c>
      <c r="H4475" s="2" t="s">
        <v>17</v>
      </c>
      <c r="K4475" s="4">
        <v>6286</v>
      </c>
      <c r="L4475" s="4">
        <v>23035</v>
      </c>
      <c r="M4475" s="2" t="s">
        <v>47</v>
      </c>
      <c r="N4475" s="2" t="s">
        <v>3579</v>
      </c>
    </row>
    <row r="4476" spans="1:14">
      <c r="A4476" s="2">
        <v>4475</v>
      </c>
      <c r="B4476" s="3" t="s">
        <v>15200</v>
      </c>
      <c r="C4476" s="2" t="s">
        <v>15201</v>
      </c>
      <c r="D4476" s="2">
        <v>40</v>
      </c>
      <c r="E4476" s="2">
        <v>41</v>
      </c>
      <c r="F4476" s="2" t="s">
        <v>15202</v>
      </c>
      <c r="H4476" s="2" t="s">
        <v>17</v>
      </c>
      <c r="K4476" s="4">
        <v>2366</v>
      </c>
      <c r="L4476" s="4">
        <v>34432</v>
      </c>
      <c r="M4476" s="2" t="s">
        <v>85</v>
      </c>
      <c r="N4476" s="2" t="s">
        <v>1868</v>
      </c>
    </row>
    <row r="4477" spans="1:14">
      <c r="A4477" s="2">
        <v>4476</v>
      </c>
      <c r="B4477" s="3" t="s">
        <v>15203</v>
      </c>
      <c r="C4477" s="2" t="s">
        <v>15204</v>
      </c>
      <c r="D4477" s="2">
        <v>41</v>
      </c>
      <c r="E4477" s="2">
        <v>41</v>
      </c>
      <c r="F4477" s="2" t="s">
        <v>15205</v>
      </c>
      <c r="H4477" s="2" t="s">
        <v>17</v>
      </c>
      <c r="K4477" s="4">
        <v>6138</v>
      </c>
      <c r="L4477" s="4">
        <v>32576</v>
      </c>
      <c r="M4477" s="2" t="s">
        <v>154</v>
      </c>
      <c r="N4477" s="2" t="s">
        <v>2446</v>
      </c>
    </row>
    <row r="4478" spans="1:14">
      <c r="A4478" s="2">
        <v>4477</v>
      </c>
      <c r="B4478" s="3" t="s">
        <v>15206</v>
      </c>
      <c r="C4478" s="2" t="s">
        <v>15207</v>
      </c>
      <c r="D4478" s="2">
        <v>38</v>
      </c>
      <c r="E4478" s="2">
        <v>41</v>
      </c>
      <c r="F4478" s="2" t="s">
        <v>15208</v>
      </c>
      <c r="H4478" s="2" t="s">
        <v>17</v>
      </c>
      <c r="K4478" s="4">
        <v>1385</v>
      </c>
      <c r="L4478" s="4">
        <v>24713</v>
      </c>
      <c r="M4478" s="2" t="s">
        <v>35</v>
      </c>
      <c r="N4478" s="2" t="s">
        <v>5456</v>
      </c>
    </row>
    <row r="4479" spans="1:14">
      <c r="A4479" s="2">
        <v>4478</v>
      </c>
      <c r="B4479" s="3" t="s">
        <v>15209</v>
      </c>
      <c r="C4479" s="2" t="s">
        <v>15210</v>
      </c>
      <c r="D4479" s="2">
        <v>38</v>
      </c>
      <c r="E4479" s="2">
        <v>41</v>
      </c>
      <c r="F4479" s="2" t="s">
        <v>15211</v>
      </c>
      <c r="H4479" s="2" t="s">
        <v>17</v>
      </c>
      <c r="K4479" s="4">
        <v>2105</v>
      </c>
      <c r="L4479" s="4">
        <v>35893</v>
      </c>
      <c r="M4479" s="2" t="s">
        <v>40</v>
      </c>
      <c r="N4479" s="2" t="s">
        <v>2157</v>
      </c>
    </row>
    <row r="4480" spans="1:14">
      <c r="A4480" s="2">
        <v>4479</v>
      </c>
      <c r="B4480" s="3" t="s">
        <v>15212</v>
      </c>
      <c r="C4480" s="2" t="s">
        <v>15213</v>
      </c>
      <c r="D4480" s="2">
        <v>38</v>
      </c>
      <c r="E4480" s="2">
        <v>41</v>
      </c>
      <c r="F4480" s="2" t="s">
        <v>15214</v>
      </c>
      <c r="H4480" s="2" t="s">
        <v>17</v>
      </c>
      <c r="K4480" s="4">
        <v>6534</v>
      </c>
      <c r="L4480" s="4">
        <v>34790</v>
      </c>
      <c r="M4480" s="2" t="s">
        <v>47</v>
      </c>
      <c r="N4480" s="2" t="s">
        <v>48</v>
      </c>
    </row>
    <row r="4481" spans="1:14">
      <c r="A4481" s="2">
        <v>4480</v>
      </c>
      <c r="B4481" s="3" t="s">
        <v>15215</v>
      </c>
      <c r="C4481" s="2" t="s">
        <v>15216</v>
      </c>
      <c r="D4481" s="2">
        <v>39</v>
      </c>
      <c r="E4481" s="2">
        <v>41</v>
      </c>
      <c r="F4481" s="2" t="s">
        <v>15217</v>
      </c>
      <c r="H4481" s="2" t="s">
        <v>17</v>
      </c>
      <c r="K4481" s="4">
        <v>628</v>
      </c>
      <c r="L4481" s="4">
        <v>28551</v>
      </c>
      <c r="M4481" s="2" t="s">
        <v>35</v>
      </c>
      <c r="N4481" s="2" t="s">
        <v>8010</v>
      </c>
    </row>
    <row r="4482" spans="1:14">
      <c r="A4482" s="2">
        <v>4481</v>
      </c>
      <c r="B4482" s="3" t="s">
        <v>15218</v>
      </c>
      <c r="C4482" s="2" t="s">
        <v>15219</v>
      </c>
      <c r="D4482" s="2">
        <v>39</v>
      </c>
      <c r="E4482" s="2">
        <v>41</v>
      </c>
      <c r="F4482" s="2" t="s">
        <v>15220</v>
      </c>
      <c r="H4482" s="2" t="s">
        <v>17</v>
      </c>
      <c r="K4482" s="4">
        <v>7836</v>
      </c>
      <c r="L4482" s="4">
        <v>23157</v>
      </c>
      <c r="M4482" s="2" t="s">
        <v>66</v>
      </c>
      <c r="N4482" s="2" t="s">
        <v>8006</v>
      </c>
    </row>
    <row r="4483" spans="1:14">
      <c r="A4483" s="2">
        <v>4482</v>
      </c>
      <c r="B4483" s="3" t="s">
        <v>15221</v>
      </c>
      <c r="C4483" s="2" t="s">
        <v>15222</v>
      </c>
      <c r="D4483" s="2">
        <v>41</v>
      </c>
      <c r="E4483" s="2">
        <v>41</v>
      </c>
      <c r="F4483" s="2" t="s">
        <v>15223</v>
      </c>
      <c r="H4483" s="2" t="s">
        <v>17</v>
      </c>
      <c r="K4483" s="4">
        <v>2548</v>
      </c>
      <c r="M4483" s="2" t="s">
        <v>198</v>
      </c>
      <c r="N4483" s="2" t="s">
        <v>15224</v>
      </c>
    </row>
    <row r="4484" spans="1:14">
      <c r="A4484" s="2">
        <v>4483</v>
      </c>
      <c r="B4484" s="3" t="s">
        <v>15225</v>
      </c>
      <c r="C4484" s="2" t="s">
        <v>15226</v>
      </c>
      <c r="D4484" s="2">
        <v>41</v>
      </c>
      <c r="E4484" s="2">
        <v>41</v>
      </c>
      <c r="F4484" s="2" t="s">
        <v>15227</v>
      </c>
      <c r="H4484" s="2" t="s">
        <v>17</v>
      </c>
      <c r="K4484" s="4">
        <v>7021</v>
      </c>
      <c r="L4484" s="4">
        <v>34956</v>
      </c>
      <c r="M4484" s="2" t="s">
        <v>18</v>
      </c>
    </row>
    <row r="4485" spans="1:14">
      <c r="A4485" s="2">
        <v>4484</v>
      </c>
      <c r="B4485" s="3" t="s">
        <v>15228</v>
      </c>
      <c r="C4485" s="2" t="s">
        <v>15229</v>
      </c>
      <c r="D4485" s="2">
        <v>41</v>
      </c>
      <c r="E4485" s="2">
        <v>41</v>
      </c>
      <c r="F4485" s="2" t="s">
        <v>15230</v>
      </c>
      <c r="H4485" s="2" t="s">
        <v>17</v>
      </c>
      <c r="K4485" s="4">
        <v>8580</v>
      </c>
      <c r="M4485" s="2" t="s">
        <v>140</v>
      </c>
      <c r="N4485" s="2" t="s">
        <v>5557</v>
      </c>
    </row>
    <row r="4486" spans="1:14">
      <c r="A4486" s="2">
        <v>4485</v>
      </c>
      <c r="B4486" s="3" t="s">
        <v>15231</v>
      </c>
      <c r="C4486" s="2" t="s">
        <v>11280</v>
      </c>
      <c r="D4486" s="2">
        <v>39</v>
      </c>
      <c r="E4486" s="2">
        <v>41</v>
      </c>
      <c r="F4486" s="2" t="s">
        <v>15232</v>
      </c>
      <c r="H4486" s="2" t="s">
        <v>17</v>
      </c>
      <c r="K4486" s="4">
        <v>6131</v>
      </c>
      <c r="L4486" s="4">
        <v>22956</v>
      </c>
      <c r="M4486" s="2" t="s">
        <v>47</v>
      </c>
      <c r="N4486" s="2" t="s">
        <v>691</v>
      </c>
    </row>
    <row r="4487" spans="1:14">
      <c r="A4487" s="2">
        <v>4486</v>
      </c>
      <c r="B4487" s="3" t="s">
        <v>15233</v>
      </c>
      <c r="C4487" s="2" t="s">
        <v>15234</v>
      </c>
      <c r="D4487" s="2">
        <v>29</v>
      </c>
      <c r="E4487" s="2">
        <v>41</v>
      </c>
      <c r="F4487" s="2" t="s">
        <v>15235</v>
      </c>
      <c r="H4487" s="2" t="s">
        <v>17</v>
      </c>
      <c r="K4487" s="4" t="s">
        <v>15236</v>
      </c>
      <c r="L4487" s="4">
        <v>21858</v>
      </c>
      <c r="M4487" s="2" t="s">
        <v>66</v>
      </c>
      <c r="N4487" s="2" t="s">
        <v>9055</v>
      </c>
    </row>
    <row r="4488" spans="1:14">
      <c r="A4488" s="2">
        <v>4487</v>
      </c>
      <c r="B4488" s="3" t="s">
        <v>15237</v>
      </c>
      <c r="C4488" s="2" t="s">
        <v>15238</v>
      </c>
      <c r="D4488" s="2">
        <v>40</v>
      </c>
      <c r="E4488" s="2">
        <v>41</v>
      </c>
      <c r="F4488" s="2" t="s">
        <v>15239</v>
      </c>
      <c r="H4488" s="2" t="s">
        <v>17</v>
      </c>
      <c r="K4488" s="4">
        <v>5051</v>
      </c>
      <c r="L4488" s="4">
        <v>26938</v>
      </c>
      <c r="M4488" s="2" t="s">
        <v>35</v>
      </c>
      <c r="N4488" s="2" t="s">
        <v>10783</v>
      </c>
    </row>
    <row r="4489" spans="1:14">
      <c r="A4489" s="2">
        <v>4488</v>
      </c>
      <c r="B4489" s="3" t="s">
        <v>15240</v>
      </c>
      <c r="C4489" s="2" t="s">
        <v>15241</v>
      </c>
      <c r="D4489" s="2">
        <v>38</v>
      </c>
      <c r="E4489" s="2">
        <v>41</v>
      </c>
      <c r="F4489" s="2" t="s">
        <v>15242</v>
      </c>
      <c r="H4489" s="2" t="s">
        <v>17</v>
      </c>
      <c r="K4489" s="4" t="s">
        <v>15243</v>
      </c>
      <c r="L4489" s="4">
        <v>22356</v>
      </c>
      <c r="M4489" s="2" t="s">
        <v>85</v>
      </c>
      <c r="N4489" s="2" t="s">
        <v>1868</v>
      </c>
    </row>
    <row r="4490" spans="1:14">
      <c r="A4490" s="2">
        <v>4489</v>
      </c>
      <c r="B4490" s="3" t="s">
        <v>15244</v>
      </c>
      <c r="C4490" s="2" t="s">
        <v>15245</v>
      </c>
      <c r="D4490" s="2">
        <v>39</v>
      </c>
      <c r="E4490" s="2">
        <v>41</v>
      </c>
      <c r="F4490" s="2" t="s">
        <v>15246</v>
      </c>
      <c r="H4490" s="2" t="s">
        <v>17</v>
      </c>
      <c r="K4490" s="4">
        <v>585</v>
      </c>
      <c r="L4490" s="4">
        <v>35399</v>
      </c>
      <c r="M4490" s="2" t="s">
        <v>85</v>
      </c>
      <c r="N4490" s="2" t="s">
        <v>829</v>
      </c>
    </row>
    <row r="4491" spans="1:14">
      <c r="A4491" s="2">
        <v>4490</v>
      </c>
      <c r="B4491" s="3" t="s">
        <v>15247</v>
      </c>
      <c r="C4491" s="2" t="s">
        <v>15248</v>
      </c>
      <c r="D4491" s="2">
        <v>41</v>
      </c>
      <c r="E4491" s="2">
        <v>41</v>
      </c>
      <c r="F4491" s="2" t="s">
        <v>15249</v>
      </c>
      <c r="H4491" s="2" t="s">
        <v>17</v>
      </c>
      <c r="K4491" s="4">
        <v>2911</v>
      </c>
      <c r="M4491" s="2" t="s">
        <v>170</v>
      </c>
      <c r="N4491" s="2" t="s">
        <v>323</v>
      </c>
    </row>
    <row r="4492" spans="1:14">
      <c r="A4492" s="2">
        <v>4491</v>
      </c>
      <c r="B4492" s="3" t="s">
        <v>15250</v>
      </c>
      <c r="C4492" s="2" t="s">
        <v>15251</v>
      </c>
      <c r="D4492" s="2">
        <v>41</v>
      </c>
      <c r="E4492" s="2">
        <v>41</v>
      </c>
      <c r="F4492" s="2" t="s">
        <v>15252</v>
      </c>
      <c r="H4492" s="2" t="s">
        <v>17</v>
      </c>
      <c r="K4492" s="4">
        <v>1250</v>
      </c>
      <c r="L4492" s="4">
        <v>30840</v>
      </c>
      <c r="M4492" s="2" t="s">
        <v>91</v>
      </c>
      <c r="N4492" s="2" t="s">
        <v>4886</v>
      </c>
    </row>
    <row r="4493" spans="1:14">
      <c r="A4493" s="2">
        <v>4492</v>
      </c>
      <c r="B4493" s="3" t="s">
        <v>15253</v>
      </c>
      <c r="C4493" s="2" t="s">
        <v>15254</v>
      </c>
      <c r="D4493" s="2">
        <v>41</v>
      </c>
      <c r="E4493" s="2">
        <v>41</v>
      </c>
      <c r="F4493" s="2" t="s">
        <v>15255</v>
      </c>
      <c r="H4493" s="2" t="s">
        <v>17</v>
      </c>
      <c r="K4493" s="4">
        <v>6283</v>
      </c>
      <c r="L4493" s="4">
        <v>28840</v>
      </c>
      <c r="M4493" s="2" t="s">
        <v>47</v>
      </c>
      <c r="N4493" s="2" t="s">
        <v>417</v>
      </c>
    </row>
    <row r="4494" spans="1:14">
      <c r="A4494" s="2">
        <v>4493</v>
      </c>
      <c r="B4494" s="3" t="s">
        <v>15256</v>
      </c>
      <c r="C4494" s="2" t="s">
        <v>15257</v>
      </c>
      <c r="D4494" s="2">
        <v>40</v>
      </c>
      <c r="E4494" s="2">
        <v>41</v>
      </c>
      <c r="F4494" s="2" t="s">
        <v>15258</v>
      </c>
      <c r="H4494" s="2" t="s">
        <v>17</v>
      </c>
      <c r="K4494" s="4">
        <v>2741</v>
      </c>
      <c r="L4494" s="4">
        <v>31418</v>
      </c>
      <c r="M4494" s="2" t="s">
        <v>35</v>
      </c>
      <c r="N4494" s="2" t="s">
        <v>15259</v>
      </c>
    </row>
    <row r="4495" spans="1:14">
      <c r="A4495" s="2">
        <v>4494</v>
      </c>
      <c r="B4495" s="3" t="s">
        <v>15260</v>
      </c>
      <c r="C4495" s="2" t="s">
        <v>15261</v>
      </c>
      <c r="D4495" s="2">
        <v>41</v>
      </c>
      <c r="E4495" s="2">
        <v>41</v>
      </c>
      <c r="F4495" s="2" t="s">
        <v>15262</v>
      </c>
      <c r="H4495" s="2" t="s">
        <v>17</v>
      </c>
    </row>
    <row r="4496" spans="1:14">
      <c r="A4496" s="2">
        <v>4495</v>
      </c>
      <c r="B4496" s="3" t="s">
        <v>15263</v>
      </c>
      <c r="C4496" s="2" t="s">
        <v>15264</v>
      </c>
      <c r="D4496" s="2">
        <v>41</v>
      </c>
      <c r="E4496" s="2">
        <v>41</v>
      </c>
      <c r="F4496" s="2" t="s">
        <v>15265</v>
      </c>
      <c r="H4496" s="2" t="s">
        <v>17</v>
      </c>
      <c r="K4496" s="4">
        <v>4614</v>
      </c>
      <c r="M4496" s="2" t="s">
        <v>35</v>
      </c>
    </row>
    <row r="4497" spans="1:14">
      <c r="A4497" s="2">
        <v>4496</v>
      </c>
      <c r="B4497" s="3" t="s">
        <v>15266</v>
      </c>
      <c r="C4497" s="2" t="s">
        <v>15267</v>
      </c>
      <c r="D4497" s="2">
        <v>41</v>
      </c>
      <c r="E4497" s="2">
        <v>41</v>
      </c>
      <c r="F4497" s="2" t="s">
        <v>15268</v>
      </c>
      <c r="H4497" s="2" t="s">
        <v>17</v>
      </c>
      <c r="K4497" s="4">
        <v>3207</v>
      </c>
      <c r="L4497" s="4">
        <v>27979</v>
      </c>
      <c r="M4497" s="2" t="s">
        <v>35</v>
      </c>
      <c r="N4497" s="2" t="s">
        <v>858</v>
      </c>
    </row>
    <row r="4498" spans="1:14">
      <c r="A4498" s="2">
        <v>4497</v>
      </c>
      <c r="B4498" s="3" t="s">
        <v>15269</v>
      </c>
      <c r="C4498" s="2" t="s">
        <v>15270</v>
      </c>
      <c r="D4498" s="2">
        <v>41</v>
      </c>
      <c r="E4498" s="2">
        <v>41</v>
      </c>
      <c r="F4498" s="2" t="s">
        <v>15271</v>
      </c>
      <c r="H4498" s="2" t="s">
        <v>17</v>
      </c>
      <c r="K4498" s="4">
        <v>3065</v>
      </c>
      <c r="L4498" s="4">
        <v>35482</v>
      </c>
      <c r="M4498" s="2" t="s">
        <v>198</v>
      </c>
      <c r="N4498" s="2" t="s">
        <v>199</v>
      </c>
    </row>
    <row r="4499" spans="1:14">
      <c r="A4499" s="2">
        <v>4498</v>
      </c>
      <c r="B4499" s="3" t="s">
        <v>15272</v>
      </c>
      <c r="C4499" s="2" t="s">
        <v>15273</v>
      </c>
      <c r="D4499" s="2">
        <v>41</v>
      </c>
      <c r="E4499" s="2">
        <v>41</v>
      </c>
      <c r="F4499" s="2" t="s">
        <v>15274</v>
      </c>
      <c r="H4499" s="2" t="s">
        <v>17</v>
      </c>
      <c r="K4499" s="4">
        <v>6079</v>
      </c>
      <c r="L4499" s="4">
        <v>30710</v>
      </c>
      <c r="M4499" s="2" t="s">
        <v>47</v>
      </c>
      <c r="N4499" s="2" t="s">
        <v>1181</v>
      </c>
    </row>
    <row r="4500" spans="1:14">
      <c r="A4500" s="2">
        <v>4499</v>
      </c>
      <c r="B4500" s="3" t="s">
        <v>15275</v>
      </c>
      <c r="C4500" s="2" t="s">
        <v>15276</v>
      </c>
      <c r="D4500" s="2">
        <v>38</v>
      </c>
      <c r="E4500" s="2">
        <v>41</v>
      </c>
      <c r="F4500" s="2" t="s">
        <v>15277</v>
      </c>
      <c r="H4500" s="2" t="s">
        <v>17</v>
      </c>
      <c r="K4500" s="4">
        <v>5707</v>
      </c>
      <c r="L4500" s="4">
        <v>27316</v>
      </c>
      <c r="M4500" s="2" t="s">
        <v>170</v>
      </c>
      <c r="N4500" s="2" t="s">
        <v>323</v>
      </c>
    </row>
    <row r="4501" spans="1:14">
      <c r="A4501" s="2">
        <v>4500</v>
      </c>
      <c r="B4501" s="3" t="s">
        <v>15278</v>
      </c>
      <c r="C4501" s="2" t="s">
        <v>15279</v>
      </c>
      <c r="D4501" s="2">
        <v>39</v>
      </c>
      <c r="E4501" s="2">
        <v>41</v>
      </c>
      <c r="F4501" s="2" t="s">
        <v>15280</v>
      </c>
      <c r="H4501" s="2" t="s">
        <v>17</v>
      </c>
      <c r="K4501" s="4">
        <v>5706</v>
      </c>
      <c r="L4501" s="4">
        <v>37342</v>
      </c>
      <c r="M4501" s="2" t="s">
        <v>40</v>
      </c>
      <c r="N4501" s="2" t="s">
        <v>41</v>
      </c>
    </row>
    <row r="4502" spans="1:14">
      <c r="A4502" s="2">
        <v>4501</v>
      </c>
      <c r="B4502" s="3" t="s">
        <v>15281</v>
      </c>
      <c r="C4502" s="2" t="s">
        <v>15282</v>
      </c>
      <c r="D4502" s="2">
        <v>41</v>
      </c>
      <c r="E4502" s="2">
        <v>41</v>
      </c>
      <c r="F4502" s="2" t="s">
        <v>15283</v>
      </c>
      <c r="H4502" s="2" t="s">
        <v>17</v>
      </c>
      <c r="K4502" s="4">
        <v>474</v>
      </c>
      <c r="L4502" s="4">
        <v>25315</v>
      </c>
      <c r="M4502" s="2" t="s">
        <v>170</v>
      </c>
    </row>
    <row r="4503" spans="1:14">
      <c r="A4503" s="2">
        <v>4502</v>
      </c>
      <c r="B4503" s="3" t="s">
        <v>15284</v>
      </c>
      <c r="C4503" s="2" t="s">
        <v>15285</v>
      </c>
      <c r="D4503" s="2">
        <v>41</v>
      </c>
      <c r="E4503" s="2">
        <v>41</v>
      </c>
      <c r="F4503" s="2" t="s">
        <v>15286</v>
      </c>
      <c r="H4503" s="2" t="s">
        <v>17</v>
      </c>
      <c r="K4503" s="4">
        <v>6205</v>
      </c>
      <c r="L4503" s="4">
        <v>27719</v>
      </c>
      <c r="M4503" s="2" t="s">
        <v>40</v>
      </c>
      <c r="N4503" s="2" t="s">
        <v>41</v>
      </c>
    </row>
    <row r="4504" spans="1:14">
      <c r="A4504" s="2">
        <v>4503</v>
      </c>
      <c r="B4504" s="3" t="s">
        <v>15287</v>
      </c>
      <c r="C4504" s="2" t="s">
        <v>15288</v>
      </c>
      <c r="D4504" s="2">
        <v>39</v>
      </c>
      <c r="E4504" s="2">
        <v>41</v>
      </c>
      <c r="F4504" s="2" t="s">
        <v>15289</v>
      </c>
      <c r="H4504" s="2" t="s">
        <v>17</v>
      </c>
      <c r="K4504" s="4">
        <v>4231</v>
      </c>
      <c r="L4504" s="4">
        <v>25207</v>
      </c>
      <c r="M4504" s="2" t="s">
        <v>66</v>
      </c>
      <c r="N4504" s="2" t="s">
        <v>6179</v>
      </c>
    </row>
    <row r="4505" spans="1:14">
      <c r="A4505" s="2">
        <v>4504</v>
      </c>
      <c r="B4505" s="3" t="s">
        <v>15290</v>
      </c>
      <c r="C4505" s="2" t="s">
        <v>15291</v>
      </c>
      <c r="D4505" s="2">
        <v>40</v>
      </c>
      <c r="E4505" s="2">
        <v>41</v>
      </c>
      <c r="F4505" s="2" t="s">
        <v>15292</v>
      </c>
      <c r="H4505" s="2" t="s">
        <v>17</v>
      </c>
      <c r="K4505" s="4" t="s">
        <v>15293</v>
      </c>
      <c r="L4505" s="4">
        <v>29564</v>
      </c>
      <c r="M4505" s="2" t="s">
        <v>40</v>
      </c>
    </row>
    <row r="4506" spans="1:14">
      <c r="A4506" s="2">
        <v>4505</v>
      </c>
      <c r="B4506" s="3" t="s">
        <v>15294</v>
      </c>
      <c r="C4506" s="2" t="s">
        <v>15295</v>
      </c>
      <c r="D4506" s="2">
        <v>41</v>
      </c>
      <c r="E4506" s="2">
        <v>41</v>
      </c>
      <c r="F4506" s="2" t="s">
        <v>15296</v>
      </c>
      <c r="H4506" s="2" t="s">
        <v>17</v>
      </c>
    </row>
    <row r="4507" spans="1:14">
      <c r="A4507" s="2">
        <v>4506</v>
      </c>
      <c r="B4507" s="3" t="s">
        <v>15297</v>
      </c>
      <c r="C4507" s="2" t="s">
        <v>15298</v>
      </c>
      <c r="D4507" s="2">
        <v>36</v>
      </c>
      <c r="E4507" s="2">
        <v>41</v>
      </c>
      <c r="F4507" s="2" t="s">
        <v>15299</v>
      </c>
      <c r="H4507" s="2" t="s">
        <v>17</v>
      </c>
      <c r="K4507" s="4">
        <v>124</v>
      </c>
      <c r="L4507" s="4">
        <v>23922</v>
      </c>
      <c r="M4507" s="2" t="s">
        <v>47</v>
      </c>
      <c r="N4507" s="2" t="s">
        <v>48</v>
      </c>
    </row>
    <row r="4508" spans="1:14">
      <c r="A4508" s="2">
        <v>4507</v>
      </c>
      <c r="B4508" s="3" t="s">
        <v>15300</v>
      </c>
      <c r="C4508" s="2" t="s">
        <v>15301</v>
      </c>
      <c r="D4508" s="2">
        <v>41</v>
      </c>
      <c r="E4508" s="2">
        <v>41</v>
      </c>
      <c r="F4508" s="2" t="s">
        <v>15302</v>
      </c>
      <c r="H4508" s="2" t="s">
        <v>17</v>
      </c>
    </row>
    <row r="4509" spans="1:14">
      <c r="A4509" s="2">
        <v>4508</v>
      </c>
      <c r="B4509" s="3" t="s">
        <v>15303</v>
      </c>
      <c r="C4509" s="2" t="s">
        <v>15304</v>
      </c>
      <c r="D4509" s="2">
        <v>39</v>
      </c>
      <c r="E4509" s="2">
        <v>41</v>
      </c>
      <c r="F4509" s="2" t="s">
        <v>15305</v>
      </c>
      <c r="H4509" s="2" t="s">
        <v>17</v>
      </c>
      <c r="K4509" s="4">
        <v>1790</v>
      </c>
      <c r="L4509" s="4">
        <v>29886</v>
      </c>
      <c r="M4509" s="2" t="s">
        <v>66</v>
      </c>
      <c r="N4509" s="2" t="s">
        <v>15306</v>
      </c>
    </row>
    <row r="4510" spans="1:14">
      <c r="A4510" s="2">
        <v>4509</v>
      </c>
      <c r="B4510" s="3" t="s">
        <v>15307</v>
      </c>
      <c r="C4510" s="2" t="s">
        <v>15308</v>
      </c>
      <c r="D4510" s="2">
        <v>41</v>
      </c>
      <c r="E4510" s="2">
        <v>41</v>
      </c>
      <c r="F4510" s="2" t="s">
        <v>15309</v>
      </c>
      <c r="H4510" s="2" t="s">
        <v>17</v>
      </c>
      <c r="K4510" s="4">
        <v>7236</v>
      </c>
      <c r="L4510" s="4">
        <v>38651</v>
      </c>
      <c r="M4510" s="2" t="s">
        <v>185</v>
      </c>
      <c r="N4510" s="2" t="s">
        <v>838</v>
      </c>
    </row>
    <row r="4511" spans="1:14">
      <c r="A4511" s="2">
        <v>4510</v>
      </c>
      <c r="B4511" s="3" t="s">
        <v>15310</v>
      </c>
      <c r="C4511" s="2" t="s">
        <v>15311</v>
      </c>
      <c r="D4511" s="2">
        <v>41</v>
      </c>
      <c r="E4511" s="2">
        <v>41</v>
      </c>
      <c r="F4511" s="2" t="s">
        <v>15312</v>
      </c>
      <c r="H4511" s="2" t="s">
        <v>17</v>
      </c>
      <c r="L4511" s="4">
        <v>22044</v>
      </c>
      <c r="M4511" s="2" t="s">
        <v>76</v>
      </c>
      <c r="N4511" s="2" t="s">
        <v>519</v>
      </c>
    </row>
    <row r="4512" spans="1:14">
      <c r="A4512" s="2">
        <v>4511</v>
      </c>
      <c r="B4512" s="3" t="s">
        <v>15313</v>
      </c>
      <c r="C4512" s="2" t="s">
        <v>15314</v>
      </c>
      <c r="D4512" s="2">
        <v>41</v>
      </c>
      <c r="E4512" s="2">
        <v>41</v>
      </c>
      <c r="F4512" s="2" t="s">
        <v>15315</v>
      </c>
      <c r="H4512" s="2" t="s">
        <v>17</v>
      </c>
      <c r="K4512" s="4">
        <v>5504</v>
      </c>
      <c r="L4512" s="4">
        <v>33650</v>
      </c>
      <c r="M4512" s="2" t="s">
        <v>341</v>
      </c>
      <c r="N4512" s="2" t="s">
        <v>342</v>
      </c>
    </row>
    <row r="4513" spans="1:14">
      <c r="A4513" s="2">
        <v>4512</v>
      </c>
      <c r="B4513" s="3" t="s">
        <v>15316</v>
      </c>
      <c r="C4513" s="2" t="s">
        <v>15317</v>
      </c>
      <c r="D4513" s="2">
        <v>39</v>
      </c>
      <c r="E4513" s="2">
        <v>41</v>
      </c>
      <c r="F4513" s="2" t="s">
        <v>15318</v>
      </c>
      <c r="H4513" s="2" t="s">
        <v>17</v>
      </c>
      <c r="K4513" s="4">
        <v>7556</v>
      </c>
      <c r="M4513" s="2" t="s">
        <v>30</v>
      </c>
      <c r="N4513" s="2" t="s">
        <v>31</v>
      </c>
    </row>
    <row r="4514" spans="1:14">
      <c r="A4514" s="2">
        <v>4513</v>
      </c>
      <c r="B4514" s="3" t="s">
        <v>15319</v>
      </c>
      <c r="C4514" s="2" t="s">
        <v>15320</v>
      </c>
      <c r="D4514" s="2">
        <v>41</v>
      </c>
      <c r="E4514" s="2">
        <v>41</v>
      </c>
      <c r="F4514" s="2" t="s">
        <v>15321</v>
      </c>
      <c r="H4514" s="2" t="s">
        <v>17</v>
      </c>
      <c r="K4514" s="4">
        <v>9613</v>
      </c>
      <c r="L4514" s="4">
        <v>33782</v>
      </c>
      <c r="M4514" s="2" t="s">
        <v>336</v>
      </c>
      <c r="N4514" s="2" t="s">
        <v>1883</v>
      </c>
    </row>
    <row r="4515" spans="1:14">
      <c r="A4515" s="2">
        <v>4514</v>
      </c>
      <c r="B4515" s="3" t="s">
        <v>15322</v>
      </c>
      <c r="C4515" s="2" t="s">
        <v>15323</v>
      </c>
      <c r="D4515" s="2">
        <v>38</v>
      </c>
      <c r="E4515" s="2">
        <v>41</v>
      </c>
      <c r="F4515" s="2" t="s">
        <v>15324</v>
      </c>
      <c r="H4515" s="2" t="s">
        <v>17</v>
      </c>
      <c r="K4515" s="4">
        <v>5725</v>
      </c>
      <c r="L4515" s="4">
        <v>25847</v>
      </c>
      <c r="M4515" s="2" t="s">
        <v>76</v>
      </c>
      <c r="N4515" s="2" t="s">
        <v>381</v>
      </c>
    </row>
    <row r="4516" spans="1:14">
      <c r="A4516" s="2">
        <v>4515</v>
      </c>
      <c r="B4516" s="3" t="s">
        <v>15325</v>
      </c>
      <c r="C4516" s="2" t="s">
        <v>15326</v>
      </c>
      <c r="D4516" s="2">
        <v>40</v>
      </c>
      <c r="E4516" s="2">
        <v>41</v>
      </c>
      <c r="F4516" s="2" t="s">
        <v>15327</v>
      </c>
      <c r="H4516" s="2" t="s">
        <v>17</v>
      </c>
      <c r="K4516" s="4">
        <v>1584</v>
      </c>
      <c r="L4516" s="4">
        <v>26244</v>
      </c>
      <c r="M4516" s="2" t="s">
        <v>66</v>
      </c>
      <c r="N4516" s="2" t="s">
        <v>3640</v>
      </c>
    </row>
    <row r="4517" spans="1:14">
      <c r="A4517" s="2">
        <v>4516</v>
      </c>
      <c r="B4517" s="3" t="s">
        <v>15328</v>
      </c>
      <c r="C4517" s="2" t="s">
        <v>15329</v>
      </c>
      <c r="D4517" s="2">
        <v>40</v>
      </c>
      <c r="E4517" s="2">
        <v>41</v>
      </c>
      <c r="F4517" s="2" t="s">
        <v>15330</v>
      </c>
      <c r="H4517" s="2" t="s">
        <v>17</v>
      </c>
      <c r="K4517" s="4">
        <v>2966</v>
      </c>
      <c r="L4517" s="4">
        <v>34147</v>
      </c>
      <c r="M4517" s="2" t="s">
        <v>91</v>
      </c>
      <c r="N4517" s="2" t="s">
        <v>984</v>
      </c>
    </row>
    <row r="4518" spans="1:14">
      <c r="A4518" s="2">
        <v>4517</v>
      </c>
      <c r="B4518" s="3" t="s">
        <v>15331</v>
      </c>
      <c r="C4518" s="2" t="s">
        <v>15332</v>
      </c>
      <c r="D4518" s="2">
        <v>40</v>
      </c>
      <c r="E4518" s="2">
        <v>41</v>
      </c>
      <c r="F4518" s="2" t="s">
        <v>15333</v>
      </c>
      <c r="H4518" s="2" t="s">
        <v>17</v>
      </c>
      <c r="K4518" s="4">
        <v>7100</v>
      </c>
      <c r="M4518" s="2" t="s">
        <v>192</v>
      </c>
      <c r="N4518" s="2" t="s">
        <v>3675</v>
      </c>
    </row>
    <row r="4519" spans="1:14">
      <c r="A4519" s="2">
        <v>4518</v>
      </c>
      <c r="B4519" s="3" t="s">
        <v>15334</v>
      </c>
      <c r="C4519" s="2" t="s">
        <v>15335</v>
      </c>
      <c r="D4519" s="2">
        <v>41</v>
      </c>
      <c r="E4519" s="2">
        <v>41</v>
      </c>
      <c r="F4519" s="2" t="s">
        <v>15336</v>
      </c>
      <c r="H4519" s="2" t="s">
        <v>17</v>
      </c>
      <c r="K4519" s="4">
        <v>5707</v>
      </c>
      <c r="M4519" s="2" t="s">
        <v>154</v>
      </c>
      <c r="N4519" s="2" t="s">
        <v>208</v>
      </c>
    </row>
    <row r="4520" spans="1:14">
      <c r="A4520" s="2">
        <v>4519</v>
      </c>
      <c r="B4520" s="3" t="s">
        <v>15337</v>
      </c>
      <c r="C4520" s="2" t="s">
        <v>15338</v>
      </c>
      <c r="D4520" s="2">
        <v>41</v>
      </c>
      <c r="E4520" s="2">
        <v>41</v>
      </c>
      <c r="F4520" s="2" t="s">
        <v>15339</v>
      </c>
      <c r="H4520" s="2" t="s">
        <v>17</v>
      </c>
      <c r="K4520" s="4">
        <v>9211</v>
      </c>
      <c r="M4520" s="2" t="s">
        <v>35</v>
      </c>
      <c r="N4520" s="2" t="s">
        <v>5456</v>
      </c>
    </row>
    <row r="4521" spans="1:14">
      <c r="A4521" s="2">
        <v>4520</v>
      </c>
      <c r="B4521" s="3" t="s">
        <v>15340</v>
      </c>
      <c r="C4521" s="2" t="s">
        <v>15341</v>
      </c>
      <c r="D4521" s="2">
        <v>38</v>
      </c>
      <c r="E4521" s="2">
        <v>41</v>
      </c>
      <c r="F4521" s="2" t="s">
        <v>15342</v>
      </c>
      <c r="H4521" s="2" t="s">
        <v>17</v>
      </c>
      <c r="K4521" s="4">
        <v>6141</v>
      </c>
      <c r="L4521" s="4">
        <v>26439</v>
      </c>
      <c r="M4521" s="2" t="s">
        <v>336</v>
      </c>
      <c r="N4521" s="2" t="s">
        <v>2505</v>
      </c>
    </row>
    <row r="4522" spans="1:14">
      <c r="A4522" s="2">
        <v>4521</v>
      </c>
      <c r="B4522" s="3" t="s">
        <v>15343</v>
      </c>
      <c r="C4522" s="2" t="s">
        <v>15344</v>
      </c>
      <c r="D4522" s="2">
        <v>38</v>
      </c>
      <c r="E4522" s="2">
        <v>41</v>
      </c>
      <c r="F4522" s="2" t="s">
        <v>15345</v>
      </c>
      <c r="H4522" s="2" t="s">
        <v>17</v>
      </c>
      <c r="K4522" s="4">
        <v>5773</v>
      </c>
      <c r="L4522" s="4">
        <v>27598</v>
      </c>
      <c r="M4522" s="2" t="s">
        <v>140</v>
      </c>
      <c r="N4522" s="2" t="s">
        <v>294</v>
      </c>
    </row>
    <row r="4523" spans="1:14">
      <c r="A4523" s="2">
        <v>4522</v>
      </c>
      <c r="B4523" s="3" t="s">
        <v>15346</v>
      </c>
      <c r="C4523" s="2" t="s">
        <v>15347</v>
      </c>
      <c r="D4523" s="2">
        <v>41</v>
      </c>
      <c r="E4523" s="2">
        <v>41</v>
      </c>
      <c r="F4523" s="2" t="s">
        <v>15348</v>
      </c>
      <c r="H4523" s="2" t="s">
        <v>17</v>
      </c>
      <c r="K4523" s="4">
        <v>6802</v>
      </c>
      <c r="L4523" s="4">
        <v>40041</v>
      </c>
      <c r="M4523" s="2" t="s">
        <v>170</v>
      </c>
      <c r="N4523" s="2" t="s">
        <v>9760</v>
      </c>
    </row>
    <row r="4524" spans="1:14">
      <c r="A4524" s="2">
        <v>4523</v>
      </c>
      <c r="B4524" s="3" t="s">
        <v>15349</v>
      </c>
      <c r="C4524" s="2" t="s">
        <v>9507</v>
      </c>
      <c r="D4524" s="2">
        <v>41</v>
      </c>
      <c r="E4524" s="2">
        <v>41</v>
      </c>
      <c r="F4524" s="2" t="s">
        <v>15350</v>
      </c>
      <c r="H4524" s="2" t="s">
        <v>17</v>
      </c>
      <c r="K4524" s="4">
        <v>4813</v>
      </c>
      <c r="M4524" s="2" t="s">
        <v>53</v>
      </c>
      <c r="N4524" s="2" t="s">
        <v>1697</v>
      </c>
    </row>
    <row r="4525" spans="1:14">
      <c r="A4525" s="2">
        <v>4524</v>
      </c>
      <c r="B4525" s="3" t="s">
        <v>15351</v>
      </c>
      <c r="C4525" s="2" t="s">
        <v>15352</v>
      </c>
      <c r="D4525" s="2">
        <v>39</v>
      </c>
      <c r="E4525" s="2">
        <v>41</v>
      </c>
      <c r="F4525" s="2" t="s">
        <v>15353</v>
      </c>
      <c r="H4525" s="2" t="s">
        <v>17</v>
      </c>
      <c r="K4525" s="4">
        <v>2639</v>
      </c>
      <c r="L4525" s="4">
        <v>30389</v>
      </c>
      <c r="M4525" s="2" t="s">
        <v>35</v>
      </c>
      <c r="N4525" s="2" t="s">
        <v>4319</v>
      </c>
    </row>
    <row r="4526" spans="1:14">
      <c r="A4526" s="2">
        <v>4525</v>
      </c>
      <c r="B4526" s="3" t="s">
        <v>15354</v>
      </c>
      <c r="C4526" s="2" t="s">
        <v>15355</v>
      </c>
      <c r="D4526" s="2">
        <v>38</v>
      </c>
      <c r="E4526" s="2">
        <v>41</v>
      </c>
      <c r="F4526" s="2" t="s">
        <v>15356</v>
      </c>
      <c r="H4526" s="2" t="s">
        <v>17</v>
      </c>
      <c r="K4526" s="4">
        <v>5259</v>
      </c>
      <c r="L4526" s="4">
        <v>34343</v>
      </c>
      <c r="M4526" s="2" t="s">
        <v>76</v>
      </c>
      <c r="N4526" s="2" t="s">
        <v>77</v>
      </c>
    </row>
    <row r="4527" spans="1:14">
      <c r="A4527" s="2">
        <v>4526</v>
      </c>
      <c r="B4527" s="3" t="s">
        <v>15357</v>
      </c>
      <c r="C4527" s="2" t="s">
        <v>15358</v>
      </c>
      <c r="D4527" s="2">
        <v>40</v>
      </c>
      <c r="E4527" s="2">
        <v>41</v>
      </c>
      <c r="F4527" s="2" t="s">
        <v>15359</v>
      </c>
      <c r="H4527" s="2" t="s">
        <v>17</v>
      </c>
      <c r="K4527" s="4">
        <v>5186</v>
      </c>
      <c r="L4527" s="4">
        <v>29777</v>
      </c>
      <c r="M4527" s="2" t="s">
        <v>198</v>
      </c>
      <c r="N4527" s="2" t="s">
        <v>15360</v>
      </c>
    </row>
    <row r="4528" spans="1:14">
      <c r="A4528" s="2">
        <v>4527</v>
      </c>
      <c r="B4528" s="3" t="s">
        <v>15361</v>
      </c>
      <c r="C4528" s="2" t="s">
        <v>15362</v>
      </c>
      <c r="D4528" s="2">
        <v>38</v>
      </c>
      <c r="E4528" s="2">
        <v>41</v>
      </c>
      <c r="F4528" s="2" t="s">
        <v>15363</v>
      </c>
      <c r="H4528" s="2" t="s">
        <v>17</v>
      </c>
      <c r="K4528" s="4">
        <v>2240</v>
      </c>
      <c r="L4528" s="4">
        <v>30711</v>
      </c>
      <c r="M4528" s="2" t="s">
        <v>146</v>
      </c>
      <c r="N4528" s="2" t="s">
        <v>2261</v>
      </c>
    </row>
    <row r="4529" spans="1:14">
      <c r="A4529" s="2">
        <v>4528</v>
      </c>
      <c r="B4529" s="3" t="s">
        <v>15364</v>
      </c>
      <c r="C4529" s="2" t="s">
        <v>15365</v>
      </c>
      <c r="D4529" s="2">
        <v>40</v>
      </c>
      <c r="E4529" s="2">
        <v>41</v>
      </c>
      <c r="F4529" s="2" t="s">
        <v>15366</v>
      </c>
      <c r="H4529" s="2" t="s">
        <v>17</v>
      </c>
      <c r="K4529" s="4">
        <v>501</v>
      </c>
      <c r="M4529" s="2" t="s">
        <v>47</v>
      </c>
      <c r="N4529" s="2" t="s">
        <v>6256</v>
      </c>
    </row>
    <row r="4530" spans="1:14">
      <c r="A4530" s="2">
        <v>4529</v>
      </c>
      <c r="B4530" s="3" t="s">
        <v>15367</v>
      </c>
      <c r="C4530" s="2" t="s">
        <v>15368</v>
      </c>
      <c r="D4530" s="2">
        <v>41</v>
      </c>
      <c r="E4530" s="2">
        <v>41</v>
      </c>
      <c r="F4530" s="2" t="s">
        <v>15369</v>
      </c>
      <c r="H4530" s="2" t="s">
        <v>17</v>
      </c>
      <c r="K4530" s="4">
        <v>5177</v>
      </c>
      <c r="L4530" s="4">
        <v>27995</v>
      </c>
      <c r="M4530" s="2" t="s">
        <v>35</v>
      </c>
      <c r="N4530" s="2" t="s">
        <v>58</v>
      </c>
    </row>
    <row r="4531" spans="1:14">
      <c r="A4531" s="2">
        <v>4530</v>
      </c>
      <c r="B4531" s="3" t="s">
        <v>15370</v>
      </c>
      <c r="C4531" s="2" t="s">
        <v>15371</v>
      </c>
      <c r="D4531" s="2">
        <v>40</v>
      </c>
      <c r="E4531" s="2">
        <v>41</v>
      </c>
      <c r="F4531" s="2" t="s">
        <v>15372</v>
      </c>
      <c r="H4531" s="2" t="s">
        <v>17</v>
      </c>
      <c r="K4531" s="4">
        <v>5794</v>
      </c>
      <c r="L4531" s="4">
        <v>40518</v>
      </c>
      <c r="M4531" s="2" t="s">
        <v>47</v>
      </c>
      <c r="N4531" s="2" t="s">
        <v>48</v>
      </c>
    </row>
    <row r="4532" spans="1:14">
      <c r="A4532" s="2">
        <v>4531</v>
      </c>
      <c r="B4532" s="3" t="s">
        <v>15373</v>
      </c>
      <c r="C4532" s="2" t="s">
        <v>15374</v>
      </c>
      <c r="D4532" s="2">
        <v>40</v>
      </c>
      <c r="E4532" s="2">
        <v>41</v>
      </c>
      <c r="F4532" s="2" t="s">
        <v>15375</v>
      </c>
      <c r="H4532" s="2" t="s">
        <v>17</v>
      </c>
      <c r="K4532" s="4">
        <v>3171</v>
      </c>
      <c r="L4532" s="4">
        <v>26931</v>
      </c>
      <c r="M4532" s="2" t="s">
        <v>198</v>
      </c>
      <c r="N4532" s="2" t="s">
        <v>199</v>
      </c>
    </row>
    <row r="4533" spans="1:14">
      <c r="A4533" s="2">
        <v>4532</v>
      </c>
      <c r="B4533" s="3" t="s">
        <v>15376</v>
      </c>
      <c r="C4533" s="2" t="s">
        <v>15377</v>
      </c>
      <c r="D4533" s="2">
        <v>38</v>
      </c>
      <c r="E4533" s="2">
        <v>41</v>
      </c>
      <c r="F4533" s="2" t="s">
        <v>15378</v>
      </c>
      <c r="H4533" s="2" t="s">
        <v>17</v>
      </c>
      <c r="K4533" s="4">
        <v>54</v>
      </c>
      <c r="L4533" s="4">
        <v>30074</v>
      </c>
      <c r="M4533" s="2" t="s">
        <v>170</v>
      </c>
      <c r="N4533" s="2" t="s">
        <v>323</v>
      </c>
    </row>
    <row r="4534" spans="1:14">
      <c r="A4534" s="2">
        <v>4533</v>
      </c>
      <c r="B4534" s="3" t="s">
        <v>15379</v>
      </c>
      <c r="C4534" s="2" t="s">
        <v>15380</v>
      </c>
      <c r="D4534" s="2">
        <v>39</v>
      </c>
      <c r="E4534" s="2">
        <v>41</v>
      </c>
      <c r="F4534" s="2" t="s">
        <v>15381</v>
      </c>
      <c r="H4534" s="2" t="s">
        <v>17</v>
      </c>
      <c r="K4534" s="4">
        <v>2538</v>
      </c>
      <c r="L4534" s="4">
        <v>21799</v>
      </c>
      <c r="M4534" s="2" t="s">
        <v>76</v>
      </c>
      <c r="N4534" s="2" t="s">
        <v>906</v>
      </c>
    </row>
    <row r="4535" spans="1:14">
      <c r="A4535" s="2">
        <v>4534</v>
      </c>
      <c r="B4535" s="3" t="s">
        <v>15382</v>
      </c>
      <c r="C4535" s="2" t="s">
        <v>15383</v>
      </c>
      <c r="D4535" s="2">
        <v>38</v>
      </c>
      <c r="E4535" s="2">
        <v>41</v>
      </c>
      <c r="F4535" s="2" t="s">
        <v>15384</v>
      </c>
      <c r="H4535" s="2" t="s">
        <v>17</v>
      </c>
      <c r="K4535" s="4">
        <v>2630</v>
      </c>
      <c r="L4535" s="4">
        <v>23721</v>
      </c>
      <c r="M4535" s="2" t="s">
        <v>91</v>
      </c>
      <c r="N4535" s="2" t="s">
        <v>5141</v>
      </c>
    </row>
    <row r="4536" spans="1:14">
      <c r="A4536" s="2">
        <v>4535</v>
      </c>
      <c r="B4536" s="3" t="s">
        <v>15385</v>
      </c>
      <c r="C4536" s="2" t="s">
        <v>15386</v>
      </c>
      <c r="D4536" s="2">
        <v>40</v>
      </c>
      <c r="E4536" s="2">
        <v>41</v>
      </c>
      <c r="F4536" s="2" t="s">
        <v>15387</v>
      </c>
      <c r="H4536" s="2" t="s">
        <v>17</v>
      </c>
      <c r="K4536" s="4" t="s">
        <v>15388</v>
      </c>
      <c r="L4536" s="4">
        <v>23989</v>
      </c>
      <c r="M4536" s="2" t="s">
        <v>66</v>
      </c>
      <c r="N4536" s="2" t="s">
        <v>359</v>
      </c>
    </row>
    <row r="4537" spans="1:14">
      <c r="A4537" s="2">
        <v>4536</v>
      </c>
      <c r="B4537" s="3" t="s">
        <v>15389</v>
      </c>
      <c r="C4537" s="2" t="s">
        <v>15390</v>
      </c>
      <c r="D4537" s="2">
        <v>41</v>
      </c>
      <c r="E4537" s="2">
        <v>41</v>
      </c>
      <c r="F4537" s="2" t="s">
        <v>15391</v>
      </c>
      <c r="H4537" s="2" t="s">
        <v>17</v>
      </c>
      <c r="K4537" s="4">
        <v>530</v>
      </c>
      <c r="M4537" s="2" t="s">
        <v>154</v>
      </c>
      <c r="N4537" s="2" t="s">
        <v>2265</v>
      </c>
    </row>
    <row r="4538" spans="1:14">
      <c r="A4538" s="2">
        <v>4537</v>
      </c>
      <c r="B4538" s="3" t="s">
        <v>15392</v>
      </c>
      <c r="C4538" s="2" t="s">
        <v>15393</v>
      </c>
      <c r="D4538" s="2">
        <v>41</v>
      </c>
      <c r="E4538" s="2">
        <v>41</v>
      </c>
      <c r="F4538" s="2" t="s">
        <v>15394</v>
      </c>
      <c r="H4538" s="2" t="s">
        <v>17</v>
      </c>
      <c r="K4538" s="4">
        <v>7283</v>
      </c>
      <c r="L4538" s="4">
        <v>40868</v>
      </c>
      <c r="M4538" s="2" t="s">
        <v>170</v>
      </c>
      <c r="N4538" s="2" t="s">
        <v>323</v>
      </c>
    </row>
    <row r="4539" spans="1:14">
      <c r="A4539" s="2">
        <v>4538</v>
      </c>
      <c r="B4539" s="3" t="s">
        <v>15395</v>
      </c>
      <c r="C4539" s="2" t="s">
        <v>15396</v>
      </c>
      <c r="D4539" s="2">
        <v>41</v>
      </c>
      <c r="E4539" s="2">
        <v>41</v>
      </c>
      <c r="F4539" s="2" t="s">
        <v>15397</v>
      </c>
      <c r="H4539" s="2" t="s">
        <v>17</v>
      </c>
      <c r="K4539" s="4">
        <v>4799</v>
      </c>
      <c r="L4539" s="4">
        <v>39008</v>
      </c>
      <c r="M4539" s="2" t="s">
        <v>47</v>
      </c>
      <c r="N4539" s="2" t="s">
        <v>48</v>
      </c>
    </row>
    <row r="4540" spans="1:14">
      <c r="A4540" s="2">
        <v>4539</v>
      </c>
      <c r="B4540" s="3" t="s">
        <v>15398</v>
      </c>
      <c r="C4540" s="2" t="s">
        <v>15399</v>
      </c>
      <c r="D4540" s="2">
        <v>40</v>
      </c>
      <c r="E4540" s="2">
        <v>41</v>
      </c>
      <c r="F4540" s="2" t="s">
        <v>15400</v>
      </c>
      <c r="H4540" s="2" t="s">
        <v>17</v>
      </c>
      <c r="K4540" s="4">
        <v>1385</v>
      </c>
      <c r="L4540" s="4">
        <v>30408</v>
      </c>
      <c r="M4540" s="2" t="s">
        <v>47</v>
      </c>
      <c r="N4540" s="2" t="s">
        <v>5913</v>
      </c>
    </row>
    <row r="4541" spans="1:14">
      <c r="A4541" s="2">
        <v>4540</v>
      </c>
      <c r="B4541" s="3" t="s">
        <v>15401</v>
      </c>
      <c r="C4541" s="2" t="s">
        <v>15402</v>
      </c>
      <c r="D4541" s="2">
        <v>39</v>
      </c>
      <c r="E4541" s="2">
        <v>41</v>
      </c>
      <c r="F4541" s="2" t="s">
        <v>15403</v>
      </c>
      <c r="H4541" s="2" t="s">
        <v>17</v>
      </c>
      <c r="K4541" s="4">
        <v>1967</v>
      </c>
      <c r="L4541" s="4">
        <v>32439</v>
      </c>
      <c r="M4541" s="2" t="s">
        <v>47</v>
      </c>
      <c r="N4541" s="2" t="s">
        <v>4440</v>
      </c>
    </row>
    <row r="4542" spans="1:14">
      <c r="A4542" s="2">
        <v>4541</v>
      </c>
      <c r="B4542" s="3" t="s">
        <v>15404</v>
      </c>
      <c r="C4542" s="2" t="s">
        <v>15405</v>
      </c>
      <c r="D4542" s="2">
        <v>40</v>
      </c>
      <c r="E4542" s="2">
        <v>41</v>
      </c>
      <c r="F4542" s="2" t="s">
        <v>15406</v>
      </c>
      <c r="H4542" s="2" t="s">
        <v>17</v>
      </c>
      <c r="K4542" s="4">
        <v>3020</v>
      </c>
      <c r="L4542" s="4">
        <v>33527</v>
      </c>
      <c r="M4542" s="2" t="s">
        <v>170</v>
      </c>
      <c r="N4542" s="2" t="s">
        <v>323</v>
      </c>
    </row>
    <row r="4543" spans="1:14">
      <c r="A4543" s="2">
        <v>4542</v>
      </c>
      <c r="B4543" s="3" t="s">
        <v>15407</v>
      </c>
      <c r="C4543" s="2" t="s">
        <v>8726</v>
      </c>
      <c r="D4543" s="2">
        <v>40</v>
      </c>
      <c r="E4543" s="2">
        <v>41</v>
      </c>
      <c r="F4543" s="2" t="s">
        <v>15408</v>
      </c>
      <c r="H4543" s="2" t="s">
        <v>17</v>
      </c>
      <c r="K4543" s="4">
        <v>4891</v>
      </c>
      <c r="L4543" s="4">
        <v>34680</v>
      </c>
      <c r="M4543" s="2" t="s">
        <v>170</v>
      </c>
      <c r="N4543" s="2" t="s">
        <v>1624</v>
      </c>
    </row>
    <row r="4544" spans="1:14">
      <c r="A4544" s="2">
        <v>4543</v>
      </c>
      <c r="B4544" s="3" t="s">
        <v>15409</v>
      </c>
      <c r="C4544" s="2" t="s">
        <v>15410</v>
      </c>
      <c r="D4544" s="2">
        <v>39</v>
      </c>
      <c r="E4544" s="2">
        <v>41</v>
      </c>
      <c r="F4544" s="2" t="s">
        <v>15411</v>
      </c>
      <c r="H4544" s="2" t="s">
        <v>17</v>
      </c>
      <c r="K4544" s="4">
        <v>5905</v>
      </c>
      <c r="L4544" s="4">
        <v>35332</v>
      </c>
      <c r="M4544" s="2" t="s">
        <v>35</v>
      </c>
      <c r="N4544" s="2" t="s">
        <v>15412</v>
      </c>
    </row>
    <row r="4545" spans="1:14">
      <c r="A4545" s="2">
        <v>4544</v>
      </c>
      <c r="B4545" s="3" t="s">
        <v>15413</v>
      </c>
      <c r="C4545" s="2" t="s">
        <v>15414</v>
      </c>
      <c r="D4545" s="2">
        <v>41</v>
      </c>
      <c r="E4545" s="2">
        <v>41</v>
      </c>
      <c r="F4545" s="2" t="s">
        <v>15415</v>
      </c>
      <c r="H4545" s="2" t="s">
        <v>17</v>
      </c>
    </row>
    <row r="4546" spans="1:14">
      <c r="A4546" s="2">
        <v>4545</v>
      </c>
      <c r="B4546" s="3" t="s">
        <v>15416</v>
      </c>
      <c r="C4546" s="2" t="s">
        <v>15417</v>
      </c>
      <c r="D4546" s="2">
        <v>39</v>
      </c>
      <c r="E4546" s="2">
        <v>41</v>
      </c>
      <c r="F4546" s="2" t="s">
        <v>15418</v>
      </c>
      <c r="H4546" s="2" t="s">
        <v>17</v>
      </c>
      <c r="K4546" s="4" t="s">
        <v>15419</v>
      </c>
      <c r="L4546" s="4">
        <v>31314</v>
      </c>
      <c r="M4546" s="2" t="s">
        <v>170</v>
      </c>
      <c r="N4546" s="2" t="s">
        <v>323</v>
      </c>
    </row>
    <row r="4547" spans="1:14">
      <c r="A4547" s="2">
        <v>4546</v>
      </c>
      <c r="B4547" s="3" t="s">
        <v>15420</v>
      </c>
      <c r="C4547" s="2" t="s">
        <v>15421</v>
      </c>
      <c r="D4547" s="2">
        <v>41</v>
      </c>
      <c r="E4547" s="2">
        <v>41</v>
      </c>
      <c r="F4547" s="2" t="s">
        <v>15422</v>
      </c>
      <c r="H4547" s="2" t="s">
        <v>17</v>
      </c>
      <c r="K4547" s="4">
        <v>8688</v>
      </c>
      <c r="L4547" s="4">
        <v>38869</v>
      </c>
      <c r="M4547" s="2" t="s">
        <v>18</v>
      </c>
      <c r="N4547" s="2" t="s">
        <v>6605</v>
      </c>
    </row>
    <row r="4548" spans="1:14">
      <c r="A4548" s="2">
        <v>4547</v>
      </c>
      <c r="B4548" s="3" t="s">
        <v>15423</v>
      </c>
      <c r="C4548" s="2" t="s">
        <v>15424</v>
      </c>
      <c r="D4548" s="2">
        <v>40</v>
      </c>
      <c r="E4548" s="2">
        <v>41</v>
      </c>
      <c r="F4548" s="2" t="s">
        <v>15425</v>
      </c>
      <c r="H4548" s="2" t="s">
        <v>17</v>
      </c>
      <c r="K4548" s="4">
        <v>7871</v>
      </c>
      <c r="M4548" s="2" t="s">
        <v>170</v>
      </c>
      <c r="N4548" s="2" t="s">
        <v>323</v>
      </c>
    </row>
    <row r="4549" spans="1:14">
      <c r="A4549" s="2">
        <v>4548</v>
      </c>
      <c r="B4549" s="3" t="s">
        <v>15426</v>
      </c>
      <c r="C4549" s="2" t="s">
        <v>15427</v>
      </c>
      <c r="D4549" s="2">
        <v>41</v>
      </c>
      <c r="E4549" s="2">
        <v>41</v>
      </c>
      <c r="F4549" s="2" t="s">
        <v>15428</v>
      </c>
      <c r="H4549" s="2" t="s">
        <v>17</v>
      </c>
      <c r="K4549" s="4">
        <v>4232</v>
      </c>
      <c r="L4549" s="4">
        <v>22948</v>
      </c>
      <c r="M4549" s="2" t="s">
        <v>13668</v>
      </c>
      <c r="N4549" s="2" t="s">
        <v>323</v>
      </c>
    </row>
    <row r="4550" spans="1:14">
      <c r="A4550" s="2">
        <v>4549</v>
      </c>
      <c r="B4550" s="3" t="s">
        <v>15429</v>
      </c>
      <c r="C4550" s="2" t="s">
        <v>15430</v>
      </c>
      <c r="D4550" s="2">
        <v>39</v>
      </c>
      <c r="E4550" s="2">
        <v>41</v>
      </c>
      <c r="F4550" s="2" t="s">
        <v>15431</v>
      </c>
      <c r="H4550" s="2" t="s">
        <v>17</v>
      </c>
      <c r="K4550" s="4" t="s">
        <v>15432</v>
      </c>
      <c r="L4550" s="4">
        <v>32378</v>
      </c>
      <c r="M4550" s="2" t="s">
        <v>47</v>
      </c>
      <c r="N4550" s="2" t="s">
        <v>48</v>
      </c>
    </row>
    <row r="4551" spans="1:14">
      <c r="A4551" s="2">
        <v>4550</v>
      </c>
      <c r="B4551" s="3" t="s">
        <v>15433</v>
      </c>
      <c r="C4551" s="2" t="s">
        <v>15434</v>
      </c>
      <c r="D4551" s="2">
        <v>41</v>
      </c>
      <c r="E4551" s="2">
        <v>41</v>
      </c>
      <c r="F4551" s="2" t="s">
        <v>15435</v>
      </c>
      <c r="H4551" s="2" t="s">
        <v>17</v>
      </c>
      <c r="K4551" s="4">
        <v>4506</v>
      </c>
      <c r="L4551" s="4">
        <v>24599</v>
      </c>
      <c r="M4551" s="2" t="s">
        <v>40</v>
      </c>
      <c r="N4551" s="2" t="s">
        <v>41</v>
      </c>
    </row>
    <row r="4552" spans="1:14">
      <c r="A4552" s="2">
        <v>4551</v>
      </c>
      <c r="B4552" s="3" t="s">
        <v>15436</v>
      </c>
      <c r="C4552" s="2" t="s">
        <v>15437</v>
      </c>
      <c r="D4552" s="2">
        <v>40</v>
      </c>
      <c r="E4552" s="2">
        <v>41</v>
      </c>
      <c r="F4552" s="2" t="s">
        <v>15438</v>
      </c>
      <c r="H4552" s="2" t="s">
        <v>17</v>
      </c>
      <c r="K4552" s="4">
        <v>1588</v>
      </c>
      <c r="L4552" s="4">
        <v>27380</v>
      </c>
      <c r="M4552" s="2" t="s">
        <v>47</v>
      </c>
      <c r="N4552" s="2" t="s">
        <v>48</v>
      </c>
    </row>
    <row r="4553" spans="1:14">
      <c r="A4553" s="2">
        <v>4552</v>
      </c>
      <c r="B4553" s="3" t="s">
        <v>15439</v>
      </c>
      <c r="C4553" s="2" t="s">
        <v>15440</v>
      </c>
      <c r="D4553" s="2">
        <v>41</v>
      </c>
      <c r="E4553" s="2">
        <v>41</v>
      </c>
      <c r="F4553" s="2" t="s">
        <v>15441</v>
      </c>
      <c r="H4553" s="2" t="s">
        <v>17</v>
      </c>
      <c r="K4553" s="4">
        <v>6122</v>
      </c>
      <c r="L4553" s="4">
        <v>35281</v>
      </c>
      <c r="M4553" s="2" t="s">
        <v>154</v>
      </c>
      <c r="N4553" s="2" t="s">
        <v>10100</v>
      </c>
    </row>
    <row r="4554" spans="1:14">
      <c r="A4554" s="2">
        <v>4553</v>
      </c>
      <c r="B4554" s="3" t="s">
        <v>15442</v>
      </c>
      <c r="C4554" s="2" t="s">
        <v>15443</v>
      </c>
      <c r="D4554" s="2">
        <v>41</v>
      </c>
      <c r="E4554" s="2">
        <v>41</v>
      </c>
      <c r="F4554" s="2" t="s">
        <v>15444</v>
      </c>
      <c r="H4554" s="2" t="s">
        <v>17</v>
      </c>
      <c r="K4554" s="4" t="s">
        <v>15445</v>
      </c>
      <c r="L4554" s="4">
        <v>30449</v>
      </c>
      <c r="M4554" s="2" t="s">
        <v>170</v>
      </c>
      <c r="N4554" s="2" t="s">
        <v>15446</v>
      </c>
    </row>
    <row r="4555" spans="1:14">
      <c r="A4555" s="2">
        <v>4554</v>
      </c>
      <c r="B4555" s="3" t="s">
        <v>15447</v>
      </c>
      <c r="C4555" s="2" t="s">
        <v>9681</v>
      </c>
      <c r="D4555" s="2">
        <v>38</v>
      </c>
      <c r="E4555" s="2">
        <v>41</v>
      </c>
      <c r="F4555" s="2" t="s">
        <v>15448</v>
      </c>
      <c r="H4555" s="2" t="s">
        <v>17</v>
      </c>
      <c r="K4555" s="4">
        <v>2178</v>
      </c>
      <c r="L4555" s="4">
        <v>26980</v>
      </c>
      <c r="M4555" s="2" t="s">
        <v>154</v>
      </c>
      <c r="N4555" s="2" t="s">
        <v>4862</v>
      </c>
    </row>
    <row r="4556" spans="1:14">
      <c r="A4556" s="2">
        <v>4555</v>
      </c>
      <c r="B4556" s="3" t="s">
        <v>15449</v>
      </c>
      <c r="C4556" s="2" t="s">
        <v>15450</v>
      </c>
      <c r="D4556" s="2">
        <v>40</v>
      </c>
      <c r="E4556" s="2">
        <v>41</v>
      </c>
      <c r="F4556" s="2" t="s">
        <v>15451</v>
      </c>
      <c r="H4556" s="2" t="s">
        <v>17</v>
      </c>
      <c r="K4556" s="4" t="s">
        <v>15452</v>
      </c>
      <c r="L4556" s="4">
        <v>22406</v>
      </c>
      <c r="M4556" s="2" t="s">
        <v>170</v>
      </c>
      <c r="N4556" s="2" t="s">
        <v>323</v>
      </c>
    </row>
    <row r="4557" spans="1:14">
      <c r="A4557" s="2">
        <v>4556</v>
      </c>
      <c r="B4557" s="3" t="s">
        <v>15453</v>
      </c>
      <c r="C4557" s="2" t="s">
        <v>15454</v>
      </c>
      <c r="D4557" s="2">
        <v>39</v>
      </c>
      <c r="E4557" s="2">
        <v>41</v>
      </c>
      <c r="F4557" s="2" t="s">
        <v>15455</v>
      </c>
      <c r="H4557" s="2" t="s">
        <v>17</v>
      </c>
      <c r="K4557" s="4">
        <v>1417</v>
      </c>
      <c r="L4557" s="4">
        <v>32105</v>
      </c>
      <c r="M4557" s="2" t="s">
        <v>170</v>
      </c>
      <c r="N4557" s="2" t="s">
        <v>171</v>
      </c>
    </row>
    <row r="4558" spans="1:14">
      <c r="A4558" s="2">
        <v>4557</v>
      </c>
      <c r="B4558" s="3" t="s">
        <v>15456</v>
      </c>
      <c r="C4558" s="2" t="s">
        <v>15457</v>
      </c>
      <c r="D4558" s="2">
        <v>41</v>
      </c>
      <c r="E4558" s="2">
        <v>41</v>
      </c>
      <c r="F4558" s="2" t="s">
        <v>15458</v>
      </c>
      <c r="H4558" s="2" t="s">
        <v>17</v>
      </c>
      <c r="K4558" s="4">
        <v>7374</v>
      </c>
      <c r="M4558" s="2" t="s">
        <v>170</v>
      </c>
      <c r="N4558" s="2" t="s">
        <v>323</v>
      </c>
    </row>
    <row r="4559" spans="1:14">
      <c r="A4559" s="2">
        <v>4558</v>
      </c>
      <c r="B4559" s="3" t="s">
        <v>15459</v>
      </c>
      <c r="C4559" s="2" t="s">
        <v>8787</v>
      </c>
      <c r="D4559" s="2">
        <v>38</v>
      </c>
      <c r="E4559" s="2">
        <v>41</v>
      </c>
      <c r="F4559" s="2" t="s">
        <v>15460</v>
      </c>
      <c r="H4559" s="2" t="s">
        <v>17</v>
      </c>
      <c r="K4559" s="4">
        <v>1130</v>
      </c>
      <c r="L4559" s="4">
        <v>25927</v>
      </c>
      <c r="M4559" s="2" t="s">
        <v>40</v>
      </c>
    </row>
    <row r="4560" spans="1:14">
      <c r="A4560" s="2">
        <v>4559</v>
      </c>
      <c r="B4560" s="3" t="s">
        <v>15461</v>
      </c>
      <c r="C4560" s="2" t="s">
        <v>15462</v>
      </c>
      <c r="D4560" s="2">
        <v>39</v>
      </c>
      <c r="E4560" s="2">
        <v>41</v>
      </c>
      <c r="F4560" s="2" t="s">
        <v>15463</v>
      </c>
      <c r="H4560" s="2" t="s">
        <v>17</v>
      </c>
      <c r="K4560" s="4">
        <v>6585</v>
      </c>
      <c r="L4560" s="4">
        <v>40460</v>
      </c>
      <c r="M4560" s="2" t="s">
        <v>66</v>
      </c>
      <c r="N4560" s="2" t="s">
        <v>4304</v>
      </c>
    </row>
    <row r="4561" spans="1:14">
      <c r="A4561" s="2">
        <v>4560</v>
      </c>
      <c r="B4561" s="3" t="s">
        <v>15464</v>
      </c>
      <c r="C4561" s="2" t="s">
        <v>15465</v>
      </c>
      <c r="D4561" s="2">
        <v>40</v>
      </c>
      <c r="E4561" s="2">
        <v>41</v>
      </c>
      <c r="F4561" s="2" t="s">
        <v>15466</v>
      </c>
      <c r="H4561" s="2" t="s">
        <v>17</v>
      </c>
      <c r="K4561" s="4">
        <v>2336</v>
      </c>
      <c r="M4561" s="2" t="s">
        <v>66</v>
      </c>
      <c r="N4561" s="2" t="s">
        <v>8305</v>
      </c>
    </row>
    <row r="4562" spans="1:14">
      <c r="A4562" s="2">
        <v>4561</v>
      </c>
      <c r="B4562" s="3" t="s">
        <v>15467</v>
      </c>
      <c r="C4562" s="2" t="s">
        <v>15468</v>
      </c>
      <c r="D4562" s="2">
        <v>40</v>
      </c>
      <c r="E4562" s="2">
        <v>41</v>
      </c>
      <c r="F4562" s="2" t="s">
        <v>15469</v>
      </c>
      <c r="H4562" s="2" t="s">
        <v>17</v>
      </c>
      <c r="K4562" s="4">
        <v>2750</v>
      </c>
      <c r="L4562" s="4">
        <v>27859</v>
      </c>
      <c r="M4562" s="2" t="s">
        <v>185</v>
      </c>
      <c r="N4562" s="2" t="s">
        <v>7309</v>
      </c>
    </row>
    <row r="4563" spans="1:14">
      <c r="A4563" s="2">
        <v>4562</v>
      </c>
      <c r="B4563" s="3" t="s">
        <v>15470</v>
      </c>
      <c r="C4563" s="2" t="s">
        <v>15471</v>
      </c>
      <c r="D4563" s="2">
        <v>41</v>
      </c>
      <c r="E4563" s="2">
        <v>41</v>
      </c>
      <c r="F4563" s="2" t="s">
        <v>15472</v>
      </c>
      <c r="H4563" s="2" t="s">
        <v>17</v>
      </c>
      <c r="K4563" s="4">
        <v>6416</v>
      </c>
      <c r="L4563" s="4">
        <v>36815</v>
      </c>
      <c r="M4563" s="2" t="s">
        <v>154</v>
      </c>
      <c r="N4563" s="2" t="s">
        <v>10100</v>
      </c>
    </row>
    <row r="4564" spans="1:14">
      <c r="A4564" s="2">
        <v>4563</v>
      </c>
      <c r="B4564" s="3" t="s">
        <v>15473</v>
      </c>
      <c r="C4564" s="2" t="s">
        <v>15474</v>
      </c>
      <c r="D4564" s="2">
        <v>40</v>
      </c>
      <c r="E4564" s="2">
        <v>41</v>
      </c>
      <c r="F4564" s="2" t="s">
        <v>15475</v>
      </c>
      <c r="H4564" s="2" t="s">
        <v>17</v>
      </c>
      <c r="K4564" s="4">
        <v>1814</v>
      </c>
      <c r="L4564" s="4">
        <v>24866</v>
      </c>
      <c r="M4564" s="2" t="s">
        <v>53</v>
      </c>
      <c r="N4564" s="2" t="s">
        <v>11714</v>
      </c>
    </row>
    <row r="4565" spans="1:14">
      <c r="A4565" s="2">
        <v>4564</v>
      </c>
      <c r="B4565" s="3" t="s">
        <v>15476</v>
      </c>
      <c r="C4565" s="2" t="s">
        <v>15477</v>
      </c>
      <c r="D4565" s="2">
        <v>41</v>
      </c>
      <c r="E4565" s="2">
        <v>41</v>
      </c>
      <c r="F4565" s="2" t="s">
        <v>15478</v>
      </c>
      <c r="H4565" s="2" t="s">
        <v>17</v>
      </c>
    </row>
    <row r="4566" spans="1:14">
      <c r="A4566" s="2">
        <v>4565</v>
      </c>
      <c r="B4566" s="3" t="s">
        <v>15479</v>
      </c>
      <c r="C4566" s="2" t="s">
        <v>15480</v>
      </c>
      <c r="D4566" s="2">
        <v>40</v>
      </c>
      <c r="E4566" s="2">
        <v>41</v>
      </c>
      <c r="F4566" s="2" t="s">
        <v>15481</v>
      </c>
      <c r="H4566" s="2" t="s">
        <v>17</v>
      </c>
      <c r="K4566" s="4">
        <v>2601</v>
      </c>
      <c r="L4566" s="4">
        <v>32253</v>
      </c>
      <c r="M4566" s="2" t="s">
        <v>66</v>
      </c>
      <c r="N4566" s="2" t="s">
        <v>3043</v>
      </c>
    </row>
    <row r="4567" spans="1:14">
      <c r="A4567" s="2">
        <v>4566</v>
      </c>
      <c r="B4567" s="3" t="s">
        <v>15482</v>
      </c>
      <c r="C4567" s="2" t="s">
        <v>15483</v>
      </c>
      <c r="D4567" s="2">
        <v>41</v>
      </c>
      <c r="E4567" s="2">
        <v>41</v>
      </c>
      <c r="F4567" s="2" t="s">
        <v>15484</v>
      </c>
      <c r="H4567" s="2" t="s">
        <v>17</v>
      </c>
      <c r="K4567" s="4">
        <v>3992</v>
      </c>
      <c r="L4567" s="4">
        <v>24906</v>
      </c>
      <c r="M4567" s="2" t="s">
        <v>47</v>
      </c>
      <c r="N4567" s="2" t="s">
        <v>625</v>
      </c>
    </row>
    <row r="4568" spans="1:14">
      <c r="A4568" s="2">
        <v>4567</v>
      </c>
      <c r="B4568" s="3" t="s">
        <v>15485</v>
      </c>
      <c r="C4568" s="2" t="s">
        <v>15486</v>
      </c>
      <c r="D4568" s="2">
        <v>41</v>
      </c>
      <c r="E4568" s="2">
        <v>41</v>
      </c>
      <c r="F4568" s="2" t="s">
        <v>15487</v>
      </c>
      <c r="H4568" s="2" t="s">
        <v>17</v>
      </c>
      <c r="K4568" s="4">
        <v>4503</v>
      </c>
      <c r="L4568" s="4">
        <v>37608</v>
      </c>
      <c r="M4568" s="2" t="s">
        <v>336</v>
      </c>
      <c r="N4568" s="2" t="s">
        <v>1883</v>
      </c>
    </row>
    <row r="4569" spans="1:14">
      <c r="A4569" s="2">
        <v>4568</v>
      </c>
      <c r="B4569" s="3" t="s">
        <v>15488</v>
      </c>
      <c r="C4569" s="2" t="s">
        <v>15489</v>
      </c>
      <c r="D4569" s="2">
        <v>39</v>
      </c>
      <c r="E4569" s="2">
        <v>41</v>
      </c>
      <c r="F4569" s="2" t="s">
        <v>15490</v>
      </c>
      <c r="H4569" s="2" t="s">
        <v>17</v>
      </c>
      <c r="K4569" s="4">
        <v>762</v>
      </c>
      <c r="L4569" s="4">
        <v>34674</v>
      </c>
      <c r="M4569" s="2" t="s">
        <v>66</v>
      </c>
      <c r="N4569" s="2" t="s">
        <v>71</v>
      </c>
    </row>
    <row r="4570" spans="1:14">
      <c r="A4570" s="2">
        <v>4569</v>
      </c>
      <c r="B4570" s="3" t="s">
        <v>15491</v>
      </c>
      <c r="C4570" s="2" t="s">
        <v>15492</v>
      </c>
      <c r="D4570" s="2">
        <v>41</v>
      </c>
      <c r="E4570" s="2">
        <v>41</v>
      </c>
      <c r="F4570" s="2" t="s">
        <v>15493</v>
      </c>
      <c r="H4570" s="2" t="s">
        <v>17</v>
      </c>
      <c r="K4570" s="4">
        <v>5596</v>
      </c>
      <c r="L4570" s="4">
        <v>22323</v>
      </c>
      <c r="M4570" s="2" t="s">
        <v>40</v>
      </c>
      <c r="N4570" s="2" t="s">
        <v>9512</v>
      </c>
    </row>
    <row r="4571" spans="1:14">
      <c r="A4571" s="2">
        <v>4570</v>
      </c>
      <c r="B4571" s="3" t="s">
        <v>15494</v>
      </c>
      <c r="C4571" s="2" t="s">
        <v>15495</v>
      </c>
      <c r="D4571" s="2">
        <v>41</v>
      </c>
      <c r="E4571" s="2">
        <v>41</v>
      </c>
      <c r="F4571" s="2" t="s">
        <v>15496</v>
      </c>
      <c r="H4571" s="2" t="s">
        <v>17</v>
      </c>
      <c r="K4571" s="4" t="s">
        <v>15497</v>
      </c>
      <c r="L4571" s="4">
        <v>27071</v>
      </c>
      <c r="M4571" s="2" t="s">
        <v>154</v>
      </c>
      <c r="N4571" s="2" t="s">
        <v>4862</v>
      </c>
    </row>
    <row r="4572" spans="1:14">
      <c r="A4572" s="2">
        <v>4571</v>
      </c>
      <c r="B4572" s="3" t="s">
        <v>15498</v>
      </c>
      <c r="C4572" s="2" t="s">
        <v>15499</v>
      </c>
      <c r="D4572" s="2">
        <v>38</v>
      </c>
      <c r="E4572" s="2">
        <v>41</v>
      </c>
      <c r="F4572" s="2" t="s">
        <v>15500</v>
      </c>
      <c r="H4572" s="2" t="s">
        <v>17</v>
      </c>
      <c r="K4572" s="4" t="s">
        <v>15501</v>
      </c>
      <c r="L4572" s="4">
        <v>26917</v>
      </c>
      <c r="M4572" s="2" t="s">
        <v>336</v>
      </c>
      <c r="N4572" s="2" t="s">
        <v>15502</v>
      </c>
    </row>
    <row r="4573" spans="1:14">
      <c r="A4573" s="2">
        <v>4572</v>
      </c>
      <c r="B4573" s="3" t="s">
        <v>15503</v>
      </c>
      <c r="C4573" s="2" t="s">
        <v>14012</v>
      </c>
      <c r="D4573" s="2">
        <v>41</v>
      </c>
      <c r="E4573" s="2">
        <v>41</v>
      </c>
      <c r="F4573" s="2" t="s">
        <v>15504</v>
      </c>
      <c r="H4573" s="2" t="s">
        <v>17</v>
      </c>
      <c r="K4573" s="4" t="s">
        <v>15505</v>
      </c>
      <c r="L4573" s="4">
        <v>25844</v>
      </c>
      <c r="M4573" s="2" t="s">
        <v>170</v>
      </c>
    </row>
    <row r="4574" spans="1:14">
      <c r="A4574" s="2">
        <v>4573</v>
      </c>
      <c r="B4574" s="3" t="s">
        <v>15506</v>
      </c>
      <c r="C4574" s="2" t="s">
        <v>8054</v>
      </c>
      <c r="D4574" s="2">
        <v>41</v>
      </c>
      <c r="E4574" s="2">
        <v>41</v>
      </c>
      <c r="F4574" s="2" t="s">
        <v>15507</v>
      </c>
      <c r="H4574" s="2" t="s">
        <v>17</v>
      </c>
      <c r="K4574" s="4">
        <v>3754</v>
      </c>
      <c r="L4574" s="4">
        <v>22151</v>
      </c>
      <c r="M4574" s="2" t="s">
        <v>35</v>
      </c>
      <c r="N4574" s="2" t="s">
        <v>5059</v>
      </c>
    </row>
    <row r="4575" spans="1:14">
      <c r="A4575" s="2">
        <v>4574</v>
      </c>
      <c r="B4575" s="3" t="s">
        <v>15508</v>
      </c>
      <c r="C4575" s="2" t="s">
        <v>15509</v>
      </c>
      <c r="D4575" s="2">
        <v>41</v>
      </c>
      <c r="E4575" s="2">
        <v>41</v>
      </c>
      <c r="F4575" s="2" t="s">
        <v>15510</v>
      </c>
      <c r="H4575" s="2" t="s">
        <v>17</v>
      </c>
      <c r="K4575" s="4">
        <v>7488</v>
      </c>
      <c r="L4575" s="4">
        <v>35368</v>
      </c>
      <c r="M4575" s="2" t="s">
        <v>336</v>
      </c>
      <c r="N4575" s="2" t="s">
        <v>10334</v>
      </c>
    </row>
    <row r="4576" spans="1:14">
      <c r="A4576" s="2">
        <v>4575</v>
      </c>
      <c r="B4576" s="3" t="s">
        <v>15511</v>
      </c>
      <c r="C4576" s="2" t="s">
        <v>15512</v>
      </c>
      <c r="D4576" s="2">
        <v>37</v>
      </c>
      <c r="E4576" s="2">
        <v>41</v>
      </c>
      <c r="F4576" s="2" t="s">
        <v>15513</v>
      </c>
      <c r="H4576" s="2" t="s">
        <v>17</v>
      </c>
      <c r="K4576" s="4">
        <v>1457</v>
      </c>
      <c r="L4576" s="4">
        <v>30883</v>
      </c>
      <c r="M4576" s="2" t="s">
        <v>40</v>
      </c>
      <c r="N4576" s="2" t="s">
        <v>6370</v>
      </c>
    </row>
    <row r="4577" spans="1:14">
      <c r="A4577" s="2">
        <v>4576</v>
      </c>
      <c r="B4577" s="3" t="s">
        <v>15514</v>
      </c>
      <c r="C4577" s="2" t="s">
        <v>15515</v>
      </c>
      <c r="D4577" s="2">
        <v>36</v>
      </c>
      <c r="E4577" s="2">
        <v>41</v>
      </c>
      <c r="F4577" s="2" t="s">
        <v>15516</v>
      </c>
      <c r="H4577" s="2" t="s">
        <v>17</v>
      </c>
      <c r="K4577" s="4">
        <v>442</v>
      </c>
      <c r="L4577" s="4">
        <v>22847</v>
      </c>
      <c r="M4577" s="2" t="s">
        <v>35</v>
      </c>
      <c r="N4577" s="2" t="s">
        <v>15517</v>
      </c>
    </row>
    <row r="4578" spans="1:14">
      <c r="A4578" s="2">
        <v>4577</v>
      </c>
      <c r="B4578" s="3" t="s">
        <v>15518</v>
      </c>
      <c r="C4578" s="2" t="s">
        <v>15519</v>
      </c>
      <c r="D4578" s="2">
        <v>40</v>
      </c>
      <c r="E4578" s="2">
        <v>41</v>
      </c>
      <c r="F4578" s="2" t="s">
        <v>15520</v>
      </c>
      <c r="H4578" s="2" t="s">
        <v>17</v>
      </c>
      <c r="K4578" s="4">
        <v>1642</v>
      </c>
      <c r="L4578" s="4">
        <v>27199</v>
      </c>
      <c r="M4578" s="2" t="s">
        <v>170</v>
      </c>
      <c r="N4578" s="2" t="s">
        <v>13799</v>
      </c>
    </row>
    <row r="4579" spans="1:14">
      <c r="A4579" s="2">
        <v>4578</v>
      </c>
      <c r="B4579" s="3" t="s">
        <v>15521</v>
      </c>
      <c r="C4579" s="2" t="s">
        <v>15522</v>
      </c>
      <c r="D4579" s="2">
        <v>40</v>
      </c>
      <c r="E4579" s="2">
        <v>41</v>
      </c>
      <c r="F4579" s="2" t="s">
        <v>15523</v>
      </c>
      <c r="H4579" s="2" t="s">
        <v>17</v>
      </c>
      <c r="K4579" s="4">
        <v>7129</v>
      </c>
      <c r="L4579" s="4">
        <v>28949</v>
      </c>
      <c r="M4579" s="2" t="s">
        <v>40</v>
      </c>
      <c r="N4579" s="2" t="s">
        <v>41</v>
      </c>
    </row>
    <row r="4580" spans="1:14">
      <c r="A4580" s="2">
        <v>4579</v>
      </c>
      <c r="B4580" s="3" t="s">
        <v>15524</v>
      </c>
      <c r="C4580" s="2" t="s">
        <v>15525</v>
      </c>
      <c r="D4580" s="2">
        <v>41</v>
      </c>
      <c r="E4580" s="2">
        <v>41</v>
      </c>
      <c r="F4580" s="2" t="s">
        <v>15526</v>
      </c>
      <c r="H4580" s="2" t="s">
        <v>17</v>
      </c>
      <c r="K4580" s="4">
        <v>9068</v>
      </c>
      <c r="L4580" s="4">
        <v>36615</v>
      </c>
      <c r="M4580" s="2" t="s">
        <v>47</v>
      </c>
      <c r="N4580" s="2" t="s">
        <v>442</v>
      </c>
    </row>
    <row r="4581" spans="1:14">
      <c r="A4581" s="2">
        <v>4580</v>
      </c>
      <c r="B4581" s="3" t="s">
        <v>15527</v>
      </c>
      <c r="C4581" s="2" t="s">
        <v>15528</v>
      </c>
      <c r="D4581" s="2">
        <v>41</v>
      </c>
      <c r="E4581" s="2">
        <v>41</v>
      </c>
      <c r="F4581" s="2" t="s">
        <v>15529</v>
      </c>
      <c r="H4581" s="2" t="s">
        <v>17</v>
      </c>
      <c r="K4581" s="4">
        <v>2367</v>
      </c>
      <c r="M4581" s="2" t="s">
        <v>198</v>
      </c>
      <c r="N4581" s="2" t="s">
        <v>199</v>
      </c>
    </row>
    <row r="4582" spans="1:14">
      <c r="A4582" s="2">
        <v>4581</v>
      </c>
      <c r="B4582" s="3" t="s">
        <v>15530</v>
      </c>
      <c r="C4582" s="2" t="s">
        <v>15531</v>
      </c>
      <c r="D4582" s="2">
        <v>39</v>
      </c>
      <c r="E4582" s="2">
        <v>41</v>
      </c>
      <c r="F4582" s="2" t="s">
        <v>15532</v>
      </c>
      <c r="H4582" s="2" t="s">
        <v>17</v>
      </c>
      <c r="K4582" s="4">
        <v>3539</v>
      </c>
      <c r="L4582" s="4">
        <v>22910</v>
      </c>
      <c r="M4582" s="2" t="s">
        <v>66</v>
      </c>
      <c r="N4582" s="2" t="s">
        <v>14510</v>
      </c>
    </row>
    <row r="4583" spans="1:14">
      <c r="A4583" s="2">
        <v>4582</v>
      </c>
      <c r="B4583" s="3" t="s">
        <v>15533</v>
      </c>
      <c r="C4583" s="2" t="s">
        <v>15534</v>
      </c>
      <c r="D4583" s="2">
        <v>41</v>
      </c>
      <c r="E4583" s="2">
        <v>41</v>
      </c>
      <c r="F4583" s="2" t="s">
        <v>15535</v>
      </c>
      <c r="H4583" s="2" t="s">
        <v>17</v>
      </c>
      <c r="K4583" s="4">
        <v>3207</v>
      </c>
      <c r="L4583" s="4">
        <v>23906</v>
      </c>
      <c r="M4583" s="2" t="s">
        <v>170</v>
      </c>
      <c r="N4583" s="2" t="s">
        <v>1873</v>
      </c>
    </row>
    <row r="4584" spans="1:14">
      <c r="A4584" s="2">
        <v>4583</v>
      </c>
      <c r="B4584" s="3" t="s">
        <v>15536</v>
      </c>
      <c r="C4584" s="2" t="s">
        <v>15537</v>
      </c>
      <c r="D4584" s="2">
        <v>39</v>
      </c>
      <c r="E4584" s="2">
        <v>41</v>
      </c>
      <c r="F4584" s="2" t="s">
        <v>15538</v>
      </c>
      <c r="H4584" s="2" t="s">
        <v>17</v>
      </c>
      <c r="K4584" s="4">
        <v>3076</v>
      </c>
      <c r="L4584" s="4">
        <v>35118</v>
      </c>
      <c r="M4584" s="2" t="s">
        <v>969</v>
      </c>
      <c r="N4584" s="2" t="s">
        <v>323</v>
      </c>
    </row>
    <row r="4585" spans="1:14">
      <c r="A4585" s="2">
        <v>4584</v>
      </c>
      <c r="B4585" s="3" t="s">
        <v>15539</v>
      </c>
      <c r="C4585" s="2" t="s">
        <v>15540</v>
      </c>
      <c r="D4585" s="2">
        <v>41</v>
      </c>
      <c r="E4585" s="2">
        <v>41</v>
      </c>
      <c r="F4585" s="2" t="s">
        <v>15541</v>
      </c>
      <c r="H4585" s="2" t="s">
        <v>17</v>
      </c>
      <c r="K4585" s="4">
        <v>2564</v>
      </c>
      <c r="L4585" s="4">
        <v>33300</v>
      </c>
      <c r="M4585" s="2" t="s">
        <v>40</v>
      </c>
      <c r="N4585" s="2" t="s">
        <v>15542</v>
      </c>
    </row>
    <row r="4586" spans="1:14">
      <c r="A4586" s="2">
        <v>4585</v>
      </c>
      <c r="B4586" s="3" t="s">
        <v>15543</v>
      </c>
      <c r="C4586" s="2" t="s">
        <v>15544</v>
      </c>
      <c r="D4586" s="2">
        <v>41</v>
      </c>
      <c r="E4586" s="2">
        <v>41</v>
      </c>
      <c r="F4586" s="2" t="s">
        <v>15545</v>
      </c>
      <c r="H4586" s="2" t="s">
        <v>17</v>
      </c>
      <c r="K4586" s="4">
        <v>6226</v>
      </c>
      <c r="L4586" s="4">
        <v>34232</v>
      </c>
      <c r="M4586" s="2" t="s">
        <v>47</v>
      </c>
      <c r="N4586" s="2" t="s">
        <v>48</v>
      </c>
    </row>
    <row r="4587" spans="1:14">
      <c r="A4587" s="2">
        <v>4586</v>
      </c>
      <c r="B4587" s="3" t="s">
        <v>15546</v>
      </c>
      <c r="C4587" s="2" t="s">
        <v>15547</v>
      </c>
      <c r="D4587" s="2">
        <v>41</v>
      </c>
      <c r="E4587" s="2">
        <v>41</v>
      </c>
      <c r="F4587" s="2" t="s">
        <v>15548</v>
      </c>
      <c r="H4587" s="2" t="s">
        <v>17</v>
      </c>
      <c r="K4587" s="4">
        <v>4677</v>
      </c>
      <c r="M4587" s="2" t="s">
        <v>85</v>
      </c>
      <c r="N4587" s="2" t="s">
        <v>960</v>
      </c>
    </row>
    <row r="4588" spans="1:14">
      <c r="A4588" s="2">
        <v>4587</v>
      </c>
      <c r="B4588" s="3" t="s">
        <v>15549</v>
      </c>
      <c r="C4588" s="2" t="s">
        <v>15550</v>
      </c>
      <c r="D4588" s="2">
        <v>39</v>
      </c>
      <c r="E4588" s="2">
        <v>41</v>
      </c>
      <c r="F4588" s="2" t="s">
        <v>15551</v>
      </c>
      <c r="H4588" s="2" t="s">
        <v>17</v>
      </c>
      <c r="K4588" s="4">
        <v>1964</v>
      </c>
      <c r="L4588" s="4">
        <v>24990</v>
      </c>
      <c r="M4588" s="2" t="s">
        <v>170</v>
      </c>
      <c r="N4588" s="2" t="s">
        <v>385</v>
      </c>
    </row>
    <row r="4589" spans="1:14">
      <c r="A4589" s="2">
        <v>4588</v>
      </c>
      <c r="B4589" s="3" t="s">
        <v>15552</v>
      </c>
      <c r="C4589" s="2" t="s">
        <v>15553</v>
      </c>
      <c r="D4589" s="2">
        <v>41</v>
      </c>
      <c r="E4589" s="2">
        <v>41</v>
      </c>
      <c r="F4589" s="2" t="s">
        <v>15554</v>
      </c>
      <c r="H4589" s="2" t="s">
        <v>17</v>
      </c>
      <c r="K4589" s="4">
        <v>6756</v>
      </c>
      <c r="L4589" s="4">
        <v>32878</v>
      </c>
      <c r="M4589" s="2" t="s">
        <v>35</v>
      </c>
      <c r="N4589" s="2" t="s">
        <v>858</v>
      </c>
    </row>
    <row r="4590" spans="1:14">
      <c r="A4590" s="2">
        <v>4589</v>
      </c>
      <c r="B4590" s="3" t="s">
        <v>15555</v>
      </c>
      <c r="C4590" s="2" t="s">
        <v>15556</v>
      </c>
      <c r="D4590" s="2">
        <v>41</v>
      </c>
      <c r="E4590" s="2">
        <v>41</v>
      </c>
      <c r="F4590" s="2" t="s">
        <v>15557</v>
      </c>
      <c r="H4590" s="2" t="s">
        <v>17</v>
      </c>
      <c r="K4590" s="4">
        <v>4445</v>
      </c>
      <c r="L4590" s="4">
        <v>22426</v>
      </c>
      <c r="M4590" s="2" t="s">
        <v>47</v>
      </c>
      <c r="N4590" s="2" t="s">
        <v>15558</v>
      </c>
    </row>
    <row r="4591" spans="1:14">
      <c r="A4591" s="2">
        <v>4590</v>
      </c>
      <c r="B4591" s="3" t="s">
        <v>15559</v>
      </c>
      <c r="C4591" s="2" t="s">
        <v>15560</v>
      </c>
      <c r="D4591" s="2">
        <v>41</v>
      </c>
      <c r="E4591" s="2">
        <v>41</v>
      </c>
      <c r="F4591" s="2" t="s">
        <v>15561</v>
      </c>
      <c r="H4591" s="2" t="s">
        <v>17</v>
      </c>
      <c r="K4591" s="4">
        <v>2677</v>
      </c>
      <c r="L4591" s="4">
        <v>33533</v>
      </c>
      <c r="M4591" s="2" t="s">
        <v>35</v>
      </c>
    </row>
    <row r="4592" spans="1:14">
      <c r="A4592" s="2">
        <v>4591</v>
      </c>
      <c r="B4592" s="3" t="s">
        <v>15562</v>
      </c>
      <c r="C4592" s="2" t="s">
        <v>15563</v>
      </c>
      <c r="D4592" s="2">
        <v>41</v>
      </c>
      <c r="E4592" s="2">
        <v>41</v>
      </c>
      <c r="F4592" s="2" t="s">
        <v>15564</v>
      </c>
      <c r="H4592" s="2" t="s">
        <v>17</v>
      </c>
      <c r="K4592" s="4">
        <v>8353</v>
      </c>
      <c r="L4592" s="4">
        <v>35592</v>
      </c>
      <c r="M4592" s="2" t="s">
        <v>198</v>
      </c>
      <c r="N4592" s="2" t="s">
        <v>199</v>
      </c>
    </row>
    <row r="4593" spans="1:14">
      <c r="A4593" s="2">
        <v>4592</v>
      </c>
      <c r="B4593" s="3" t="s">
        <v>15565</v>
      </c>
      <c r="C4593" s="2" t="s">
        <v>15566</v>
      </c>
      <c r="D4593" s="2">
        <v>41</v>
      </c>
      <c r="E4593" s="2">
        <v>41</v>
      </c>
      <c r="F4593" s="2" t="s">
        <v>15567</v>
      </c>
      <c r="H4593" s="2" t="s">
        <v>17</v>
      </c>
      <c r="K4593" s="4">
        <v>4493</v>
      </c>
      <c r="L4593" s="4">
        <v>32460</v>
      </c>
      <c r="M4593" s="2" t="s">
        <v>66</v>
      </c>
      <c r="N4593" s="2" t="s">
        <v>15568</v>
      </c>
    </row>
    <row r="4594" spans="1:14">
      <c r="A4594" s="2">
        <v>4593</v>
      </c>
      <c r="B4594" s="3" t="s">
        <v>15569</v>
      </c>
      <c r="C4594" s="2" t="s">
        <v>15570</v>
      </c>
      <c r="D4594" s="2">
        <v>38</v>
      </c>
      <c r="E4594" s="2">
        <v>41</v>
      </c>
      <c r="F4594" s="2" t="s">
        <v>15571</v>
      </c>
      <c r="H4594" s="2" t="s">
        <v>17</v>
      </c>
      <c r="K4594" s="4" t="s">
        <v>15572</v>
      </c>
      <c r="L4594" s="4">
        <v>27032</v>
      </c>
      <c r="M4594" s="2" t="s">
        <v>35</v>
      </c>
      <c r="N4594" s="2" t="s">
        <v>372</v>
      </c>
    </row>
    <row r="4595" spans="1:14">
      <c r="A4595" s="2">
        <v>4594</v>
      </c>
      <c r="B4595" s="3" t="s">
        <v>15573</v>
      </c>
      <c r="C4595" s="2" t="s">
        <v>15574</v>
      </c>
      <c r="D4595" s="2">
        <v>41</v>
      </c>
      <c r="E4595" s="2">
        <v>41</v>
      </c>
      <c r="F4595" s="2" t="s">
        <v>15575</v>
      </c>
      <c r="H4595" s="2" t="s">
        <v>17</v>
      </c>
      <c r="K4595" s="4">
        <v>4882</v>
      </c>
      <c r="M4595" s="2" t="s">
        <v>336</v>
      </c>
      <c r="N4595" s="2" t="s">
        <v>1883</v>
      </c>
    </row>
    <row r="4596" spans="1:14">
      <c r="A4596" s="2">
        <v>4595</v>
      </c>
      <c r="B4596" s="3" t="s">
        <v>15576</v>
      </c>
      <c r="C4596" s="2" t="s">
        <v>15577</v>
      </c>
      <c r="D4596" s="2">
        <v>41</v>
      </c>
      <c r="E4596" s="2">
        <v>41</v>
      </c>
      <c r="F4596" s="2" t="s">
        <v>15578</v>
      </c>
      <c r="H4596" s="2" t="s">
        <v>17</v>
      </c>
      <c r="K4596" s="4">
        <v>7398</v>
      </c>
      <c r="L4596" s="4">
        <v>30219</v>
      </c>
      <c r="M4596" s="2" t="s">
        <v>170</v>
      </c>
    </row>
    <row r="4597" spans="1:14">
      <c r="A4597" s="2">
        <v>4596</v>
      </c>
      <c r="B4597" s="3" t="s">
        <v>15579</v>
      </c>
      <c r="C4597" s="2" t="s">
        <v>15580</v>
      </c>
      <c r="D4597" s="2">
        <v>40</v>
      </c>
      <c r="E4597" s="2">
        <v>41</v>
      </c>
      <c r="F4597" s="2" t="s">
        <v>15581</v>
      </c>
      <c r="H4597" s="2" t="s">
        <v>17</v>
      </c>
      <c r="K4597" s="4">
        <v>3658</v>
      </c>
      <c r="L4597" s="4">
        <v>29111</v>
      </c>
      <c r="M4597" s="2" t="s">
        <v>53</v>
      </c>
      <c r="N4597" s="2" t="s">
        <v>9382</v>
      </c>
    </row>
    <row r="4598" spans="1:14">
      <c r="A4598" s="2">
        <v>4597</v>
      </c>
      <c r="B4598" s="3" t="s">
        <v>15582</v>
      </c>
      <c r="C4598" s="2" t="s">
        <v>15583</v>
      </c>
      <c r="D4598" s="2">
        <v>39</v>
      </c>
      <c r="E4598" s="2">
        <v>41</v>
      </c>
      <c r="F4598" s="2" t="s">
        <v>15584</v>
      </c>
      <c r="H4598" s="2" t="s">
        <v>17</v>
      </c>
      <c r="K4598" s="4">
        <v>3766</v>
      </c>
      <c r="L4598" s="4">
        <v>24593</v>
      </c>
      <c r="M4598" s="2" t="s">
        <v>35</v>
      </c>
      <c r="N4598" s="2" t="s">
        <v>672</v>
      </c>
    </row>
    <row r="4599" spans="1:14">
      <c r="A4599" s="2">
        <v>4598</v>
      </c>
      <c r="B4599" s="3" t="s">
        <v>15585</v>
      </c>
      <c r="C4599" s="2" t="s">
        <v>15586</v>
      </c>
      <c r="D4599" s="2">
        <v>39</v>
      </c>
      <c r="E4599" s="2">
        <v>41</v>
      </c>
      <c r="F4599" s="2" t="s">
        <v>15587</v>
      </c>
      <c r="H4599" s="2" t="s">
        <v>17</v>
      </c>
      <c r="K4599" s="4" t="s">
        <v>15588</v>
      </c>
      <c r="L4599" s="4">
        <v>22104</v>
      </c>
      <c r="M4599" s="2" t="s">
        <v>154</v>
      </c>
      <c r="N4599" s="2" t="s">
        <v>208</v>
      </c>
    </row>
    <row r="4600" spans="1:14">
      <c r="A4600" s="2">
        <v>4599</v>
      </c>
      <c r="B4600" s="3" t="s">
        <v>15589</v>
      </c>
      <c r="C4600" s="2" t="s">
        <v>15590</v>
      </c>
      <c r="D4600" s="2">
        <v>39</v>
      </c>
      <c r="E4600" s="2">
        <v>41</v>
      </c>
      <c r="F4600" s="2" t="s">
        <v>15591</v>
      </c>
      <c r="H4600" s="2" t="s">
        <v>17</v>
      </c>
      <c r="K4600" s="4">
        <v>4972</v>
      </c>
      <c r="L4600" s="4">
        <v>26243</v>
      </c>
      <c r="M4600" s="2" t="s">
        <v>66</v>
      </c>
      <c r="N4600" s="2" t="s">
        <v>1201</v>
      </c>
    </row>
    <row r="4601" spans="1:14">
      <c r="A4601" s="2">
        <v>4600</v>
      </c>
      <c r="B4601" s="3" t="s">
        <v>15592</v>
      </c>
      <c r="C4601" s="2" t="s">
        <v>15593</v>
      </c>
      <c r="D4601" s="2">
        <v>41</v>
      </c>
      <c r="E4601" s="2">
        <v>41</v>
      </c>
      <c r="F4601" s="2" t="s">
        <v>15594</v>
      </c>
      <c r="H4601" s="2" t="s">
        <v>17</v>
      </c>
      <c r="K4601" s="4">
        <v>5952</v>
      </c>
      <c r="L4601" s="4">
        <v>33190</v>
      </c>
      <c r="M4601" s="2" t="s">
        <v>423</v>
      </c>
      <c r="N4601" s="2" t="s">
        <v>3005</v>
      </c>
    </row>
    <row r="4602" spans="1:14">
      <c r="A4602" s="2">
        <v>4601</v>
      </c>
      <c r="B4602" s="3" t="s">
        <v>15595</v>
      </c>
      <c r="C4602" s="2" t="s">
        <v>15596</v>
      </c>
      <c r="D4602" s="2">
        <v>41</v>
      </c>
      <c r="E4602" s="2">
        <v>41</v>
      </c>
      <c r="F4602" s="2" t="s">
        <v>15597</v>
      </c>
      <c r="H4602" s="2" t="s">
        <v>17</v>
      </c>
      <c r="K4602" s="4">
        <v>9654</v>
      </c>
      <c r="L4602" s="4">
        <v>36445</v>
      </c>
      <c r="M4602" s="2" t="s">
        <v>66</v>
      </c>
      <c r="N4602" s="2" t="s">
        <v>71</v>
      </c>
    </row>
    <row r="4603" spans="1:14">
      <c r="A4603" s="2">
        <v>4602</v>
      </c>
      <c r="B4603" s="3" t="s">
        <v>15598</v>
      </c>
      <c r="C4603" s="2" t="s">
        <v>15599</v>
      </c>
      <c r="D4603" s="2">
        <v>37</v>
      </c>
      <c r="E4603" s="2">
        <v>40</v>
      </c>
      <c r="F4603" s="2" t="s">
        <v>15600</v>
      </c>
      <c r="H4603" s="2" t="s">
        <v>17</v>
      </c>
      <c r="K4603" s="4">
        <v>1057</v>
      </c>
      <c r="L4603" s="4">
        <v>34784</v>
      </c>
      <c r="M4603" s="2" t="s">
        <v>164</v>
      </c>
      <c r="N4603" s="2" t="s">
        <v>165</v>
      </c>
    </row>
    <row r="4604" spans="1:14">
      <c r="A4604" s="2">
        <v>4603</v>
      </c>
      <c r="B4604" s="3" t="s">
        <v>15601</v>
      </c>
      <c r="C4604" s="2" t="s">
        <v>15602</v>
      </c>
      <c r="D4604" s="2">
        <v>38</v>
      </c>
      <c r="E4604" s="2">
        <v>40</v>
      </c>
      <c r="F4604" s="2" t="s">
        <v>15603</v>
      </c>
      <c r="H4604" s="2" t="s">
        <v>17</v>
      </c>
      <c r="K4604" s="4">
        <v>3671</v>
      </c>
      <c r="L4604" s="4">
        <v>31091</v>
      </c>
      <c r="M4604" s="2" t="s">
        <v>423</v>
      </c>
      <c r="N4604" s="2" t="s">
        <v>3005</v>
      </c>
    </row>
    <row r="4605" spans="1:14">
      <c r="A4605" s="2">
        <v>4604</v>
      </c>
      <c r="B4605" s="3" t="s">
        <v>15604</v>
      </c>
      <c r="C4605" s="2" t="s">
        <v>15605</v>
      </c>
      <c r="D4605" s="2">
        <v>38</v>
      </c>
      <c r="E4605" s="2">
        <v>40</v>
      </c>
      <c r="F4605" s="2" t="s">
        <v>15606</v>
      </c>
      <c r="H4605" s="2" t="s">
        <v>17</v>
      </c>
      <c r="K4605" s="4">
        <v>2158</v>
      </c>
      <c r="L4605" s="4">
        <v>33113</v>
      </c>
      <c r="M4605" s="2" t="s">
        <v>35</v>
      </c>
      <c r="N4605" s="2" t="s">
        <v>58</v>
      </c>
    </row>
    <row r="4606" spans="1:14">
      <c r="A4606" s="2">
        <v>4605</v>
      </c>
      <c r="B4606" s="3" t="s">
        <v>15607</v>
      </c>
      <c r="C4606" s="2" t="s">
        <v>15608</v>
      </c>
      <c r="D4606" s="2">
        <v>40</v>
      </c>
      <c r="E4606" s="2">
        <v>40</v>
      </c>
      <c r="F4606" s="2" t="s">
        <v>15609</v>
      </c>
      <c r="H4606" s="2" t="s">
        <v>17</v>
      </c>
      <c r="K4606" s="4">
        <v>9047</v>
      </c>
      <c r="L4606" s="4">
        <v>22091</v>
      </c>
      <c r="M4606" s="2" t="s">
        <v>91</v>
      </c>
      <c r="N4606" s="2" t="s">
        <v>368</v>
      </c>
    </row>
    <row r="4607" spans="1:14">
      <c r="A4607" s="2">
        <v>4606</v>
      </c>
      <c r="B4607" s="3" t="s">
        <v>15610</v>
      </c>
      <c r="C4607" s="2" t="s">
        <v>15611</v>
      </c>
      <c r="D4607" s="2">
        <v>40</v>
      </c>
      <c r="E4607" s="2">
        <v>40</v>
      </c>
      <c r="F4607" s="2" t="s">
        <v>15612</v>
      </c>
      <c r="H4607" s="2" t="s">
        <v>17</v>
      </c>
      <c r="K4607" s="4">
        <v>6126</v>
      </c>
      <c r="L4607" s="4">
        <v>21856</v>
      </c>
      <c r="M4607" s="2" t="s">
        <v>47</v>
      </c>
      <c r="N4607" s="2" t="s">
        <v>582</v>
      </c>
    </row>
    <row r="4608" spans="1:14">
      <c r="A4608" s="2">
        <v>4607</v>
      </c>
      <c r="B4608" s="3" t="s">
        <v>15613</v>
      </c>
      <c r="C4608" s="2" t="s">
        <v>15614</v>
      </c>
      <c r="D4608" s="2">
        <v>40</v>
      </c>
      <c r="E4608" s="2">
        <v>40</v>
      </c>
      <c r="F4608" s="2" t="s">
        <v>15615</v>
      </c>
      <c r="H4608" s="2" t="s">
        <v>17</v>
      </c>
      <c r="K4608" s="4">
        <v>4636</v>
      </c>
      <c r="L4608" s="4">
        <v>36124</v>
      </c>
      <c r="M4608" s="2" t="s">
        <v>170</v>
      </c>
      <c r="N4608" s="2" t="s">
        <v>171</v>
      </c>
    </row>
    <row r="4609" spans="1:14">
      <c r="A4609" s="2">
        <v>4608</v>
      </c>
      <c r="B4609" s="3" t="s">
        <v>15616</v>
      </c>
      <c r="C4609" s="2" t="s">
        <v>15617</v>
      </c>
      <c r="D4609" s="2">
        <v>40</v>
      </c>
      <c r="E4609" s="2">
        <v>40</v>
      </c>
      <c r="F4609" s="2" t="s">
        <v>15618</v>
      </c>
      <c r="H4609" s="2" t="s">
        <v>17</v>
      </c>
      <c r="K4609" s="4">
        <v>6301</v>
      </c>
      <c r="L4609" s="4">
        <v>40177</v>
      </c>
      <c r="M4609" s="2" t="s">
        <v>47</v>
      </c>
      <c r="N4609" s="2" t="s">
        <v>3707</v>
      </c>
    </row>
    <row r="4610" spans="1:14">
      <c r="A4610" s="2">
        <v>4609</v>
      </c>
      <c r="B4610" s="3" t="s">
        <v>15619</v>
      </c>
      <c r="C4610" s="2" t="s">
        <v>15620</v>
      </c>
      <c r="D4610" s="2">
        <v>37</v>
      </c>
      <c r="E4610" s="2">
        <v>40</v>
      </c>
      <c r="F4610" s="2" t="s">
        <v>15621</v>
      </c>
      <c r="H4610" s="2" t="s">
        <v>17</v>
      </c>
      <c r="K4610" s="4" t="s">
        <v>15622</v>
      </c>
      <c r="L4610" s="4">
        <v>32803</v>
      </c>
      <c r="M4610" s="2" t="s">
        <v>40</v>
      </c>
      <c r="N4610" s="2" t="s">
        <v>41</v>
      </c>
    </row>
    <row r="4611" spans="1:14">
      <c r="A4611" s="2">
        <v>4610</v>
      </c>
      <c r="B4611" s="3" t="s">
        <v>15623</v>
      </c>
      <c r="C4611" s="2" t="s">
        <v>15624</v>
      </c>
      <c r="D4611" s="2">
        <v>40</v>
      </c>
      <c r="E4611" s="2">
        <v>40</v>
      </c>
      <c r="F4611" s="2" t="s">
        <v>15625</v>
      </c>
      <c r="H4611" s="2" t="s">
        <v>17</v>
      </c>
      <c r="K4611" s="4">
        <v>5484</v>
      </c>
      <c r="L4611" s="4">
        <v>31273</v>
      </c>
      <c r="M4611" s="2" t="s">
        <v>198</v>
      </c>
      <c r="N4611" s="2" t="s">
        <v>199</v>
      </c>
    </row>
    <row r="4612" spans="1:14">
      <c r="A4612" s="2">
        <v>4611</v>
      </c>
      <c r="B4612" s="3" t="s">
        <v>15626</v>
      </c>
      <c r="C4612" s="2" t="s">
        <v>15627</v>
      </c>
      <c r="D4612" s="2">
        <v>39</v>
      </c>
      <c r="E4612" s="2">
        <v>40</v>
      </c>
      <c r="F4612" s="2" t="s">
        <v>15628</v>
      </c>
      <c r="H4612" s="2" t="s">
        <v>17</v>
      </c>
      <c r="K4612" s="4">
        <v>1981</v>
      </c>
      <c r="L4612" s="4">
        <v>34516</v>
      </c>
      <c r="M4612" s="2" t="s">
        <v>85</v>
      </c>
      <c r="N4612" s="2" t="s">
        <v>15629</v>
      </c>
    </row>
    <row r="4613" spans="1:14">
      <c r="A4613" s="2">
        <v>4612</v>
      </c>
      <c r="B4613" s="3" t="s">
        <v>15630</v>
      </c>
      <c r="C4613" s="2" t="s">
        <v>15631</v>
      </c>
      <c r="D4613" s="2">
        <v>38</v>
      </c>
      <c r="E4613" s="2">
        <v>40</v>
      </c>
      <c r="F4613" s="2" t="s">
        <v>15632</v>
      </c>
      <c r="H4613" s="2" t="s">
        <v>17</v>
      </c>
      <c r="K4613" s="4">
        <v>894</v>
      </c>
      <c r="L4613" s="4">
        <v>34244</v>
      </c>
      <c r="M4613" s="2" t="s">
        <v>30</v>
      </c>
      <c r="N4613" s="2" t="s">
        <v>4896</v>
      </c>
    </row>
    <row r="4614" spans="1:14">
      <c r="A4614" s="2">
        <v>4613</v>
      </c>
      <c r="B4614" s="3" t="s">
        <v>15633</v>
      </c>
      <c r="C4614" s="2" t="s">
        <v>15634</v>
      </c>
      <c r="D4614" s="2">
        <v>40</v>
      </c>
      <c r="E4614" s="2">
        <v>40</v>
      </c>
      <c r="F4614" s="2" t="s">
        <v>15635</v>
      </c>
      <c r="H4614" s="2" t="s">
        <v>17</v>
      </c>
      <c r="K4614" s="4">
        <v>1990</v>
      </c>
      <c r="L4614" s="4">
        <v>30772</v>
      </c>
      <c r="M4614" s="2" t="s">
        <v>198</v>
      </c>
      <c r="N4614" s="2" t="s">
        <v>199</v>
      </c>
    </row>
    <row r="4615" spans="1:14">
      <c r="A4615" s="2">
        <v>4614</v>
      </c>
      <c r="B4615" s="3" t="s">
        <v>15636</v>
      </c>
      <c r="C4615" s="2" t="s">
        <v>15637</v>
      </c>
      <c r="D4615" s="2">
        <v>40</v>
      </c>
      <c r="E4615" s="2">
        <v>40</v>
      </c>
      <c r="F4615" s="2" t="s">
        <v>15638</v>
      </c>
      <c r="H4615" s="2" t="s">
        <v>17</v>
      </c>
      <c r="K4615" s="4" t="s">
        <v>15639</v>
      </c>
      <c r="L4615" s="4">
        <v>28065</v>
      </c>
      <c r="M4615" s="2" t="s">
        <v>76</v>
      </c>
    </row>
    <row r="4616" spans="1:14">
      <c r="A4616" s="2">
        <v>4615</v>
      </c>
      <c r="B4616" s="3" t="s">
        <v>15640</v>
      </c>
      <c r="C4616" s="2" t="s">
        <v>15641</v>
      </c>
      <c r="D4616" s="2">
        <v>40</v>
      </c>
      <c r="E4616" s="2">
        <v>40</v>
      </c>
      <c r="F4616" s="2" t="s">
        <v>15642</v>
      </c>
      <c r="H4616" s="2" t="s">
        <v>17</v>
      </c>
      <c r="K4616" s="4">
        <v>267</v>
      </c>
      <c r="L4616" s="4">
        <v>30359</v>
      </c>
      <c r="M4616" s="2" t="s">
        <v>170</v>
      </c>
      <c r="N4616" s="2" t="s">
        <v>15643</v>
      </c>
    </row>
    <row r="4617" spans="1:14">
      <c r="A4617" s="2">
        <v>4616</v>
      </c>
      <c r="B4617" s="3" t="s">
        <v>15644</v>
      </c>
      <c r="C4617" s="2" t="s">
        <v>15645</v>
      </c>
      <c r="D4617" s="2">
        <v>40</v>
      </c>
      <c r="E4617" s="2">
        <v>40</v>
      </c>
      <c r="F4617" s="2" t="s">
        <v>15646</v>
      </c>
      <c r="H4617" s="2" t="s">
        <v>17</v>
      </c>
      <c r="K4617" s="4">
        <v>4839</v>
      </c>
      <c r="L4617" s="4">
        <v>28879</v>
      </c>
      <c r="M4617" s="2" t="s">
        <v>146</v>
      </c>
      <c r="N4617" s="2" t="s">
        <v>147</v>
      </c>
    </row>
    <row r="4618" spans="1:14">
      <c r="A4618" s="2">
        <v>4617</v>
      </c>
      <c r="B4618" s="3" t="s">
        <v>15647</v>
      </c>
      <c r="C4618" s="2" t="s">
        <v>15648</v>
      </c>
      <c r="D4618" s="2">
        <v>39</v>
      </c>
      <c r="E4618" s="2">
        <v>40</v>
      </c>
      <c r="F4618" s="2" t="s">
        <v>15649</v>
      </c>
      <c r="H4618" s="2" t="s">
        <v>17</v>
      </c>
      <c r="K4618" s="4">
        <v>6469</v>
      </c>
      <c r="L4618" s="4">
        <v>36531</v>
      </c>
      <c r="M4618" s="2" t="s">
        <v>47</v>
      </c>
      <c r="N4618" s="2" t="s">
        <v>48</v>
      </c>
    </row>
    <row r="4619" spans="1:14">
      <c r="A4619" s="2">
        <v>4618</v>
      </c>
      <c r="B4619" s="3" t="s">
        <v>15650</v>
      </c>
      <c r="C4619" s="2" t="s">
        <v>15651</v>
      </c>
      <c r="D4619" s="2">
        <v>39</v>
      </c>
      <c r="E4619" s="2">
        <v>40</v>
      </c>
      <c r="F4619" s="2" t="s">
        <v>15652</v>
      </c>
      <c r="H4619" s="2" t="s">
        <v>17</v>
      </c>
      <c r="K4619" s="4" t="s">
        <v>15653</v>
      </c>
      <c r="M4619" s="2" t="s">
        <v>18</v>
      </c>
      <c r="N4619" s="2" t="s">
        <v>19</v>
      </c>
    </row>
    <row r="4620" spans="1:14">
      <c r="A4620" s="2">
        <v>4619</v>
      </c>
      <c r="B4620" s="3" t="s">
        <v>15654</v>
      </c>
      <c r="C4620" s="2" t="s">
        <v>15655</v>
      </c>
      <c r="D4620" s="2">
        <v>39</v>
      </c>
      <c r="E4620" s="2">
        <v>40</v>
      </c>
      <c r="F4620" s="2" t="s">
        <v>15656</v>
      </c>
      <c r="H4620" s="2" t="s">
        <v>17</v>
      </c>
      <c r="K4620" s="4">
        <v>6239</v>
      </c>
      <c r="L4620" s="4">
        <v>29637</v>
      </c>
      <c r="M4620" s="2" t="s">
        <v>40</v>
      </c>
      <c r="N4620" s="2" t="s">
        <v>41</v>
      </c>
    </row>
    <row r="4621" spans="1:14">
      <c r="A4621" s="2">
        <v>4620</v>
      </c>
      <c r="B4621" s="3" t="s">
        <v>15657</v>
      </c>
      <c r="C4621" s="2" t="s">
        <v>15658</v>
      </c>
      <c r="D4621" s="2">
        <v>39</v>
      </c>
      <c r="E4621" s="2">
        <v>40</v>
      </c>
      <c r="F4621" s="2" t="s">
        <v>15659</v>
      </c>
      <c r="H4621" s="2" t="s">
        <v>17</v>
      </c>
      <c r="K4621" s="4">
        <v>3348</v>
      </c>
      <c r="L4621" s="4">
        <v>26456</v>
      </c>
      <c r="M4621" s="2" t="s">
        <v>40</v>
      </c>
      <c r="N4621" s="2" t="s">
        <v>1017</v>
      </c>
    </row>
    <row r="4622" spans="1:14">
      <c r="A4622" s="2">
        <v>4621</v>
      </c>
      <c r="B4622" s="3" t="s">
        <v>15660</v>
      </c>
      <c r="C4622" s="2" t="s">
        <v>15661</v>
      </c>
      <c r="D4622" s="2">
        <v>40</v>
      </c>
      <c r="E4622" s="2">
        <v>40</v>
      </c>
      <c r="F4622" s="2" t="s">
        <v>15662</v>
      </c>
      <c r="H4622" s="2" t="s">
        <v>17</v>
      </c>
      <c r="K4622" s="4" t="s">
        <v>15663</v>
      </c>
      <c r="L4622" s="4">
        <v>25552</v>
      </c>
      <c r="M4622" s="2" t="s">
        <v>66</v>
      </c>
      <c r="N4622" s="2" t="s">
        <v>6179</v>
      </c>
    </row>
    <row r="4623" spans="1:14">
      <c r="A4623" s="2">
        <v>4622</v>
      </c>
      <c r="B4623" s="3" t="s">
        <v>15664</v>
      </c>
      <c r="C4623" s="2" t="s">
        <v>15665</v>
      </c>
      <c r="D4623" s="2">
        <v>40</v>
      </c>
      <c r="E4623" s="2">
        <v>40</v>
      </c>
      <c r="F4623" s="2" t="s">
        <v>15666</v>
      </c>
      <c r="H4623" s="2" t="s">
        <v>17</v>
      </c>
      <c r="K4623" s="4">
        <v>7227</v>
      </c>
      <c r="M4623" s="2" t="s">
        <v>47</v>
      </c>
      <c r="N4623" s="2" t="s">
        <v>582</v>
      </c>
    </row>
    <row r="4624" spans="1:14">
      <c r="A4624" s="2">
        <v>4623</v>
      </c>
      <c r="B4624" s="3" t="s">
        <v>15667</v>
      </c>
      <c r="C4624" s="2" t="s">
        <v>15668</v>
      </c>
      <c r="D4624" s="2">
        <v>38</v>
      </c>
      <c r="E4624" s="2">
        <v>40</v>
      </c>
      <c r="F4624" s="2" t="s">
        <v>15669</v>
      </c>
      <c r="H4624" s="2" t="s">
        <v>17</v>
      </c>
      <c r="K4624" s="4" t="s">
        <v>15670</v>
      </c>
      <c r="L4624" s="4">
        <v>24201</v>
      </c>
      <c r="M4624" s="2" t="s">
        <v>198</v>
      </c>
      <c r="N4624" s="2" t="s">
        <v>524</v>
      </c>
    </row>
    <row r="4625" spans="1:14">
      <c r="A4625" s="2">
        <v>4624</v>
      </c>
      <c r="B4625" s="3" t="s">
        <v>15671</v>
      </c>
      <c r="C4625" s="2" t="s">
        <v>15672</v>
      </c>
      <c r="D4625" s="2">
        <v>40</v>
      </c>
      <c r="E4625" s="2">
        <v>40</v>
      </c>
      <c r="F4625" s="2" t="s">
        <v>15673</v>
      </c>
      <c r="H4625" s="2" t="s">
        <v>17</v>
      </c>
      <c r="K4625" s="4">
        <v>3349</v>
      </c>
      <c r="M4625" s="2" t="s">
        <v>170</v>
      </c>
      <c r="N4625" s="2" t="s">
        <v>2157</v>
      </c>
    </row>
    <row r="4626" spans="1:14">
      <c r="A4626" s="2">
        <v>4625</v>
      </c>
      <c r="B4626" s="3" t="s">
        <v>15674</v>
      </c>
      <c r="C4626" s="2" t="s">
        <v>15675</v>
      </c>
      <c r="D4626" s="2">
        <v>39</v>
      </c>
      <c r="E4626" s="2">
        <v>40</v>
      </c>
      <c r="F4626" s="2" t="s">
        <v>15676</v>
      </c>
      <c r="H4626" s="2" t="s">
        <v>17</v>
      </c>
      <c r="K4626" s="4" t="s">
        <v>15677</v>
      </c>
      <c r="L4626" s="4">
        <v>20613</v>
      </c>
      <c r="M4626" s="2" t="s">
        <v>170</v>
      </c>
    </row>
    <row r="4627" spans="1:14">
      <c r="A4627" s="2">
        <v>4626</v>
      </c>
      <c r="B4627" s="3" t="s">
        <v>15678</v>
      </c>
      <c r="C4627" s="2" t="s">
        <v>15679</v>
      </c>
      <c r="D4627" s="2">
        <v>38</v>
      </c>
      <c r="E4627" s="2">
        <v>40</v>
      </c>
      <c r="F4627" s="2" t="s">
        <v>15680</v>
      </c>
      <c r="H4627" s="2" t="s">
        <v>17</v>
      </c>
      <c r="K4627" s="4">
        <v>2269</v>
      </c>
      <c r="L4627" s="4">
        <v>35044</v>
      </c>
      <c r="M4627" s="2" t="s">
        <v>66</v>
      </c>
      <c r="N4627" s="2" t="s">
        <v>6644</v>
      </c>
    </row>
    <row r="4628" spans="1:14">
      <c r="A4628" s="2">
        <v>4627</v>
      </c>
      <c r="B4628" s="3" t="s">
        <v>15681</v>
      </c>
      <c r="C4628" s="2" t="s">
        <v>15682</v>
      </c>
      <c r="D4628" s="2">
        <v>40</v>
      </c>
      <c r="E4628" s="2">
        <v>40</v>
      </c>
      <c r="F4628" s="2" t="s">
        <v>15683</v>
      </c>
      <c r="H4628" s="2" t="s">
        <v>17</v>
      </c>
      <c r="K4628" s="4">
        <v>795</v>
      </c>
      <c r="M4628" s="2" t="s">
        <v>154</v>
      </c>
      <c r="N4628" s="2" t="s">
        <v>15684</v>
      </c>
    </row>
    <row r="4629" spans="1:14">
      <c r="A4629" s="2">
        <v>4628</v>
      </c>
      <c r="B4629" s="3" t="s">
        <v>15685</v>
      </c>
      <c r="C4629" s="2" t="s">
        <v>10095</v>
      </c>
      <c r="D4629" s="2">
        <v>40</v>
      </c>
      <c r="E4629" s="2">
        <v>40</v>
      </c>
      <c r="F4629" s="2" t="s">
        <v>15686</v>
      </c>
      <c r="H4629" s="2" t="s">
        <v>17</v>
      </c>
      <c r="K4629" s="4">
        <v>5230</v>
      </c>
      <c r="L4629" s="4">
        <v>28029</v>
      </c>
      <c r="M4629" s="2" t="s">
        <v>336</v>
      </c>
      <c r="N4629" s="2" t="s">
        <v>15687</v>
      </c>
    </row>
    <row r="4630" spans="1:14">
      <c r="A4630" s="2">
        <v>4629</v>
      </c>
      <c r="B4630" s="3" t="s">
        <v>15688</v>
      </c>
      <c r="C4630" s="2" t="s">
        <v>15689</v>
      </c>
      <c r="D4630" s="2">
        <v>40</v>
      </c>
      <c r="E4630" s="2">
        <v>40</v>
      </c>
      <c r="F4630" s="2" t="s">
        <v>15690</v>
      </c>
      <c r="H4630" s="2" t="s">
        <v>17</v>
      </c>
      <c r="K4630" s="4" t="s">
        <v>15691</v>
      </c>
      <c r="M4630" s="2" t="s">
        <v>170</v>
      </c>
      <c r="N4630" s="2" t="s">
        <v>323</v>
      </c>
    </row>
    <row r="4631" spans="1:14">
      <c r="A4631" s="2">
        <v>4630</v>
      </c>
      <c r="B4631" s="3" t="s">
        <v>15692</v>
      </c>
      <c r="C4631" s="2" t="s">
        <v>15693</v>
      </c>
      <c r="D4631" s="2">
        <v>40</v>
      </c>
      <c r="E4631" s="2">
        <v>40</v>
      </c>
      <c r="F4631" s="2" t="s">
        <v>15694</v>
      </c>
      <c r="H4631" s="2" t="s">
        <v>17</v>
      </c>
      <c r="K4631" s="4">
        <v>1394</v>
      </c>
      <c r="L4631" s="4">
        <v>26737</v>
      </c>
      <c r="M4631" s="2" t="s">
        <v>66</v>
      </c>
      <c r="N4631" s="2" t="s">
        <v>5103</v>
      </c>
    </row>
    <row r="4632" spans="1:14">
      <c r="A4632" s="2">
        <v>4631</v>
      </c>
      <c r="B4632" s="3" t="s">
        <v>15695</v>
      </c>
      <c r="C4632" s="2" t="s">
        <v>15696</v>
      </c>
      <c r="D4632" s="2">
        <v>40</v>
      </c>
      <c r="E4632" s="2">
        <v>40</v>
      </c>
      <c r="F4632" s="2" t="s">
        <v>15697</v>
      </c>
      <c r="H4632" s="2" t="s">
        <v>17</v>
      </c>
      <c r="K4632" s="4">
        <v>8674</v>
      </c>
      <c r="L4632" s="4">
        <v>28338</v>
      </c>
      <c r="M4632" s="2" t="s">
        <v>170</v>
      </c>
      <c r="N4632" s="2" t="s">
        <v>323</v>
      </c>
    </row>
    <row r="4633" spans="1:14">
      <c r="A4633" s="2">
        <v>4632</v>
      </c>
      <c r="B4633" s="3" t="s">
        <v>15698</v>
      </c>
      <c r="C4633" s="2" t="s">
        <v>15699</v>
      </c>
      <c r="D4633" s="2">
        <v>40</v>
      </c>
      <c r="E4633" s="2">
        <v>40</v>
      </c>
      <c r="F4633" s="2" t="s">
        <v>15700</v>
      </c>
      <c r="H4633" s="2" t="s">
        <v>17</v>
      </c>
      <c r="K4633" s="4" t="s">
        <v>15701</v>
      </c>
      <c r="L4633" s="4">
        <v>25836</v>
      </c>
      <c r="M4633" s="2" t="s">
        <v>47</v>
      </c>
      <c r="N4633" s="2" t="s">
        <v>48</v>
      </c>
    </row>
    <row r="4634" spans="1:14">
      <c r="A4634" s="2">
        <v>4633</v>
      </c>
      <c r="B4634" s="3" t="s">
        <v>15702</v>
      </c>
      <c r="C4634" s="2" t="s">
        <v>9126</v>
      </c>
      <c r="D4634" s="2">
        <v>39</v>
      </c>
      <c r="E4634" s="2">
        <v>40</v>
      </c>
      <c r="F4634" s="2" t="s">
        <v>15703</v>
      </c>
      <c r="H4634" s="2" t="s">
        <v>17</v>
      </c>
      <c r="K4634" s="4">
        <v>2599</v>
      </c>
      <c r="L4634" s="4">
        <v>21479</v>
      </c>
    </row>
    <row r="4635" spans="1:14">
      <c r="A4635" s="2">
        <v>4634</v>
      </c>
      <c r="B4635" s="3" t="s">
        <v>15704</v>
      </c>
      <c r="C4635" s="2" t="s">
        <v>15705</v>
      </c>
      <c r="D4635" s="2">
        <v>38</v>
      </c>
      <c r="E4635" s="2">
        <v>40</v>
      </c>
      <c r="F4635" s="2" t="s">
        <v>15706</v>
      </c>
      <c r="H4635" s="2" t="s">
        <v>17</v>
      </c>
      <c r="K4635" s="4">
        <v>1485</v>
      </c>
      <c r="L4635" s="4">
        <v>25143</v>
      </c>
      <c r="M4635" s="2" t="s">
        <v>170</v>
      </c>
      <c r="N4635" s="2" t="s">
        <v>15707</v>
      </c>
    </row>
    <row r="4636" spans="1:14">
      <c r="A4636" s="2">
        <v>4635</v>
      </c>
      <c r="B4636" s="3" t="s">
        <v>15708</v>
      </c>
      <c r="C4636" s="2" t="s">
        <v>15709</v>
      </c>
      <c r="D4636" s="2">
        <v>40</v>
      </c>
      <c r="E4636" s="2">
        <v>40</v>
      </c>
      <c r="F4636" s="2" t="s">
        <v>15710</v>
      </c>
      <c r="H4636" s="2" t="s">
        <v>17</v>
      </c>
      <c r="K4636" s="4">
        <v>3357</v>
      </c>
      <c r="L4636" s="4">
        <v>29805</v>
      </c>
      <c r="M4636" s="2" t="s">
        <v>47</v>
      </c>
      <c r="N4636" s="2" t="s">
        <v>48</v>
      </c>
    </row>
    <row r="4637" spans="1:14">
      <c r="A4637" s="2">
        <v>4636</v>
      </c>
      <c r="B4637" s="3" t="s">
        <v>15711</v>
      </c>
      <c r="C4637" s="2" t="s">
        <v>15712</v>
      </c>
      <c r="D4637" s="2">
        <v>40</v>
      </c>
      <c r="E4637" s="2">
        <v>40</v>
      </c>
      <c r="F4637" s="2" t="s">
        <v>15713</v>
      </c>
      <c r="H4637" s="2" t="s">
        <v>17</v>
      </c>
      <c r="K4637" s="4" t="s">
        <v>15714</v>
      </c>
      <c r="L4637" s="4">
        <v>27145</v>
      </c>
      <c r="M4637" s="2" t="s">
        <v>185</v>
      </c>
      <c r="N4637" s="2" t="s">
        <v>14459</v>
      </c>
    </row>
    <row r="4638" spans="1:14">
      <c r="A4638" s="2">
        <v>4637</v>
      </c>
      <c r="B4638" s="3" t="s">
        <v>15715</v>
      </c>
      <c r="C4638" s="2" t="s">
        <v>13516</v>
      </c>
      <c r="D4638" s="2">
        <v>37</v>
      </c>
      <c r="E4638" s="2">
        <v>40</v>
      </c>
      <c r="F4638" s="2" t="s">
        <v>15716</v>
      </c>
      <c r="H4638" s="2" t="s">
        <v>17</v>
      </c>
      <c r="K4638" s="4" t="s">
        <v>15717</v>
      </c>
      <c r="L4638" s="4">
        <v>20930</v>
      </c>
      <c r="M4638" s="2" t="s">
        <v>30</v>
      </c>
      <c r="N4638" s="2" t="s">
        <v>31</v>
      </c>
    </row>
    <row r="4639" spans="1:14">
      <c r="A4639" s="2">
        <v>4638</v>
      </c>
      <c r="B4639" s="3" t="s">
        <v>15718</v>
      </c>
      <c r="C4639" s="2" t="s">
        <v>14331</v>
      </c>
      <c r="D4639" s="2">
        <v>40</v>
      </c>
      <c r="E4639" s="2">
        <v>40</v>
      </c>
      <c r="F4639" s="2" t="s">
        <v>15719</v>
      </c>
      <c r="H4639" s="2" t="s">
        <v>17</v>
      </c>
      <c r="K4639" s="4">
        <v>1391</v>
      </c>
      <c r="M4639" s="2" t="s">
        <v>140</v>
      </c>
      <c r="N4639" s="2" t="s">
        <v>15720</v>
      </c>
    </row>
    <row r="4640" spans="1:14">
      <c r="A4640" s="2">
        <v>4639</v>
      </c>
      <c r="B4640" s="3" t="s">
        <v>15721</v>
      </c>
      <c r="C4640" s="2" t="s">
        <v>15722</v>
      </c>
      <c r="D4640" s="2">
        <v>39</v>
      </c>
      <c r="E4640" s="2">
        <v>40</v>
      </c>
      <c r="F4640" s="2" t="s">
        <v>15723</v>
      </c>
      <c r="H4640" s="2" t="s">
        <v>17</v>
      </c>
      <c r="K4640" s="4">
        <v>2535</v>
      </c>
      <c r="L4640" s="4">
        <v>26225</v>
      </c>
      <c r="M4640" s="2" t="s">
        <v>47</v>
      </c>
      <c r="N4640" s="2" t="s">
        <v>15724</v>
      </c>
    </row>
    <row r="4641" spans="1:14">
      <c r="A4641" s="2">
        <v>4640</v>
      </c>
      <c r="B4641" s="3" t="s">
        <v>15725</v>
      </c>
      <c r="C4641" s="2" t="s">
        <v>15726</v>
      </c>
      <c r="D4641" s="2">
        <v>40</v>
      </c>
      <c r="E4641" s="2">
        <v>40</v>
      </c>
      <c r="F4641" s="2" t="s">
        <v>15727</v>
      </c>
      <c r="H4641" s="2" t="s">
        <v>17</v>
      </c>
      <c r="K4641" s="4">
        <v>7103</v>
      </c>
      <c r="L4641" s="4">
        <v>30228</v>
      </c>
      <c r="M4641" s="2" t="s">
        <v>154</v>
      </c>
      <c r="N4641" s="2" t="s">
        <v>208</v>
      </c>
    </row>
    <row r="4642" spans="1:14">
      <c r="A4642" s="2">
        <v>4641</v>
      </c>
      <c r="B4642" s="3" t="s">
        <v>15728</v>
      </c>
      <c r="C4642" s="2" t="s">
        <v>15729</v>
      </c>
      <c r="D4642" s="2">
        <v>40</v>
      </c>
      <c r="E4642" s="2">
        <v>40</v>
      </c>
      <c r="F4642" s="2" t="s">
        <v>15730</v>
      </c>
      <c r="H4642" s="2" t="s">
        <v>17</v>
      </c>
      <c r="K4642" s="4">
        <v>3772</v>
      </c>
      <c r="L4642" s="4">
        <v>31293</v>
      </c>
      <c r="M4642" s="2" t="s">
        <v>170</v>
      </c>
      <c r="N4642" s="2" t="s">
        <v>15707</v>
      </c>
    </row>
    <row r="4643" spans="1:14">
      <c r="A4643" s="2">
        <v>4642</v>
      </c>
      <c r="B4643" s="3" t="s">
        <v>15731</v>
      </c>
      <c r="C4643" s="2" t="s">
        <v>15732</v>
      </c>
      <c r="D4643" s="2">
        <v>40</v>
      </c>
      <c r="E4643" s="2">
        <v>40</v>
      </c>
      <c r="F4643" s="2" t="s">
        <v>15733</v>
      </c>
      <c r="H4643" s="2" t="s">
        <v>17</v>
      </c>
      <c r="K4643" s="4" t="s">
        <v>15734</v>
      </c>
      <c r="L4643" s="4">
        <v>28960</v>
      </c>
      <c r="M4643" s="2" t="s">
        <v>140</v>
      </c>
      <c r="N4643" s="2" t="s">
        <v>294</v>
      </c>
    </row>
    <row r="4644" spans="1:14">
      <c r="A4644" s="2">
        <v>4643</v>
      </c>
      <c r="B4644" s="3" t="s">
        <v>15735</v>
      </c>
      <c r="C4644" s="2" t="s">
        <v>15736</v>
      </c>
      <c r="D4644" s="2">
        <v>36</v>
      </c>
      <c r="E4644" s="2">
        <v>40</v>
      </c>
      <c r="F4644" s="2" t="s">
        <v>15737</v>
      </c>
      <c r="H4644" s="2" t="s">
        <v>17</v>
      </c>
      <c r="K4644" s="4" t="s">
        <v>15738</v>
      </c>
      <c r="L4644" s="4">
        <v>22391</v>
      </c>
      <c r="M4644" s="2" t="s">
        <v>35</v>
      </c>
      <c r="N4644" s="2" t="s">
        <v>7237</v>
      </c>
    </row>
    <row r="4645" spans="1:14">
      <c r="A4645" s="2">
        <v>4644</v>
      </c>
      <c r="B4645" s="3" t="s">
        <v>15739</v>
      </c>
      <c r="C4645" s="2" t="s">
        <v>15740</v>
      </c>
      <c r="D4645" s="2">
        <v>38</v>
      </c>
      <c r="E4645" s="2">
        <v>40</v>
      </c>
      <c r="F4645" s="2" t="s">
        <v>15741</v>
      </c>
      <c r="H4645" s="2" t="s">
        <v>17</v>
      </c>
      <c r="K4645" s="4">
        <v>5024</v>
      </c>
      <c r="L4645" s="4">
        <v>21206</v>
      </c>
      <c r="M4645" s="2" t="s">
        <v>164</v>
      </c>
      <c r="N4645" s="2" t="s">
        <v>3914</v>
      </c>
    </row>
    <row r="4646" spans="1:14">
      <c r="A4646" s="2">
        <v>4645</v>
      </c>
      <c r="B4646" s="3" t="s">
        <v>15742</v>
      </c>
      <c r="C4646" s="2" t="s">
        <v>15743</v>
      </c>
      <c r="D4646" s="2">
        <v>40</v>
      </c>
      <c r="E4646" s="2">
        <v>40</v>
      </c>
      <c r="F4646" s="2" t="s">
        <v>15744</v>
      </c>
      <c r="H4646" s="2" t="s">
        <v>17</v>
      </c>
      <c r="K4646" s="4">
        <v>7935</v>
      </c>
      <c r="M4646" s="2" t="s">
        <v>47</v>
      </c>
      <c r="N4646" s="2" t="s">
        <v>15745</v>
      </c>
    </row>
    <row r="4647" spans="1:14">
      <c r="A4647" s="2">
        <v>4646</v>
      </c>
      <c r="B4647" s="3" t="s">
        <v>15746</v>
      </c>
      <c r="C4647" s="2" t="s">
        <v>15747</v>
      </c>
      <c r="D4647" s="2">
        <v>39</v>
      </c>
      <c r="E4647" s="2">
        <v>40</v>
      </c>
      <c r="F4647" s="2" t="s">
        <v>15748</v>
      </c>
      <c r="H4647" s="2" t="s">
        <v>17</v>
      </c>
      <c r="K4647" s="4">
        <v>5628</v>
      </c>
      <c r="L4647" s="4">
        <v>32768</v>
      </c>
      <c r="M4647" s="2" t="s">
        <v>185</v>
      </c>
      <c r="N4647" s="2" t="s">
        <v>838</v>
      </c>
    </row>
    <row r="4648" spans="1:14">
      <c r="A4648" s="2">
        <v>4647</v>
      </c>
      <c r="B4648" s="3" t="s">
        <v>15749</v>
      </c>
      <c r="C4648" s="2" t="s">
        <v>15750</v>
      </c>
      <c r="D4648" s="2">
        <v>34</v>
      </c>
      <c r="E4648" s="2">
        <v>40</v>
      </c>
      <c r="F4648" s="2" t="s">
        <v>15751</v>
      </c>
      <c r="H4648" s="2" t="s">
        <v>17</v>
      </c>
      <c r="K4648" s="4" t="s">
        <v>15752</v>
      </c>
      <c r="L4648" s="4">
        <v>33952</v>
      </c>
      <c r="M4648" s="2" t="s">
        <v>53</v>
      </c>
      <c r="N4648" s="2" t="s">
        <v>686</v>
      </c>
    </row>
    <row r="4649" spans="1:14">
      <c r="A4649" s="2">
        <v>4648</v>
      </c>
      <c r="B4649" s="3" t="s">
        <v>15753</v>
      </c>
      <c r="C4649" s="2" t="s">
        <v>15754</v>
      </c>
      <c r="D4649" s="2">
        <v>39</v>
      </c>
      <c r="E4649" s="2">
        <v>40</v>
      </c>
      <c r="F4649" s="2" t="s">
        <v>15755</v>
      </c>
      <c r="H4649" s="2" t="s">
        <v>17</v>
      </c>
      <c r="K4649" s="4" t="s">
        <v>15756</v>
      </c>
      <c r="L4649" s="4">
        <v>32540</v>
      </c>
      <c r="M4649" s="2" t="s">
        <v>185</v>
      </c>
      <c r="N4649" s="2" t="s">
        <v>838</v>
      </c>
    </row>
    <row r="4650" spans="1:14">
      <c r="A4650" s="2">
        <v>4649</v>
      </c>
      <c r="B4650" s="3" t="s">
        <v>15757</v>
      </c>
      <c r="C4650" s="2" t="s">
        <v>15758</v>
      </c>
      <c r="D4650" s="2">
        <v>34</v>
      </c>
      <c r="E4650" s="2">
        <v>40</v>
      </c>
      <c r="F4650" s="2" t="s">
        <v>15759</v>
      </c>
      <c r="H4650" s="2" t="s">
        <v>17</v>
      </c>
      <c r="K4650" s="4" t="s">
        <v>15760</v>
      </c>
      <c r="L4650" s="4">
        <v>24258</v>
      </c>
      <c r="M4650" s="2" t="s">
        <v>35</v>
      </c>
      <c r="N4650" s="2" t="s">
        <v>2996</v>
      </c>
    </row>
    <row r="4651" spans="1:14">
      <c r="A4651" s="2">
        <v>4650</v>
      </c>
      <c r="B4651" s="3" t="s">
        <v>15761</v>
      </c>
      <c r="C4651" s="2" t="s">
        <v>15762</v>
      </c>
      <c r="D4651" s="2">
        <v>39</v>
      </c>
      <c r="E4651" s="2">
        <v>40</v>
      </c>
      <c r="F4651" s="2" t="s">
        <v>15763</v>
      </c>
      <c r="H4651" s="2" t="s">
        <v>17</v>
      </c>
      <c r="K4651" s="4">
        <v>2499</v>
      </c>
      <c r="L4651" s="4">
        <v>22390</v>
      </c>
      <c r="M4651" s="2" t="s">
        <v>66</v>
      </c>
      <c r="N4651" s="2" t="s">
        <v>71</v>
      </c>
    </row>
    <row r="4652" spans="1:14">
      <c r="A4652" s="2">
        <v>4651</v>
      </c>
      <c r="B4652" s="3" t="s">
        <v>15764</v>
      </c>
      <c r="C4652" s="2" t="s">
        <v>15765</v>
      </c>
      <c r="D4652" s="2">
        <v>40</v>
      </c>
      <c r="E4652" s="2">
        <v>40</v>
      </c>
      <c r="F4652" s="2" t="s">
        <v>15766</v>
      </c>
      <c r="H4652" s="2" t="s">
        <v>17</v>
      </c>
      <c r="K4652" s="4" t="s">
        <v>15767</v>
      </c>
      <c r="M4652" s="2" t="s">
        <v>35</v>
      </c>
      <c r="N4652" s="2" t="s">
        <v>15768</v>
      </c>
    </row>
    <row r="4653" spans="1:14">
      <c r="A4653" s="2">
        <v>4652</v>
      </c>
      <c r="B4653" s="3" t="s">
        <v>15769</v>
      </c>
      <c r="C4653" s="2" t="s">
        <v>15770</v>
      </c>
      <c r="D4653" s="2">
        <v>39</v>
      </c>
      <c r="E4653" s="2">
        <v>40</v>
      </c>
      <c r="F4653" s="2" t="s">
        <v>15771</v>
      </c>
      <c r="H4653" s="2" t="s">
        <v>17</v>
      </c>
      <c r="K4653" s="4">
        <v>2696</v>
      </c>
      <c r="L4653" s="4">
        <v>26112</v>
      </c>
      <c r="M4653" s="2" t="s">
        <v>35</v>
      </c>
      <c r="N4653" s="2" t="s">
        <v>1462</v>
      </c>
    </row>
    <row r="4654" spans="1:14">
      <c r="A4654" s="2">
        <v>4653</v>
      </c>
      <c r="B4654" s="3" t="s">
        <v>15772</v>
      </c>
      <c r="C4654" s="2" t="s">
        <v>15773</v>
      </c>
      <c r="D4654" s="2">
        <v>34</v>
      </c>
      <c r="E4654" s="2">
        <v>40</v>
      </c>
      <c r="F4654" s="2" t="s">
        <v>15774</v>
      </c>
      <c r="H4654" s="2" t="s">
        <v>17</v>
      </c>
      <c r="K4654" s="4" t="s">
        <v>15775</v>
      </c>
      <c r="L4654" s="4">
        <v>27750</v>
      </c>
      <c r="M4654" s="2" t="s">
        <v>336</v>
      </c>
      <c r="N4654" s="2" t="s">
        <v>1883</v>
      </c>
    </row>
    <row r="4655" spans="1:14">
      <c r="A4655" s="2">
        <v>4654</v>
      </c>
      <c r="B4655" s="3" t="s">
        <v>15776</v>
      </c>
      <c r="C4655" s="2" t="s">
        <v>15777</v>
      </c>
      <c r="D4655" s="2">
        <v>40</v>
      </c>
      <c r="E4655" s="2">
        <v>40</v>
      </c>
      <c r="F4655" s="2" t="s">
        <v>15778</v>
      </c>
      <c r="H4655" s="2" t="s">
        <v>17</v>
      </c>
      <c r="K4655" s="4">
        <v>3328</v>
      </c>
      <c r="L4655" s="4">
        <v>31400</v>
      </c>
      <c r="M4655" s="2" t="s">
        <v>154</v>
      </c>
      <c r="N4655" s="2" t="s">
        <v>208</v>
      </c>
    </row>
    <row r="4656" spans="1:14">
      <c r="A4656" s="2">
        <v>4655</v>
      </c>
      <c r="B4656" s="3" t="s">
        <v>15779</v>
      </c>
      <c r="C4656" s="2" t="s">
        <v>15780</v>
      </c>
      <c r="D4656" s="2">
        <v>39</v>
      </c>
      <c r="E4656" s="2">
        <v>40</v>
      </c>
      <c r="F4656" s="2" t="s">
        <v>15781</v>
      </c>
      <c r="H4656" s="2" t="s">
        <v>17</v>
      </c>
      <c r="K4656" s="4">
        <v>4525</v>
      </c>
      <c r="L4656" s="4">
        <v>35360</v>
      </c>
      <c r="M4656" s="2" t="s">
        <v>336</v>
      </c>
      <c r="N4656" s="2" t="s">
        <v>2681</v>
      </c>
    </row>
    <row r="4657" spans="1:14">
      <c r="A4657" s="2">
        <v>4656</v>
      </c>
      <c r="B4657" s="3" t="s">
        <v>15782</v>
      </c>
      <c r="C4657" s="2" t="s">
        <v>15783</v>
      </c>
      <c r="D4657" s="2">
        <v>40</v>
      </c>
      <c r="E4657" s="2">
        <v>40</v>
      </c>
      <c r="F4657" s="2" t="s">
        <v>15784</v>
      </c>
      <c r="H4657" s="2" t="s">
        <v>17</v>
      </c>
      <c r="K4657" s="4" t="s">
        <v>15785</v>
      </c>
      <c r="L4657" s="4">
        <v>23131</v>
      </c>
      <c r="M4657" s="2" t="s">
        <v>66</v>
      </c>
      <c r="N4657" s="2" t="s">
        <v>71</v>
      </c>
    </row>
    <row r="4658" spans="1:14">
      <c r="A4658" s="2">
        <v>4657</v>
      </c>
      <c r="B4658" s="3" t="s">
        <v>15786</v>
      </c>
      <c r="C4658" s="2" t="s">
        <v>15787</v>
      </c>
      <c r="D4658" s="2">
        <v>39</v>
      </c>
      <c r="E4658" s="2">
        <v>40</v>
      </c>
      <c r="F4658" s="2" t="s">
        <v>15788</v>
      </c>
      <c r="H4658" s="2" t="s">
        <v>17</v>
      </c>
      <c r="K4658" s="4">
        <v>4407</v>
      </c>
      <c r="L4658" s="4">
        <v>38108</v>
      </c>
      <c r="M4658" s="2" t="s">
        <v>40</v>
      </c>
      <c r="N4658" s="2" t="s">
        <v>6544</v>
      </c>
    </row>
    <row r="4659" spans="1:14">
      <c r="A4659" s="2">
        <v>4658</v>
      </c>
      <c r="B4659" s="3" t="s">
        <v>15789</v>
      </c>
      <c r="C4659" s="2" t="s">
        <v>15790</v>
      </c>
      <c r="D4659" s="2">
        <v>40</v>
      </c>
      <c r="E4659" s="2">
        <v>40</v>
      </c>
      <c r="F4659" s="2" t="s">
        <v>15791</v>
      </c>
      <c r="H4659" s="2" t="s">
        <v>17</v>
      </c>
      <c r="K4659" s="4">
        <v>4035</v>
      </c>
      <c r="M4659" s="2" t="s">
        <v>66</v>
      </c>
      <c r="N4659" s="2" t="s">
        <v>587</v>
      </c>
    </row>
    <row r="4660" spans="1:14">
      <c r="A4660" s="2">
        <v>4659</v>
      </c>
      <c r="B4660" s="3" t="s">
        <v>15792</v>
      </c>
      <c r="C4660" s="2" t="s">
        <v>15793</v>
      </c>
      <c r="D4660" s="2">
        <v>40</v>
      </c>
      <c r="E4660" s="2">
        <v>40</v>
      </c>
      <c r="F4660" s="2" t="s">
        <v>15794</v>
      </c>
      <c r="H4660" s="2" t="s">
        <v>17</v>
      </c>
      <c r="K4660" s="4">
        <v>8102</v>
      </c>
      <c r="L4660" s="4">
        <v>38013</v>
      </c>
      <c r="M4660" s="2" t="s">
        <v>336</v>
      </c>
      <c r="N4660" s="2" t="s">
        <v>15795</v>
      </c>
    </row>
    <row r="4661" spans="1:14">
      <c r="A4661" s="2">
        <v>4660</v>
      </c>
      <c r="B4661" s="3" t="s">
        <v>15796</v>
      </c>
      <c r="C4661" s="2" t="s">
        <v>15797</v>
      </c>
      <c r="D4661" s="2">
        <v>40</v>
      </c>
      <c r="E4661" s="2">
        <v>40</v>
      </c>
      <c r="F4661" s="2" t="s">
        <v>15798</v>
      </c>
      <c r="H4661" s="2" t="s">
        <v>17</v>
      </c>
      <c r="K4661" s="4">
        <v>1238</v>
      </c>
      <c r="L4661" s="4">
        <v>28187</v>
      </c>
      <c r="M4661" s="2" t="s">
        <v>140</v>
      </c>
      <c r="N4661" s="2" t="s">
        <v>294</v>
      </c>
    </row>
    <row r="4662" spans="1:14">
      <c r="A4662" s="2">
        <v>4661</v>
      </c>
      <c r="B4662" s="3" t="s">
        <v>15799</v>
      </c>
      <c r="C4662" s="2" t="s">
        <v>15800</v>
      </c>
      <c r="D4662" s="2">
        <v>40</v>
      </c>
      <c r="E4662" s="2">
        <v>40</v>
      </c>
      <c r="F4662" s="2" t="s">
        <v>15801</v>
      </c>
      <c r="H4662" s="2" t="s">
        <v>17</v>
      </c>
    </row>
    <row r="4663" spans="1:14">
      <c r="A4663" s="2">
        <v>4662</v>
      </c>
      <c r="B4663" s="3" t="s">
        <v>15802</v>
      </c>
      <c r="C4663" s="2" t="s">
        <v>15803</v>
      </c>
      <c r="D4663" s="2">
        <v>39</v>
      </c>
      <c r="E4663" s="2">
        <v>40</v>
      </c>
      <c r="F4663" s="2" t="s">
        <v>15804</v>
      </c>
      <c r="H4663" s="2" t="s">
        <v>17</v>
      </c>
      <c r="K4663" s="4" t="s">
        <v>15805</v>
      </c>
      <c r="L4663" s="4">
        <v>20650</v>
      </c>
      <c r="M4663" s="2" t="s">
        <v>146</v>
      </c>
      <c r="N4663" s="2" t="s">
        <v>10856</v>
      </c>
    </row>
    <row r="4664" spans="1:14">
      <c r="A4664" s="2">
        <v>4663</v>
      </c>
      <c r="B4664" s="3" t="s">
        <v>15806</v>
      </c>
      <c r="C4664" s="2" t="s">
        <v>15807</v>
      </c>
      <c r="D4664" s="2">
        <v>36</v>
      </c>
      <c r="E4664" s="2">
        <v>40</v>
      </c>
      <c r="F4664" s="2" t="s">
        <v>15808</v>
      </c>
      <c r="H4664" s="2" t="s">
        <v>17</v>
      </c>
      <c r="K4664" s="4" t="s">
        <v>15809</v>
      </c>
      <c r="L4664" s="4">
        <v>20472</v>
      </c>
      <c r="M4664" s="2" t="s">
        <v>35</v>
      </c>
      <c r="N4664" s="2" t="s">
        <v>15810</v>
      </c>
    </row>
    <row r="4665" spans="1:14">
      <c r="A4665" s="2">
        <v>4664</v>
      </c>
      <c r="B4665" s="3" t="s">
        <v>15811</v>
      </c>
      <c r="C4665" s="2" t="s">
        <v>15812</v>
      </c>
      <c r="D4665" s="2">
        <v>40</v>
      </c>
      <c r="E4665" s="2">
        <v>40</v>
      </c>
      <c r="F4665" s="2" t="s">
        <v>15813</v>
      </c>
      <c r="H4665" s="2" t="s">
        <v>17</v>
      </c>
      <c r="K4665" s="4">
        <v>2964</v>
      </c>
      <c r="M4665" s="2" t="s">
        <v>91</v>
      </c>
      <c r="N4665" s="2" t="s">
        <v>14597</v>
      </c>
    </row>
    <row r="4666" spans="1:14">
      <c r="A4666" s="2">
        <v>4665</v>
      </c>
      <c r="B4666" s="3" t="s">
        <v>15814</v>
      </c>
      <c r="C4666" s="2" t="s">
        <v>15815</v>
      </c>
      <c r="D4666" s="2">
        <v>40</v>
      </c>
      <c r="E4666" s="2">
        <v>40</v>
      </c>
      <c r="F4666" s="2" t="s">
        <v>15816</v>
      </c>
      <c r="H4666" s="2" t="s">
        <v>17</v>
      </c>
      <c r="K4666" s="4" t="s">
        <v>15817</v>
      </c>
      <c r="M4666" s="2" t="s">
        <v>170</v>
      </c>
      <c r="N4666" s="2" t="s">
        <v>323</v>
      </c>
    </row>
    <row r="4667" spans="1:14">
      <c r="A4667" s="2">
        <v>4666</v>
      </c>
      <c r="B4667" s="3" t="s">
        <v>15818</v>
      </c>
      <c r="C4667" s="2" t="s">
        <v>15819</v>
      </c>
      <c r="D4667" s="2">
        <v>39</v>
      </c>
      <c r="E4667" s="2">
        <v>40</v>
      </c>
      <c r="F4667" s="2" t="s">
        <v>15820</v>
      </c>
      <c r="H4667" s="2" t="s">
        <v>17</v>
      </c>
      <c r="K4667" s="4">
        <v>5007</v>
      </c>
      <c r="L4667" s="4">
        <v>38078</v>
      </c>
      <c r="M4667" s="2" t="s">
        <v>154</v>
      </c>
      <c r="N4667" s="2" t="s">
        <v>11385</v>
      </c>
    </row>
    <row r="4668" spans="1:14">
      <c r="A4668" s="2">
        <v>4667</v>
      </c>
      <c r="B4668" s="3" t="s">
        <v>15821</v>
      </c>
      <c r="C4668" s="2" t="s">
        <v>15822</v>
      </c>
      <c r="D4668" s="2">
        <v>39</v>
      </c>
      <c r="E4668" s="2">
        <v>40</v>
      </c>
      <c r="F4668" s="2" t="s">
        <v>15823</v>
      </c>
      <c r="H4668" s="2" t="s">
        <v>17</v>
      </c>
      <c r="K4668" s="4" t="s">
        <v>15824</v>
      </c>
      <c r="M4668" s="2" t="s">
        <v>40</v>
      </c>
      <c r="N4668" s="2" t="s">
        <v>41</v>
      </c>
    </row>
    <row r="4669" spans="1:14">
      <c r="A4669" s="2">
        <v>4668</v>
      </c>
      <c r="B4669" s="3" t="s">
        <v>15825</v>
      </c>
      <c r="C4669" s="2" t="s">
        <v>15826</v>
      </c>
      <c r="D4669" s="2">
        <v>39</v>
      </c>
      <c r="E4669" s="2">
        <v>40</v>
      </c>
      <c r="F4669" s="2" t="s">
        <v>15827</v>
      </c>
      <c r="H4669" s="2" t="s">
        <v>17</v>
      </c>
      <c r="K4669" s="4">
        <v>1620</v>
      </c>
      <c r="L4669" s="4">
        <v>22704</v>
      </c>
      <c r="M4669" s="2" t="s">
        <v>53</v>
      </c>
      <c r="N4669" s="2" t="s">
        <v>9013</v>
      </c>
    </row>
    <row r="4670" spans="1:14">
      <c r="A4670" s="2">
        <v>4669</v>
      </c>
      <c r="B4670" s="3" t="s">
        <v>15828</v>
      </c>
      <c r="C4670" s="2" t="s">
        <v>12186</v>
      </c>
      <c r="D4670" s="2">
        <v>38</v>
      </c>
      <c r="E4670" s="2">
        <v>40</v>
      </c>
      <c r="F4670" s="2" t="s">
        <v>15829</v>
      </c>
      <c r="H4670" s="2" t="s">
        <v>17</v>
      </c>
      <c r="K4670" s="4">
        <v>3570</v>
      </c>
      <c r="L4670" s="4">
        <v>36125</v>
      </c>
      <c r="M4670" s="2" t="s">
        <v>185</v>
      </c>
      <c r="N4670" s="2" t="s">
        <v>15830</v>
      </c>
    </row>
    <row r="4671" spans="1:14">
      <c r="A4671" s="2">
        <v>4670</v>
      </c>
      <c r="B4671" s="3" t="s">
        <v>15831</v>
      </c>
      <c r="C4671" s="2" t="s">
        <v>15832</v>
      </c>
      <c r="D4671" s="2">
        <v>39</v>
      </c>
      <c r="E4671" s="2">
        <v>40</v>
      </c>
      <c r="F4671" s="2" t="s">
        <v>15833</v>
      </c>
      <c r="H4671" s="2" t="s">
        <v>17</v>
      </c>
      <c r="K4671" s="4">
        <v>4835</v>
      </c>
      <c r="L4671" s="4">
        <v>23170</v>
      </c>
      <c r="M4671" s="2" t="s">
        <v>85</v>
      </c>
      <c r="N4671" s="2" t="s">
        <v>86</v>
      </c>
    </row>
    <row r="4672" spans="1:14">
      <c r="A4672" s="2">
        <v>4671</v>
      </c>
      <c r="B4672" s="3" t="s">
        <v>15834</v>
      </c>
      <c r="C4672" s="2" t="s">
        <v>15835</v>
      </c>
      <c r="D4672" s="2">
        <v>40</v>
      </c>
      <c r="E4672" s="2">
        <v>40</v>
      </c>
      <c r="F4672" s="2" t="s">
        <v>15836</v>
      </c>
      <c r="H4672" s="2" t="s">
        <v>17</v>
      </c>
      <c r="K4672" s="4">
        <v>7928</v>
      </c>
      <c r="L4672" s="4">
        <v>28019</v>
      </c>
      <c r="M4672" s="2" t="s">
        <v>336</v>
      </c>
      <c r="N4672" s="2" t="s">
        <v>1883</v>
      </c>
    </row>
    <row r="4673" spans="1:14">
      <c r="A4673" s="2">
        <v>4672</v>
      </c>
      <c r="B4673" s="3" t="s">
        <v>15837</v>
      </c>
      <c r="C4673" s="2" t="s">
        <v>15838</v>
      </c>
      <c r="D4673" s="2">
        <v>40</v>
      </c>
      <c r="E4673" s="2">
        <v>40</v>
      </c>
      <c r="F4673" s="2" t="s">
        <v>15839</v>
      </c>
      <c r="H4673" s="2" t="s">
        <v>17</v>
      </c>
      <c r="K4673" s="4">
        <v>2749</v>
      </c>
      <c r="L4673" s="4">
        <v>24049</v>
      </c>
      <c r="M4673" s="2" t="s">
        <v>76</v>
      </c>
      <c r="N4673" s="2" t="s">
        <v>11022</v>
      </c>
    </row>
    <row r="4674" spans="1:14">
      <c r="A4674" s="2">
        <v>4673</v>
      </c>
      <c r="B4674" s="3" t="s">
        <v>15840</v>
      </c>
      <c r="C4674" s="2" t="s">
        <v>15841</v>
      </c>
      <c r="D4674" s="2">
        <v>38</v>
      </c>
      <c r="E4674" s="2">
        <v>40</v>
      </c>
      <c r="F4674" s="2" t="s">
        <v>15842</v>
      </c>
      <c r="H4674" s="2" t="s">
        <v>17</v>
      </c>
      <c r="K4674" s="4" t="s">
        <v>15843</v>
      </c>
      <c r="L4674" s="4">
        <v>25738</v>
      </c>
      <c r="M4674" s="2" t="s">
        <v>85</v>
      </c>
      <c r="N4674" s="2" t="s">
        <v>3689</v>
      </c>
    </row>
    <row r="4675" spans="1:14">
      <c r="A4675" s="2">
        <v>4674</v>
      </c>
      <c r="B4675" s="3" t="s">
        <v>15844</v>
      </c>
      <c r="C4675" s="2" t="s">
        <v>15845</v>
      </c>
      <c r="D4675" s="2">
        <v>40</v>
      </c>
      <c r="E4675" s="2">
        <v>40</v>
      </c>
      <c r="F4675" s="2" t="s">
        <v>15846</v>
      </c>
      <c r="H4675" s="2" t="s">
        <v>17</v>
      </c>
      <c r="K4675" s="4">
        <v>3647</v>
      </c>
      <c r="M4675" s="2" t="s">
        <v>35</v>
      </c>
      <c r="N4675" s="2" t="s">
        <v>1171</v>
      </c>
    </row>
    <row r="4676" spans="1:14">
      <c r="A4676" s="2">
        <v>4675</v>
      </c>
      <c r="B4676" s="3" t="s">
        <v>15847</v>
      </c>
      <c r="C4676" s="2" t="s">
        <v>15848</v>
      </c>
      <c r="D4676" s="2">
        <v>40</v>
      </c>
      <c r="E4676" s="2">
        <v>40</v>
      </c>
      <c r="F4676" s="2" t="s">
        <v>15849</v>
      </c>
      <c r="H4676" s="2" t="s">
        <v>17</v>
      </c>
      <c r="K4676" s="4">
        <v>4826</v>
      </c>
      <c r="L4676" s="4">
        <v>29130</v>
      </c>
      <c r="M4676" s="2" t="s">
        <v>170</v>
      </c>
      <c r="N4676" s="2" t="s">
        <v>323</v>
      </c>
    </row>
    <row r="4677" spans="1:14">
      <c r="A4677" s="2">
        <v>4676</v>
      </c>
      <c r="B4677" s="3" t="s">
        <v>15850</v>
      </c>
      <c r="C4677" s="2" t="s">
        <v>15851</v>
      </c>
      <c r="D4677" s="2">
        <v>40</v>
      </c>
      <c r="E4677" s="2">
        <v>40</v>
      </c>
      <c r="F4677" s="2" t="s">
        <v>15852</v>
      </c>
      <c r="H4677" s="2" t="s">
        <v>17</v>
      </c>
      <c r="K4677" s="4">
        <v>7629</v>
      </c>
      <c r="L4677" s="4">
        <v>26309</v>
      </c>
      <c r="M4677" s="2" t="s">
        <v>76</v>
      </c>
      <c r="N4677" s="2" t="s">
        <v>906</v>
      </c>
    </row>
    <row r="4678" spans="1:14">
      <c r="A4678" s="2">
        <v>4677</v>
      </c>
      <c r="B4678" s="3" t="s">
        <v>15853</v>
      </c>
      <c r="C4678" s="2" t="s">
        <v>15854</v>
      </c>
      <c r="D4678" s="2">
        <v>40</v>
      </c>
      <c r="E4678" s="2">
        <v>40</v>
      </c>
      <c r="F4678" s="2" t="s">
        <v>15855</v>
      </c>
      <c r="H4678" s="2" t="s">
        <v>17</v>
      </c>
      <c r="K4678" s="4" t="s">
        <v>15856</v>
      </c>
      <c r="L4678" s="4">
        <v>27210</v>
      </c>
      <c r="M4678" s="2" t="s">
        <v>47</v>
      </c>
      <c r="N4678" s="2" t="s">
        <v>1181</v>
      </c>
    </row>
    <row r="4679" spans="1:14">
      <c r="A4679" s="2">
        <v>4678</v>
      </c>
      <c r="B4679" s="3" t="s">
        <v>15857</v>
      </c>
      <c r="C4679" s="2" t="s">
        <v>15858</v>
      </c>
      <c r="D4679" s="2">
        <v>39</v>
      </c>
      <c r="E4679" s="2">
        <v>40</v>
      </c>
      <c r="F4679" s="2" t="s">
        <v>15859</v>
      </c>
      <c r="H4679" s="2" t="s">
        <v>17</v>
      </c>
      <c r="K4679" s="4">
        <v>2086</v>
      </c>
      <c r="M4679" s="2" t="s">
        <v>66</v>
      </c>
      <c r="N4679" s="2" t="s">
        <v>3262</v>
      </c>
    </row>
    <row r="4680" spans="1:14">
      <c r="A4680" s="2">
        <v>4679</v>
      </c>
      <c r="B4680" s="3" t="s">
        <v>15860</v>
      </c>
      <c r="C4680" s="2" t="s">
        <v>15861</v>
      </c>
      <c r="D4680" s="2">
        <v>40</v>
      </c>
      <c r="E4680" s="2">
        <v>40</v>
      </c>
      <c r="F4680" s="2" t="s">
        <v>15862</v>
      </c>
      <c r="H4680" s="2" t="s">
        <v>17</v>
      </c>
      <c r="K4680" s="4">
        <v>4510</v>
      </c>
      <c r="L4680" s="4">
        <v>36666</v>
      </c>
      <c r="M4680" s="2" t="s">
        <v>66</v>
      </c>
      <c r="N4680" s="2" t="s">
        <v>71</v>
      </c>
    </row>
    <row r="4681" spans="1:14">
      <c r="A4681" s="2">
        <v>4680</v>
      </c>
      <c r="B4681" s="3" t="s">
        <v>15863</v>
      </c>
      <c r="C4681" s="2" t="s">
        <v>15864</v>
      </c>
      <c r="D4681" s="2">
        <v>40</v>
      </c>
      <c r="E4681" s="2">
        <v>40</v>
      </c>
      <c r="F4681" s="2" t="s">
        <v>15865</v>
      </c>
      <c r="H4681" s="2" t="s">
        <v>17</v>
      </c>
      <c r="K4681" s="4">
        <v>3466</v>
      </c>
      <c r="L4681" s="4">
        <v>25425</v>
      </c>
      <c r="M4681" s="2" t="s">
        <v>170</v>
      </c>
      <c r="N4681" s="2" t="s">
        <v>323</v>
      </c>
    </row>
    <row r="4682" spans="1:14">
      <c r="A4682" s="2">
        <v>4681</v>
      </c>
      <c r="B4682" s="3" t="s">
        <v>15866</v>
      </c>
      <c r="C4682" s="2" t="s">
        <v>15867</v>
      </c>
      <c r="D4682" s="2">
        <v>39</v>
      </c>
      <c r="E4682" s="2">
        <v>40</v>
      </c>
      <c r="F4682" s="2" t="s">
        <v>15868</v>
      </c>
      <c r="H4682" s="2" t="s">
        <v>17</v>
      </c>
      <c r="K4682" s="4">
        <v>4950</v>
      </c>
      <c r="L4682" s="4">
        <v>27288</v>
      </c>
      <c r="M4682" s="2" t="s">
        <v>66</v>
      </c>
      <c r="N4682" s="2" t="s">
        <v>2349</v>
      </c>
    </row>
    <row r="4683" spans="1:14">
      <c r="A4683" s="2">
        <v>4682</v>
      </c>
      <c r="B4683" s="3" t="s">
        <v>15869</v>
      </c>
      <c r="C4683" s="2" t="s">
        <v>15870</v>
      </c>
      <c r="D4683" s="2">
        <v>40</v>
      </c>
      <c r="E4683" s="2">
        <v>40</v>
      </c>
      <c r="F4683" s="2" t="s">
        <v>15871</v>
      </c>
      <c r="H4683" s="2" t="s">
        <v>17</v>
      </c>
      <c r="K4683" s="4">
        <v>3849</v>
      </c>
      <c r="L4683" s="4">
        <v>28387</v>
      </c>
      <c r="M4683" s="2" t="s">
        <v>423</v>
      </c>
      <c r="N4683" s="2" t="s">
        <v>15872</v>
      </c>
    </row>
    <row r="4684" spans="1:14">
      <c r="A4684" s="2">
        <v>4683</v>
      </c>
      <c r="B4684" s="3" t="s">
        <v>15873</v>
      </c>
      <c r="C4684" s="2" t="s">
        <v>15874</v>
      </c>
      <c r="D4684" s="2">
        <v>38</v>
      </c>
      <c r="E4684" s="2">
        <v>40</v>
      </c>
      <c r="F4684" s="2" t="s">
        <v>15875</v>
      </c>
      <c r="H4684" s="2" t="s">
        <v>17</v>
      </c>
      <c r="K4684" s="4">
        <v>1243</v>
      </c>
      <c r="L4684" s="4">
        <v>25862</v>
      </c>
      <c r="M4684" s="2" t="s">
        <v>91</v>
      </c>
      <c r="N4684" s="2" t="s">
        <v>10856</v>
      </c>
    </row>
    <row r="4685" spans="1:14">
      <c r="A4685" s="2">
        <v>4684</v>
      </c>
      <c r="B4685" s="3" t="s">
        <v>15876</v>
      </c>
      <c r="C4685" s="2" t="s">
        <v>15877</v>
      </c>
      <c r="D4685" s="2">
        <v>40</v>
      </c>
      <c r="E4685" s="2">
        <v>40</v>
      </c>
      <c r="F4685" s="2" t="s">
        <v>15878</v>
      </c>
      <c r="H4685" s="2" t="s">
        <v>17</v>
      </c>
      <c r="K4685" s="4" t="s">
        <v>15734</v>
      </c>
      <c r="L4685" s="4">
        <v>22890</v>
      </c>
      <c r="M4685" s="2" t="s">
        <v>85</v>
      </c>
      <c r="N4685" s="2" t="s">
        <v>3850</v>
      </c>
    </row>
    <row r="4686" spans="1:14">
      <c r="A4686" s="2">
        <v>4685</v>
      </c>
      <c r="B4686" s="3" t="s">
        <v>15879</v>
      </c>
      <c r="C4686" s="2" t="s">
        <v>5223</v>
      </c>
      <c r="D4686" s="2">
        <v>34</v>
      </c>
      <c r="E4686" s="2">
        <v>40</v>
      </c>
      <c r="F4686" s="2" t="s">
        <v>15880</v>
      </c>
      <c r="H4686" s="2" t="s">
        <v>17</v>
      </c>
      <c r="K4686" s="4" t="s">
        <v>15881</v>
      </c>
      <c r="L4686" s="4">
        <v>23986</v>
      </c>
      <c r="M4686" s="2" t="s">
        <v>140</v>
      </c>
      <c r="N4686" s="2" t="s">
        <v>4665</v>
      </c>
    </row>
    <row r="4687" spans="1:14">
      <c r="A4687" s="2">
        <v>4686</v>
      </c>
      <c r="B4687" s="3" t="s">
        <v>15882</v>
      </c>
      <c r="C4687" s="2" t="s">
        <v>15883</v>
      </c>
      <c r="D4687" s="2">
        <v>40</v>
      </c>
      <c r="E4687" s="2">
        <v>40</v>
      </c>
      <c r="F4687" s="2" t="s">
        <v>15884</v>
      </c>
      <c r="H4687" s="2" t="s">
        <v>17</v>
      </c>
      <c r="K4687" s="4">
        <v>6625</v>
      </c>
      <c r="M4687" s="2" t="s">
        <v>91</v>
      </c>
      <c r="N4687" s="2" t="s">
        <v>677</v>
      </c>
    </row>
    <row r="4688" spans="1:14">
      <c r="A4688" s="2">
        <v>4687</v>
      </c>
      <c r="B4688" s="3" t="s">
        <v>15885</v>
      </c>
      <c r="C4688" s="2" t="s">
        <v>15886</v>
      </c>
      <c r="D4688" s="2">
        <v>40</v>
      </c>
      <c r="E4688" s="2">
        <v>40</v>
      </c>
      <c r="F4688" s="2" t="s">
        <v>15887</v>
      </c>
      <c r="H4688" s="2" t="s">
        <v>17</v>
      </c>
      <c r="K4688" s="4">
        <v>6442</v>
      </c>
      <c r="L4688" s="4">
        <v>24491</v>
      </c>
      <c r="M4688" s="2" t="s">
        <v>170</v>
      </c>
      <c r="N4688" s="2" t="s">
        <v>323</v>
      </c>
    </row>
    <row r="4689" spans="1:14">
      <c r="A4689" s="2">
        <v>4688</v>
      </c>
      <c r="B4689" s="3" t="s">
        <v>15888</v>
      </c>
      <c r="C4689" s="2" t="s">
        <v>15889</v>
      </c>
      <c r="D4689" s="2">
        <v>40</v>
      </c>
      <c r="E4689" s="2">
        <v>40</v>
      </c>
      <c r="F4689" s="2" t="s">
        <v>15890</v>
      </c>
      <c r="H4689" s="2" t="s">
        <v>17</v>
      </c>
      <c r="K4689" s="4">
        <v>4754</v>
      </c>
      <c r="L4689" s="4">
        <v>29131</v>
      </c>
      <c r="M4689" s="2" t="s">
        <v>85</v>
      </c>
      <c r="N4689" s="2" t="s">
        <v>221</v>
      </c>
    </row>
    <row r="4690" spans="1:14">
      <c r="A4690" s="2">
        <v>4689</v>
      </c>
      <c r="B4690" s="3" t="s">
        <v>15891</v>
      </c>
      <c r="C4690" s="2" t="s">
        <v>15892</v>
      </c>
      <c r="D4690" s="2">
        <v>40</v>
      </c>
      <c r="E4690" s="2">
        <v>40</v>
      </c>
      <c r="F4690" s="2" t="s">
        <v>15893</v>
      </c>
      <c r="H4690" s="2" t="s">
        <v>17</v>
      </c>
      <c r="K4690" s="4">
        <v>5542</v>
      </c>
      <c r="L4690" s="4">
        <v>27179</v>
      </c>
      <c r="M4690" s="2" t="s">
        <v>35</v>
      </c>
      <c r="N4690" s="2" t="s">
        <v>15894</v>
      </c>
    </row>
    <row r="4691" spans="1:14">
      <c r="A4691" s="2">
        <v>4690</v>
      </c>
      <c r="B4691" s="3" t="s">
        <v>15895</v>
      </c>
      <c r="C4691" s="2" t="s">
        <v>15896</v>
      </c>
      <c r="D4691" s="2">
        <v>39</v>
      </c>
      <c r="E4691" s="2">
        <v>40</v>
      </c>
      <c r="F4691" s="2" t="s">
        <v>15897</v>
      </c>
      <c r="H4691" s="2" t="s">
        <v>17</v>
      </c>
      <c r="K4691" s="4">
        <v>2972</v>
      </c>
      <c r="L4691" s="4">
        <v>26877</v>
      </c>
      <c r="M4691" s="2" t="s">
        <v>35</v>
      </c>
      <c r="N4691" s="2" t="s">
        <v>13044</v>
      </c>
    </row>
    <row r="4692" spans="1:14">
      <c r="A4692" s="2">
        <v>4691</v>
      </c>
      <c r="B4692" s="3" t="s">
        <v>15898</v>
      </c>
      <c r="C4692" s="2" t="s">
        <v>8557</v>
      </c>
      <c r="D4692" s="2">
        <v>38</v>
      </c>
      <c r="E4692" s="2">
        <v>40</v>
      </c>
      <c r="F4692" s="2" t="s">
        <v>15899</v>
      </c>
      <c r="H4692" s="2" t="s">
        <v>17</v>
      </c>
      <c r="K4692" s="4" t="s">
        <v>15900</v>
      </c>
      <c r="L4692" s="4">
        <v>26851</v>
      </c>
      <c r="M4692" s="2" t="s">
        <v>35</v>
      </c>
      <c r="N4692" s="2" t="s">
        <v>15901</v>
      </c>
    </row>
    <row r="4693" spans="1:14">
      <c r="A4693" s="2">
        <v>4692</v>
      </c>
      <c r="B4693" s="3" t="s">
        <v>15902</v>
      </c>
      <c r="C4693" s="2" t="s">
        <v>15903</v>
      </c>
      <c r="D4693" s="2">
        <v>40</v>
      </c>
      <c r="E4693" s="2">
        <v>40</v>
      </c>
      <c r="F4693" s="2" t="s">
        <v>15904</v>
      </c>
      <c r="H4693" s="2" t="s">
        <v>17</v>
      </c>
      <c r="K4693" s="4">
        <v>4960</v>
      </c>
      <c r="L4693" s="4">
        <v>36595</v>
      </c>
      <c r="M4693" s="2" t="s">
        <v>192</v>
      </c>
      <c r="N4693" s="2" t="s">
        <v>193</v>
      </c>
    </row>
    <row r="4694" spans="1:14">
      <c r="A4694" s="2">
        <v>4693</v>
      </c>
      <c r="B4694" s="3" t="s">
        <v>15905</v>
      </c>
      <c r="C4694" s="2" t="s">
        <v>15906</v>
      </c>
      <c r="D4694" s="2">
        <v>38</v>
      </c>
      <c r="E4694" s="2">
        <v>40</v>
      </c>
      <c r="F4694" s="2" t="s">
        <v>15907</v>
      </c>
      <c r="H4694" s="2" t="s">
        <v>17</v>
      </c>
      <c r="K4694" s="4" t="s">
        <v>15908</v>
      </c>
      <c r="L4694" s="4">
        <v>28060</v>
      </c>
      <c r="M4694" s="2" t="s">
        <v>53</v>
      </c>
    </row>
    <row r="4695" spans="1:14">
      <c r="A4695" s="2">
        <v>4694</v>
      </c>
      <c r="B4695" s="3" t="s">
        <v>15909</v>
      </c>
      <c r="C4695" s="2" t="s">
        <v>15910</v>
      </c>
      <c r="D4695" s="2">
        <v>40</v>
      </c>
      <c r="E4695" s="2">
        <v>40</v>
      </c>
      <c r="F4695" s="2" t="s">
        <v>15911</v>
      </c>
      <c r="H4695" s="2" t="s">
        <v>17</v>
      </c>
      <c r="K4695" s="4" t="s">
        <v>15912</v>
      </c>
      <c r="M4695" s="2" t="s">
        <v>66</v>
      </c>
      <c r="N4695" s="2" t="s">
        <v>359</v>
      </c>
    </row>
    <row r="4696" spans="1:14">
      <c r="A4696" s="2">
        <v>4695</v>
      </c>
      <c r="B4696" s="3" t="s">
        <v>15913</v>
      </c>
      <c r="C4696" s="2" t="s">
        <v>15914</v>
      </c>
      <c r="D4696" s="2">
        <v>40</v>
      </c>
      <c r="E4696" s="2">
        <v>40</v>
      </c>
      <c r="F4696" s="2" t="s">
        <v>15915</v>
      </c>
      <c r="H4696" s="2" t="s">
        <v>17</v>
      </c>
      <c r="K4696" s="4">
        <v>7268</v>
      </c>
      <c r="L4696" s="4">
        <v>40751</v>
      </c>
      <c r="M4696" s="2" t="s">
        <v>40</v>
      </c>
      <c r="N4696" s="2" t="s">
        <v>2573</v>
      </c>
    </row>
    <row r="4697" spans="1:14">
      <c r="A4697" s="2">
        <v>4696</v>
      </c>
      <c r="B4697" s="3" t="s">
        <v>15916</v>
      </c>
      <c r="C4697" s="2" t="s">
        <v>15917</v>
      </c>
      <c r="D4697" s="2">
        <v>40</v>
      </c>
      <c r="E4697" s="2">
        <v>40</v>
      </c>
      <c r="F4697" s="2" t="s">
        <v>15918</v>
      </c>
      <c r="H4697" s="2" t="s">
        <v>17</v>
      </c>
      <c r="K4697" s="4">
        <v>2119</v>
      </c>
      <c r="L4697" s="4">
        <v>22767</v>
      </c>
      <c r="M4697" s="2" t="s">
        <v>66</v>
      </c>
      <c r="N4697" s="2" t="s">
        <v>6644</v>
      </c>
    </row>
    <row r="4698" spans="1:14">
      <c r="A4698" s="2">
        <v>4697</v>
      </c>
      <c r="B4698" s="3" t="s">
        <v>15919</v>
      </c>
      <c r="C4698" s="2" t="s">
        <v>15920</v>
      </c>
      <c r="D4698" s="2">
        <v>40</v>
      </c>
      <c r="E4698" s="2">
        <v>40</v>
      </c>
      <c r="F4698" s="2" t="s">
        <v>15921</v>
      </c>
      <c r="H4698" s="2" t="s">
        <v>17</v>
      </c>
      <c r="K4698" s="4" t="s">
        <v>15922</v>
      </c>
      <c r="L4698" s="4">
        <v>34514</v>
      </c>
      <c r="M4698" s="2" t="s">
        <v>170</v>
      </c>
      <c r="N4698" s="2" t="s">
        <v>323</v>
      </c>
    </row>
    <row r="4699" spans="1:14">
      <c r="A4699" s="2">
        <v>4698</v>
      </c>
      <c r="B4699" s="3" t="s">
        <v>15923</v>
      </c>
      <c r="C4699" s="2" t="s">
        <v>15924</v>
      </c>
      <c r="D4699" s="2">
        <v>40</v>
      </c>
      <c r="E4699" s="2">
        <v>40</v>
      </c>
      <c r="F4699" s="2" t="s">
        <v>15925</v>
      </c>
      <c r="H4699" s="2" t="s">
        <v>17</v>
      </c>
      <c r="K4699" s="4">
        <v>96</v>
      </c>
      <c r="M4699" s="2" t="s">
        <v>18</v>
      </c>
      <c r="N4699" s="2" t="s">
        <v>19</v>
      </c>
    </row>
    <row r="4700" spans="1:14">
      <c r="A4700" s="2">
        <v>4699</v>
      </c>
      <c r="B4700" s="3" t="s">
        <v>15926</v>
      </c>
      <c r="C4700" s="2" t="s">
        <v>15927</v>
      </c>
      <c r="D4700" s="2">
        <v>40</v>
      </c>
      <c r="E4700" s="2">
        <v>40</v>
      </c>
      <c r="F4700" s="2" t="s">
        <v>15928</v>
      </c>
      <c r="H4700" s="2" t="s">
        <v>17</v>
      </c>
      <c r="K4700" s="4">
        <v>5257</v>
      </c>
      <c r="M4700" s="2" t="s">
        <v>18</v>
      </c>
      <c r="N4700" s="2" t="s">
        <v>19</v>
      </c>
    </row>
    <row r="4701" spans="1:14">
      <c r="A4701" s="2">
        <v>4700</v>
      </c>
      <c r="B4701" s="3" t="s">
        <v>15929</v>
      </c>
      <c r="C4701" s="2" t="s">
        <v>15930</v>
      </c>
      <c r="D4701" s="2">
        <v>39</v>
      </c>
      <c r="E4701" s="2">
        <v>40</v>
      </c>
      <c r="F4701" s="2" t="s">
        <v>15931</v>
      </c>
      <c r="H4701" s="2" t="s">
        <v>17</v>
      </c>
      <c r="K4701" s="4">
        <v>5692</v>
      </c>
      <c r="L4701" s="4">
        <v>21352</v>
      </c>
      <c r="M4701" s="2" t="s">
        <v>154</v>
      </c>
      <c r="N4701" s="2" t="s">
        <v>4862</v>
      </c>
    </row>
    <row r="4702" spans="1:14">
      <c r="A4702" s="2">
        <v>4701</v>
      </c>
      <c r="B4702" s="3" t="s">
        <v>15932</v>
      </c>
      <c r="C4702" s="2" t="s">
        <v>15933</v>
      </c>
      <c r="D4702" s="2">
        <v>40</v>
      </c>
      <c r="E4702" s="2">
        <v>40</v>
      </c>
      <c r="F4702" s="2" t="s">
        <v>15934</v>
      </c>
      <c r="H4702" s="2" t="s">
        <v>17</v>
      </c>
      <c r="K4702" s="4">
        <v>4043</v>
      </c>
      <c r="L4702" s="4">
        <v>35018</v>
      </c>
      <c r="M4702" s="2" t="s">
        <v>146</v>
      </c>
      <c r="N4702" s="2" t="s">
        <v>2196</v>
      </c>
    </row>
    <row r="4703" spans="1:14">
      <c r="A4703" s="2">
        <v>4702</v>
      </c>
      <c r="B4703" s="3" t="s">
        <v>15935</v>
      </c>
      <c r="C4703" s="2" t="s">
        <v>12307</v>
      </c>
      <c r="D4703" s="2">
        <v>40</v>
      </c>
      <c r="E4703" s="2">
        <v>40</v>
      </c>
      <c r="F4703" s="2" t="s">
        <v>15936</v>
      </c>
      <c r="H4703" s="2" t="s">
        <v>17</v>
      </c>
      <c r="K4703" s="4">
        <v>3954</v>
      </c>
      <c r="L4703" s="4">
        <v>33565</v>
      </c>
      <c r="M4703" s="2" t="s">
        <v>170</v>
      </c>
    </row>
    <row r="4704" spans="1:14">
      <c r="A4704" s="2">
        <v>4703</v>
      </c>
      <c r="B4704" s="3" t="s">
        <v>15937</v>
      </c>
      <c r="C4704" s="2" t="s">
        <v>15938</v>
      </c>
      <c r="D4704" s="2">
        <v>40</v>
      </c>
      <c r="E4704" s="2">
        <v>40</v>
      </c>
      <c r="F4704" s="2" t="s">
        <v>15939</v>
      </c>
      <c r="H4704" s="2" t="s">
        <v>17</v>
      </c>
      <c r="K4704" s="4">
        <v>5844</v>
      </c>
      <c r="L4704" s="4">
        <v>40298</v>
      </c>
      <c r="M4704" s="2" t="s">
        <v>341</v>
      </c>
      <c r="N4704" s="2" t="s">
        <v>834</v>
      </c>
    </row>
    <row r="4705" spans="1:14">
      <c r="A4705" s="2">
        <v>4704</v>
      </c>
      <c r="B4705" s="3" t="s">
        <v>15940</v>
      </c>
      <c r="C4705" s="2" t="s">
        <v>15941</v>
      </c>
      <c r="D4705" s="2">
        <v>39</v>
      </c>
      <c r="E4705" s="2">
        <v>40</v>
      </c>
      <c r="F4705" s="2" t="s">
        <v>15942</v>
      </c>
      <c r="H4705" s="2" t="s">
        <v>17</v>
      </c>
      <c r="K4705" s="4">
        <v>1042</v>
      </c>
      <c r="L4705" s="4">
        <v>28333</v>
      </c>
      <c r="M4705" s="2" t="s">
        <v>40</v>
      </c>
      <c r="N4705" s="2" t="s">
        <v>41</v>
      </c>
    </row>
    <row r="4706" spans="1:14">
      <c r="A4706" s="2">
        <v>4705</v>
      </c>
      <c r="B4706" s="3" t="s">
        <v>15943</v>
      </c>
      <c r="C4706" s="2" t="s">
        <v>15944</v>
      </c>
      <c r="D4706" s="2">
        <v>38</v>
      </c>
      <c r="E4706" s="2">
        <v>40</v>
      </c>
      <c r="F4706" s="2" t="s">
        <v>15945</v>
      </c>
      <c r="H4706" s="2" t="s">
        <v>17</v>
      </c>
      <c r="K4706" s="4" t="s">
        <v>15946</v>
      </c>
      <c r="M4706" s="2" t="s">
        <v>40</v>
      </c>
      <c r="N4706" s="2" t="s">
        <v>910</v>
      </c>
    </row>
    <row r="4707" spans="1:14">
      <c r="A4707" s="2">
        <v>4706</v>
      </c>
      <c r="B4707" s="3" t="s">
        <v>15947</v>
      </c>
      <c r="C4707" s="2" t="s">
        <v>15948</v>
      </c>
      <c r="D4707" s="2">
        <v>38</v>
      </c>
      <c r="E4707" s="2">
        <v>40</v>
      </c>
      <c r="F4707" s="2" t="s">
        <v>15949</v>
      </c>
      <c r="H4707" s="2" t="s">
        <v>17</v>
      </c>
      <c r="K4707" s="4">
        <v>2945</v>
      </c>
      <c r="L4707" s="4">
        <v>38961</v>
      </c>
      <c r="M4707" s="2" t="s">
        <v>198</v>
      </c>
      <c r="N4707" s="2" t="s">
        <v>7814</v>
      </c>
    </row>
    <row r="4708" spans="1:14">
      <c r="A4708" s="2">
        <v>4707</v>
      </c>
      <c r="B4708" s="3" t="s">
        <v>15950</v>
      </c>
      <c r="C4708" s="2" t="s">
        <v>15951</v>
      </c>
      <c r="D4708" s="2">
        <v>37</v>
      </c>
      <c r="E4708" s="2">
        <v>40</v>
      </c>
      <c r="F4708" s="2" t="s">
        <v>15952</v>
      </c>
      <c r="H4708" s="2" t="s">
        <v>17</v>
      </c>
      <c r="K4708" s="4" t="s">
        <v>15953</v>
      </c>
      <c r="L4708" s="4">
        <v>26787</v>
      </c>
      <c r="M4708" s="2" t="s">
        <v>423</v>
      </c>
      <c r="N4708" s="2" t="s">
        <v>3942</v>
      </c>
    </row>
    <row r="4709" spans="1:14">
      <c r="A4709" s="2">
        <v>4708</v>
      </c>
      <c r="B4709" s="3" t="s">
        <v>15954</v>
      </c>
      <c r="C4709" s="2" t="s">
        <v>15955</v>
      </c>
      <c r="D4709" s="2">
        <v>40</v>
      </c>
      <c r="E4709" s="2">
        <v>40</v>
      </c>
      <c r="F4709" s="2" t="s">
        <v>15956</v>
      </c>
      <c r="H4709" s="2" t="s">
        <v>17</v>
      </c>
      <c r="K4709" s="4">
        <v>6064</v>
      </c>
      <c r="M4709" s="2" t="s">
        <v>336</v>
      </c>
      <c r="N4709" s="2" t="s">
        <v>15957</v>
      </c>
    </row>
    <row r="4710" spans="1:14">
      <c r="A4710" s="2">
        <v>4709</v>
      </c>
      <c r="B4710" s="3" t="s">
        <v>15958</v>
      </c>
      <c r="C4710" s="2" t="s">
        <v>15959</v>
      </c>
      <c r="D4710" s="2">
        <v>40</v>
      </c>
      <c r="E4710" s="2">
        <v>40</v>
      </c>
      <c r="F4710" s="2" t="s">
        <v>15960</v>
      </c>
      <c r="H4710" s="2" t="s">
        <v>17</v>
      </c>
      <c r="L4710" s="4">
        <v>20285</v>
      </c>
      <c r="M4710" s="2" t="s">
        <v>91</v>
      </c>
      <c r="N4710" s="2" t="s">
        <v>4886</v>
      </c>
    </row>
    <row r="4711" spans="1:14">
      <c r="A4711" s="2">
        <v>4710</v>
      </c>
      <c r="B4711" s="3" t="s">
        <v>15961</v>
      </c>
      <c r="C4711" s="2" t="s">
        <v>15962</v>
      </c>
      <c r="D4711" s="2">
        <v>38</v>
      </c>
      <c r="E4711" s="2">
        <v>40</v>
      </c>
      <c r="F4711" s="2" t="s">
        <v>15963</v>
      </c>
      <c r="H4711" s="2" t="s">
        <v>17</v>
      </c>
      <c r="K4711" s="4">
        <v>3164</v>
      </c>
      <c r="L4711" s="4">
        <v>21941</v>
      </c>
      <c r="N4711" s="2" t="s">
        <v>15964</v>
      </c>
    </row>
    <row r="4712" spans="1:14">
      <c r="A4712" s="2">
        <v>4711</v>
      </c>
      <c r="B4712" s="3" t="s">
        <v>15965</v>
      </c>
      <c r="C4712" s="2" t="s">
        <v>15966</v>
      </c>
      <c r="D4712" s="2">
        <v>40</v>
      </c>
      <c r="E4712" s="2">
        <v>40</v>
      </c>
      <c r="F4712" s="2" t="s">
        <v>15967</v>
      </c>
      <c r="H4712" s="2" t="s">
        <v>17</v>
      </c>
      <c r="K4712" s="4">
        <v>6502</v>
      </c>
      <c r="L4712" s="4">
        <v>23716</v>
      </c>
      <c r="M4712" s="2" t="s">
        <v>40</v>
      </c>
      <c r="N4712" s="2" t="s">
        <v>15968</v>
      </c>
    </row>
    <row r="4713" spans="1:14">
      <c r="A4713" s="2">
        <v>4712</v>
      </c>
      <c r="B4713" s="3" t="s">
        <v>15969</v>
      </c>
      <c r="C4713" s="2" t="s">
        <v>15970</v>
      </c>
      <c r="D4713" s="2">
        <v>40</v>
      </c>
      <c r="E4713" s="2">
        <v>40</v>
      </c>
      <c r="F4713" s="2" t="s">
        <v>15971</v>
      </c>
      <c r="H4713" s="2" t="s">
        <v>17</v>
      </c>
      <c r="K4713" s="4" t="s">
        <v>15972</v>
      </c>
      <c r="L4713" s="4">
        <v>23498</v>
      </c>
      <c r="M4713" s="2" t="s">
        <v>35</v>
      </c>
      <c r="N4713" s="2" t="s">
        <v>15973</v>
      </c>
    </row>
    <row r="4714" spans="1:14">
      <c r="A4714" s="2">
        <v>4713</v>
      </c>
      <c r="B4714" s="3" t="s">
        <v>15974</v>
      </c>
      <c r="C4714" s="2" t="s">
        <v>15975</v>
      </c>
      <c r="D4714" s="2">
        <v>39</v>
      </c>
      <c r="E4714" s="2">
        <v>40</v>
      </c>
      <c r="F4714" s="2" t="s">
        <v>15976</v>
      </c>
      <c r="H4714" s="2" t="s">
        <v>17</v>
      </c>
      <c r="K4714" s="4">
        <v>4569</v>
      </c>
      <c r="L4714" s="4">
        <v>21352</v>
      </c>
      <c r="M4714" s="2" t="s">
        <v>423</v>
      </c>
      <c r="N4714" s="2" t="s">
        <v>11844</v>
      </c>
    </row>
    <row r="4715" spans="1:14">
      <c r="A4715" s="2">
        <v>4714</v>
      </c>
      <c r="B4715" s="3" t="s">
        <v>15977</v>
      </c>
      <c r="C4715" s="2" t="s">
        <v>15978</v>
      </c>
      <c r="D4715" s="2">
        <v>40</v>
      </c>
      <c r="E4715" s="2">
        <v>40</v>
      </c>
      <c r="F4715" s="2" t="s">
        <v>15979</v>
      </c>
      <c r="H4715" s="2" t="s">
        <v>17</v>
      </c>
      <c r="K4715" s="4">
        <v>7797</v>
      </c>
      <c r="L4715" s="4">
        <v>30657</v>
      </c>
      <c r="M4715" s="2" t="s">
        <v>47</v>
      </c>
      <c r="N4715" s="2" t="s">
        <v>7150</v>
      </c>
    </row>
    <row r="4716" spans="1:14">
      <c r="A4716" s="2">
        <v>4715</v>
      </c>
      <c r="B4716" s="3" t="s">
        <v>15980</v>
      </c>
      <c r="C4716" s="2" t="s">
        <v>15981</v>
      </c>
      <c r="D4716" s="2">
        <v>40</v>
      </c>
      <c r="E4716" s="2">
        <v>40</v>
      </c>
      <c r="F4716" s="2" t="s">
        <v>15982</v>
      </c>
      <c r="H4716" s="2" t="s">
        <v>17</v>
      </c>
      <c r="K4716" s="4" t="s">
        <v>15983</v>
      </c>
      <c r="L4716" s="4">
        <v>23974</v>
      </c>
      <c r="M4716" s="2" t="s">
        <v>154</v>
      </c>
      <c r="N4716" s="2" t="s">
        <v>208</v>
      </c>
    </row>
    <row r="4717" spans="1:14">
      <c r="A4717" s="2">
        <v>4716</v>
      </c>
      <c r="B4717" s="3" t="s">
        <v>15984</v>
      </c>
      <c r="C4717" s="2" t="s">
        <v>15985</v>
      </c>
      <c r="D4717" s="2">
        <v>40</v>
      </c>
      <c r="E4717" s="2">
        <v>40</v>
      </c>
      <c r="F4717" s="2" t="s">
        <v>15986</v>
      </c>
      <c r="H4717" s="2" t="s">
        <v>17</v>
      </c>
      <c r="K4717" s="4">
        <v>4132</v>
      </c>
      <c r="L4717" s="4">
        <v>25082</v>
      </c>
      <c r="M4717" s="2" t="s">
        <v>170</v>
      </c>
      <c r="N4717" s="2" t="s">
        <v>323</v>
      </c>
    </row>
    <row r="4718" spans="1:14">
      <c r="A4718" s="2">
        <v>4717</v>
      </c>
      <c r="B4718" s="3" t="s">
        <v>15987</v>
      </c>
      <c r="C4718" s="2" t="s">
        <v>15988</v>
      </c>
      <c r="D4718" s="2">
        <v>40</v>
      </c>
      <c r="E4718" s="2">
        <v>40</v>
      </c>
      <c r="F4718" s="2" t="s">
        <v>15989</v>
      </c>
      <c r="H4718" s="2" t="s">
        <v>17</v>
      </c>
      <c r="K4718" s="4" t="s">
        <v>15990</v>
      </c>
      <c r="L4718" s="4">
        <v>20164</v>
      </c>
      <c r="M4718" s="2" t="s">
        <v>185</v>
      </c>
    </row>
    <row r="4719" spans="1:14">
      <c r="A4719" s="2">
        <v>4718</v>
      </c>
      <c r="B4719" s="3" t="s">
        <v>15991</v>
      </c>
      <c r="C4719" s="2" t="s">
        <v>15992</v>
      </c>
      <c r="D4719" s="2">
        <v>38</v>
      </c>
      <c r="E4719" s="2">
        <v>40</v>
      </c>
      <c r="F4719" s="2" t="s">
        <v>15993</v>
      </c>
      <c r="H4719" s="2" t="s">
        <v>17</v>
      </c>
      <c r="K4719" s="4" t="s">
        <v>15994</v>
      </c>
      <c r="L4719" s="4">
        <v>24734</v>
      </c>
      <c r="M4719" s="2" t="s">
        <v>198</v>
      </c>
      <c r="N4719" s="2" t="s">
        <v>1388</v>
      </c>
    </row>
    <row r="4720" spans="1:14">
      <c r="A4720" s="2">
        <v>4719</v>
      </c>
      <c r="B4720" s="3" t="s">
        <v>15995</v>
      </c>
      <c r="C4720" s="2" t="s">
        <v>15996</v>
      </c>
      <c r="D4720" s="2">
        <v>40</v>
      </c>
      <c r="E4720" s="2">
        <v>40</v>
      </c>
      <c r="F4720" s="2" t="s">
        <v>15997</v>
      </c>
      <c r="H4720" s="2" t="s">
        <v>17</v>
      </c>
      <c r="K4720" s="4" t="s">
        <v>15998</v>
      </c>
      <c r="L4720" s="4">
        <v>26164</v>
      </c>
      <c r="M4720" s="2" t="s">
        <v>47</v>
      </c>
      <c r="N4720" s="2" t="s">
        <v>13432</v>
      </c>
    </row>
    <row r="4721" spans="1:14">
      <c r="A4721" s="2">
        <v>4720</v>
      </c>
      <c r="B4721" s="3" t="s">
        <v>15999</v>
      </c>
      <c r="C4721" s="2" t="s">
        <v>16000</v>
      </c>
      <c r="D4721" s="2">
        <v>40</v>
      </c>
      <c r="E4721" s="2">
        <v>40</v>
      </c>
      <c r="F4721" s="2" t="s">
        <v>16001</v>
      </c>
      <c r="H4721" s="2" t="s">
        <v>17</v>
      </c>
      <c r="K4721" s="4">
        <v>3730</v>
      </c>
      <c r="L4721" s="4">
        <v>27491</v>
      </c>
      <c r="M4721" s="2" t="s">
        <v>164</v>
      </c>
      <c r="N4721" s="2" t="s">
        <v>13311</v>
      </c>
    </row>
    <row r="4722" spans="1:14">
      <c r="A4722" s="2">
        <v>4721</v>
      </c>
      <c r="B4722" s="3" t="s">
        <v>16002</v>
      </c>
      <c r="C4722" s="2" t="s">
        <v>16003</v>
      </c>
      <c r="D4722" s="2">
        <v>39</v>
      </c>
      <c r="E4722" s="2">
        <v>40</v>
      </c>
      <c r="F4722" s="2" t="s">
        <v>16004</v>
      </c>
      <c r="H4722" s="2" t="s">
        <v>17</v>
      </c>
      <c r="K4722" s="4">
        <v>4551</v>
      </c>
      <c r="L4722" s="4">
        <v>26024</v>
      </c>
      <c r="M4722" s="2" t="s">
        <v>47</v>
      </c>
      <c r="N4722" s="2" t="s">
        <v>6256</v>
      </c>
    </row>
    <row r="4723" spans="1:14">
      <c r="A4723" s="2">
        <v>4722</v>
      </c>
      <c r="B4723" s="3" t="s">
        <v>16005</v>
      </c>
      <c r="C4723" s="2" t="s">
        <v>16006</v>
      </c>
      <c r="D4723" s="2">
        <v>39</v>
      </c>
      <c r="E4723" s="2">
        <v>40</v>
      </c>
      <c r="F4723" s="2" t="s">
        <v>16007</v>
      </c>
      <c r="H4723" s="2" t="s">
        <v>17</v>
      </c>
      <c r="K4723" s="4">
        <v>5044</v>
      </c>
      <c r="L4723" s="4">
        <v>29799</v>
      </c>
      <c r="M4723" s="2" t="s">
        <v>66</v>
      </c>
      <c r="N4723" s="2" t="s">
        <v>730</v>
      </c>
    </row>
    <row r="4724" spans="1:14">
      <c r="A4724" s="2">
        <v>4723</v>
      </c>
      <c r="B4724" s="3" t="s">
        <v>16008</v>
      </c>
      <c r="C4724" s="2" t="s">
        <v>16009</v>
      </c>
      <c r="D4724" s="2">
        <v>40</v>
      </c>
      <c r="E4724" s="2">
        <v>40</v>
      </c>
      <c r="F4724" s="2" t="s">
        <v>16010</v>
      </c>
      <c r="H4724" s="2" t="s">
        <v>17</v>
      </c>
      <c r="K4724" s="4">
        <v>5102</v>
      </c>
      <c r="L4724" s="4">
        <v>35946</v>
      </c>
      <c r="M4724" s="2" t="s">
        <v>154</v>
      </c>
      <c r="N4724" s="2" t="s">
        <v>208</v>
      </c>
    </row>
    <row r="4725" spans="1:14">
      <c r="A4725" s="2">
        <v>4724</v>
      </c>
      <c r="B4725" s="3" t="s">
        <v>16011</v>
      </c>
      <c r="C4725" s="2" t="s">
        <v>16012</v>
      </c>
      <c r="D4725" s="2">
        <v>40</v>
      </c>
      <c r="E4725" s="2">
        <v>40</v>
      </c>
      <c r="F4725" s="2" t="s">
        <v>16013</v>
      </c>
      <c r="H4725" s="2" t="s">
        <v>17</v>
      </c>
    </row>
    <row r="4726" spans="1:14">
      <c r="A4726" s="2">
        <v>4725</v>
      </c>
      <c r="B4726" s="3" t="s">
        <v>16014</v>
      </c>
      <c r="C4726" s="2" t="s">
        <v>16015</v>
      </c>
      <c r="D4726" s="2">
        <v>39</v>
      </c>
      <c r="E4726" s="2">
        <v>40</v>
      </c>
      <c r="F4726" s="2" t="s">
        <v>16016</v>
      </c>
      <c r="H4726" s="2" t="s">
        <v>17</v>
      </c>
      <c r="K4726" s="4">
        <v>4438</v>
      </c>
      <c r="L4726" s="4">
        <v>32785</v>
      </c>
      <c r="M4726" s="2" t="s">
        <v>66</v>
      </c>
      <c r="N4726" s="2" t="s">
        <v>6179</v>
      </c>
    </row>
    <row r="4727" spans="1:14">
      <c r="A4727" s="2">
        <v>4726</v>
      </c>
      <c r="B4727" s="3" t="s">
        <v>16017</v>
      </c>
      <c r="C4727" s="2" t="s">
        <v>16018</v>
      </c>
      <c r="D4727" s="2">
        <v>40</v>
      </c>
      <c r="E4727" s="2">
        <v>40</v>
      </c>
      <c r="F4727" s="2" t="s">
        <v>16019</v>
      </c>
      <c r="H4727" s="2" t="s">
        <v>17</v>
      </c>
      <c r="K4727" s="4" t="s">
        <v>16020</v>
      </c>
      <c r="M4727" s="2" t="s">
        <v>170</v>
      </c>
      <c r="N4727" s="2" t="s">
        <v>323</v>
      </c>
    </row>
    <row r="4728" spans="1:14">
      <c r="A4728" s="2">
        <v>4727</v>
      </c>
      <c r="B4728" s="3" t="s">
        <v>16021</v>
      </c>
      <c r="C4728" s="2" t="s">
        <v>16022</v>
      </c>
      <c r="D4728" s="2">
        <v>39</v>
      </c>
      <c r="E4728" s="2">
        <v>40</v>
      </c>
      <c r="F4728" s="2" t="s">
        <v>16023</v>
      </c>
      <c r="H4728" s="2" t="s">
        <v>17</v>
      </c>
      <c r="K4728" s="4">
        <v>2251</v>
      </c>
      <c r="L4728" s="4">
        <v>21019</v>
      </c>
      <c r="M4728" s="2" t="s">
        <v>35</v>
      </c>
      <c r="N4728" s="2" t="s">
        <v>1462</v>
      </c>
    </row>
    <row r="4729" spans="1:14">
      <c r="A4729" s="2">
        <v>4728</v>
      </c>
      <c r="B4729" s="3" t="s">
        <v>16024</v>
      </c>
      <c r="C4729" s="2" t="s">
        <v>16025</v>
      </c>
      <c r="D4729" s="2">
        <v>40</v>
      </c>
      <c r="E4729" s="2">
        <v>40</v>
      </c>
      <c r="F4729" s="2" t="s">
        <v>16026</v>
      </c>
      <c r="H4729" s="2" t="s">
        <v>17</v>
      </c>
      <c r="K4729" s="4">
        <v>8157</v>
      </c>
      <c r="L4729" s="4">
        <v>21432</v>
      </c>
      <c r="M4729" s="2" t="s">
        <v>140</v>
      </c>
    </row>
    <row r="4730" spans="1:14">
      <c r="A4730" s="2">
        <v>4729</v>
      </c>
      <c r="B4730" s="3" t="s">
        <v>16027</v>
      </c>
      <c r="C4730" s="2" t="s">
        <v>16028</v>
      </c>
      <c r="D4730" s="2">
        <v>39</v>
      </c>
      <c r="E4730" s="2">
        <v>40</v>
      </c>
      <c r="F4730" s="2" t="s">
        <v>16029</v>
      </c>
      <c r="H4730" s="2" t="s">
        <v>17</v>
      </c>
      <c r="K4730" s="4">
        <v>234</v>
      </c>
      <c r="L4730" s="4">
        <v>29298</v>
      </c>
      <c r="M4730" s="2" t="s">
        <v>47</v>
      </c>
      <c r="N4730" s="2" t="s">
        <v>48</v>
      </c>
    </row>
    <row r="4731" spans="1:14">
      <c r="A4731" s="2">
        <v>4730</v>
      </c>
      <c r="B4731" s="3" t="s">
        <v>16030</v>
      </c>
      <c r="C4731" s="2" t="s">
        <v>16031</v>
      </c>
      <c r="D4731" s="2">
        <v>39</v>
      </c>
      <c r="E4731" s="2">
        <v>40</v>
      </c>
      <c r="F4731" s="2" t="s">
        <v>16032</v>
      </c>
      <c r="H4731" s="2" t="s">
        <v>17</v>
      </c>
      <c r="K4731" s="4">
        <v>5335</v>
      </c>
      <c r="L4731" s="4">
        <v>28057</v>
      </c>
      <c r="M4731" s="2" t="s">
        <v>47</v>
      </c>
      <c r="N4731" s="2" t="s">
        <v>48</v>
      </c>
    </row>
    <row r="4732" spans="1:14">
      <c r="A4732" s="2">
        <v>4731</v>
      </c>
      <c r="B4732" s="3" t="s">
        <v>16033</v>
      </c>
      <c r="C4732" s="2" t="s">
        <v>16034</v>
      </c>
      <c r="D4732" s="2">
        <v>39</v>
      </c>
      <c r="E4732" s="2">
        <v>40</v>
      </c>
      <c r="F4732" s="2" t="s">
        <v>16035</v>
      </c>
      <c r="H4732" s="2" t="s">
        <v>17</v>
      </c>
      <c r="K4732" s="4">
        <v>5030</v>
      </c>
      <c r="L4732" s="4">
        <v>28416</v>
      </c>
      <c r="M4732" s="2" t="s">
        <v>47</v>
      </c>
      <c r="N4732" s="2" t="s">
        <v>442</v>
      </c>
    </row>
    <row r="4733" spans="1:14">
      <c r="A4733" s="2">
        <v>4732</v>
      </c>
      <c r="B4733" s="3" t="s">
        <v>16036</v>
      </c>
      <c r="C4733" s="2" t="s">
        <v>16037</v>
      </c>
      <c r="D4733" s="2">
        <v>40</v>
      </c>
      <c r="E4733" s="2">
        <v>40</v>
      </c>
      <c r="F4733" s="2" t="s">
        <v>16038</v>
      </c>
      <c r="H4733" s="2" t="s">
        <v>17</v>
      </c>
      <c r="K4733" s="4">
        <v>2076</v>
      </c>
      <c r="L4733" s="4">
        <v>21139</v>
      </c>
      <c r="M4733" s="2" t="s">
        <v>336</v>
      </c>
      <c r="N4733" s="2" t="s">
        <v>3732</v>
      </c>
    </row>
    <row r="4734" spans="1:14">
      <c r="A4734" s="2">
        <v>4733</v>
      </c>
      <c r="B4734" s="3" t="s">
        <v>16039</v>
      </c>
      <c r="C4734" s="2" t="s">
        <v>16040</v>
      </c>
      <c r="D4734" s="2">
        <v>40</v>
      </c>
      <c r="E4734" s="2">
        <v>40</v>
      </c>
      <c r="F4734" s="2" t="s">
        <v>16041</v>
      </c>
      <c r="H4734" s="2" t="s">
        <v>17</v>
      </c>
      <c r="K4734" s="4">
        <v>1878</v>
      </c>
      <c r="M4734" s="2" t="s">
        <v>35</v>
      </c>
      <c r="N4734" s="2" t="s">
        <v>372</v>
      </c>
    </row>
    <row r="4735" spans="1:14">
      <c r="A4735" s="2">
        <v>4734</v>
      </c>
      <c r="B4735" s="3" t="s">
        <v>16042</v>
      </c>
      <c r="C4735" s="2" t="s">
        <v>16043</v>
      </c>
      <c r="D4735" s="2">
        <v>39</v>
      </c>
      <c r="E4735" s="2">
        <v>40</v>
      </c>
      <c r="F4735" s="2" t="s">
        <v>16044</v>
      </c>
      <c r="H4735" s="2" t="s">
        <v>17</v>
      </c>
      <c r="K4735" s="4">
        <v>1629</v>
      </c>
      <c r="L4735" s="4">
        <v>30139</v>
      </c>
      <c r="M4735" s="2" t="s">
        <v>146</v>
      </c>
      <c r="N4735" s="2" t="s">
        <v>549</v>
      </c>
    </row>
    <row r="4736" spans="1:14">
      <c r="A4736" s="2">
        <v>4735</v>
      </c>
      <c r="B4736" s="3" t="s">
        <v>16045</v>
      </c>
      <c r="C4736" s="2" t="s">
        <v>16046</v>
      </c>
      <c r="D4736" s="2">
        <v>39</v>
      </c>
      <c r="E4736" s="2">
        <v>40</v>
      </c>
      <c r="F4736" s="2" t="s">
        <v>16047</v>
      </c>
      <c r="H4736" s="2" t="s">
        <v>17</v>
      </c>
      <c r="K4736" s="4">
        <v>2990</v>
      </c>
      <c r="L4736" s="4">
        <v>31343</v>
      </c>
      <c r="M4736" s="2" t="s">
        <v>146</v>
      </c>
      <c r="N4736" s="2" t="s">
        <v>549</v>
      </c>
    </row>
    <row r="4737" spans="1:14">
      <c r="A4737" s="2">
        <v>4736</v>
      </c>
      <c r="B4737" s="3" t="s">
        <v>16048</v>
      </c>
      <c r="C4737" s="2" t="s">
        <v>16049</v>
      </c>
      <c r="D4737" s="2">
        <v>39</v>
      </c>
      <c r="E4737" s="2">
        <v>40</v>
      </c>
      <c r="F4737" s="2" t="s">
        <v>16050</v>
      </c>
      <c r="H4737" s="2" t="s">
        <v>17</v>
      </c>
      <c r="K4737" s="4" t="s">
        <v>16051</v>
      </c>
      <c r="L4737" s="4">
        <v>26803</v>
      </c>
      <c r="M4737" s="2" t="s">
        <v>85</v>
      </c>
      <c r="N4737" s="2" t="s">
        <v>16052</v>
      </c>
    </row>
    <row r="4738" spans="1:14">
      <c r="A4738" s="2">
        <v>4737</v>
      </c>
      <c r="B4738" s="3" t="s">
        <v>16053</v>
      </c>
      <c r="C4738" s="2" t="s">
        <v>16054</v>
      </c>
      <c r="D4738" s="2">
        <v>38</v>
      </c>
      <c r="E4738" s="2">
        <v>40</v>
      </c>
      <c r="F4738" s="2" t="s">
        <v>16055</v>
      </c>
      <c r="H4738" s="2" t="s">
        <v>17</v>
      </c>
      <c r="K4738" s="4">
        <v>229</v>
      </c>
      <c r="L4738" s="4">
        <v>26313</v>
      </c>
      <c r="M4738" s="2" t="s">
        <v>35</v>
      </c>
      <c r="N4738" s="2" t="s">
        <v>858</v>
      </c>
    </row>
    <row r="4739" spans="1:14">
      <c r="A4739" s="2">
        <v>4738</v>
      </c>
      <c r="B4739" s="3" t="s">
        <v>16056</v>
      </c>
      <c r="C4739" s="2" t="s">
        <v>13224</v>
      </c>
      <c r="D4739" s="2">
        <v>36</v>
      </c>
      <c r="E4739" s="2">
        <v>40</v>
      </c>
      <c r="F4739" s="2" t="s">
        <v>16057</v>
      </c>
      <c r="H4739" s="2" t="s">
        <v>17</v>
      </c>
      <c r="K4739" s="4">
        <v>731</v>
      </c>
      <c r="L4739" s="4">
        <v>27274</v>
      </c>
      <c r="M4739" s="2" t="s">
        <v>47</v>
      </c>
      <c r="N4739" s="2" t="s">
        <v>417</v>
      </c>
    </row>
    <row r="4740" spans="1:14">
      <c r="A4740" s="2">
        <v>4739</v>
      </c>
      <c r="B4740" s="3" t="s">
        <v>16058</v>
      </c>
      <c r="C4740" s="2" t="s">
        <v>16059</v>
      </c>
      <c r="D4740" s="2">
        <v>40</v>
      </c>
      <c r="E4740" s="2">
        <v>40</v>
      </c>
      <c r="F4740" s="2" t="s">
        <v>16060</v>
      </c>
      <c r="H4740" s="2" t="s">
        <v>17</v>
      </c>
      <c r="K4740" s="4">
        <v>2830</v>
      </c>
      <c r="L4740" s="4">
        <v>34540</v>
      </c>
      <c r="M4740" s="2" t="s">
        <v>47</v>
      </c>
      <c r="N4740" s="2" t="s">
        <v>48</v>
      </c>
    </row>
    <row r="4741" spans="1:14">
      <c r="A4741" s="2">
        <v>4740</v>
      </c>
      <c r="B4741" s="3" t="s">
        <v>16061</v>
      </c>
      <c r="C4741" s="2" t="s">
        <v>16062</v>
      </c>
      <c r="D4741" s="2">
        <v>38</v>
      </c>
      <c r="E4741" s="2">
        <v>40</v>
      </c>
      <c r="F4741" s="2" t="s">
        <v>16063</v>
      </c>
      <c r="H4741" s="2" t="s">
        <v>17</v>
      </c>
      <c r="K4741" s="4" t="s">
        <v>16064</v>
      </c>
      <c r="L4741" s="4">
        <v>25573</v>
      </c>
      <c r="M4741" s="2" t="s">
        <v>164</v>
      </c>
      <c r="N4741" s="2" t="s">
        <v>6164</v>
      </c>
    </row>
    <row r="4742" spans="1:14">
      <c r="A4742" s="2">
        <v>4741</v>
      </c>
      <c r="B4742" s="3" t="s">
        <v>16065</v>
      </c>
      <c r="C4742" s="2" t="s">
        <v>16066</v>
      </c>
      <c r="D4742" s="2">
        <v>40</v>
      </c>
      <c r="E4742" s="2">
        <v>40</v>
      </c>
      <c r="F4742" s="2" t="s">
        <v>16067</v>
      </c>
      <c r="H4742" s="2" t="s">
        <v>45</v>
      </c>
      <c r="K4742" s="4">
        <v>2868</v>
      </c>
      <c r="L4742" s="4">
        <v>23077</v>
      </c>
      <c r="M4742" s="2" t="s">
        <v>40</v>
      </c>
      <c r="N4742" s="2" t="s">
        <v>2573</v>
      </c>
    </row>
    <row r="4743" spans="1:14">
      <c r="A4743" s="2">
        <v>4742</v>
      </c>
      <c r="B4743" s="3" t="s">
        <v>16068</v>
      </c>
      <c r="C4743" s="2" t="s">
        <v>16069</v>
      </c>
      <c r="D4743" s="2">
        <v>34</v>
      </c>
      <c r="E4743" s="2">
        <v>40</v>
      </c>
      <c r="F4743" s="2" t="s">
        <v>16070</v>
      </c>
      <c r="H4743" s="2" t="s">
        <v>17</v>
      </c>
      <c r="K4743" s="4" t="s">
        <v>16071</v>
      </c>
      <c r="L4743" s="4">
        <v>21347</v>
      </c>
      <c r="M4743" s="2" t="s">
        <v>35</v>
      </c>
      <c r="N4743" s="2" t="s">
        <v>16072</v>
      </c>
    </row>
    <row r="4744" spans="1:14">
      <c r="A4744" s="2">
        <v>4743</v>
      </c>
      <c r="B4744" s="3" t="s">
        <v>16073</v>
      </c>
      <c r="C4744" s="2" t="s">
        <v>16074</v>
      </c>
      <c r="D4744" s="2">
        <v>38</v>
      </c>
      <c r="E4744" s="2">
        <v>40</v>
      </c>
      <c r="F4744" s="2" t="s">
        <v>16075</v>
      </c>
      <c r="H4744" s="2" t="s">
        <v>17</v>
      </c>
      <c r="K4744" s="4">
        <v>116</v>
      </c>
      <c r="L4744" s="4">
        <v>23383</v>
      </c>
      <c r="M4744" s="2" t="s">
        <v>198</v>
      </c>
    </row>
    <row r="4745" spans="1:14">
      <c r="A4745" s="2">
        <v>4744</v>
      </c>
      <c r="B4745" s="3" t="s">
        <v>16076</v>
      </c>
      <c r="C4745" s="2" t="s">
        <v>16077</v>
      </c>
      <c r="D4745" s="2">
        <v>36</v>
      </c>
      <c r="E4745" s="2">
        <v>40</v>
      </c>
      <c r="F4745" s="2" t="s">
        <v>16078</v>
      </c>
      <c r="H4745" s="2" t="s">
        <v>17</v>
      </c>
      <c r="K4745" s="4">
        <v>17</v>
      </c>
      <c r="L4745" s="4">
        <v>22226</v>
      </c>
      <c r="M4745" s="2" t="s">
        <v>198</v>
      </c>
      <c r="N4745" s="2" t="s">
        <v>16079</v>
      </c>
    </row>
    <row r="4746" spans="1:14">
      <c r="A4746" s="2">
        <v>4745</v>
      </c>
      <c r="B4746" s="3" t="s">
        <v>16080</v>
      </c>
      <c r="C4746" s="2" t="s">
        <v>16081</v>
      </c>
      <c r="D4746" s="2">
        <v>39</v>
      </c>
      <c r="E4746" s="2">
        <v>40</v>
      </c>
      <c r="F4746" s="2" t="s">
        <v>16082</v>
      </c>
      <c r="H4746" s="2" t="s">
        <v>17</v>
      </c>
      <c r="K4746" s="4">
        <v>5033</v>
      </c>
      <c r="L4746" s="4">
        <v>26599</v>
      </c>
      <c r="M4746" s="2" t="s">
        <v>154</v>
      </c>
      <c r="N4746" s="2" t="s">
        <v>208</v>
      </c>
    </row>
    <row r="4747" spans="1:14">
      <c r="A4747" s="2">
        <v>4746</v>
      </c>
      <c r="B4747" s="3" t="s">
        <v>16083</v>
      </c>
      <c r="C4747" s="2" t="s">
        <v>16084</v>
      </c>
      <c r="D4747" s="2">
        <v>39</v>
      </c>
      <c r="E4747" s="2">
        <v>40</v>
      </c>
      <c r="F4747" s="2" t="s">
        <v>16085</v>
      </c>
      <c r="H4747" s="2" t="s">
        <v>17</v>
      </c>
      <c r="K4747" s="4">
        <v>4307</v>
      </c>
      <c r="L4747" s="4">
        <v>32335</v>
      </c>
      <c r="M4747" s="2" t="s">
        <v>170</v>
      </c>
    </row>
    <row r="4748" spans="1:14">
      <c r="A4748" s="2">
        <v>4747</v>
      </c>
      <c r="B4748" s="3" t="s">
        <v>16086</v>
      </c>
      <c r="C4748" s="2" t="s">
        <v>16087</v>
      </c>
      <c r="D4748" s="2">
        <v>40</v>
      </c>
      <c r="E4748" s="2">
        <v>40</v>
      </c>
      <c r="F4748" s="2" t="s">
        <v>16088</v>
      </c>
      <c r="H4748" s="2" t="s">
        <v>17</v>
      </c>
      <c r="K4748" s="4" t="s">
        <v>16089</v>
      </c>
      <c r="L4748" s="4">
        <v>22063</v>
      </c>
      <c r="M4748" s="2" t="s">
        <v>35</v>
      </c>
      <c r="N4748" s="2" t="s">
        <v>3929</v>
      </c>
    </row>
    <row r="4749" spans="1:14">
      <c r="A4749" s="2">
        <v>4748</v>
      </c>
      <c r="B4749" s="3" t="s">
        <v>16090</v>
      </c>
      <c r="C4749" s="2" t="s">
        <v>16091</v>
      </c>
      <c r="D4749" s="2">
        <v>29</v>
      </c>
      <c r="E4749" s="2">
        <v>40</v>
      </c>
      <c r="F4749" s="2" t="s">
        <v>16092</v>
      </c>
      <c r="H4749" s="2" t="s">
        <v>17</v>
      </c>
      <c r="K4749" s="4" t="s">
        <v>16093</v>
      </c>
      <c r="L4749" s="4">
        <v>22249</v>
      </c>
      <c r="M4749" s="2" t="s">
        <v>40</v>
      </c>
      <c r="N4749" s="2" t="s">
        <v>41</v>
      </c>
    </row>
    <row r="4750" spans="1:14">
      <c r="A4750" s="2">
        <v>4749</v>
      </c>
      <c r="B4750" s="3" t="s">
        <v>16094</v>
      </c>
      <c r="C4750" s="2" t="s">
        <v>16095</v>
      </c>
      <c r="D4750" s="2">
        <v>39</v>
      </c>
      <c r="E4750" s="2">
        <v>40</v>
      </c>
      <c r="F4750" s="2" t="s">
        <v>16096</v>
      </c>
      <c r="H4750" s="2" t="s">
        <v>17</v>
      </c>
      <c r="K4750" s="4">
        <v>5664</v>
      </c>
      <c r="L4750" s="4">
        <v>34575</v>
      </c>
      <c r="M4750" s="2" t="s">
        <v>76</v>
      </c>
      <c r="N4750" s="2" t="s">
        <v>16097</v>
      </c>
    </row>
    <row r="4751" spans="1:14">
      <c r="A4751" s="2">
        <v>4750</v>
      </c>
      <c r="B4751" s="3" t="s">
        <v>16098</v>
      </c>
      <c r="C4751" s="2" t="s">
        <v>16099</v>
      </c>
      <c r="D4751" s="2">
        <v>38</v>
      </c>
      <c r="E4751" s="2">
        <v>40</v>
      </c>
      <c r="F4751" s="2" t="s">
        <v>16100</v>
      </c>
      <c r="H4751" s="2" t="s">
        <v>17</v>
      </c>
      <c r="K4751" s="4">
        <v>3154</v>
      </c>
      <c r="L4751" s="4">
        <v>29194</v>
      </c>
      <c r="M4751" s="2" t="s">
        <v>30</v>
      </c>
    </row>
    <row r="4752" spans="1:14">
      <c r="A4752" s="2">
        <v>4751</v>
      </c>
      <c r="B4752" s="3" t="s">
        <v>16101</v>
      </c>
      <c r="C4752" s="2" t="s">
        <v>16102</v>
      </c>
      <c r="D4752" s="2">
        <v>40</v>
      </c>
      <c r="E4752" s="2">
        <v>40</v>
      </c>
      <c r="F4752" s="2" t="s">
        <v>16103</v>
      </c>
      <c r="H4752" s="2" t="s">
        <v>17</v>
      </c>
      <c r="K4752" s="4">
        <v>7410</v>
      </c>
      <c r="L4752" s="4">
        <v>35268</v>
      </c>
      <c r="M4752" s="2" t="s">
        <v>198</v>
      </c>
      <c r="N4752" s="2" t="s">
        <v>199</v>
      </c>
    </row>
    <row r="4753" spans="1:14">
      <c r="A4753" s="2">
        <v>4752</v>
      </c>
      <c r="B4753" s="3" t="s">
        <v>16104</v>
      </c>
      <c r="C4753" s="2" t="s">
        <v>16105</v>
      </c>
      <c r="D4753" s="2">
        <v>40</v>
      </c>
      <c r="E4753" s="2">
        <v>40</v>
      </c>
      <c r="F4753" s="2" t="s">
        <v>16106</v>
      </c>
      <c r="H4753" s="2" t="s">
        <v>17</v>
      </c>
      <c r="K4753" s="4">
        <v>181</v>
      </c>
      <c r="L4753" s="4">
        <v>21334</v>
      </c>
      <c r="M4753" s="2" t="s">
        <v>91</v>
      </c>
      <c r="N4753" s="2" t="s">
        <v>11063</v>
      </c>
    </row>
    <row r="4754" spans="1:14">
      <c r="A4754" s="2">
        <v>4753</v>
      </c>
      <c r="B4754" s="3" t="s">
        <v>16107</v>
      </c>
      <c r="C4754" s="2" t="s">
        <v>16108</v>
      </c>
      <c r="D4754" s="2">
        <v>39</v>
      </c>
      <c r="E4754" s="2">
        <v>40</v>
      </c>
      <c r="F4754" s="2" t="s">
        <v>16109</v>
      </c>
      <c r="H4754" s="2" t="s">
        <v>17</v>
      </c>
      <c r="K4754" s="4">
        <v>2975</v>
      </c>
      <c r="L4754" s="4">
        <v>30988</v>
      </c>
      <c r="M4754" s="2" t="s">
        <v>76</v>
      </c>
      <c r="N4754" s="2" t="s">
        <v>14001</v>
      </c>
    </row>
    <row r="4755" spans="1:14">
      <c r="A4755" s="2">
        <v>4754</v>
      </c>
      <c r="B4755" s="3" t="s">
        <v>16110</v>
      </c>
      <c r="C4755" s="2" t="s">
        <v>16111</v>
      </c>
      <c r="D4755" s="2">
        <v>37</v>
      </c>
      <c r="E4755" s="2">
        <v>40</v>
      </c>
      <c r="F4755" s="2" t="s">
        <v>16112</v>
      </c>
      <c r="H4755" s="2" t="s">
        <v>17</v>
      </c>
      <c r="K4755" s="4" t="s">
        <v>16113</v>
      </c>
      <c r="L4755" s="4">
        <v>30145</v>
      </c>
      <c r="M4755" s="2" t="s">
        <v>47</v>
      </c>
      <c r="N4755" s="2" t="s">
        <v>3707</v>
      </c>
    </row>
    <row r="4756" spans="1:14">
      <c r="A4756" s="2">
        <v>4755</v>
      </c>
      <c r="B4756" s="3" t="s">
        <v>16114</v>
      </c>
      <c r="C4756" s="2" t="s">
        <v>16115</v>
      </c>
      <c r="D4756" s="2">
        <v>40</v>
      </c>
      <c r="E4756" s="2">
        <v>40</v>
      </c>
      <c r="F4756" s="2" t="s">
        <v>16116</v>
      </c>
      <c r="H4756" s="2" t="s">
        <v>17</v>
      </c>
      <c r="K4756" s="4">
        <v>325</v>
      </c>
      <c r="L4756" s="4">
        <v>26543</v>
      </c>
      <c r="M4756" s="2" t="s">
        <v>76</v>
      </c>
      <c r="N4756" s="2" t="s">
        <v>9787</v>
      </c>
    </row>
    <row r="4757" spans="1:14">
      <c r="A4757" s="2">
        <v>4756</v>
      </c>
      <c r="B4757" s="3" t="s">
        <v>16117</v>
      </c>
      <c r="C4757" s="2" t="s">
        <v>16118</v>
      </c>
      <c r="D4757" s="2">
        <v>40</v>
      </c>
      <c r="E4757" s="2">
        <v>40</v>
      </c>
      <c r="F4757" s="2" t="s">
        <v>16119</v>
      </c>
      <c r="H4757" s="2" t="s">
        <v>17</v>
      </c>
      <c r="L4757" s="4">
        <v>34232</v>
      </c>
      <c r="M4757" s="2" t="s">
        <v>66</v>
      </c>
      <c r="N4757" s="2" t="s">
        <v>359</v>
      </c>
    </row>
    <row r="4758" spans="1:14">
      <c r="A4758" s="2">
        <v>4757</v>
      </c>
      <c r="B4758" s="3" t="s">
        <v>16120</v>
      </c>
      <c r="C4758" s="2" t="s">
        <v>16121</v>
      </c>
      <c r="D4758" s="2">
        <v>40</v>
      </c>
      <c r="E4758" s="2">
        <v>40</v>
      </c>
      <c r="F4758" s="2" t="s">
        <v>16122</v>
      </c>
      <c r="H4758" s="2" t="s">
        <v>17</v>
      </c>
      <c r="K4758" s="4" t="s">
        <v>16123</v>
      </c>
      <c r="L4758" s="4">
        <v>24814</v>
      </c>
      <c r="M4758" s="2" t="s">
        <v>35</v>
      </c>
      <c r="N4758" s="2" t="s">
        <v>703</v>
      </c>
    </row>
    <row r="4759" spans="1:14">
      <c r="A4759" s="2">
        <v>4758</v>
      </c>
      <c r="B4759" s="3" t="s">
        <v>16124</v>
      </c>
      <c r="C4759" s="2" t="s">
        <v>16125</v>
      </c>
      <c r="D4759" s="2">
        <v>39</v>
      </c>
      <c r="E4759" s="2">
        <v>40</v>
      </c>
      <c r="F4759" s="2" t="s">
        <v>16126</v>
      </c>
      <c r="H4759" s="2" t="s">
        <v>17</v>
      </c>
      <c r="K4759" s="4">
        <v>942</v>
      </c>
      <c r="L4759" s="4">
        <v>32095</v>
      </c>
      <c r="M4759" s="2" t="s">
        <v>66</v>
      </c>
      <c r="N4759" s="2" t="s">
        <v>105</v>
      </c>
    </row>
    <row r="4760" spans="1:14">
      <c r="A4760" s="2">
        <v>4759</v>
      </c>
      <c r="B4760" s="3" t="s">
        <v>16127</v>
      </c>
      <c r="C4760" s="2" t="s">
        <v>16128</v>
      </c>
      <c r="D4760" s="2">
        <v>39</v>
      </c>
      <c r="E4760" s="2">
        <v>40</v>
      </c>
      <c r="F4760" s="2" t="s">
        <v>16129</v>
      </c>
      <c r="H4760" s="2" t="s">
        <v>17</v>
      </c>
      <c r="K4760" s="4">
        <v>5732</v>
      </c>
      <c r="L4760" s="4">
        <v>32906</v>
      </c>
      <c r="M4760" s="2" t="s">
        <v>198</v>
      </c>
      <c r="N4760" s="2" t="s">
        <v>3671</v>
      </c>
    </row>
    <row r="4761" spans="1:14">
      <c r="A4761" s="2">
        <v>4760</v>
      </c>
      <c r="B4761" s="3" t="s">
        <v>16130</v>
      </c>
      <c r="C4761" s="2" t="s">
        <v>16131</v>
      </c>
      <c r="D4761" s="2">
        <v>40</v>
      </c>
      <c r="E4761" s="2">
        <v>40</v>
      </c>
      <c r="F4761" s="2" t="s">
        <v>16132</v>
      </c>
      <c r="H4761" s="2" t="s">
        <v>17</v>
      </c>
      <c r="K4761" s="4">
        <v>496</v>
      </c>
      <c r="L4761" s="4">
        <v>33301</v>
      </c>
      <c r="M4761" s="2" t="s">
        <v>154</v>
      </c>
      <c r="N4761" s="2" t="s">
        <v>15684</v>
      </c>
    </row>
    <row r="4762" spans="1:14">
      <c r="A4762" s="2">
        <v>4761</v>
      </c>
      <c r="B4762" s="3" t="s">
        <v>16133</v>
      </c>
      <c r="C4762" s="2" t="s">
        <v>16134</v>
      </c>
      <c r="D4762" s="2">
        <v>36</v>
      </c>
      <c r="E4762" s="2">
        <v>40</v>
      </c>
      <c r="F4762" s="2" t="s">
        <v>16135</v>
      </c>
      <c r="H4762" s="2" t="s">
        <v>17</v>
      </c>
      <c r="K4762" s="4">
        <v>1715</v>
      </c>
      <c r="L4762" s="4">
        <v>31727</v>
      </c>
      <c r="M4762" s="2" t="s">
        <v>170</v>
      </c>
      <c r="N4762" s="2" t="s">
        <v>171</v>
      </c>
    </row>
    <row r="4763" spans="1:14">
      <c r="A4763" s="2">
        <v>4762</v>
      </c>
      <c r="B4763" s="3" t="s">
        <v>16136</v>
      </c>
      <c r="C4763" s="2" t="s">
        <v>16137</v>
      </c>
      <c r="D4763" s="2">
        <v>40</v>
      </c>
      <c r="E4763" s="2">
        <v>40</v>
      </c>
      <c r="F4763" s="2" t="s">
        <v>16138</v>
      </c>
      <c r="H4763" s="2" t="s">
        <v>17</v>
      </c>
      <c r="K4763" s="4">
        <v>124</v>
      </c>
      <c r="L4763" s="4">
        <v>33324</v>
      </c>
      <c r="M4763" s="2" t="s">
        <v>76</v>
      </c>
      <c r="N4763" s="2" t="s">
        <v>4886</v>
      </c>
    </row>
    <row r="4764" spans="1:14">
      <c r="A4764" s="2">
        <v>4763</v>
      </c>
      <c r="B4764" s="3" t="s">
        <v>16139</v>
      </c>
      <c r="C4764" s="2" t="s">
        <v>16140</v>
      </c>
      <c r="D4764" s="2">
        <v>40</v>
      </c>
      <c r="E4764" s="2">
        <v>40</v>
      </c>
      <c r="F4764" s="2" t="s">
        <v>16141</v>
      </c>
      <c r="H4764" s="2" t="s">
        <v>17</v>
      </c>
      <c r="K4764" s="4">
        <v>3667</v>
      </c>
      <c r="L4764" s="4">
        <v>23292</v>
      </c>
      <c r="M4764" s="2" t="s">
        <v>47</v>
      </c>
      <c r="N4764" s="2" t="s">
        <v>14900</v>
      </c>
    </row>
    <row r="4765" spans="1:14">
      <c r="A4765" s="2">
        <v>4764</v>
      </c>
      <c r="B4765" s="3" t="s">
        <v>16142</v>
      </c>
      <c r="C4765" s="2" t="s">
        <v>16143</v>
      </c>
      <c r="D4765" s="2">
        <v>40</v>
      </c>
      <c r="E4765" s="2">
        <v>40</v>
      </c>
      <c r="F4765" s="2" t="s">
        <v>16144</v>
      </c>
      <c r="H4765" s="2" t="s">
        <v>17</v>
      </c>
      <c r="K4765" s="4" t="s">
        <v>16145</v>
      </c>
      <c r="L4765" s="4">
        <v>22744</v>
      </c>
      <c r="M4765" s="2" t="s">
        <v>146</v>
      </c>
      <c r="N4765" s="2" t="s">
        <v>7497</v>
      </c>
    </row>
    <row r="4766" spans="1:14">
      <c r="A4766" s="2">
        <v>4765</v>
      </c>
      <c r="B4766" s="3" t="s">
        <v>16146</v>
      </c>
      <c r="C4766" s="2" t="s">
        <v>16147</v>
      </c>
      <c r="D4766" s="2">
        <v>40</v>
      </c>
      <c r="E4766" s="2">
        <v>40</v>
      </c>
      <c r="F4766" s="2" t="s">
        <v>16148</v>
      </c>
      <c r="H4766" s="2" t="s">
        <v>17</v>
      </c>
      <c r="K4766" s="4">
        <v>6769</v>
      </c>
      <c r="L4766" s="4">
        <v>41647</v>
      </c>
      <c r="M4766" s="2" t="s">
        <v>47</v>
      </c>
    </row>
    <row r="4767" spans="1:14">
      <c r="A4767" s="2">
        <v>4766</v>
      </c>
      <c r="B4767" s="3" t="s">
        <v>16149</v>
      </c>
      <c r="C4767" s="2" t="s">
        <v>16150</v>
      </c>
      <c r="D4767" s="2">
        <v>40</v>
      </c>
      <c r="E4767" s="2">
        <v>40</v>
      </c>
      <c r="F4767" s="2" t="s">
        <v>16151</v>
      </c>
      <c r="H4767" s="2" t="s">
        <v>17</v>
      </c>
      <c r="K4767" s="4" t="s">
        <v>16152</v>
      </c>
      <c r="L4767" s="4">
        <v>21340</v>
      </c>
      <c r="M4767" s="2" t="s">
        <v>198</v>
      </c>
      <c r="N4767" s="2" t="s">
        <v>5846</v>
      </c>
    </row>
    <row r="4768" spans="1:14">
      <c r="A4768" s="2">
        <v>4767</v>
      </c>
      <c r="B4768" s="3" t="s">
        <v>16153</v>
      </c>
      <c r="C4768" s="2" t="s">
        <v>16154</v>
      </c>
      <c r="D4768" s="2">
        <v>40</v>
      </c>
      <c r="E4768" s="2">
        <v>40</v>
      </c>
      <c r="F4768" s="2" t="s">
        <v>16155</v>
      </c>
      <c r="H4768" s="2" t="s">
        <v>17</v>
      </c>
      <c r="K4768" s="4">
        <v>9415</v>
      </c>
      <c r="M4768" s="2" t="s">
        <v>30</v>
      </c>
      <c r="N4768" s="2" t="s">
        <v>31</v>
      </c>
    </row>
    <row r="4769" spans="1:14">
      <c r="A4769" s="2">
        <v>4768</v>
      </c>
      <c r="B4769" s="3" t="s">
        <v>16156</v>
      </c>
      <c r="C4769" s="2" t="s">
        <v>4595</v>
      </c>
      <c r="D4769" s="2">
        <v>40</v>
      </c>
      <c r="E4769" s="2">
        <v>40</v>
      </c>
      <c r="F4769" s="2" t="s">
        <v>16157</v>
      </c>
      <c r="H4769" s="2" t="s">
        <v>17</v>
      </c>
      <c r="K4769" s="4">
        <v>3658</v>
      </c>
      <c r="L4769" s="4">
        <v>34455</v>
      </c>
      <c r="M4769" s="2" t="s">
        <v>154</v>
      </c>
      <c r="N4769" s="2" t="s">
        <v>1413</v>
      </c>
    </row>
    <row r="4770" spans="1:14">
      <c r="A4770" s="2">
        <v>4769</v>
      </c>
      <c r="B4770" s="3" t="s">
        <v>16158</v>
      </c>
      <c r="C4770" s="2" t="s">
        <v>16159</v>
      </c>
      <c r="D4770" s="2">
        <v>40</v>
      </c>
      <c r="E4770" s="2">
        <v>40</v>
      </c>
      <c r="F4770" s="2" t="s">
        <v>16160</v>
      </c>
      <c r="H4770" s="2" t="s">
        <v>17</v>
      </c>
      <c r="K4770" s="4">
        <v>1845</v>
      </c>
      <c r="M4770" s="2" t="s">
        <v>66</v>
      </c>
      <c r="N4770" s="2" t="s">
        <v>3787</v>
      </c>
    </row>
    <row r="4771" spans="1:14">
      <c r="A4771" s="2">
        <v>4770</v>
      </c>
      <c r="B4771" s="3" t="s">
        <v>16161</v>
      </c>
      <c r="C4771" s="2" t="s">
        <v>16162</v>
      </c>
      <c r="D4771" s="2">
        <v>38</v>
      </c>
      <c r="E4771" s="2">
        <v>40</v>
      </c>
      <c r="F4771" s="2" t="s">
        <v>16163</v>
      </c>
      <c r="H4771" s="2" t="s">
        <v>17</v>
      </c>
      <c r="K4771" s="4" t="s">
        <v>16164</v>
      </c>
      <c r="L4771" s="4">
        <v>27865</v>
      </c>
      <c r="M4771" s="2" t="s">
        <v>170</v>
      </c>
      <c r="N4771" s="2" t="s">
        <v>171</v>
      </c>
    </row>
    <row r="4772" spans="1:14">
      <c r="A4772" s="2">
        <v>4771</v>
      </c>
      <c r="B4772" s="3" t="s">
        <v>16165</v>
      </c>
      <c r="C4772" s="2" t="s">
        <v>16166</v>
      </c>
      <c r="D4772" s="2">
        <v>40</v>
      </c>
      <c r="E4772" s="2">
        <v>40</v>
      </c>
      <c r="F4772" s="2" t="s">
        <v>16167</v>
      </c>
      <c r="H4772" s="2" t="s">
        <v>17</v>
      </c>
      <c r="K4772" s="4">
        <v>5344</v>
      </c>
      <c r="L4772" s="4">
        <v>32470</v>
      </c>
      <c r="M4772" s="2" t="s">
        <v>40</v>
      </c>
      <c r="N4772" s="2" t="s">
        <v>41</v>
      </c>
    </row>
    <row r="4773" spans="1:14">
      <c r="A4773" s="2">
        <v>4772</v>
      </c>
      <c r="B4773" s="3" t="s">
        <v>16168</v>
      </c>
      <c r="C4773" s="2" t="s">
        <v>16169</v>
      </c>
      <c r="D4773" s="2">
        <v>40</v>
      </c>
      <c r="E4773" s="2">
        <v>40</v>
      </c>
      <c r="F4773" s="2" t="s">
        <v>16170</v>
      </c>
      <c r="H4773" s="2" t="s">
        <v>17</v>
      </c>
      <c r="K4773" s="4">
        <v>4996</v>
      </c>
      <c r="L4773" s="4">
        <v>29152</v>
      </c>
      <c r="M4773" s="2" t="s">
        <v>47</v>
      </c>
      <c r="N4773" s="2" t="s">
        <v>6256</v>
      </c>
    </row>
    <row r="4774" spans="1:14">
      <c r="A4774" s="2">
        <v>4773</v>
      </c>
      <c r="B4774" s="3" t="s">
        <v>16171</v>
      </c>
      <c r="C4774" s="2" t="s">
        <v>16172</v>
      </c>
      <c r="D4774" s="2">
        <v>40</v>
      </c>
      <c r="E4774" s="2">
        <v>40</v>
      </c>
      <c r="F4774" s="2" t="s">
        <v>16173</v>
      </c>
      <c r="H4774" s="2" t="s">
        <v>17</v>
      </c>
      <c r="K4774" s="4">
        <v>7482</v>
      </c>
      <c r="L4774" s="4">
        <v>32986</v>
      </c>
      <c r="M4774" s="2" t="s">
        <v>164</v>
      </c>
      <c r="N4774" s="2" t="s">
        <v>1223</v>
      </c>
    </row>
    <row r="4775" spans="1:14">
      <c r="A4775" s="2">
        <v>4774</v>
      </c>
      <c r="B4775" s="3" t="s">
        <v>16174</v>
      </c>
      <c r="C4775" s="2" t="s">
        <v>16175</v>
      </c>
      <c r="D4775" s="2">
        <v>39</v>
      </c>
      <c r="E4775" s="2">
        <v>40</v>
      </c>
      <c r="F4775" s="2" t="s">
        <v>16176</v>
      </c>
      <c r="H4775" s="2" t="s">
        <v>17</v>
      </c>
      <c r="K4775" s="4">
        <v>1919</v>
      </c>
      <c r="L4775" s="4">
        <v>37100</v>
      </c>
      <c r="M4775" s="2" t="s">
        <v>164</v>
      </c>
      <c r="N4775" s="2" t="s">
        <v>165</v>
      </c>
    </row>
    <row r="4776" spans="1:14">
      <c r="A4776" s="2">
        <v>4775</v>
      </c>
      <c r="B4776" s="3" t="s">
        <v>16177</v>
      </c>
      <c r="C4776" s="2" t="s">
        <v>16178</v>
      </c>
      <c r="D4776" s="2">
        <v>38</v>
      </c>
      <c r="E4776" s="2">
        <v>40</v>
      </c>
      <c r="F4776" s="2" t="s">
        <v>16179</v>
      </c>
      <c r="H4776" s="2" t="s">
        <v>17</v>
      </c>
      <c r="K4776" s="4">
        <v>2374</v>
      </c>
      <c r="L4776" s="4">
        <v>33528</v>
      </c>
      <c r="M4776" s="2" t="s">
        <v>170</v>
      </c>
      <c r="N4776" s="2" t="s">
        <v>323</v>
      </c>
    </row>
    <row r="4777" spans="1:14">
      <c r="A4777" s="2">
        <v>4776</v>
      </c>
      <c r="B4777" s="3" t="s">
        <v>16180</v>
      </c>
      <c r="C4777" s="2" t="s">
        <v>16181</v>
      </c>
      <c r="D4777" s="2">
        <v>40</v>
      </c>
      <c r="E4777" s="2">
        <v>40</v>
      </c>
      <c r="F4777" s="2" t="s">
        <v>16182</v>
      </c>
      <c r="H4777" s="2" t="s">
        <v>17</v>
      </c>
      <c r="K4777" s="4">
        <v>3226</v>
      </c>
      <c r="L4777" s="4">
        <v>28003</v>
      </c>
      <c r="M4777" s="2" t="s">
        <v>423</v>
      </c>
      <c r="N4777" s="2" t="s">
        <v>464</v>
      </c>
    </row>
    <row r="4778" spans="1:14">
      <c r="A4778" s="2">
        <v>4777</v>
      </c>
      <c r="B4778" s="3" t="s">
        <v>16183</v>
      </c>
      <c r="C4778" s="2" t="s">
        <v>16184</v>
      </c>
      <c r="D4778" s="2">
        <v>40</v>
      </c>
      <c r="E4778" s="2">
        <v>40</v>
      </c>
      <c r="F4778" s="2" t="s">
        <v>16185</v>
      </c>
      <c r="H4778" s="2" t="s">
        <v>17</v>
      </c>
      <c r="K4778" s="4">
        <v>4116</v>
      </c>
      <c r="L4778" s="4">
        <v>25787</v>
      </c>
      <c r="M4778" s="2" t="s">
        <v>185</v>
      </c>
      <c r="N4778" s="2" t="s">
        <v>838</v>
      </c>
    </row>
    <row r="4779" spans="1:14">
      <c r="A4779" s="2">
        <v>4778</v>
      </c>
      <c r="B4779" s="3" t="s">
        <v>16186</v>
      </c>
      <c r="C4779" s="2" t="s">
        <v>16187</v>
      </c>
      <c r="D4779" s="2">
        <v>40</v>
      </c>
      <c r="E4779" s="2">
        <v>40</v>
      </c>
      <c r="F4779" s="2" t="s">
        <v>16188</v>
      </c>
      <c r="H4779" s="2" t="s">
        <v>17</v>
      </c>
      <c r="K4779" s="4">
        <v>2716</v>
      </c>
      <c r="L4779" s="4">
        <v>36597</v>
      </c>
      <c r="M4779" s="2" t="s">
        <v>85</v>
      </c>
      <c r="N4779" s="2" t="s">
        <v>9578</v>
      </c>
    </row>
    <row r="4780" spans="1:14">
      <c r="A4780" s="2">
        <v>4779</v>
      </c>
      <c r="B4780" s="3" t="s">
        <v>16189</v>
      </c>
      <c r="C4780" s="2" t="s">
        <v>16190</v>
      </c>
      <c r="D4780" s="2">
        <v>38</v>
      </c>
      <c r="E4780" s="2">
        <v>40</v>
      </c>
      <c r="F4780" s="2" t="s">
        <v>16191</v>
      </c>
      <c r="H4780" s="2" t="s">
        <v>17</v>
      </c>
      <c r="K4780" s="4">
        <v>1604</v>
      </c>
      <c r="L4780" s="4">
        <v>29262</v>
      </c>
      <c r="M4780" s="2" t="s">
        <v>140</v>
      </c>
      <c r="N4780" s="2" t="s">
        <v>4671</v>
      </c>
    </row>
    <row r="4781" spans="1:14">
      <c r="A4781" s="2">
        <v>4780</v>
      </c>
      <c r="B4781" s="3" t="s">
        <v>16192</v>
      </c>
      <c r="C4781" s="2" t="s">
        <v>16193</v>
      </c>
      <c r="D4781" s="2">
        <v>40</v>
      </c>
      <c r="E4781" s="2">
        <v>40</v>
      </c>
      <c r="F4781" s="2" t="s">
        <v>16194</v>
      </c>
      <c r="H4781" s="2" t="s">
        <v>17</v>
      </c>
      <c r="K4781" s="4">
        <v>4368</v>
      </c>
      <c r="L4781" s="4">
        <v>21183</v>
      </c>
      <c r="M4781" s="2" t="s">
        <v>66</v>
      </c>
      <c r="N4781" s="2" t="s">
        <v>12251</v>
      </c>
    </row>
    <row r="4782" spans="1:14">
      <c r="A4782" s="2">
        <v>4781</v>
      </c>
      <c r="B4782" s="3" t="s">
        <v>16195</v>
      </c>
      <c r="C4782" s="2" t="s">
        <v>16196</v>
      </c>
      <c r="D4782" s="2">
        <v>40</v>
      </c>
      <c r="E4782" s="2">
        <v>40</v>
      </c>
      <c r="F4782" s="2" t="s">
        <v>16197</v>
      </c>
      <c r="H4782" s="2" t="s">
        <v>17</v>
      </c>
      <c r="K4782" s="4">
        <v>4092</v>
      </c>
      <c r="L4782" s="4">
        <v>34564</v>
      </c>
      <c r="M4782" s="2" t="s">
        <v>35</v>
      </c>
      <c r="N4782" s="2" t="s">
        <v>10110</v>
      </c>
    </row>
    <row r="4783" spans="1:14">
      <c r="A4783" s="2">
        <v>4782</v>
      </c>
      <c r="B4783" s="3" t="s">
        <v>16198</v>
      </c>
      <c r="C4783" s="2" t="s">
        <v>16199</v>
      </c>
      <c r="D4783" s="2">
        <v>40</v>
      </c>
      <c r="E4783" s="2">
        <v>40</v>
      </c>
      <c r="F4783" s="2" t="s">
        <v>16200</v>
      </c>
      <c r="H4783" s="2" t="s">
        <v>17</v>
      </c>
      <c r="K4783" s="4">
        <v>1473</v>
      </c>
      <c r="L4783" s="4">
        <v>31597</v>
      </c>
      <c r="M4783" s="2" t="s">
        <v>146</v>
      </c>
      <c r="N4783" s="2" t="s">
        <v>10856</v>
      </c>
    </row>
    <row r="4784" spans="1:14">
      <c r="A4784" s="2">
        <v>4783</v>
      </c>
      <c r="B4784" s="3" t="s">
        <v>16201</v>
      </c>
      <c r="C4784" s="2" t="s">
        <v>16202</v>
      </c>
      <c r="D4784" s="2">
        <v>39</v>
      </c>
      <c r="E4784" s="2">
        <v>40</v>
      </c>
      <c r="F4784" s="2" t="s">
        <v>16203</v>
      </c>
      <c r="H4784" s="2" t="s">
        <v>17</v>
      </c>
      <c r="K4784" s="4" t="s">
        <v>16204</v>
      </c>
      <c r="L4784" s="4">
        <v>29048</v>
      </c>
      <c r="M4784" s="2" t="s">
        <v>336</v>
      </c>
      <c r="N4784" s="2" t="s">
        <v>7245</v>
      </c>
    </row>
    <row r="4785" spans="1:14">
      <c r="A4785" s="2">
        <v>4784</v>
      </c>
      <c r="B4785" s="3" t="s">
        <v>16205</v>
      </c>
      <c r="C4785" s="2" t="s">
        <v>16206</v>
      </c>
      <c r="D4785" s="2">
        <v>40</v>
      </c>
      <c r="E4785" s="2">
        <v>40</v>
      </c>
      <c r="F4785" s="2" t="s">
        <v>16207</v>
      </c>
      <c r="H4785" s="2" t="s">
        <v>17</v>
      </c>
      <c r="K4785" s="4">
        <v>4846</v>
      </c>
      <c r="L4785" s="4">
        <v>27071</v>
      </c>
      <c r="M4785" s="2" t="s">
        <v>198</v>
      </c>
      <c r="N4785" s="2" t="s">
        <v>3464</v>
      </c>
    </row>
    <row r="4786" spans="1:14">
      <c r="A4786" s="2">
        <v>4785</v>
      </c>
      <c r="B4786" s="3" t="s">
        <v>16208</v>
      </c>
      <c r="C4786" s="2" t="s">
        <v>16209</v>
      </c>
      <c r="D4786" s="2">
        <v>38</v>
      </c>
      <c r="E4786" s="2">
        <v>40</v>
      </c>
      <c r="F4786" s="2" t="s">
        <v>16210</v>
      </c>
      <c r="H4786" s="2" t="s">
        <v>17</v>
      </c>
      <c r="K4786" s="4" t="s">
        <v>16211</v>
      </c>
      <c r="L4786" s="4">
        <v>29218</v>
      </c>
      <c r="M4786" s="2" t="s">
        <v>198</v>
      </c>
      <c r="N4786" s="2" t="s">
        <v>2976</v>
      </c>
    </row>
    <row r="4787" spans="1:14">
      <c r="A4787" s="2">
        <v>4786</v>
      </c>
      <c r="B4787" s="3" t="s">
        <v>16212</v>
      </c>
      <c r="C4787" s="2" t="s">
        <v>16213</v>
      </c>
      <c r="D4787" s="2">
        <v>38</v>
      </c>
      <c r="E4787" s="2">
        <v>40</v>
      </c>
      <c r="F4787" s="2" t="s">
        <v>16214</v>
      </c>
      <c r="H4787" s="2" t="s">
        <v>17</v>
      </c>
      <c r="K4787" s="4">
        <v>5848</v>
      </c>
      <c r="L4787" s="4">
        <v>39684</v>
      </c>
      <c r="M4787" s="2" t="s">
        <v>35</v>
      </c>
      <c r="N4787" s="2" t="s">
        <v>5456</v>
      </c>
    </row>
    <row r="4788" spans="1:14">
      <c r="A4788" s="2">
        <v>4787</v>
      </c>
      <c r="B4788" s="3" t="s">
        <v>16215</v>
      </c>
      <c r="C4788" s="2" t="s">
        <v>16216</v>
      </c>
      <c r="D4788" s="2">
        <v>39</v>
      </c>
      <c r="E4788" s="2">
        <v>40</v>
      </c>
      <c r="F4788" s="2" t="s">
        <v>16217</v>
      </c>
      <c r="H4788" s="2" t="s">
        <v>17</v>
      </c>
      <c r="K4788" s="4">
        <v>612</v>
      </c>
      <c r="M4788" s="2" t="s">
        <v>35</v>
      </c>
      <c r="N4788" s="2" t="s">
        <v>15517</v>
      </c>
    </row>
    <row r="4789" spans="1:14">
      <c r="A4789" s="2">
        <v>4788</v>
      </c>
      <c r="B4789" s="3" t="s">
        <v>16218</v>
      </c>
      <c r="C4789" s="2" t="s">
        <v>16219</v>
      </c>
      <c r="D4789" s="2">
        <v>40</v>
      </c>
      <c r="E4789" s="2">
        <v>40</v>
      </c>
      <c r="F4789" s="2" t="s">
        <v>16220</v>
      </c>
      <c r="H4789" s="2" t="s">
        <v>17</v>
      </c>
      <c r="K4789" s="4">
        <v>908</v>
      </c>
      <c r="M4789" s="2" t="s">
        <v>154</v>
      </c>
      <c r="N4789" s="2" t="s">
        <v>208</v>
      </c>
    </row>
    <row r="4790" spans="1:14">
      <c r="A4790" s="2">
        <v>4789</v>
      </c>
      <c r="B4790" s="3" t="s">
        <v>16221</v>
      </c>
      <c r="C4790" s="2" t="s">
        <v>16222</v>
      </c>
      <c r="D4790" s="2">
        <v>40</v>
      </c>
      <c r="E4790" s="2">
        <v>40</v>
      </c>
      <c r="F4790" s="2" t="s">
        <v>16223</v>
      </c>
      <c r="H4790" s="2" t="s">
        <v>17</v>
      </c>
    </row>
    <row r="4791" spans="1:14">
      <c r="A4791" s="2">
        <v>4790</v>
      </c>
      <c r="B4791" s="3" t="s">
        <v>16224</v>
      </c>
      <c r="C4791" s="2" t="s">
        <v>16225</v>
      </c>
      <c r="D4791" s="2">
        <v>39</v>
      </c>
      <c r="E4791" s="2">
        <v>40</v>
      </c>
      <c r="F4791" s="2" t="s">
        <v>16226</v>
      </c>
      <c r="H4791" s="2" t="s">
        <v>17</v>
      </c>
      <c r="K4791" s="4">
        <v>5520</v>
      </c>
      <c r="L4791" s="4">
        <v>32341</v>
      </c>
      <c r="M4791" s="2" t="s">
        <v>423</v>
      </c>
      <c r="N4791" s="2" t="s">
        <v>7880</v>
      </c>
    </row>
    <row r="4792" spans="1:14">
      <c r="A4792" s="2">
        <v>4791</v>
      </c>
      <c r="B4792" s="3" t="s">
        <v>16227</v>
      </c>
      <c r="C4792" s="2" t="s">
        <v>16228</v>
      </c>
      <c r="D4792" s="2">
        <v>40</v>
      </c>
      <c r="E4792" s="2">
        <v>40</v>
      </c>
      <c r="F4792" s="2" t="s">
        <v>16229</v>
      </c>
      <c r="H4792" s="2" t="s">
        <v>17</v>
      </c>
    </row>
    <row r="4793" spans="1:14">
      <c r="A4793" s="2">
        <v>4792</v>
      </c>
      <c r="B4793" s="3" t="s">
        <v>16230</v>
      </c>
      <c r="C4793" s="2" t="s">
        <v>16231</v>
      </c>
      <c r="D4793" s="2">
        <v>40</v>
      </c>
      <c r="E4793" s="2">
        <v>40</v>
      </c>
      <c r="F4793" s="2" t="s">
        <v>16232</v>
      </c>
      <c r="H4793" s="2" t="s">
        <v>17</v>
      </c>
      <c r="K4793" s="4">
        <v>3034</v>
      </c>
      <c r="L4793" s="4">
        <v>21048</v>
      </c>
      <c r="M4793" s="2" t="s">
        <v>91</v>
      </c>
      <c r="N4793" s="2" t="s">
        <v>11063</v>
      </c>
    </row>
    <row r="4794" spans="1:14">
      <c r="A4794" s="2">
        <v>4793</v>
      </c>
      <c r="B4794" s="3" t="s">
        <v>16233</v>
      </c>
      <c r="C4794" s="2" t="s">
        <v>16234</v>
      </c>
      <c r="D4794" s="2">
        <v>40</v>
      </c>
      <c r="E4794" s="2">
        <v>40</v>
      </c>
      <c r="F4794" s="2" t="s">
        <v>16235</v>
      </c>
      <c r="H4794" s="2" t="s">
        <v>17</v>
      </c>
      <c r="K4794" s="4">
        <v>2233</v>
      </c>
      <c r="L4794" s="4">
        <v>30891</v>
      </c>
      <c r="M4794" s="2" t="s">
        <v>146</v>
      </c>
      <c r="N4794" s="2" t="s">
        <v>10856</v>
      </c>
    </row>
    <row r="4795" spans="1:14">
      <c r="A4795" s="2">
        <v>4794</v>
      </c>
      <c r="B4795" s="3" t="s">
        <v>16236</v>
      </c>
      <c r="C4795" s="2" t="s">
        <v>16237</v>
      </c>
      <c r="D4795" s="2">
        <v>39</v>
      </c>
      <c r="E4795" s="2">
        <v>39</v>
      </c>
      <c r="F4795" s="2" t="s">
        <v>16238</v>
      </c>
      <c r="H4795" s="2" t="s">
        <v>17</v>
      </c>
      <c r="K4795" s="4">
        <v>4577</v>
      </c>
      <c r="L4795" s="4">
        <v>28914</v>
      </c>
      <c r="M4795" s="2" t="s">
        <v>40</v>
      </c>
      <c r="N4795" s="2" t="s">
        <v>41</v>
      </c>
    </row>
    <row r="4796" spans="1:14">
      <c r="A4796" s="2">
        <v>4795</v>
      </c>
      <c r="B4796" s="3" t="s">
        <v>16239</v>
      </c>
      <c r="C4796" s="2" t="s">
        <v>16240</v>
      </c>
      <c r="D4796" s="2">
        <v>39</v>
      </c>
      <c r="E4796" s="2">
        <v>39</v>
      </c>
      <c r="F4796" s="2" t="s">
        <v>16241</v>
      </c>
      <c r="H4796" s="2" t="s">
        <v>17</v>
      </c>
      <c r="K4796" s="4">
        <v>1640</v>
      </c>
      <c r="L4796" s="4">
        <v>27122</v>
      </c>
      <c r="M4796" s="2" t="s">
        <v>336</v>
      </c>
      <c r="N4796" s="2" t="s">
        <v>6488</v>
      </c>
    </row>
    <row r="4797" spans="1:14">
      <c r="A4797" s="2">
        <v>4796</v>
      </c>
      <c r="B4797" s="3" t="s">
        <v>16242</v>
      </c>
      <c r="C4797" s="2" t="s">
        <v>16243</v>
      </c>
      <c r="D4797" s="2">
        <v>38</v>
      </c>
      <c r="E4797" s="2">
        <v>39</v>
      </c>
      <c r="F4797" s="2" t="s">
        <v>16244</v>
      </c>
      <c r="H4797" s="2" t="s">
        <v>17</v>
      </c>
      <c r="K4797" s="4">
        <v>2291</v>
      </c>
      <c r="L4797" s="4">
        <v>27993</v>
      </c>
      <c r="M4797" s="2" t="s">
        <v>170</v>
      </c>
      <c r="N4797" s="2" t="s">
        <v>323</v>
      </c>
    </row>
    <row r="4798" spans="1:14">
      <c r="A4798" s="2">
        <v>4797</v>
      </c>
      <c r="B4798" s="3" t="s">
        <v>16245</v>
      </c>
      <c r="C4798" s="2" t="s">
        <v>16246</v>
      </c>
      <c r="D4798" s="2">
        <v>39</v>
      </c>
      <c r="E4798" s="2">
        <v>39</v>
      </c>
      <c r="F4798" s="2" t="s">
        <v>16247</v>
      </c>
      <c r="H4798" s="2" t="s">
        <v>17</v>
      </c>
      <c r="K4798" s="4" t="s">
        <v>16248</v>
      </c>
      <c r="L4798" s="4">
        <v>31575</v>
      </c>
      <c r="M4798" s="2" t="s">
        <v>66</v>
      </c>
      <c r="N4798" s="2" t="s">
        <v>3384</v>
      </c>
    </row>
    <row r="4799" spans="1:14">
      <c r="A4799" s="2">
        <v>4798</v>
      </c>
      <c r="B4799" s="3" t="s">
        <v>16249</v>
      </c>
      <c r="C4799" s="2" t="s">
        <v>16250</v>
      </c>
      <c r="D4799" s="2">
        <v>39</v>
      </c>
      <c r="E4799" s="2">
        <v>39</v>
      </c>
      <c r="F4799" s="2" t="s">
        <v>16251</v>
      </c>
      <c r="H4799" s="2" t="s">
        <v>17</v>
      </c>
      <c r="K4799" s="4">
        <v>4155</v>
      </c>
      <c r="L4799" s="4">
        <v>34142</v>
      </c>
      <c r="M4799" s="2" t="s">
        <v>336</v>
      </c>
      <c r="N4799" s="2" t="s">
        <v>7208</v>
      </c>
    </row>
    <row r="4800" spans="1:14">
      <c r="A4800" s="2">
        <v>4799</v>
      </c>
      <c r="B4800" s="3" t="s">
        <v>16252</v>
      </c>
      <c r="C4800" s="2" t="s">
        <v>16253</v>
      </c>
      <c r="D4800" s="2">
        <v>36</v>
      </c>
      <c r="E4800" s="2">
        <v>39</v>
      </c>
      <c r="F4800" s="2" t="s">
        <v>16254</v>
      </c>
      <c r="H4800" s="2" t="s">
        <v>17</v>
      </c>
      <c r="K4800" s="4" t="s">
        <v>16255</v>
      </c>
      <c r="L4800" s="4">
        <v>31393</v>
      </c>
      <c r="M4800" s="2" t="s">
        <v>66</v>
      </c>
      <c r="N4800" s="2" t="s">
        <v>6270</v>
      </c>
    </row>
    <row r="4801" spans="1:14">
      <c r="A4801" s="2">
        <v>4800</v>
      </c>
      <c r="B4801" s="3" t="s">
        <v>16256</v>
      </c>
      <c r="C4801" s="2" t="s">
        <v>16257</v>
      </c>
      <c r="D4801" s="2">
        <v>39</v>
      </c>
      <c r="E4801" s="2">
        <v>39</v>
      </c>
      <c r="F4801" s="2" t="s">
        <v>16258</v>
      </c>
      <c r="H4801" s="2" t="s">
        <v>17</v>
      </c>
      <c r="K4801" s="4">
        <v>468</v>
      </c>
      <c r="L4801" s="4">
        <v>23894</v>
      </c>
      <c r="M4801" s="2" t="s">
        <v>170</v>
      </c>
    </row>
    <row r="4802" spans="1:14">
      <c r="A4802" s="2">
        <v>4801</v>
      </c>
      <c r="B4802" s="3" t="s">
        <v>16259</v>
      </c>
      <c r="C4802" s="2" t="s">
        <v>16260</v>
      </c>
      <c r="D4802" s="2">
        <v>39</v>
      </c>
      <c r="E4802" s="2">
        <v>39</v>
      </c>
      <c r="F4802" s="2" t="s">
        <v>16261</v>
      </c>
      <c r="H4802" s="2" t="s">
        <v>17</v>
      </c>
      <c r="K4802" s="4">
        <v>6274</v>
      </c>
      <c r="L4802" s="4">
        <v>29400</v>
      </c>
      <c r="M4802" s="2" t="s">
        <v>47</v>
      </c>
      <c r="N4802" s="2" t="s">
        <v>16262</v>
      </c>
    </row>
    <row r="4803" spans="1:14">
      <c r="A4803" s="2">
        <v>4802</v>
      </c>
      <c r="B4803" s="3" t="s">
        <v>16263</v>
      </c>
      <c r="C4803" s="2" t="s">
        <v>16264</v>
      </c>
      <c r="D4803" s="2">
        <v>39</v>
      </c>
      <c r="E4803" s="2">
        <v>39</v>
      </c>
      <c r="F4803" s="2" t="s">
        <v>16265</v>
      </c>
      <c r="H4803" s="2" t="s">
        <v>17</v>
      </c>
      <c r="K4803" s="4" t="s">
        <v>16266</v>
      </c>
      <c r="L4803" s="4">
        <v>28718</v>
      </c>
      <c r="M4803" s="2" t="s">
        <v>91</v>
      </c>
      <c r="N4803" s="2" t="s">
        <v>16267</v>
      </c>
    </row>
    <row r="4804" spans="1:14">
      <c r="A4804" s="2">
        <v>4803</v>
      </c>
      <c r="B4804" s="3" t="s">
        <v>16268</v>
      </c>
      <c r="C4804" s="2" t="s">
        <v>16269</v>
      </c>
      <c r="D4804" s="2">
        <v>39</v>
      </c>
      <c r="E4804" s="2">
        <v>39</v>
      </c>
      <c r="F4804" s="2" t="s">
        <v>16270</v>
      </c>
      <c r="H4804" s="2" t="s">
        <v>17</v>
      </c>
      <c r="K4804" s="4">
        <v>2568</v>
      </c>
      <c r="M4804" s="2" t="s">
        <v>170</v>
      </c>
      <c r="N4804" s="2" t="s">
        <v>323</v>
      </c>
    </row>
    <row r="4805" spans="1:14">
      <c r="A4805" s="2">
        <v>4804</v>
      </c>
      <c r="B4805" s="3" t="s">
        <v>16271</v>
      </c>
      <c r="C4805" s="2" t="s">
        <v>16272</v>
      </c>
      <c r="D4805" s="2">
        <v>39</v>
      </c>
      <c r="E4805" s="2">
        <v>39</v>
      </c>
      <c r="F4805" s="2" t="s">
        <v>16273</v>
      </c>
      <c r="H4805" s="2" t="s">
        <v>17</v>
      </c>
      <c r="K4805" s="4">
        <v>6673</v>
      </c>
      <c r="L4805" s="4">
        <v>33369</v>
      </c>
      <c r="M4805" s="2" t="s">
        <v>35</v>
      </c>
      <c r="N4805" s="2" t="s">
        <v>7043</v>
      </c>
    </row>
    <row r="4806" spans="1:14">
      <c r="A4806" s="2">
        <v>4805</v>
      </c>
      <c r="B4806" s="3" t="s">
        <v>16274</v>
      </c>
      <c r="C4806" s="2" t="s">
        <v>16275</v>
      </c>
      <c r="D4806" s="2">
        <v>39</v>
      </c>
      <c r="E4806" s="2">
        <v>39</v>
      </c>
      <c r="F4806" s="2" t="s">
        <v>16276</v>
      </c>
      <c r="H4806" s="2" t="s">
        <v>17</v>
      </c>
      <c r="K4806" s="4" t="s">
        <v>16277</v>
      </c>
      <c r="L4806" s="4">
        <v>21538</v>
      </c>
      <c r="M4806" s="2" t="s">
        <v>47</v>
      </c>
      <c r="N4806" s="2" t="s">
        <v>48</v>
      </c>
    </row>
    <row r="4807" spans="1:14">
      <c r="A4807" s="2">
        <v>4806</v>
      </c>
      <c r="B4807" s="3" t="s">
        <v>16278</v>
      </c>
      <c r="C4807" s="2" t="s">
        <v>16279</v>
      </c>
      <c r="D4807" s="2">
        <v>39</v>
      </c>
      <c r="E4807" s="2">
        <v>39</v>
      </c>
      <c r="F4807" s="2" t="s">
        <v>16280</v>
      </c>
      <c r="H4807" s="2" t="s">
        <v>17</v>
      </c>
      <c r="K4807" s="4">
        <v>5406</v>
      </c>
      <c r="L4807" s="4">
        <v>40292</v>
      </c>
      <c r="M4807" s="2" t="s">
        <v>185</v>
      </c>
      <c r="N4807" s="2" t="s">
        <v>838</v>
      </c>
    </row>
    <row r="4808" spans="1:14">
      <c r="A4808" s="2">
        <v>4807</v>
      </c>
      <c r="B4808" s="3" t="s">
        <v>16281</v>
      </c>
      <c r="C4808" s="2" t="s">
        <v>16282</v>
      </c>
      <c r="D4808" s="2">
        <v>39</v>
      </c>
      <c r="E4808" s="2">
        <v>39</v>
      </c>
      <c r="F4808" s="2" t="s">
        <v>16283</v>
      </c>
      <c r="H4808" s="2" t="s">
        <v>17</v>
      </c>
      <c r="K4808" s="4">
        <v>1442</v>
      </c>
      <c r="L4808" s="4">
        <v>31110</v>
      </c>
      <c r="M4808" s="2" t="s">
        <v>154</v>
      </c>
      <c r="N4808" s="2" t="s">
        <v>208</v>
      </c>
    </row>
    <row r="4809" spans="1:14">
      <c r="A4809" s="2">
        <v>4808</v>
      </c>
      <c r="B4809" s="3" t="s">
        <v>16284</v>
      </c>
      <c r="C4809" s="2" t="s">
        <v>16285</v>
      </c>
      <c r="D4809" s="2">
        <v>37</v>
      </c>
      <c r="E4809" s="2">
        <v>39</v>
      </c>
      <c r="F4809" s="2" t="s">
        <v>16286</v>
      </c>
      <c r="H4809" s="2" t="s">
        <v>17</v>
      </c>
      <c r="K4809" s="4" t="s">
        <v>16287</v>
      </c>
      <c r="L4809" s="4">
        <v>24807</v>
      </c>
      <c r="M4809" s="2" t="s">
        <v>47</v>
      </c>
      <c r="N4809" s="2" t="s">
        <v>691</v>
      </c>
    </row>
    <row r="4810" spans="1:14">
      <c r="A4810" s="2">
        <v>4809</v>
      </c>
      <c r="B4810" s="3" t="s">
        <v>16288</v>
      </c>
      <c r="C4810" s="2" t="s">
        <v>16289</v>
      </c>
      <c r="D4810" s="2">
        <v>39</v>
      </c>
      <c r="E4810" s="2">
        <v>39</v>
      </c>
      <c r="F4810" s="2" t="s">
        <v>16290</v>
      </c>
      <c r="H4810" s="2" t="s">
        <v>17</v>
      </c>
      <c r="K4810" s="4">
        <v>1019</v>
      </c>
      <c r="L4810" s="4">
        <v>27464</v>
      </c>
      <c r="M4810" s="2" t="s">
        <v>198</v>
      </c>
      <c r="N4810" s="2" t="s">
        <v>5846</v>
      </c>
    </row>
    <row r="4811" spans="1:14">
      <c r="A4811" s="2">
        <v>4810</v>
      </c>
      <c r="B4811" s="3" t="s">
        <v>16291</v>
      </c>
      <c r="C4811" s="2" t="s">
        <v>16292</v>
      </c>
      <c r="D4811" s="2">
        <v>39</v>
      </c>
      <c r="E4811" s="2">
        <v>39</v>
      </c>
      <c r="F4811" s="2" t="s">
        <v>16293</v>
      </c>
      <c r="H4811" s="2" t="s">
        <v>17</v>
      </c>
      <c r="K4811" s="4">
        <v>1430</v>
      </c>
      <c r="M4811" s="2" t="s">
        <v>336</v>
      </c>
      <c r="N4811" s="2" t="s">
        <v>11018</v>
      </c>
    </row>
    <row r="4812" spans="1:14">
      <c r="A4812" s="2">
        <v>4811</v>
      </c>
      <c r="B4812" s="3" t="s">
        <v>16294</v>
      </c>
      <c r="C4812" s="2" t="s">
        <v>16295</v>
      </c>
      <c r="D4812" s="2">
        <v>39</v>
      </c>
      <c r="E4812" s="2">
        <v>39</v>
      </c>
      <c r="F4812" s="2" t="s">
        <v>16296</v>
      </c>
      <c r="H4812" s="2" t="s">
        <v>17</v>
      </c>
      <c r="K4812" s="4">
        <v>2318</v>
      </c>
      <c r="L4812" s="4">
        <v>21459</v>
      </c>
      <c r="M4812" s="2" t="s">
        <v>47</v>
      </c>
    </row>
    <row r="4813" spans="1:14">
      <c r="A4813" s="2">
        <v>4812</v>
      </c>
      <c r="B4813" s="3" t="s">
        <v>16297</v>
      </c>
      <c r="C4813" s="2" t="s">
        <v>16298</v>
      </c>
      <c r="D4813" s="2">
        <v>38</v>
      </c>
      <c r="E4813" s="2">
        <v>39</v>
      </c>
      <c r="F4813" s="2" t="s">
        <v>16299</v>
      </c>
      <c r="H4813" s="2" t="s">
        <v>17</v>
      </c>
      <c r="K4813" s="4">
        <v>3569</v>
      </c>
      <c r="L4813" s="4">
        <v>35677</v>
      </c>
      <c r="M4813" s="2" t="s">
        <v>185</v>
      </c>
      <c r="N4813" s="2" t="s">
        <v>2069</v>
      </c>
    </row>
    <row r="4814" spans="1:14">
      <c r="A4814" s="2">
        <v>4813</v>
      </c>
      <c r="B4814" s="3" t="s">
        <v>16300</v>
      </c>
      <c r="C4814" s="2" t="s">
        <v>16301</v>
      </c>
      <c r="D4814" s="2">
        <v>39</v>
      </c>
      <c r="E4814" s="2">
        <v>39</v>
      </c>
      <c r="F4814" s="2" t="s">
        <v>16302</v>
      </c>
      <c r="H4814" s="2" t="s">
        <v>17</v>
      </c>
      <c r="K4814" s="4">
        <v>4496</v>
      </c>
      <c r="L4814" s="4">
        <v>33729</v>
      </c>
      <c r="M4814" s="2" t="s">
        <v>40</v>
      </c>
      <c r="N4814" s="2" t="s">
        <v>8132</v>
      </c>
    </row>
    <row r="4815" spans="1:14">
      <c r="A4815" s="2">
        <v>4814</v>
      </c>
      <c r="B4815" s="3" t="s">
        <v>16303</v>
      </c>
      <c r="C4815" s="2" t="s">
        <v>16304</v>
      </c>
      <c r="D4815" s="2">
        <v>38</v>
      </c>
      <c r="E4815" s="2">
        <v>39</v>
      </c>
      <c r="F4815" s="2" t="s">
        <v>16305</v>
      </c>
      <c r="H4815" s="2" t="s">
        <v>17</v>
      </c>
      <c r="K4815" s="4">
        <v>3313</v>
      </c>
      <c r="L4815" s="4">
        <v>31182</v>
      </c>
      <c r="M4815" s="2" t="s">
        <v>140</v>
      </c>
      <c r="N4815" s="2" t="s">
        <v>4665</v>
      </c>
    </row>
    <row r="4816" spans="1:14">
      <c r="A4816" s="2">
        <v>4815</v>
      </c>
      <c r="B4816" s="3" t="s">
        <v>16306</v>
      </c>
      <c r="C4816" s="2" t="s">
        <v>16307</v>
      </c>
      <c r="D4816" s="2">
        <v>39</v>
      </c>
      <c r="E4816" s="2">
        <v>39</v>
      </c>
      <c r="F4816" s="2" t="s">
        <v>16308</v>
      </c>
      <c r="H4816" s="2" t="s">
        <v>17</v>
      </c>
      <c r="K4816" s="4" t="s">
        <v>15663</v>
      </c>
      <c r="L4816" s="4">
        <v>22894</v>
      </c>
      <c r="M4816" s="2" t="s">
        <v>35</v>
      </c>
      <c r="N4816" s="2" t="s">
        <v>15136</v>
      </c>
    </row>
    <row r="4817" spans="1:14">
      <c r="A4817" s="2">
        <v>4816</v>
      </c>
      <c r="B4817" s="3" t="s">
        <v>16309</v>
      </c>
      <c r="C4817" s="2" t="s">
        <v>16310</v>
      </c>
      <c r="D4817" s="2">
        <v>39</v>
      </c>
      <c r="E4817" s="2">
        <v>39</v>
      </c>
      <c r="F4817" s="2" t="s">
        <v>16311</v>
      </c>
      <c r="H4817" s="2" t="s">
        <v>17</v>
      </c>
      <c r="K4817" s="4" t="s">
        <v>16312</v>
      </c>
      <c r="L4817" s="4">
        <v>19304</v>
      </c>
      <c r="M4817" s="2" t="s">
        <v>18</v>
      </c>
      <c r="N4817" s="2" t="s">
        <v>6390</v>
      </c>
    </row>
    <row r="4818" spans="1:14">
      <c r="A4818" s="2">
        <v>4817</v>
      </c>
      <c r="B4818" s="3" t="s">
        <v>16313</v>
      </c>
      <c r="C4818" s="2" t="s">
        <v>16314</v>
      </c>
      <c r="D4818" s="2">
        <v>38</v>
      </c>
      <c r="E4818" s="2">
        <v>39</v>
      </c>
      <c r="F4818" s="2" t="s">
        <v>16315</v>
      </c>
      <c r="H4818" s="2" t="s">
        <v>17</v>
      </c>
      <c r="K4818" s="4">
        <v>347</v>
      </c>
      <c r="L4818" s="4">
        <v>26019</v>
      </c>
      <c r="M4818" s="2" t="s">
        <v>154</v>
      </c>
      <c r="N4818" s="2" t="s">
        <v>208</v>
      </c>
    </row>
    <row r="4819" spans="1:14">
      <c r="A4819" s="2">
        <v>4818</v>
      </c>
      <c r="B4819" s="3" t="s">
        <v>16316</v>
      </c>
      <c r="C4819" s="2" t="s">
        <v>16317</v>
      </c>
      <c r="D4819" s="2">
        <v>39</v>
      </c>
      <c r="E4819" s="2">
        <v>39</v>
      </c>
      <c r="F4819" s="2" t="s">
        <v>16318</v>
      </c>
      <c r="H4819" s="2" t="s">
        <v>17</v>
      </c>
      <c r="K4819" s="4" t="s">
        <v>16319</v>
      </c>
      <c r="L4819" s="4">
        <v>27958</v>
      </c>
      <c r="M4819" s="2" t="s">
        <v>423</v>
      </c>
      <c r="N4819" s="2" t="s">
        <v>456</v>
      </c>
    </row>
    <row r="4820" spans="1:14">
      <c r="A4820" s="2">
        <v>4819</v>
      </c>
      <c r="B4820" s="3" t="s">
        <v>16320</v>
      </c>
      <c r="C4820" s="2" t="s">
        <v>16321</v>
      </c>
      <c r="D4820" s="2">
        <v>28</v>
      </c>
      <c r="E4820" s="2">
        <v>39</v>
      </c>
      <c r="F4820" s="2" t="s">
        <v>16322</v>
      </c>
      <c r="H4820" s="2" t="s">
        <v>17</v>
      </c>
      <c r="K4820" s="4" t="s">
        <v>16323</v>
      </c>
      <c r="L4820" s="4">
        <v>20178</v>
      </c>
      <c r="M4820" s="2" t="s">
        <v>35</v>
      </c>
      <c r="N4820" s="2" t="s">
        <v>2261</v>
      </c>
    </row>
    <row r="4821" spans="1:14">
      <c r="A4821" s="2">
        <v>4820</v>
      </c>
      <c r="B4821" s="3" t="s">
        <v>16324</v>
      </c>
      <c r="C4821" s="2" t="s">
        <v>13032</v>
      </c>
      <c r="D4821" s="2">
        <v>37</v>
      </c>
      <c r="E4821" s="2">
        <v>39</v>
      </c>
      <c r="F4821" s="2" t="s">
        <v>16325</v>
      </c>
      <c r="H4821" s="2" t="s">
        <v>17</v>
      </c>
      <c r="K4821" s="4" t="s">
        <v>16326</v>
      </c>
      <c r="L4821" s="4">
        <v>26615</v>
      </c>
      <c r="M4821" s="2" t="s">
        <v>154</v>
      </c>
      <c r="N4821" s="2" t="s">
        <v>208</v>
      </c>
    </row>
    <row r="4822" spans="1:14">
      <c r="A4822" s="2">
        <v>4821</v>
      </c>
      <c r="B4822" s="3" t="s">
        <v>16327</v>
      </c>
      <c r="C4822" s="2" t="s">
        <v>16328</v>
      </c>
      <c r="D4822" s="2">
        <v>39</v>
      </c>
      <c r="E4822" s="2">
        <v>39</v>
      </c>
      <c r="F4822" s="2" t="s">
        <v>16329</v>
      </c>
      <c r="H4822" s="2" t="s">
        <v>17</v>
      </c>
      <c r="K4822" s="4">
        <v>6405</v>
      </c>
      <c r="L4822" s="4">
        <v>31712</v>
      </c>
      <c r="M4822" s="2" t="s">
        <v>53</v>
      </c>
      <c r="N4822" s="2" t="s">
        <v>13522</v>
      </c>
    </row>
    <row r="4823" spans="1:14">
      <c r="A4823" s="2">
        <v>4822</v>
      </c>
      <c r="B4823" s="3" t="s">
        <v>16330</v>
      </c>
      <c r="C4823" s="2" t="s">
        <v>16331</v>
      </c>
      <c r="D4823" s="2">
        <v>36</v>
      </c>
      <c r="E4823" s="2">
        <v>39</v>
      </c>
      <c r="F4823" s="2" t="s">
        <v>16332</v>
      </c>
      <c r="H4823" s="2" t="s">
        <v>17</v>
      </c>
      <c r="K4823" s="4">
        <v>677</v>
      </c>
      <c r="L4823" s="4">
        <v>30892</v>
      </c>
      <c r="M4823" s="2" t="s">
        <v>170</v>
      </c>
      <c r="N4823" s="2" t="s">
        <v>323</v>
      </c>
    </row>
    <row r="4824" spans="1:14">
      <c r="A4824" s="2">
        <v>4823</v>
      </c>
      <c r="B4824" s="3" t="s">
        <v>16333</v>
      </c>
      <c r="C4824" s="2" t="s">
        <v>16334</v>
      </c>
      <c r="D4824" s="2">
        <v>39</v>
      </c>
      <c r="E4824" s="2">
        <v>39</v>
      </c>
      <c r="F4824" s="2" t="s">
        <v>16335</v>
      </c>
      <c r="H4824" s="2" t="s">
        <v>17</v>
      </c>
      <c r="K4824" s="4" t="s">
        <v>16336</v>
      </c>
      <c r="L4824" s="4">
        <v>23457</v>
      </c>
      <c r="M4824" s="2" t="s">
        <v>336</v>
      </c>
      <c r="N4824" s="2" t="s">
        <v>15795</v>
      </c>
    </row>
    <row r="4825" spans="1:14">
      <c r="A4825" s="2">
        <v>4824</v>
      </c>
      <c r="B4825" s="3" t="s">
        <v>16337</v>
      </c>
      <c r="C4825" s="2" t="s">
        <v>16338</v>
      </c>
      <c r="D4825" s="2">
        <v>37</v>
      </c>
      <c r="E4825" s="2">
        <v>39</v>
      </c>
      <c r="F4825" s="2" t="s">
        <v>16339</v>
      </c>
      <c r="H4825" s="2" t="s">
        <v>17</v>
      </c>
      <c r="K4825" s="4" t="s">
        <v>16340</v>
      </c>
      <c r="L4825" s="4">
        <v>28098</v>
      </c>
      <c r="M4825" s="2" t="s">
        <v>35</v>
      </c>
      <c r="N4825" s="2" t="s">
        <v>1242</v>
      </c>
    </row>
    <row r="4826" spans="1:14">
      <c r="A4826" s="2">
        <v>4825</v>
      </c>
      <c r="B4826" s="3" t="s">
        <v>16341</v>
      </c>
      <c r="C4826" s="2" t="s">
        <v>16342</v>
      </c>
      <c r="D4826" s="2">
        <v>37</v>
      </c>
      <c r="E4826" s="2">
        <v>39</v>
      </c>
      <c r="F4826" s="2" t="s">
        <v>16343</v>
      </c>
      <c r="H4826" s="2" t="s">
        <v>17</v>
      </c>
      <c r="K4826" s="4">
        <v>106</v>
      </c>
      <c r="L4826" s="4">
        <v>26449</v>
      </c>
      <c r="M4826" s="2" t="s">
        <v>170</v>
      </c>
      <c r="N4826" s="2" t="s">
        <v>802</v>
      </c>
    </row>
    <row r="4827" spans="1:14">
      <c r="A4827" s="2">
        <v>4826</v>
      </c>
      <c r="B4827" s="3" t="s">
        <v>16344</v>
      </c>
      <c r="C4827" s="2" t="s">
        <v>16345</v>
      </c>
      <c r="D4827" s="2">
        <v>39</v>
      </c>
      <c r="E4827" s="2">
        <v>39</v>
      </c>
      <c r="F4827" s="2" t="s">
        <v>16346</v>
      </c>
      <c r="H4827" s="2" t="s">
        <v>17</v>
      </c>
      <c r="K4827" s="4">
        <v>1553</v>
      </c>
      <c r="L4827" s="4">
        <v>32234</v>
      </c>
      <c r="M4827" s="2" t="s">
        <v>185</v>
      </c>
      <c r="N4827" s="2" t="s">
        <v>16347</v>
      </c>
    </row>
    <row r="4828" spans="1:14">
      <c r="A4828" s="2">
        <v>4827</v>
      </c>
      <c r="B4828" s="3" t="s">
        <v>16348</v>
      </c>
      <c r="C4828" s="2" t="s">
        <v>16349</v>
      </c>
      <c r="D4828" s="2">
        <v>39</v>
      </c>
      <c r="E4828" s="2">
        <v>39</v>
      </c>
      <c r="F4828" s="2" t="s">
        <v>16350</v>
      </c>
      <c r="H4828" s="2" t="s">
        <v>17</v>
      </c>
      <c r="K4828" s="4">
        <v>507</v>
      </c>
      <c r="L4828" s="4">
        <v>24376</v>
      </c>
      <c r="M4828" s="2" t="s">
        <v>170</v>
      </c>
      <c r="N4828" s="2" t="s">
        <v>323</v>
      </c>
    </row>
    <row r="4829" spans="1:14">
      <c r="A4829" s="2">
        <v>4828</v>
      </c>
      <c r="B4829" s="3" t="s">
        <v>16351</v>
      </c>
      <c r="C4829" s="2" t="s">
        <v>16352</v>
      </c>
      <c r="D4829" s="2">
        <v>36</v>
      </c>
      <c r="E4829" s="2">
        <v>39</v>
      </c>
      <c r="F4829" s="2" t="s">
        <v>16353</v>
      </c>
      <c r="H4829" s="2" t="s">
        <v>17</v>
      </c>
      <c r="K4829" s="4" t="s">
        <v>16354</v>
      </c>
      <c r="L4829" s="4">
        <v>26725</v>
      </c>
      <c r="M4829" s="2" t="s">
        <v>35</v>
      </c>
      <c r="N4829" s="2" t="s">
        <v>2849</v>
      </c>
    </row>
    <row r="4830" spans="1:14">
      <c r="A4830" s="2">
        <v>4829</v>
      </c>
      <c r="B4830" s="3" t="s">
        <v>16355</v>
      </c>
      <c r="C4830" s="2" t="s">
        <v>16356</v>
      </c>
      <c r="D4830" s="2">
        <v>38</v>
      </c>
      <c r="E4830" s="2">
        <v>39</v>
      </c>
      <c r="F4830" s="2" t="s">
        <v>16357</v>
      </c>
      <c r="H4830" s="2" t="s">
        <v>17</v>
      </c>
      <c r="K4830" s="4">
        <v>1689</v>
      </c>
      <c r="L4830" s="4">
        <v>29727</v>
      </c>
      <c r="M4830" s="2" t="s">
        <v>66</v>
      </c>
      <c r="N4830" s="2" t="s">
        <v>71</v>
      </c>
    </row>
    <row r="4831" spans="1:14">
      <c r="A4831" s="2">
        <v>4830</v>
      </c>
      <c r="B4831" s="3" t="s">
        <v>16358</v>
      </c>
      <c r="C4831" s="2" t="s">
        <v>16359</v>
      </c>
      <c r="D4831" s="2">
        <v>39</v>
      </c>
      <c r="E4831" s="2">
        <v>39</v>
      </c>
      <c r="F4831" s="2" t="s">
        <v>16360</v>
      </c>
      <c r="H4831" s="2" t="s">
        <v>17</v>
      </c>
      <c r="K4831" s="4">
        <v>3191</v>
      </c>
      <c r="M4831" s="2" t="s">
        <v>170</v>
      </c>
    </row>
    <row r="4832" spans="1:14">
      <c r="A4832" s="2">
        <v>4831</v>
      </c>
      <c r="B4832" s="3" t="s">
        <v>16361</v>
      </c>
      <c r="C4832" s="2" t="s">
        <v>4956</v>
      </c>
      <c r="D4832" s="2">
        <v>39</v>
      </c>
      <c r="E4832" s="2">
        <v>39</v>
      </c>
      <c r="F4832" s="2" t="s">
        <v>16362</v>
      </c>
      <c r="H4832" s="2" t="s">
        <v>17</v>
      </c>
      <c r="K4832" s="4">
        <v>7630</v>
      </c>
      <c r="L4832" s="4">
        <v>31077</v>
      </c>
      <c r="M4832" s="2" t="s">
        <v>170</v>
      </c>
      <c r="N4832" s="2" t="s">
        <v>1624</v>
      </c>
    </row>
    <row r="4833" spans="1:14">
      <c r="A4833" s="2">
        <v>4832</v>
      </c>
      <c r="B4833" s="3" t="s">
        <v>16363</v>
      </c>
      <c r="C4833" s="2" t="s">
        <v>16364</v>
      </c>
      <c r="D4833" s="2">
        <v>39</v>
      </c>
      <c r="E4833" s="2">
        <v>39</v>
      </c>
      <c r="F4833" s="2" t="s">
        <v>16365</v>
      </c>
      <c r="H4833" s="2" t="s">
        <v>17</v>
      </c>
      <c r="K4833" s="4">
        <v>4130</v>
      </c>
      <c r="L4833" s="4">
        <v>24300</v>
      </c>
      <c r="M4833" s="2" t="s">
        <v>40</v>
      </c>
      <c r="N4833" s="2" t="s">
        <v>2573</v>
      </c>
    </row>
    <row r="4834" spans="1:14">
      <c r="A4834" s="2">
        <v>4833</v>
      </c>
      <c r="B4834" s="3" t="s">
        <v>16366</v>
      </c>
      <c r="C4834" s="2" t="s">
        <v>14331</v>
      </c>
      <c r="D4834" s="2">
        <v>32</v>
      </c>
      <c r="E4834" s="2">
        <v>39</v>
      </c>
      <c r="F4834" s="2" t="s">
        <v>16367</v>
      </c>
      <c r="H4834" s="2" t="s">
        <v>17</v>
      </c>
      <c r="K4834" s="4" t="s">
        <v>16368</v>
      </c>
      <c r="L4834" s="4">
        <v>19842</v>
      </c>
      <c r="M4834" s="2" t="s">
        <v>91</v>
      </c>
      <c r="N4834" s="2" t="s">
        <v>975</v>
      </c>
    </row>
    <row r="4835" spans="1:14">
      <c r="A4835" s="2">
        <v>4834</v>
      </c>
      <c r="B4835" s="3" t="s">
        <v>16369</v>
      </c>
      <c r="C4835" s="2" t="s">
        <v>16370</v>
      </c>
      <c r="D4835" s="2">
        <v>39</v>
      </c>
      <c r="E4835" s="2">
        <v>39</v>
      </c>
      <c r="F4835" s="2" t="s">
        <v>16371</v>
      </c>
      <c r="H4835" s="2" t="s">
        <v>17</v>
      </c>
      <c r="K4835" s="4">
        <v>4441</v>
      </c>
      <c r="L4835" s="4">
        <v>33616</v>
      </c>
      <c r="M4835" s="2" t="s">
        <v>164</v>
      </c>
      <c r="N4835" s="2" t="s">
        <v>16372</v>
      </c>
    </row>
    <row r="4836" spans="1:14">
      <c r="A4836" s="2">
        <v>4835</v>
      </c>
      <c r="B4836" s="3" t="s">
        <v>16373</v>
      </c>
      <c r="C4836" s="2" t="s">
        <v>16374</v>
      </c>
      <c r="D4836" s="2">
        <v>39</v>
      </c>
      <c r="E4836" s="2">
        <v>39</v>
      </c>
      <c r="F4836" s="2" t="s">
        <v>16375</v>
      </c>
      <c r="H4836" s="2" t="s">
        <v>17</v>
      </c>
      <c r="K4836" s="4" t="s">
        <v>16376</v>
      </c>
      <c r="M4836" s="2" t="s">
        <v>40</v>
      </c>
      <c r="N4836" s="2" t="s">
        <v>41</v>
      </c>
    </row>
    <row r="4837" spans="1:14">
      <c r="A4837" s="2">
        <v>4836</v>
      </c>
      <c r="B4837" s="3" t="s">
        <v>16377</v>
      </c>
      <c r="C4837" s="2" t="s">
        <v>16378</v>
      </c>
      <c r="D4837" s="2">
        <v>39</v>
      </c>
      <c r="E4837" s="2">
        <v>39</v>
      </c>
      <c r="F4837" s="2" t="s">
        <v>16379</v>
      </c>
      <c r="H4837" s="2" t="s">
        <v>17</v>
      </c>
      <c r="K4837" s="4">
        <v>1551</v>
      </c>
      <c r="L4837" s="4">
        <v>25689</v>
      </c>
      <c r="M4837" s="2" t="s">
        <v>66</v>
      </c>
      <c r="N4837" s="2" t="s">
        <v>1147</v>
      </c>
    </row>
    <row r="4838" spans="1:14">
      <c r="A4838" s="2">
        <v>4837</v>
      </c>
      <c r="B4838" s="3" t="s">
        <v>16380</v>
      </c>
      <c r="C4838" s="2" t="s">
        <v>16381</v>
      </c>
      <c r="D4838" s="2">
        <v>35</v>
      </c>
      <c r="E4838" s="2">
        <v>39</v>
      </c>
      <c r="F4838" s="2" t="s">
        <v>16382</v>
      </c>
      <c r="H4838" s="2" t="s">
        <v>17</v>
      </c>
      <c r="K4838" s="4" t="s">
        <v>16383</v>
      </c>
      <c r="L4838" s="4">
        <v>23893</v>
      </c>
      <c r="M4838" s="2" t="s">
        <v>154</v>
      </c>
      <c r="N4838" s="2" t="s">
        <v>208</v>
      </c>
    </row>
    <row r="4839" spans="1:14">
      <c r="A4839" s="2">
        <v>4838</v>
      </c>
      <c r="B4839" s="3" t="s">
        <v>16384</v>
      </c>
      <c r="C4839" s="2" t="s">
        <v>16385</v>
      </c>
      <c r="D4839" s="2">
        <v>32</v>
      </c>
      <c r="E4839" s="2">
        <v>39</v>
      </c>
      <c r="F4839" s="2" t="s">
        <v>16386</v>
      </c>
      <c r="H4839" s="2" t="s">
        <v>17</v>
      </c>
      <c r="K4839" s="4" t="s">
        <v>16387</v>
      </c>
      <c r="L4839" s="4">
        <v>25941</v>
      </c>
      <c r="M4839" s="2" t="s">
        <v>40</v>
      </c>
      <c r="N4839" s="2" t="s">
        <v>16388</v>
      </c>
    </row>
    <row r="4840" spans="1:14">
      <c r="A4840" s="2">
        <v>4839</v>
      </c>
      <c r="B4840" s="3" t="s">
        <v>16389</v>
      </c>
      <c r="C4840" s="2" t="s">
        <v>16390</v>
      </c>
      <c r="D4840" s="2">
        <v>38</v>
      </c>
      <c r="E4840" s="2">
        <v>39</v>
      </c>
      <c r="F4840" s="2" t="s">
        <v>16391</v>
      </c>
      <c r="H4840" s="2" t="s">
        <v>17</v>
      </c>
      <c r="K4840" s="4" t="s">
        <v>16392</v>
      </c>
      <c r="L4840" s="4">
        <v>23883</v>
      </c>
      <c r="M4840" s="2" t="s">
        <v>164</v>
      </c>
      <c r="N4840" s="2" t="s">
        <v>7847</v>
      </c>
    </row>
    <row r="4841" spans="1:14">
      <c r="A4841" s="2">
        <v>4840</v>
      </c>
      <c r="B4841" s="3" t="s">
        <v>16393</v>
      </c>
      <c r="C4841" s="2" t="s">
        <v>16394</v>
      </c>
      <c r="D4841" s="2">
        <v>39</v>
      </c>
      <c r="E4841" s="2">
        <v>39</v>
      </c>
      <c r="F4841" s="2" t="s">
        <v>16395</v>
      </c>
      <c r="H4841" s="2" t="s">
        <v>17</v>
      </c>
      <c r="K4841" s="4">
        <v>1561</v>
      </c>
      <c r="L4841" s="4">
        <v>19346</v>
      </c>
      <c r="M4841" s="2" t="s">
        <v>47</v>
      </c>
      <c r="N4841" s="2" t="s">
        <v>1656</v>
      </c>
    </row>
    <row r="4842" spans="1:14">
      <c r="A4842" s="2">
        <v>4841</v>
      </c>
      <c r="B4842" s="3" t="s">
        <v>16396</v>
      </c>
      <c r="C4842" s="2" t="s">
        <v>16397</v>
      </c>
      <c r="D4842" s="2">
        <v>39</v>
      </c>
      <c r="E4842" s="2">
        <v>39</v>
      </c>
      <c r="F4842" s="2" t="s">
        <v>16398</v>
      </c>
      <c r="H4842" s="2" t="s">
        <v>17</v>
      </c>
      <c r="K4842" s="4">
        <v>5527</v>
      </c>
      <c r="L4842" s="4">
        <v>21493</v>
      </c>
      <c r="M4842" s="2" t="s">
        <v>140</v>
      </c>
      <c r="N4842" s="2" t="s">
        <v>4671</v>
      </c>
    </row>
    <row r="4843" spans="1:14">
      <c r="A4843" s="2">
        <v>4842</v>
      </c>
      <c r="B4843" s="3" t="s">
        <v>16399</v>
      </c>
      <c r="C4843" s="2" t="s">
        <v>16400</v>
      </c>
      <c r="D4843" s="2">
        <v>38</v>
      </c>
      <c r="E4843" s="2">
        <v>39</v>
      </c>
      <c r="F4843" s="2" t="s">
        <v>16401</v>
      </c>
      <c r="H4843" s="2" t="s">
        <v>17</v>
      </c>
      <c r="K4843" s="4" t="s">
        <v>16402</v>
      </c>
      <c r="L4843" s="4">
        <v>34455</v>
      </c>
      <c r="M4843" s="2" t="s">
        <v>91</v>
      </c>
      <c r="N4843" s="2" t="s">
        <v>677</v>
      </c>
    </row>
    <row r="4844" spans="1:14">
      <c r="A4844" s="2">
        <v>4843</v>
      </c>
      <c r="B4844" s="3" t="s">
        <v>16403</v>
      </c>
      <c r="C4844" s="2" t="s">
        <v>16404</v>
      </c>
      <c r="D4844" s="2">
        <v>38</v>
      </c>
      <c r="E4844" s="2">
        <v>39</v>
      </c>
      <c r="F4844" s="2" t="s">
        <v>16405</v>
      </c>
      <c r="H4844" s="2" t="s">
        <v>17</v>
      </c>
      <c r="K4844" s="4" t="s">
        <v>16406</v>
      </c>
      <c r="M4844" s="2" t="s">
        <v>47</v>
      </c>
      <c r="N4844" s="2" t="s">
        <v>8985</v>
      </c>
    </row>
    <row r="4845" spans="1:14">
      <c r="A4845" s="2">
        <v>4844</v>
      </c>
      <c r="B4845" s="3" t="s">
        <v>16407</v>
      </c>
      <c r="C4845" s="2" t="s">
        <v>16408</v>
      </c>
      <c r="D4845" s="2">
        <v>38</v>
      </c>
      <c r="E4845" s="2">
        <v>39</v>
      </c>
      <c r="F4845" s="2" t="s">
        <v>16409</v>
      </c>
      <c r="H4845" s="2" t="s">
        <v>17</v>
      </c>
      <c r="K4845" s="4">
        <v>4489</v>
      </c>
      <c r="L4845" s="4">
        <v>32174</v>
      </c>
      <c r="M4845" s="2" t="s">
        <v>198</v>
      </c>
      <c r="N4845" s="2" t="s">
        <v>199</v>
      </c>
    </row>
    <row r="4846" spans="1:14">
      <c r="A4846" s="2">
        <v>4845</v>
      </c>
      <c r="B4846" s="3" t="s">
        <v>16410</v>
      </c>
      <c r="C4846" s="2" t="s">
        <v>16411</v>
      </c>
      <c r="D4846" s="2">
        <v>39</v>
      </c>
      <c r="E4846" s="2">
        <v>39</v>
      </c>
      <c r="F4846" s="2" t="s">
        <v>16412</v>
      </c>
      <c r="H4846" s="2" t="s">
        <v>17</v>
      </c>
      <c r="K4846" s="4" t="s">
        <v>16413</v>
      </c>
      <c r="L4846" s="4">
        <v>19915</v>
      </c>
      <c r="M4846" s="2" t="s">
        <v>35</v>
      </c>
      <c r="N4846" s="2" t="s">
        <v>7082</v>
      </c>
    </row>
    <row r="4847" spans="1:14">
      <c r="A4847" s="2">
        <v>4846</v>
      </c>
      <c r="B4847" s="3" t="s">
        <v>16414</v>
      </c>
      <c r="C4847" s="2" t="s">
        <v>16415</v>
      </c>
      <c r="D4847" s="2">
        <v>39</v>
      </c>
      <c r="E4847" s="2">
        <v>39</v>
      </c>
      <c r="F4847" s="2" t="s">
        <v>16416</v>
      </c>
      <c r="H4847" s="2" t="s">
        <v>17</v>
      </c>
      <c r="K4847" s="4">
        <v>2980</v>
      </c>
      <c r="L4847" s="4">
        <v>26550</v>
      </c>
      <c r="M4847" s="2" t="s">
        <v>66</v>
      </c>
      <c r="N4847" s="2" t="s">
        <v>16417</v>
      </c>
    </row>
    <row r="4848" spans="1:14">
      <c r="A4848" s="2">
        <v>4847</v>
      </c>
      <c r="B4848" s="3" t="s">
        <v>16418</v>
      </c>
      <c r="C4848" s="2" t="s">
        <v>16419</v>
      </c>
      <c r="D4848" s="2">
        <v>39</v>
      </c>
      <c r="E4848" s="2">
        <v>39</v>
      </c>
      <c r="F4848" s="2" t="s">
        <v>16420</v>
      </c>
      <c r="H4848" s="2" t="s">
        <v>17</v>
      </c>
      <c r="K4848" s="4" t="s">
        <v>16421</v>
      </c>
      <c r="L4848" s="4">
        <v>26018</v>
      </c>
      <c r="M4848" s="2" t="s">
        <v>76</v>
      </c>
      <c r="N4848" s="2" t="s">
        <v>14023</v>
      </c>
    </row>
    <row r="4849" spans="1:14">
      <c r="A4849" s="2">
        <v>4848</v>
      </c>
      <c r="B4849" s="3" t="s">
        <v>16422</v>
      </c>
      <c r="C4849" s="2" t="s">
        <v>16423</v>
      </c>
      <c r="D4849" s="2">
        <v>38</v>
      </c>
      <c r="E4849" s="2">
        <v>39</v>
      </c>
      <c r="F4849" s="2" t="s">
        <v>16424</v>
      </c>
      <c r="H4849" s="2" t="s">
        <v>17</v>
      </c>
      <c r="K4849" s="4">
        <v>115</v>
      </c>
      <c r="L4849" s="4">
        <v>19498</v>
      </c>
      <c r="M4849" s="2" t="s">
        <v>154</v>
      </c>
      <c r="N4849" s="2" t="s">
        <v>208</v>
      </c>
    </row>
    <row r="4850" spans="1:14">
      <c r="A4850" s="2">
        <v>4849</v>
      </c>
      <c r="B4850" s="3" t="s">
        <v>16425</v>
      </c>
      <c r="C4850" s="2" t="s">
        <v>16426</v>
      </c>
      <c r="D4850" s="2">
        <v>38</v>
      </c>
      <c r="E4850" s="2">
        <v>39</v>
      </c>
      <c r="F4850" s="2" t="s">
        <v>16427</v>
      </c>
      <c r="H4850" s="2" t="s">
        <v>17</v>
      </c>
      <c r="K4850" s="4">
        <v>3889</v>
      </c>
      <c r="L4850" s="4">
        <v>21794</v>
      </c>
      <c r="M4850" s="2" t="s">
        <v>192</v>
      </c>
      <c r="N4850" s="2" t="s">
        <v>193</v>
      </c>
    </row>
    <row r="4851" spans="1:14">
      <c r="A4851" s="2">
        <v>4850</v>
      </c>
      <c r="B4851" s="3" t="s">
        <v>16428</v>
      </c>
      <c r="C4851" s="2" t="s">
        <v>16429</v>
      </c>
      <c r="D4851" s="2">
        <v>39</v>
      </c>
      <c r="E4851" s="2">
        <v>39</v>
      </c>
      <c r="F4851" s="2" t="s">
        <v>16430</v>
      </c>
      <c r="H4851" s="2" t="s">
        <v>17</v>
      </c>
      <c r="K4851" s="4">
        <v>3186</v>
      </c>
      <c r="L4851" s="4">
        <v>34333</v>
      </c>
      <c r="M4851" s="2" t="s">
        <v>146</v>
      </c>
      <c r="N4851" s="2" t="s">
        <v>2261</v>
      </c>
    </row>
    <row r="4852" spans="1:14">
      <c r="A4852" s="2">
        <v>4851</v>
      </c>
      <c r="B4852" s="3" t="s">
        <v>16431</v>
      </c>
      <c r="C4852" s="2" t="s">
        <v>16432</v>
      </c>
      <c r="D4852" s="2">
        <v>38</v>
      </c>
      <c r="E4852" s="2">
        <v>39</v>
      </c>
      <c r="F4852" s="2" t="s">
        <v>16433</v>
      </c>
      <c r="H4852" s="2" t="s">
        <v>17</v>
      </c>
      <c r="K4852" s="4">
        <v>3225</v>
      </c>
      <c r="L4852" s="4">
        <v>30242</v>
      </c>
      <c r="M4852" s="2" t="s">
        <v>66</v>
      </c>
      <c r="N4852" s="2" t="s">
        <v>3096</v>
      </c>
    </row>
    <row r="4853" spans="1:14">
      <c r="A4853" s="2">
        <v>4852</v>
      </c>
      <c r="B4853" s="3" t="s">
        <v>16434</v>
      </c>
      <c r="C4853" s="2" t="s">
        <v>16435</v>
      </c>
      <c r="D4853" s="2">
        <v>38</v>
      </c>
      <c r="E4853" s="2">
        <v>39</v>
      </c>
      <c r="F4853" s="2" t="s">
        <v>16436</v>
      </c>
      <c r="H4853" s="2" t="s">
        <v>17</v>
      </c>
      <c r="K4853" s="4">
        <v>1694</v>
      </c>
      <c r="L4853" s="4">
        <v>34282</v>
      </c>
      <c r="M4853" s="2" t="s">
        <v>76</v>
      </c>
      <c r="N4853" s="2" t="s">
        <v>906</v>
      </c>
    </row>
    <row r="4854" spans="1:14">
      <c r="A4854" s="2">
        <v>4853</v>
      </c>
      <c r="B4854" s="3" t="s">
        <v>16437</v>
      </c>
      <c r="C4854" s="2" t="s">
        <v>16438</v>
      </c>
      <c r="D4854" s="2">
        <v>37</v>
      </c>
      <c r="E4854" s="2">
        <v>39</v>
      </c>
      <c r="F4854" s="2" t="s">
        <v>16439</v>
      </c>
      <c r="H4854" s="2" t="s">
        <v>17</v>
      </c>
      <c r="K4854" s="4" t="s">
        <v>16440</v>
      </c>
      <c r="L4854" s="4">
        <v>21634</v>
      </c>
      <c r="M4854" s="2" t="s">
        <v>198</v>
      </c>
      <c r="N4854" s="2" t="s">
        <v>13336</v>
      </c>
    </row>
    <row r="4855" spans="1:14">
      <c r="A4855" s="2">
        <v>4854</v>
      </c>
      <c r="B4855" s="3" t="s">
        <v>16441</v>
      </c>
      <c r="C4855" s="2" t="s">
        <v>16442</v>
      </c>
      <c r="D4855" s="2">
        <v>39</v>
      </c>
      <c r="E4855" s="2">
        <v>39</v>
      </c>
      <c r="F4855" s="2" t="s">
        <v>16443</v>
      </c>
      <c r="H4855" s="2" t="s">
        <v>17</v>
      </c>
      <c r="K4855" s="4">
        <v>5499</v>
      </c>
      <c r="M4855" s="2" t="s">
        <v>170</v>
      </c>
      <c r="N4855" s="2" t="s">
        <v>171</v>
      </c>
    </row>
    <row r="4856" spans="1:14">
      <c r="A4856" s="2">
        <v>4855</v>
      </c>
      <c r="B4856" s="3" t="s">
        <v>16444</v>
      </c>
      <c r="C4856" s="2" t="s">
        <v>16445</v>
      </c>
      <c r="D4856" s="2">
        <v>39</v>
      </c>
      <c r="E4856" s="2">
        <v>39</v>
      </c>
      <c r="F4856" s="2" t="s">
        <v>16446</v>
      </c>
      <c r="H4856" s="2" t="s">
        <v>17</v>
      </c>
      <c r="K4856" s="4">
        <v>1372</v>
      </c>
      <c r="L4856" s="4">
        <v>30433</v>
      </c>
      <c r="M4856" s="2" t="s">
        <v>192</v>
      </c>
      <c r="N4856" s="2" t="s">
        <v>11468</v>
      </c>
    </row>
    <row r="4857" spans="1:14">
      <c r="A4857" s="2">
        <v>4856</v>
      </c>
      <c r="B4857" s="3" t="s">
        <v>16447</v>
      </c>
      <c r="C4857" s="2" t="s">
        <v>16448</v>
      </c>
      <c r="D4857" s="2">
        <v>38</v>
      </c>
      <c r="E4857" s="2">
        <v>39</v>
      </c>
      <c r="F4857" s="2" t="s">
        <v>16449</v>
      </c>
      <c r="H4857" s="2" t="s">
        <v>17</v>
      </c>
      <c r="K4857" s="4">
        <v>3269</v>
      </c>
      <c r="L4857" s="4">
        <v>37497</v>
      </c>
      <c r="M4857" s="2" t="s">
        <v>146</v>
      </c>
      <c r="N4857" s="2" t="s">
        <v>8769</v>
      </c>
    </row>
    <row r="4858" spans="1:14">
      <c r="A4858" s="2">
        <v>4857</v>
      </c>
      <c r="B4858" s="3" t="s">
        <v>16450</v>
      </c>
      <c r="C4858" s="2" t="s">
        <v>16451</v>
      </c>
      <c r="D4858" s="2">
        <v>32</v>
      </c>
      <c r="E4858" s="2">
        <v>39</v>
      </c>
      <c r="F4858" s="2" t="s">
        <v>16452</v>
      </c>
      <c r="H4858" s="2" t="s">
        <v>17</v>
      </c>
      <c r="K4858" s="4" t="s">
        <v>16453</v>
      </c>
      <c r="L4858" s="4">
        <v>22412</v>
      </c>
      <c r="M4858" s="2" t="s">
        <v>170</v>
      </c>
      <c r="N4858" s="2" t="s">
        <v>10075</v>
      </c>
    </row>
    <row r="4859" spans="1:14">
      <c r="A4859" s="2">
        <v>4858</v>
      </c>
      <c r="B4859" s="3" t="s">
        <v>16454</v>
      </c>
      <c r="C4859" s="2" t="s">
        <v>16455</v>
      </c>
      <c r="D4859" s="2">
        <v>38</v>
      </c>
      <c r="E4859" s="2">
        <v>39</v>
      </c>
      <c r="F4859" s="2" t="s">
        <v>16456</v>
      </c>
      <c r="H4859" s="2" t="s">
        <v>17</v>
      </c>
      <c r="K4859" s="4" t="s">
        <v>16457</v>
      </c>
      <c r="L4859" s="4">
        <v>25326</v>
      </c>
      <c r="M4859" s="2" t="s">
        <v>53</v>
      </c>
      <c r="N4859" s="2" t="s">
        <v>9382</v>
      </c>
    </row>
    <row r="4860" spans="1:14">
      <c r="A4860" s="2">
        <v>4859</v>
      </c>
      <c r="B4860" s="3" t="s">
        <v>16458</v>
      </c>
      <c r="C4860" s="2" t="s">
        <v>16459</v>
      </c>
      <c r="D4860" s="2">
        <v>39</v>
      </c>
      <c r="E4860" s="2">
        <v>39</v>
      </c>
      <c r="F4860" s="2" t="s">
        <v>16460</v>
      </c>
      <c r="H4860" s="2" t="s">
        <v>17</v>
      </c>
      <c r="K4860" s="4">
        <v>2265</v>
      </c>
      <c r="L4860" s="4">
        <v>28638</v>
      </c>
      <c r="M4860" s="2" t="s">
        <v>170</v>
      </c>
      <c r="N4860" s="2" t="s">
        <v>323</v>
      </c>
    </row>
    <row r="4861" spans="1:14">
      <c r="A4861" s="2">
        <v>4860</v>
      </c>
      <c r="B4861" s="3" t="s">
        <v>16461</v>
      </c>
      <c r="C4861" s="2" t="s">
        <v>16462</v>
      </c>
      <c r="D4861" s="2">
        <v>39</v>
      </c>
      <c r="E4861" s="2">
        <v>39</v>
      </c>
      <c r="F4861" s="2" t="s">
        <v>16463</v>
      </c>
      <c r="H4861" s="2" t="s">
        <v>17</v>
      </c>
      <c r="K4861" s="4" t="s">
        <v>16464</v>
      </c>
      <c r="L4861" s="4">
        <v>26706</v>
      </c>
      <c r="M4861" s="2" t="s">
        <v>66</v>
      </c>
      <c r="N4861" s="2" t="s">
        <v>1201</v>
      </c>
    </row>
    <row r="4862" spans="1:14">
      <c r="A4862" s="2">
        <v>4861</v>
      </c>
      <c r="B4862" s="3" t="s">
        <v>16465</v>
      </c>
      <c r="C4862" s="2" t="s">
        <v>16466</v>
      </c>
      <c r="D4862" s="2">
        <v>36</v>
      </c>
      <c r="E4862" s="2">
        <v>39</v>
      </c>
      <c r="F4862" s="2" t="s">
        <v>16467</v>
      </c>
      <c r="H4862" s="2" t="s">
        <v>17</v>
      </c>
      <c r="K4862" s="4" t="s">
        <v>16468</v>
      </c>
      <c r="L4862" s="4">
        <v>25413</v>
      </c>
      <c r="M4862" s="2" t="s">
        <v>91</v>
      </c>
      <c r="N4862" s="2" t="s">
        <v>92</v>
      </c>
    </row>
    <row r="4863" spans="1:14">
      <c r="A4863" s="2">
        <v>4862</v>
      </c>
      <c r="B4863" s="3" t="s">
        <v>16469</v>
      </c>
      <c r="C4863" s="2" t="s">
        <v>16470</v>
      </c>
      <c r="D4863" s="2">
        <v>38</v>
      </c>
      <c r="E4863" s="2">
        <v>39</v>
      </c>
      <c r="F4863" s="2" t="s">
        <v>16471</v>
      </c>
      <c r="H4863" s="2" t="s">
        <v>17</v>
      </c>
      <c r="K4863" s="4">
        <v>3691</v>
      </c>
      <c r="L4863" s="4">
        <v>26822</v>
      </c>
      <c r="M4863" s="2" t="s">
        <v>53</v>
      </c>
      <c r="N4863" s="2" t="s">
        <v>9689</v>
      </c>
    </row>
    <row r="4864" spans="1:14">
      <c r="A4864" s="2">
        <v>4863</v>
      </c>
      <c r="B4864" s="3" t="s">
        <v>16472</v>
      </c>
      <c r="C4864" s="2" t="s">
        <v>16473</v>
      </c>
      <c r="D4864" s="2">
        <v>39</v>
      </c>
      <c r="E4864" s="2">
        <v>39</v>
      </c>
      <c r="F4864" s="2" t="s">
        <v>16474</v>
      </c>
      <c r="H4864" s="2" t="s">
        <v>17</v>
      </c>
      <c r="K4864" s="4" t="s">
        <v>16475</v>
      </c>
      <c r="L4864" s="4">
        <v>20241</v>
      </c>
      <c r="M4864" s="2" t="s">
        <v>198</v>
      </c>
      <c r="N4864" s="2" t="s">
        <v>199</v>
      </c>
    </row>
    <row r="4865" spans="1:14">
      <c r="A4865" s="2">
        <v>4864</v>
      </c>
      <c r="B4865" s="3" t="s">
        <v>16476</v>
      </c>
      <c r="C4865" s="2" t="s">
        <v>16477</v>
      </c>
      <c r="D4865" s="2">
        <v>39</v>
      </c>
      <c r="E4865" s="2">
        <v>39</v>
      </c>
      <c r="F4865" s="2" t="s">
        <v>16478</v>
      </c>
      <c r="H4865" s="2" t="s">
        <v>17</v>
      </c>
      <c r="K4865" s="4">
        <v>3749</v>
      </c>
      <c r="L4865" s="4">
        <v>29726</v>
      </c>
      <c r="M4865" s="2" t="s">
        <v>198</v>
      </c>
      <c r="N4865" s="2" t="s">
        <v>12284</v>
      </c>
    </row>
    <row r="4866" spans="1:14">
      <c r="A4866" s="2">
        <v>4865</v>
      </c>
      <c r="B4866" s="3" t="s">
        <v>16479</v>
      </c>
      <c r="C4866" s="2" t="s">
        <v>16480</v>
      </c>
      <c r="D4866" s="2">
        <v>39</v>
      </c>
      <c r="E4866" s="2">
        <v>39</v>
      </c>
      <c r="F4866" s="2" t="s">
        <v>16481</v>
      </c>
      <c r="H4866" s="2" t="s">
        <v>17</v>
      </c>
      <c r="K4866" s="4" t="s">
        <v>16482</v>
      </c>
      <c r="L4866" s="4">
        <v>28787</v>
      </c>
      <c r="M4866" s="2" t="s">
        <v>35</v>
      </c>
      <c r="N4866" s="2" t="s">
        <v>5456</v>
      </c>
    </row>
    <row r="4867" spans="1:14">
      <c r="A4867" s="2">
        <v>4866</v>
      </c>
      <c r="B4867" s="3" t="s">
        <v>16483</v>
      </c>
      <c r="C4867" s="2" t="s">
        <v>16484</v>
      </c>
      <c r="D4867" s="2">
        <v>39</v>
      </c>
      <c r="E4867" s="2">
        <v>39</v>
      </c>
      <c r="F4867" s="2" t="s">
        <v>16485</v>
      </c>
      <c r="H4867" s="2" t="s">
        <v>17</v>
      </c>
      <c r="K4867" s="4">
        <v>5064</v>
      </c>
      <c r="L4867" s="4">
        <v>31880</v>
      </c>
      <c r="M4867" s="2" t="s">
        <v>35</v>
      </c>
      <c r="N4867" s="2" t="s">
        <v>1462</v>
      </c>
    </row>
    <row r="4868" spans="1:14">
      <c r="A4868" s="2">
        <v>4867</v>
      </c>
      <c r="B4868" s="3" t="s">
        <v>16486</v>
      </c>
      <c r="C4868" s="2" t="s">
        <v>16487</v>
      </c>
      <c r="D4868" s="2">
        <v>39</v>
      </c>
      <c r="E4868" s="2">
        <v>39</v>
      </c>
      <c r="F4868" s="2" t="s">
        <v>16488</v>
      </c>
      <c r="H4868" s="2" t="s">
        <v>17</v>
      </c>
      <c r="K4868" s="4">
        <v>1760</v>
      </c>
      <c r="L4868" s="4">
        <v>26120</v>
      </c>
      <c r="M4868" s="2" t="s">
        <v>146</v>
      </c>
      <c r="N4868" s="2" t="s">
        <v>16489</v>
      </c>
    </row>
    <row r="4869" spans="1:14">
      <c r="A4869" s="2">
        <v>4868</v>
      </c>
      <c r="B4869" s="3" t="s">
        <v>16490</v>
      </c>
      <c r="C4869" s="2" t="s">
        <v>16491</v>
      </c>
      <c r="D4869" s="2">
        <v>39</v>
      </c>
      <c r="E4869" s="2">
        <v>39</v>
      </c>
      <c r="F4869" s="2" t="s">
        <v>16492</v>
      </c>
      <c r="H4869" s="2" t="s">
        <v>17</v>
      </c>
      <c r="K4869" s="4">
        <v>5692</v>
      </c>
      <c r="L4869" s="4">
        <v>21206</v>
      </c>
      <c r="M4869" s="2" t="s">
        <v>164</v>
      </c>
      <c r="N4869" s="2" t="s">
        <v>165</v>
      </c>
    </row>
    <row r="4870" spans="1:14">
      <c r="A4870" s="2">
        <v>4869</v>
      </c>
      <c r="B4870" s="3" t="s">
        <v>16493</v>
      </c>
      <c r="C4870" s="2" t="s">
        <v>16494</v>
      </c>
      <c r="D4870" s="2">
        <v>32</v>
      </c>
      <c r="E4870" s="2">
        <v>39</v>
      </c>
      <c r="F4870" s="2" t="s">
        <v>16495</v>
      </c>
      <c r="H4870" s="2" t="s">
        <v>17</v>
      </c>
      <c r="K4870" s="4" t="s">
        <v>16496</v>
      </c>
      <c r="L4870" s="4">
        <v>29045</v>
      </c>
      <c r="M4870" s="2" t="s">
        <v>164</v>
      </c>
      <c r="N4870" s="2" t="s">
        <v>165</v>
      </c>
    </row>
    <row r="4871" spans="1:14">
      <c r="A4871" s="2">
        <v>4870</v>
      </c>
      <c r="B4871" s="3" t="s">
        <v>16497</v>
      </c>
      <c r="C4871" s="2" t="s">
        <v>16498</v>
      </c>
      <c r="D4871" s="2">
        <v>36</v>
      </c>
      <c r="E4871" s="2">
        <v>39</v>
      </c>
      <c r="F4871" s="2" t="s">
        <v>16499</v>
      </c>
      <c r="H4871" s="2" t="s">
        <v>17</v>
      </c>
      <c r="K4871" s="4">
        <v>230</v>
      </c>
      <c r="L4871" s="4">
        <v>25804</v>
      </c>
      <c r="M4871" s="2" t="s">
        <v>85</v>
      </c>
      <c r="N4871" s="2" t="s">
        <v>3624</v>
      </c>
    </row>
    <row r="4872" spans="1:14">
      <c r="A4872" s="2">
        <v>4871</v>
      </c>
      <c r="B4872" s="3" t="s">
        <v>16500</v>
      </c>
      <c r="C4872" s="2" t="s">
        <v>16501</v>
      </c>
      <c r="D4872" s="2">
        <v>38</v>
      </c>
      <c r="E4872" s="2">
        <v>39</v>
      </c>
      <c r="F4872" s="2" t="s">
        <v>16502</v>
      </c>
      <c r="H4872" s="2" t="s">
        <v>17</v>
      </c>
      <c r="K4872" s="4">
        <v>5866</v>
      </c>
      <c r="L4872" s="4">
        <v>41739</v>
      </c>
      <c r="M4872" s="2" t="s">
        <v>198</v>
      </c>
      <c r="N4872" s="2" t="s">
        <v>13336</v>
      </c>
    </row>
    <row r="4873" spans="1:14">
      <c r="A4873" s="2">
        <v>4872</v>
      </c>
      <c r="B4873" s="3" t="s">
        <v>16503</v>
      </c>
      <c r="C4873" s="2" t="s">
        <v>16504</v>
      </c>
      <c r="D4873" s="2">
        <v>39</v>
      </c>
      <c r="E4873" s="2">
        <v>39</v>
      </c>
      <c r="F4873" s="2" t="s">
        <v>16505</v>
      </c>
      <c r="H4873" s="2" t="s">
        <v>17</v>
      </c>
      <c r="K4873" s="4">
        <v>661</v>
      </c>
      <c r="L4873" s="4">
        <v>33420</v>
      </c>
      <c r="M4873" s="2" t="s">
        <v>40</v>
      </c>
    </row>
    <row r="4874" spans="1:14">
      <c r="A4874" s="2">
        <v>4873</v>
      </c>
      <c r="B4874" s="3" t="s">
        <v>16506</v>
      </c>
      <c r="C4874" s="2" t="s">
        <v>16507</v>
      </c>
      <c r="D4874" s="2">
        <v>39</v>
      </c>
      <c r="E4874" s="2">
        <v>39</v>
      </c>
      <c r="F4874" s="2" t="s">
        <v>16508</v>
      </c>
      <c r="H4874" s="2" t="s">
        <v>17</v>
      </c>
      <c r="K4874" s="4" t="s">
        <v>16509</v>
      </c>
      <c r="L4874" s="4">
        <v>27056</v>
      </c>
      <c r="M4874" s="2" t="s">
        <v>47</v>
      </c>
      <c r="N4874" s="2" t="s">
        <v>48</v>
      </c>
    </row>
    <row r="4875" spans="1:14">
      <c r="A4875" s="2">
        <v>4874</v>
      </c>
      <c r="B4875" s="3" t="s">
        <v>16510</v>
      </c>
      <c r="C4875" s="2" t="s">
        <v>16511</v>
      </c>
      <c r="D4875" s="2">
        <v>39</v>
      </c>
      <c r="E4875" s="2">
        <v>39</v>
      </c>
      <c r="F4875" s="2" t="s">
        <v>16512</v>
      </c>
      <c r="H4875" s="2" t="s">
        <v>17</v>
      </c>
      <c r="K4875" s="4" t="s">
        <v>16513</v>
      </c>
      <c r="L4875" s="4">
        <v>23335</v>
      </c>
      <c r="M4875" s="2" t="s">
        <v>35</v>
      </c>
      <c r="N4875" s="2" t="s">
        <v>10819</v>
      </c>
    </row>
    <row r="4876" spans="1:14">
      <c r="A4876" s="2">
        <v>4875</v>
      </c>
      <c r="B4876" s="3" t="s">
        <v>16514</v>
      </c>
      <c r="C4876" s="2" t="s">
        <v>16515</v>
      </c>
      <c r="D4876" s="2">
        <v>39</v>
      </c>
      <c r="E4876" s="2">
        <v>39</v>
      </c>
      <c r="F4876" s="2" t="s">
        <v>16516</v>
      </c>
      <c r="H4876" s="2" t="s">
        <v>17</v>
      </c>
      <c r="M4876" s="2" t="s">
        <v>146</v>
      </c>
    </row>
    <row r="4877" spans="1:14">
      <c r="A4877" s="2">
        <v>4876</v>
      </c>
      <c r="B4877" s="3" t="s">
        <v>16517</v>
      </c>
      <c r="C4877" s="2" t="s">
        <v>16518</v>
      </c>
      <c r="D4877" s="2">
        <v>39</v>
      </c>
      <c r="E4877" s="2">
        <v>39</v>
      </c>
      <c r="F4877" s="2" t="s">
        <v>16519</v>
      </c>
      <c r="H4877" s="2" t="s">
        <v>17</v>
      </c>
      <c r="K4877" s="4">
        <v>6635</v>
      </c>
      <c r="L4877" s="4">
        <v>28100</v>
      </c>
      <c r="M4877" s="2" t="s">
        <v>66</v>
      </c>
      <c r="N4877" s="2" t="s">
        <v>6179</v>
      </c>
    </row>
    <row r="4878" spans="1:14">
      <c r="A4878" s="2">
        <v>4877</v>
      </c>
      <c r="B4878" s="3" t="s">
        <v>16520</v>
      </c>
      <c r="C4878" s="2" t="s">
        <v>16521</v>
      </c>
      <c r="D4878" s="2">
        <v>39</v>
      </c>
      <c r="E4878" s="2">
        <v>39</v>
      </c>
      <c r="F4878" s="2" t="s">
        <v>16522</v>
      </c>
      <c r="H4878" s="2" t="s">
        <v>17</v>
      </c>
      <c r="K4878" s="4" t="s">
        <v>16523</v>
      </c>
      <c r="L4878" s="4">
        <v>21866</v>
      </c>
      <c r="M4878" s="2" t="s">
        <v>85</v>
      </c>
      <c r="N4878" s="2" t="s">
        <v>4522</v>
      </c>
    </row>
    <row r="4879" spans="1:14">
      <c r="A4879" s="2">
        <v>4878</v>
      </c>
      <c r="B4879" s="3" t="s">
        <v>16524</v>
      </c>
      <c r="C4879" s="2" t="s">
        <v>16525</v>
      </c>
      <c r="D4879" s="2">
        <v>39</v>
      </c>
      <c r="E4879" s="2">
        <v>39</v>
      </c>
      <c r="F4879" s="2" t="s">
        <v>16526</v>
      </c>
      <c r="H4879" s="2" t="s">
        <v>17</v>
      </c>
      <c r="K4879" s="4">
        <v>2814</v>
      </c>
      <c r="L4879" s="4">
        <v>26264</v>
      </c>
      <c r="M4879" s="2" t="s">
        <v>146</v>
      </c>
      <c r="N4879" s="2" t="s">
        <v>2261</v>
      </c>
    </row>
    <row r="4880" spans="1:14">
      <c r="A4880" s="2">
        <v>4879</v>
      </c>
      <c r="B4880" s="3" t="s">
        <v>16527</v>
      </c>
      <c r="C4880" s="2" t="s">
        <v>16528</v>
      </c>
      <c r="D4880" s="2">
        <v>39</v>
      </c>
      <c r="E4880" s="2">
        <v>39</v>
      </c>
      <c r="F4880" s="2" t="s">
        <v>16529</v>
      </c>
      <c r="H4880" s="2" t="s">
        <v>17</v>
      </c>
      <c r="K4880" s="4">
        <v>560</v>
      </c>
      <c r="L4880" s="4">
        <v>22767</v>
      </c>
      <c r="M4880" s="2" t="s">
        <v>40</v>
      </c>
      <c r="N4880" s="2" t="s">
        <v>14190</v>
      </c>
    </row>
    <row r="4881" spans="1:14">
      <c r="A4881" s="2">
        <v>4880</v>
      </c>
      <c r="B4881" s="3" t="s">
        <v>16530</v>
      </c>
      <c r="C4881" s="2" t="s">
        <v>16531</v>
      </c>
      <c r="D4881" s="2">
        <v>39</v>
      </c>
      <c r="E4881" s="2">
        <v>39</v>
      </c>
      <c r="F4881" s="2" t="s">
        <v>16532</v>
      </c>
      <c r="H4881" s="2" t="s">
        <v>17</v>
      </c>
      <c r="K4881" s="4">
        <v>1833</v>
      </c>
      <c r="L4881" s="4">
        <v>25793</v>
      </c>
      <c r="M4881" s="2" t="s">
        <v>35</v>
      </c>
      <c r="N4881" s="2" t="s">
        <v>14804</v>
      </c>
    </row>
    <row r="4882" spans="1:14">
      <c r="A4882" s="2">
        <v>4881</v>
      </c>
      <c r="B4882" s="3" t="s">
        <v>16533</v>
      </c>
      <c r="C4882" s="2" t="s">
        <v>8626</v>
      </c>
      <c r="D4882" s="2">
        <v>30</v>
      </c>
      <c r="E4882" s="2">
        <v>39</v>
      </c>
      <c r="F4882" s="2" t="s">
        <v>16534</v>
      </c>
      <c r="H4882" s="2" t="s">
        <v>17</v>
      </c>
      <c r="K4882" s="4" t="s">
        <v>16535</v>
      </c>
      <c r="L4882" s="4">
        <v>26081</v>
      </c>
      <c r="M4882" s="2" t="s">
        <v>336</v>
      </c>
      <c r="N4882" s="2" t="s">
        <v>1364</v>
      </c>
    </row>
    <row r="4883" spans="1:14">
      <c r="A4883" s="2">
        <v>4882</v>
      </c>
      <c r="B4883" s="3" t="s">
        <v>16536</v>
      </c>
      <c r="C4883" s="2" t="s">
        <v>16537</v>
      </c>
      <c r="D4883" s="2">
        <v>39</v>
      </c>
      <c r="E4883" s="2">
        <v>39</v>
      </c>
      <c r="F4883" s="2" t="s">
        <v>16538</v>
      </c>
      <c r="H4883" s="2" t="s">
        <v>17</v>
      </c>
      <c r="K4883" s="4">
        <v>5018</v>
      </c>
      <c r="M4883" s="2" t="s">
        <v>53</v>
      </c>
      <c r="N4883" s="2" t="s">
        <v>54</v>
      </c>
    </row>
    <row r="4884" spans="1:14">
      <c r="A4884" s="2">
        <v>4883</v>
      </c>
      <c r="B4884" s="3" t="s">
        <v>16539</v>
      </c>
      <c r="C4884" s="2" t="s">
        <v>16540</v>
      </c>
      <c r="D4884" s="2">
        <v>38</v>
      </c>
      <c r="E4884" s="2">
        <v>39</v>
      </c>
      <c r="F4884" s="2" t="s">
        <v>16541</v>
      </c>
      <c r="H4884" s="2" t="s">
        <v>17</v>
      </c>
      <c r="K4884" s="4" t="s">
        <v>16542</v>
      </c>
      <c r="L4884" s="4">
        <v>19572</v>
      </c>
      <c r="M4884" s="2" t="s">
        <v>76</v>
      </c>
    </row>
    <row r="4885" spans="1:14">
      <c r="A4885" s="2">
        <v>4884</v>
      </c>
      <c r="B4885" s="3" t="s">
        <v>16543</v>
      </c>
      <c r="C4885" s="2" t="s">
        <v>16544</v>
      </c>
      <c r="D4885" s="2">
        <v>39</v>
      </c>
      <c r="E4885" s="2">
        <v>39</v>
      </c>
      <c r="F4885" s="2" t="s">
        <v>16545</v>
      </c>
      <c r="H4885" s="2" t="s">
        <v>17</v>
      </c>
      <c r="K4885" s="4">
        <v>6189</v>
      </c>
      <c r="M4885" s="2" t="s">
        <v>185</v>
      </c>
      <c r="N4885" s="2" t="s">
        <v>838</v>
      </c>
    </row>
    <row r="4886" spans="1:14">
      <c r="A4886" s="2">
        <v>4885</v>
      </c>
      <c r="B4886" s="3" t="s">
        <v>16546</v>
      </c>
      <c r="C4886" s="2" t="s">
        <v>16547</v>
      </c>
      <c r="D4886" s="2">
        <v>38</v>
      </c>
      <c r="E4886" s="2">
        <v>39</v>
      </c>
      <c r="F4886" s="2" t="s">
        <v>16548</v>
      </c>
      <c r="H4886" s="2" t="s">
        <v>17</v>
      </c>
      <c r="K4886" s="4" t="s">
        <v>16549</v>
      </c>
      <c r="L4886" s="4">
        <v>22251</v>
      </c>
      <c r="M4886" s="2" t="s">
        <v>185</v>
      </c>
      <c r="N4886" s="2" t="s">
        <v>16550</v>
      </c>
    </row>
    <row r="4887" spans="1:14">
      <c r="A4887" s="2">
        <v>4886</v>
      </c>
      <c r="B4887" s="3" t="s">
        <v>16551</v>
      </c>
      <c r="C4887" s="2" t="s">
        <v>16552</v>
      </c>
      <c r="D4887" s="2">
        <v>38</v>
      </c>
      <c r="E4887" s="2">
        <v>39</v>
      </c>
      <c r="F4887" s="2" t="s">
        <v>16553</v>
      </c>
      <c r="H4887" s="2" t="s">
        <v>17</v>
      </c>
      <c r="K4887" s="4">
        <v>5042</v>
      </c>
      <c r="L4887" s="4">
        <v>30955</v>
      </c>
      <c r="M4887" s="2" t="s">
        <v>170</v>
      </c>
      <c r="N4887" s="2" t="s">
        <v>323</v>
      </c>
    </row>
    <row r="4888" spans="1:14">
      <c r="A4888" s="2">
        <v>4887</v>
      </c>
      <c r="B4888" s="3" t="s">
        <v>16554</v>
      </c>
      <c r="C4888" s="2" t="s">
        <v>16555</v>
      </c>
      <c r="D4888" s="2">
        <v>39</v>
      </c>
      <c r="E4888" s="2">
        <v>39</v>
      </c>
      <c r="F4888" s="2" t="s">
        <v>16556</v>
      </c>
      <c r="H4888" s="2" t="s">
        <v>17</v>
      </c>
      <c r="K4888" s="4">
        <v>5443</v>
      </c>
      <c r="L4888" s="4">
        <v>28391</v>
      </c>
      <c r="M4888" s="2" t="s">
        <v>154</v>
      </c>
      <c r="N4888" s="2" t="s">
        <v>2265</v>
      </c>
    </row>
    <row r="4889" spans="1:14">
      <c r="A4889" s="2">
        <v>4888</v>
      </c>
      <c r="B4889" s="3" t="s">
        <v>16557</v>
      </c>
      <c r="C4889" s="2" t="s">
        <v>16558</v>
      </c>
      <c r="D4889" s="2">
        <v>39</v>
      </c>
      <c r="E4889" s="2">
        <v>39</v>
      </c>
      <c r="F4889" s="2" t="s">
        <v>16559</v>
      </c>
      <c r="H4889" s="2" t="s">
        <v>17</v>
      </c>
      <c r="K4889" s="4" t="s">
        <v>16560</v>
      </c>
      <c r="L4889" s="4">
        <v>30042</v>
      </c>
      <c r="M4889" s="2" t="s">
        <v>198</v>
      </c>
      <c r="N4889" s="2" t="s">
        <v>4411</v>
      </c>
    </row>
    <row r="4890" spans="1:14">
      <c r="A4890" s="2">
        <v>4889</v>
      </c>
      <c r="B4890" s="3" t="s">
        <v>16561</v>
      </c>
      <c r="C4890" s="2" t="s">
        <v>16562</v>
      </c>
      <c r="D4890" s="2">
        <v>37</v>
      </c>
      <c r="E4890" s="2">
        <v>39</v>
      </c>
      <c r="F4890" s="2" t="s">
        <v>16563</v>
      </c>
      <c r="H4890" s="2" t="s">
        <v>17</v>
      </c>
      <c r="K4890" s="4" t="s">
        <v>16564</v>
      </c>
      <c r="L4890" s="4">
        <v>23443</v>
      </c>
      <c r="M4890" s="2" t="s">
        <v>154</v>
      </c>
      <c r="N4890" s="2" t="s">
        <v>208</v>
      </c>
    </row>
    <row r="4891" spans="1:14">
      <c r="A4891" s="2">
        <v>4890</v>
      </c>
      <c r="B4891" s="3" t="s">
        <v>16565</v>
      </c>
      <c r="C4891" s="2" t="s">
        <v>16566</v>
      </c>
      <c r="D4891" s="2">
        <v>35</v>
      </c>
      <c r="E4891" s="2">
        <v>39</v>
      </c>
      <c r="F4891" s="2" t="s">
        <v>16567</v>
      </c>
      <c r="H4891" s="2" t="s">
        <v>17</v>
      </c>
      <c r="K4891" s="4" t="s">
        <v>16568</v>
      </c>
      <c r="L4891" s="4">
        <v>30877</v>
      </c>
      <c r="M4891" s="2" t="s">
        <v>91</v>
      </c>
      <c r="N4891" s="2" t="s">
        <v>13113</v>
      </c>
    </row>
    <row r="4892" spans="1:14">
      <c r="A4892" s="2">
        <v>4891</v>
      </c>
      <c r="B4892" s="3" t="s">
        <v>16569</v>
      </c>
      <c r="C4892" s="2" t="s">
        <v>16570</v>
      </c>
      <c r="D4892" s="2">
        <v>39</v>
      </c>
      <c r="E4892" s="2">
        <v>39</v>
      </c>
      <c r="F4892" s="2" t="s">
        <v>16571</v>
      </c>
      <c r="H4892" s="2" t="s">
        <v>17</v>
      </c>
      <c r="K4892" s="4" t="s">
        <v>16572</v>
      </c>
      <c r="L4892" s="4">
        <v>29730</v>
      </c>
      <c r="M4892" s="2" t="s">
        <v>140</v>
      </c>
      <c r="N4892" s="2" t="s">
        <v>13624</v>
      </c>
    </row>
    <row r="4893" spans="1:14">
      <c r="A4893" s="2">
        <v>4892</v>
      </c>
      <c r="B4893" s="3" t="s">
        <v>16573</v>
      </c>
      <c r="C4893" s="2" t="s">
        <v>16574</v>
      </c>
      <c r="D4893" s="2">
        <v>39</v>
      </c>
      <c r="E4893" s="2">
        <v>39</v>
      </c>
      <c r="F4893" s="2" t="s">
        <v>16575</v>
      </c>
      <c r="H4893" s="2" t="s">
        <v>17</v>
      </c>
      <c r="K4893" s="4">
        <v>839</v>
      </c>
      <c r="L4893" s="4">
        <v>34207</v>
      </c>
      <c r="M4893" s="2" t="s">
        <v>66</v>
      </c>
      <c r="N4893" s="2" t="s">
        <v>6963</v>
      </c>
    </row>
    <row r="4894" spans="1:14">
      <c r="A4894" s="2">
        <v>4893</v>
      </c>
      <c r="B4894" s="3" t="s">
        <v>16576</v>
      </c>
      <c r="C4894" s="2" t="s">
        <v>16577</v>
      </c>
      <c r="D4894" s="2">
        <v>39</v>
      </c>
      <c r="E4894" s="2">
        <v>39</v>
      </c>
      <c r="F4894" s="2" t="s">
        <v>16578</v>
      </c>
      <c r="H4894" s="2" t="s">
        <v>17</v>
      </c>
      <c r="K4894" s="4">
        <v>884</v>
      </c>
      <c r="L4894" s="4">
        <v>20609</v>
      </c>
      <c r="M4894" s="2" t="s">
        <v>170</v>
      </c>
      <c r="N4894" s="2" t="s">
        <v>323</v>
      </c>
    </row>
    <row r="4895" spans="1:14">
      <c r="A4895" s="2">
        <v>4894</v>
      </c>
      <c r="B4895" s="3" t="s">
        <v>16579</v>
      </c>
      <c r="C4895" s="2" t="s">
        <v>16580</v>
      </c>
      <c r="D4895" s="2">
        <v>39</v>
      </c>
      <c r="E4895" s="2">
        <v>39</v>
      </c>
      <c r="F4895" s="2" t="s">
        <v>16581</v>
      </c>
      <c r="H4895" s="2" t="s">
        <v>17</v>
      </c>
      <c r="K4895" s="4" t="s">
        <v>16582</v>
      </c>
      <c r="L4895" s="4">
        <v>28992</v>
      </c>
    </row>
    <row r="4896" spans="1:14">
      <c r="A4896" s="2">
        <v>4895</v>
      </c>
      <c r="B4896" s="3" t="s">
        <v>16583</v>
      </c>
      <c r="C4896" s="2" t="s">
        <v>16584</v>
      </c>
      <c r="D4896" s="2">
        <v>39</v>
      </c>
      <c r="E4896" s="2">
        <v>39</v>
      </c>
      <c r="F4896" s="2" t="s">
        <v>16585</v>
      </c>
      <c r="H4896" s="2" t="s">
        <v>17</v>
      </c>
      <c r="K4896" s="4">
        <v>8064</v>
      </c>
      <c r="L4896" s="4">
        <v>37210</v>
      </c>
      <c r="M4896" s="2" t="s">
        <v>170</v>
      </c>
      <c r="N4896" s="2" t="s">
        <v>323</v>
      </c>
    </row>
    <row r="4897" spans="1:14">
      <c r="A4897" s="2">
        <v>4896</v>
      </c>
      <c r="B4897" s="3" t="s">
        <v>16586</v>
      </c>
      <c r="C4897" s="2" t="s">
        <v>16587</v>
      </c>
      <c r="D4897" s="2">
        <v>39</v>
      </c>
      <c r="E4897" s="2">
        <v>39</v>
      </c>
      <c r="F4897" s="2" t="s">
        <v>16588</v>
      </c>
      <c r="H4897" s="2" t="s">
        <v>17</v>
      </c>
      <c r="K4897" s="4">
        <v>3551</v>
      </c>
      <c r="M4897" s="2" t="s">
        <v>341</v>
      </c>
      <c r="N4897" s="2" t="s">
        <v>834</v>
      </c>
    </row>
    <row r="4898" spans="1:14">
      <c r="A4898" s="2">
        <v>4897</v>
      </c>
      <c r="B4898" s="3" t="s">
        <v>16589</v>
      </c>
      <c r="C4898" s="2" t="s">
        <v>16590</v>
      </c>
      <c r="D4898" s="2">
        <v>39</v>
      </c>
      <c r="E4898" s="2">
        <v>39</v>
      </c>
      <c r="F4898" s="2" t="s">
        <v>16591</v>
      </c>
      <c r="H4898" s="2" t="s">
        <v>17</v>
      </c>
      <c r="K4898" s="4">
        <v>4218</v>
      </c>
      <c r="L4898" s="4">
        <v>20341</v>
      </c>
      <c r="M4898" s="2" t="s">
        <v>35</v>
      </c>
      <c r="N4898" s="2" t="s">
        <v>1462</v>
      </c>
    </row>
    <row r="4899" spans="1:14">
      <c r="A4899" s="2">
        <v>4898</v>
      </c>
      <c r="B4899" s="3" t="s">
        <v>16592</v>
      </c>
      <c r="C4899" s="2" t="s">
        <v>16593</v>
      </c>
      <c r="D4899" s="2">
        <v>39</v>
      </c>
      <c r="E4899" s="2">
        <v>39</v>
      </c>
      <c r="F4899" s="2" t="s">
        <v>16594</v>
      </c>
      <c r="H4899" s="2" t="s">
        <v>17</v>
      </c>
      <c r="K4899" s="4">
        <v>2353</v>
      </c>
      <c r="L4899" s="4">
        <v>28787</v>
      </c>
      <c r="M4899" s="2" t="s">
        <v>170</v>
      </c>
      <c r="N4899" s="2" t="s">
        <v>323</v>
      </c>
    </row>
    <row r="4900" spans="1:14">
      <c r="A4900" s="2">
        <v>4899</v>
      </c>
      <c r="B4900" s="3" t="s">
        <v>16595</v>
      </c>
      <c r="C4900" s="2" t="s">
        <v>16596</v>
      </c>
      <c r="D4900" s="2">
        <v>39</v>
      </c>
      <c r="E4900" s="2">
        <v>39</v>
      </c>
      <c r="F4900" s="2" t="s">
        <v>16597</v>
      </c>
      <c r="H4900" s="2" t="s">
        <v>17</v>
      </c>
      <c r="K4900" s="4">
        <v>155</v>
      </c>
      <c r="L4900" s="4">
        <v>29583</v>
      </c>
      <c r="M4900" s="2" t="s">
        <v>170</v>
      </c>
    </row>
    <row r="4901" spans="1:14">
      <c r="A4901" s="2">
        <v>4900</v>
      </c>
      <c r="B4901" s="3" t="s">
        <v>16598</v>
      </c>
      <c r="C4901" s="2" t="s">
        <v>16599</v>
      </c>
      <c r="D4901" s="2">
        <v>38</v>
      </c>
      <c r="E4901" s="2">
        <v>39</v>
      </c>
      <c r="F4901" s="2" t="s">
        <v>16600</v>
      </c>
      <c r="H4901" s="2" t="s">
        <v>17</v>
      </c>
      <c r="K4901" s="4">
        <v>932</v>
      </c>
      <c r="M4901" s="2" t="s">
        <v>198</v>
      </c>
    </row>
    <row r="4902" spans="1:14">
      <c r="A4902" s="2">
        <v>4901</v>
      </c>
      <c r="B4902" s="3" t="s">
        <v>16601</v>
      </c>
      <c r="C4902" s="2" t="s">
        <v>16602</v>
      </c>
      <c r="D4902" s="2">
        <v>39</v>
      </c>
      <c r="E4902" s="2">
        <v>39</v>
      </c>
      <c r="F4902" s="2" t="s">
        <v>16603</v>
      </c>
      <c r="H4902" s="2" t="s">
        <v>17</v>
      </c>
      <c r="K4902" s="4" t="s">
        <v>13974</v>
      </c>
      <c r="L4902" s="4">
        <v>22859</v>
      </c>
      <c r="M4902" s="2" t="s">
        <v>35</v>
      </c>
      <c r="N4902" s="2" t="s">
        <v>8588</v>
      </c>
    </row>
    <row r="4903" spans="1:14">
      <c r="A4903" s="2">
        <v>4902</v>
      </c>
      <c r="B4903" s="3" t="s">
        <v>16604</v>
      </c>
      <c r="C4903" s="2" t="s">
        <v>16605</v>
      </c>
      <c r="D4903" s="2">
        <v>39</v>
      </c>
      <c r="E4903" s="2">
        <v>39</v>
      </c>
      <c r="F4903" s="2" t="s">
        <v>16606</v>
      </c>
      <c r="H4903" s="2" t="s">
        <v>17</v>
      </c>
      <c r="K4903" s="4">
        <v>5246</v>
      </c>
      <c r="M4903" s="2" t="s">
        <v>154</v>
      </c>
      <c r="N4903" s="2" t="s">
        <v>1413</v>
      </c>
    </row>
    <row r="4904" spans="1:14">
      <c r="A4904" s="2">
        <v>4903</v>
      </c>
      <c r="B4904" s="3" t="s">
        <v>16607</v>
      </c>
      <c r="C4904" s="2" t="s">
        <v>16608</v>
      </c>
      <c r="D4904" s="2">
        <v>39</v>
      </c>
      <c r="E4904" s="2">
        <v>39</v>
      </c>
      <c r="F4904" s="2" t="s">
        <v>16609</v>
      </c>
      <c r="H4904" s="2" t="s">
        <v>17</v>
      </c>
      <c r="K4904" s="4" t="s">
        <v>16610</v>
      </c>
      <c r="L4904" s="4">
        <v>30651</v>
      </c>
      <c r="M4904" s="2" t="s">
        <v>91</v>
      </c>
      <c r="N4904" s="2" t="s">
        <v>975</v>
      </c>
    </row>
    <row r="4905" spans="1:14">
      <c r="A4905" s="2">
        <v>4904</v>
      </c>
      <c r="B4905" s="3" t="s">
        <v>16611</v>
      </c>
      <c r="C4905" s="2" t="s">
        <v>16612</v>
      </c>
      <c r="D4905" s="2">
        <v>39</v>
      </c>
      <c r="E4905" s="2">
        <v>39</v>
      </c>
      <c r="F4905" s="2" t="s">
        <v>16613</v>
      </c>
      <c r="H4905" s="2" t="s">
        <v>17</v>
      </c>
      <c r="K4905" s="4" t="s">
        <v>16614</v>
      </c>
      <c r="L4905" s="4">
        <v>19739</v>
      </c>
      <c r="M4905" s="2" t="s">
        <v>198</v>
      </c>
      <c r="N4905" s="2" t="s">
        <v>199</v>
      </c>
    </row>
    <row r="4906" spans="1:14">
      <c r="A4906" s="2">
        <v>4905</v>
      </c>
      <c r="B4906" s="3" t="s">
        <v>16615</v>
      </c>
      <c r="C4906" s="2" t="s">
        <v>16616</v>
      </c>
      <c r="D4906" s="2">
        <v>38</v>
      </c>
      <c r="E4906" s="2">
        <v>39</v>
      </c>
      <c r="F4906" s="2" t="s">
        <v>16617</v>
      </c>
      <c r="H4906" s="2" t="s">
        <v>17</v>
      </c>
      <c r="K4906" s="4">
        <v>820</v>
      </c>
      <c r="L4906" s="4">
        <v>27912</v>
      </c>
      <c r="M4906" s="2" t="s">
        <v>146</v>
      </c>
      <c r="N4906" s="2" t="s">
        <v>549</v>
      </c>
    </row>
    <row r="4907" spans="1:14">
      <c r="A4907" s="2">
        <v>4906</v>
      </c>
      <c r="B4907" s="3" t="s">
        <v>16618</v>
      </c>
      <c r="C4907" s="2" t="s">
        <v>16619</v>
      </c>
      <c r="D4907" s="2">
        <v>34</v>
      </c>
      <c r="E4907" s="2">
        <v>39</v>
      </c>
      <c r="F4907" s="2" t="s">
        <v>16620</v>
      </c>
      <c r="H4907" s="2" t="s">
        <v>17</v>
      </c>
      <c r="K4907" s="4" t="s">
        <v>16621</v>
      </c>
      <c r="L4907" s="4">
        <v>23815</v>
      </c>
      <c r="M4907" s="2" t="s">
        <v>35</v>
      </c>
      <c r="N4907" s="2" t="s">
        <v>11907</v>
      </c>
    </row>
    <row r="4908" spans="1:14">
      <c r="A4908" s="2">
        <v>4907</v>
      </c>
      <c r="B4908" s="3" t="s">
        <v>16622</v>
      </c>
      <c r="C4908" s="2" t="s">
        <v>16623</v>
      </c>
      <c r="D4908" s="2">
        <v>38</v>
      </c>
      <c r="E4908" s="2">
        <v>39</v>
      </c>
      <c r="F4908" s="2" t="s">
        <v>16624</v>
      </c>
      <c r="H4908" s="2" t="s">
        <v>17</v>
      </c>
      <c r="K4908" s="4">
        <v>3929</v>
      </c>
      <c r="L4908" s="4">
        <v>29005</v>
      </c>
      <c r="M4908" s="2" t="s">
        <v>154</v>
      </c>
      <c r="N4908" s="2" t="s">
        <v>208</v>
      </c>
    </row>
    <row r="4909" spans="1:14">
      <c r="A4909" s="2">
        <v>4908</v>
      </c>
      <c r="B4909" s="3" t="s">
        <v>16625</v>
      </c>
      <c r="C4909" s="2" t="s">
        <v>16626</v>
      </c>
      <c r="D4909" s="2">
        <v>39</v>
      </c>
      <c r="E4909" s="2">
        <v>39</v>
      </c>
      <c r="F4909" s="2" t="s">
        <v>16627</v>
      </c>
      <c r="H4909" s="2" t="s">
        <v>17</v>
      </c>
      <c r="K4909" s="4" t="s">
        <v>16628</v>
      </c>
      <c r="L4909" s="4">
        <v>28712</v>
      </c>
      <c r="M4909" s="2" t="s">
        <v>140</v>
      </c>
      <c r="N4909" s="2" t="s">
        <v>5850</v>
      </c>
    </row>
    <row r="4910" spans="1:14">
      <c r="A4910" s="2">
        <v>4909</v>
      </c>
      <c r="B4910" s="3" t="s">
        <v>16629</v>
      </c>
      <c r="C4910" s="2" t="s">
        <v>16630</v>
      </c>
      <c r="D4910" s="2">
        <v>38</v>
      </c>
      <c r="E4910" s="2">
        <v>39</v>
      </c>
      <c r="F4910" s="2" t="s">
        <v>16631</v>
      </c>
      <c r="H4910" s="2" t="s">
        <v>17</v>
      </c>
      <c r="K4910" s="4">
        <v>5424</v>
      </c>
      <c r="L4910" s="4">
        <v>29599</v>
      </c>
      <c r="M4910" s="2" t="s">
        <v>336</v>
      </c>
      <c r="N4910" s="2" t="s">
        <v>2681</v>
      </c>
    </row>
    <row r="4911" spans="1:14">
      <c r="A4911" s="2">
        <v>4910</v>
      </c>
      <c r="B4911" s="3" t="s">
        <v>16632</v>
      </c>
      <c r="C4911" s="2" t="s">
        <v>16633</v>
      </c>
      <c r="D4911" s="2">
        <v>39</v>
      </c>
      <c r="E4911" s="2">
        <v>39</v>
      </c>
      <c r="F4911" s="2" t="s">
        <v>16634</v>
      </c>
      <c r="H4911" s="2" t="s">
        <v>17</v>
      </c>
      <c r="K4911" s="4">
        <v>5741</v>
      </c>
      <c r="L4911" s="4">
        <v>30101</v>
      </c>
      <c r="M4911" s="2" t="s">
        <v>47</v>
      </c>
      <c r="N4911" s="2" t="s">
        <v>6306</v>
      </c>
    </row>
    <row r="4912" spans="1:14">
      <c r="A4912" s="2">
        <v>4911</v>
      </c>
      <c r="B4912" s="3" t="s">
        <v>16635</v>
      </c>
      <c r="C4912" s="2" t="s">
        <v>16636</v>
      </c>
      <c r="D4912" s="2">
        <v>39</v>
      </c>
      <c r="E4912" s="2">
        <v>39</v>
      </c>
      <c r="F4912" s="2" t="s">
        <v>16637</v>
      </c>
      <c r="H4912" s="2" t="s">
        <v>17</v>
      </c>
      <c r="K4912" s="4">
        <v>1721</v>
      </c>
      <c r="L4912" s="4">
        <v>25134</v>
      </c>
      <c r="M4912" s="2" t="s">
        <v>170</v>
      </c>
      <c r="N4912" s="2" t="s">
        <v>323</v>
      </c>
    </row>
    <row r="4913" spans="1:14">
      <c r="A4913" s="2">
        <v>4912</v>
      </c>
      <c r="B4913" s="3" t="s">
        <v>16638</v>
      </c>
      <c r="C4913" s="2" t="s">
        <v>16639</v>
      </c>
      <c r="D4913" s="2">
        <v>39</v>
      </c>
      <c r="E4913" s="2">
        <v>39</v>
      </c>
      <c r="F4913" s="2" t="s">
        <v>16640</v>
      </c>
      <c r="H4913" s="2" t="s">
        <v>17</v>
      </c>
      <c r="K4913" s="4" t="s">
        <v>16641</v>
      </c>
      <c r="L4913" s="4">
        <v>24097</v>
      </c>
      <c r="M4913" s="2" t="s">
        <v>47</v>
      </c>
      <c r="N4913" s="2" t="s">
        <v>6137</v>
      </c>
    </row>
    <row r="4914" spans="1:14">
      <c r="A4914" s="2">
        <v>4913</v>
      </c>
      <c r="B4914" s="3" t="s">
        <v>16642</v>
      </c>
      <c r="C4914" s="2" t="s">
        <v>16643</v>
      </c>
      <c r="D4914" s="2">
        <v>38</v>
      </c>
      <c r="E4914" s="2">
        <v>39</v>
      </c>
      <c r="F4914" s="2" t="s">
        <v>16644</v>
      </c>
      <c r="H4914" s="2" t="s">
        <v>17</v>
      </c>
      <c r="K4914" s="4">
        <v>280</v>
      </c>
      <c r="L4914" s="4">
        <v>23177</v>
      </c>
      <c r="M4914" s="2" t="s">
        <v>30</v>
      </c>
      <c r="N4914" s="2" t="s">
        <v>31</v>
      </c>
    </row>
    <row r="4915" spans="1:14">
      <c r="A4915" s="2">
        <v>4914</v>
      </c>
      <c r="B4915" s="3" t="s">
        <v>16645</v>
      </c>
      <c r="C4915" s="2" t="s">
        <v>16646</v>
      </c>
      <c r="D4915" s="2">
        <v>36</v>
      </c>
      <c r="E4915" s="2">
        <v>39</v>
      </c>
      <c r="F4915" s="2" t="s">
        <v>16647</v>
      </c>
      <c r="H4915" s="2" t="s">
        <v>17</v>
      </c>
      <c r="K4915" s="4" t="s">
        <v>16648</v>
      </c>
      <c r="L4915" s="4">
        <v>22769</v>
      </c>
      <c r="M4915" s="2" t="s">
        <v>40</v>
      </c>
      <c r="N4915" s="2" t="s">
        <v>1219</v>
      </c>
    </row>
    <row r="4916" spans="1:14">
      <c r="A4916" s="2">
        <v>4915</v>
      </c>
      <c r="B4916" s="3" t="s">
        <v>16649</v>
      </c>
      <c r="C4916" s="2" t="s">
        <v>16650</v>
      </c>
      <c r="D4916" s="2">
        <v>35</v>
      </c>
      <c r="E4916" s="2">
        <v>39</v>
      </c>
      <c r="F4916" s="2" t="s">
        <v>16651</v>
      </c>
      <c r="H4916" s="2" t="s">
        <v>17</v>
      </c>
      <c r="K4916" s="4" t="s">
        <v>16652</v>
      </c>
      <c r="L4916" s="4">
        <v>21352</v>
      </c>
      <c r="M4916" s="2" t="s">
        <v>423</v>
      </c>
      <c r="N4916" s="2" t="s">
        <v>456</v>
      </c>
    </row>
    <row r="4917" spans="1:14">
      <c r="A4917" s="2">
        <v>4916</v>
      </c>
      <c r="B4917" s="3" t="s">
        <v>16653</v>
      </c>
      <c r="C4917" s="2" t="s">
        <v>16654</v>
      </c>
      <c r="D4917" s="2">
        <v>39</v>
      </c>
      <c r="E4917" s="2">
        <v>39</v>
      </c>
      <c r="F4917" s="2" t="s">
        <v>16655</v>
      </c>
      <c r="H4917" s="2" t="s">
        <v>17</v>
      </c>
      <c r="K4917" s="4">
        <v>4</v>
      </c>
      <c r="L4917" s="4">
        <v>24981</v>
      </c>
      <c r="M4917" s="2" t="s">
        <v>198</v>
      </c>
      <c r="N4917" s="2" t="s">
        <v>199</v>
      </c>
    </row>
    <row r="4918" spans="1:14">
      <c r="A4918" s="2">
        <v>4917</v>
      </c>
      <c r="B4918" s="3" t="s">
        <v>16656</v>
      </c>
      <c r="C4918" s="2" t="s">
        <v>16657</v>
      </c>
      <c r="D4918" s="2">
        <v>38</v>
      </c>
      <c r="E4918" s="2">
        <v>39</v>
      </c>
      <c r="F4918" s="2" t="s">
        <v>16658</v>
      </c>
      <c r="H4918" s="2" t="s">
        <v>17</v>
      </c>
      <c r="K4918" s="4">
        <v>2214</v>
      </c>
      <c r="L4918" s="4">
        <v>36708</v>
      </c>
      <c r="M4918" s="2" t="s">
        <v>47</v>
      </c>
      <c r="N4918" s="2" t="s">
        <v>1863</v>
      </c>
    </row>
    <row r="4919" spans="1:14">
      <c r="A4919" s="2">
        <v>4918</v>
      </c>
      <c r="B4919" s="3" t="s">
        <v>16659</v>
      </c>
      <c r="C4919" s="2" t="s">
        <v>16660</v>
      </c>
      <c r="D4919" s="2">
        <v>38</v>
      </c>
      <c r="E4919" s="2">
        <v>39</v>
      </c>
      <c r="F4919" s="2" t="s">
        <v>16661</v>
      </c>
      <c r="H4919" s="2" t="s">
        <v>17</v>
      </c>
      <c r="K4919" s="4">
        <v>2990</v>
      </c>
      <c r="L4919" s="4">
        <v>33230</v>
      </c>
      <c r="M4919" s="2" t="s">
        <v>35</v>
      </c>
      <c r="N4919" s="2" t="s">
        <v>10655</v>
      </c>
    </row>
    <row r="4920" spans="1:14">
      <c r="A4920" s="2">
        <v>4919</v>
      </c>
      <c r="B4920" s="3" t="s">
        <v>16662</v>
      </c>
      <c r="C4920" s="2" t="s">
        <v>16663</v>
      </c>
      <c r="D4920" s="2">
        <v>39</v>
      </c>
      <c r="E4920" s="2">
        <v>39</v>
      </c>
      <c r="F4920" s="2" t="s">
        <v>16664</v>
      </c>
      <c r="H4920" s="2" t="s">
        <v>17</v>
      </c>
      <c r="K4920" s="4">
        <v>272</v>
      </c>
      <c r="L4920" s="4">
        <v>30050</v>
      </c>
      <c r="M4920" s="2" t="s">
        <v>91</v>
      </c>
      <c r="N4920" s="2" t="s">
        <v>10856</v>
      </c>
    </row>
    <row r="4921" spans="1:14">
      <c r="A4921" s="2">
        <v>4920</v>
      </c>
      <c r="B4921" s="3" t="s">
        <v>16665</v>
      </c>
      <c r="C4921" s="2" t="s">
        <v>16666</v>
      </c>
      <c r="D4921" s="2">
        <v>39</v>
      </c>
      <c r="E4921" s="2">
        <v>39</v>
      </c>
      <c r="F4921" s="2" t="s">
        <v>16667</v>
      </c>
      <c r="H4921" s="2" t="s">
        <v>17</v>
      </c>
      <c r="K4921" s="4">
        <v>364</v>
      </c>
      <c r="L4921" s="4">
        <v>29636</v>
      </c>
      <c r="M4921" s="2" t="s">
        <v>164</v>
      </c>
      <c r="N4921" s="2" t="s">
        <v>165</v>
      </c>
    </row>
    <row r="4922" spans="1:14">
      <c r="A4922" s="2">
        <v>4921</v>
      </c>
      <c r="B4922" s="3" t="s">
        <v>16668</v>
      </c>
      <c r="C4922" s="2" t="s">
        <v>16669</v>
      </c>
      <c r="D4922" s="2">
        <v>39</v>
      </c>
      <c r="E4922" s="2">
        <v>39</v>
      </c>
      <c r="F4922" s="2" t="s">
        <v>16670</v>
      </c>
      <c r="H4922" s="2" t="s">
        <v>17</v>
      </c>
      <c r="K4922" s="4">
        <v>1829</v>
      </c>
      <c r="L4922" s="4">
        <v>32719</v>
      </c>
      <c r="M4922" s="2" t="s">
        <v>76</v>
      </c>
      <c r="N4922" s="2" t="s">
        <v>7803</v>
      </c>
    </row>
    <row r="4923" spans="1:14">
      <c r="A4923" s="2">
        <v>4922</v>
      </c>
      <c r="B4923" s="3" t="s">
        <v>16671</v>
      </c>
      <c r="C4923" s="2" t="s">
        <v>16672</v>
      </c>
      <c r="D4923" s="2">
        <v>39</v>
      </c>
      <c r="E4923" s="2">
        <v>39</v>
      </c>
      <c r="F4923" s="2" t="s">
        <v>16673</v>
      </c>
      <c r="H4923" s="2" t="s">
        <v>17</v>
      </c>
      <c r="K4923" s="4">
        <v>1783</v>
      </c>
      <c r="M4923" s="2" t="s">
        <v>35</v>
      </c>
      <c r="N4923" s="2" t="s">
        <v>16674</v>
      </c>
    </row>
    <row r="4924" spans="1:14">
      <c r="A4924" s="2">
        <v>4923</v>
      </c>
      <c r="B4924" s="3" t="s">
        <v>16675</v>
      </c>
      <c r="C4924" s="2" t="s">
        <v>16676</v>
      </c>
      <c r="D4924" s="2">
        <v>39</v>
      </c>
      <c r="E4924" s="2">
        <v>39</v>
      </c>
      <c r="F4924" s="2" t="s">
        <v>16677</v>
      </c>
      <c r="H4924" s="2" t="s">
        <v>17</v>
      </c>
      <c r="K4924" s="4">
        <v>301</v>
      </c>
      <c r="L4924" s="4">
        <v>34113</v>
      </c>
      <c r="M4924" s="2" t="s">
        <v>76</v>
      </c>
      <c r="N4924" s="2" t="s">
        <v>6830</v>
      </c>
    </row>
    <row r="4925" spans="1:14">
      <c r="A4925" s="2">
        <v>4924</v>
      </c>
      <c r="B4925" s="3" t="s">
        <v>16678</v>
      </c>
      <c r="C4925" s="2" t="s">
        <v>16679</v>
      </c>
      <c r="D4925" s="2">
        <v>39</v>
      </c>
      <c r="E4925" s="2">
        <v>39</v>
      </c>
      <c r="F4925" s="2" t="s">
        <v>16680</v>
      </c>
      <c r="H4925" s="2" t="s">
        <v>17</v>
      </c>
      <c r="K4925" s="4" t="s">
        <v>16681</v>
      </c>
      <c r="L4925" s="4">
        <v>22949</v>
      </c>
      <c r="M4925" s="2" t="s">
        <v>85</v>
      </c>
      <c r="N4925" s="2" t="s">
        <v>16052</v>
      </c>
    </row>
    <row r="4926" spans="1:14">
      <c r="A4926" s="2">
        <v>4925</v>
      </c>
      <c r="B4926" s="3" t="s">
        <v>16682</v>
      </c>
      <c r="C4926" s="2" t="s">
        <v>16683</v>
      </c>
      <c r="D4926" s="2">
        <v>39</v>
      </c>
      <c r="E4926" s="2">
        <v>39</v>
      </c>
      <c r="F4926" s="2" t="s">
        <v>16684</v>
      </c>
      <c r="H4926" s="2" t="s">
        <v>17</v>
      </c>
      <c r="K4926" s="4">
        <v>755</v>
      </c>
      <c r="L4926" s="4">
        <v>24622</v>
      </c>
      <c r="M4926" s="2" t="s">
        <v>154</v>
      </c>
      <c r="N4926" s="2" t="s">
        <v>2265</v>
      </c>
    </row>
    <row r="4927" spans="1:14">
      <c r="A4927" s="2">
        <v>4926</v>
      </c>
      <c r="B4927" s="3" t="s">
        <v>16685</v>
      </c>
      <c r="C4927" s="2" t="s">
        <v>16686</v>
      </c>
      <c r="D4927" s="2">
        <v>39</v>
      </c>
      <c r="E4927" s="2">
        <v>39</v>
      </c>
      <c r="F4927" s="2" t="s">
        <v>16687</v>
      </c>
      <c r="H4927" s="2" t="s">
        <v>17</v>
      </c>
      <c r="K4927" s="4">
        <v>1768</v>
      </c>
      <c r="M4927" s="2" t="s">
        <v>66</v>
      </c>
      <c r="N4927" s="2" t="s">
        <v>3787</v>
      </c>
    </row>
    <row r="4928" spans="1:14">
      <c r="A4928" s="2">
        <v>4927</v>
      </c>
      <c r="B4928" s="3" t="s">
        <v>16688</v>
      </c>
      <c r="C4928" s="2" t="s">
        <v>16689</v>
      </c>
      <c r="D4928" s="2">
        <v>39</v>
      </c>
      <c r="E4928" s="2">
        <v>39</v>
      </c>
      <c r="F4928" s="2" t="s">
        <v>16690</v>
      </c>
      <c r="H4928" s="2" t="s">
        <v>17</v>
      </c>
      <c r="K4928" s="4">
        <v>3280</v>
      </c>
      <c r="L4928" s="4">
        <v>27870</v>
      </c>
      <c r="M4928" s="2" t="s">
        <v>66</v>
      </c>
      <c r="N4928" s="2" t="s">
        <v>131</v>
      </c>
    </row>
    <row r="4929" spans="1:14">
      <c r="A4929" s="2">
        <v>4928</v>
      </c>
      <c r="B4929" s="3" t="s">
        <v>16691</v>
      </c>
      <c r="C4929" s="2" t="s">
        <v>16692</v>
      </c>
      <c r="D4929" s="2">
        <v>39</v>
      </c>
      <c r="E4929" s="2">
        <v>39</v>
      </c>
      <c r="F4929" s="2" t="s">
        <v>16693</v>
      </c>
      <c r="H4929" s="2" t="s">
        <v>17</v>
      </c>
      <c r="K4929" s="4">
        <v>4307</v>
      </c>
      <c r="L4929" s="4">
        <v>32926</v>
      </c>
      <c r="M4929" s="2" t="s">
        <v>53</v>
      </c>
      <c r="N4929" s="2" t="s">
        <v>54</v>
      </c>
    </row>
    <row r="4930" spans="1:14">
      <c r="A4930" s="2">
        <v>4929</v>
      </c>
      <c r="B4930" s="3" t="s">
        <v>16694</v>
      </c>
      <c r="C4930" s="2" t="s">
        <v>11746</v>
      </c>
      <c r="D4930" s="2">
        <v>38</v>
      </c>
      <c r="E4930" s="2">
        <v>39</v>
      </c>
      <c r="F4930" s="2" t="s">
        <v>16695</v>
      </c>
      <c r="H4930" s="2" t="s">
        <v>17</v>
      </c>
      <c r="K4930" s="4">
        <v>6189</v>
      </c>
      <c r="L4930" s="4">
        <v>28315</v>
      </c>
      <c r="M4930" s="2" t="s">
        <v>198</v>
      </c>
      <c r="N4930" s="2" t="s">
        <v>12284</v>
      </c>
    </row>
    <row r="4931" spans="1:14">
      <c r="A4931" s="2">
        <v>4930</v>
      </c>
      <c r="B4931" s="3" t="s">
        <v>16696</v>
      </c>
      <c r="C4931" s="2" t="s">
        <v>16697</v>
      </c>
      <c r="D4931" s="2">
        <v>33</v>
      </c>
      <c r="E4931" s="2">
        <v>39</v>
      </c>
      <c r="F4931" s="2" t="s">
        <v>16698</v>
      </c>
      <c r="H4931" s="2" t="s">
        <v>17</v>
      </c>
      <c r="K4931" s="4" t="s">
        <v>16699</v>
      </c>
      <c r="L4931" s="4">
        <v>24216</v>
      </c>
      <c r="M4931" s="2" t="s">
        <v>164</v>
      </c>
      <c r="N4931" s="2" t="s">
        <v>165</v>
      </c>
    </row>
    <row r="4932" spans="1:14">
      <c r="A4932" s="2">
        <v>4931</v>
      </c>
      <c r="B4932" s="3" t="s">
        <v>16700</v>
      </c>
      <c r="C4932" s="2" t="s">
        <v>16701</v>
      </c>
      <c r="D4932" s="2">
        <v>39</v>
      </c>
      <c r="E4932" s="2">
        <v>39</v>
      </c>
      <c r="F4932" s="2" t="s">
        <v>16702</v>
      </c>
      <c r="H4932" s="2" t="s">
        <v>17</v>
      </c>
      <c r="K4932" s="4">
        <v>5840</v>
      </c>
      <c r="L4932" s="4">
        <v>34653</v>
      </c>
      <c r="M4932" s="2" t="s">
        <v>30</v>
      </c>
      <c r="N4932" s="2" t="s">
        <v>31</v>
      </c>
    </row>
    <row r="4933" spans="1:14">
      <c r="A4933" s="2">
        <v>4932</v>
      </c>
      <c r="B4933" s="3" t="s">
        <v>16703</v>
      </c>
      <c r="C4933" s="2" t="s">
        <v>16704</v>
      </c>
      <c r="D4933" s="2">
        <v>39</v>
      </c>
      <c r="E4933" s="2">
        <v>39</v>
      </c>
      <c r="F4933" s="2" t="s">
        <v>16705</v>
      </c>
      <c r="H4933" s="2" t="s">
        <v>17</v>
      </c>
      <c r="K4933" s="4" t="s">
        <v>16706</v>
      </c>
      <c r="L4933" s="4">
        <v>25250</v>
      </c>
      <c r="M4933" s="2" t="s">
        <v>185</v>
      </c>
      <c r="N4933" s="2" t="s">
        <v>186</v>
      </c>
    </row>
    <row r="4934" spans="1:14">
      <c r="A4934" s="2">
        <v>4933</v>
      </c>
      <c r="B4934" s="3" t="s">
        <v>16707</v>
      </c>
      <c r="C4934" s="2" t="s">
        <v>16708</v>
      </c>
      <c r="D4934" s="2">
        <v>39</v>
      </c>
      <c r="E4934" s="2">
        <v>39</v>
      </c>
      <c r="F4934" s="2" t="s">
        <v>16709</v>
      </c>
      <c r="H4934" s="2" t="s">
        <v>17</v>
      </c>
      <c r="K4934" s="4" t="s">
        <v>16710</v>
      </c>
      <c r="L4934" s="4">
        <v>20493</v>
      </c>
      <c r="M4934" s="2" t="s">
        <v>198</v>
      </c>
      <c r="N4934" s="2" t="s">
        <v>11499</v>
      </c>
    </row>
    <row r="4935" spans="1:14">
      <c r="A4935" s="2">
        <v>4934</v>
      </c>
      <c r="B4935" s="3" t="s">
        <v>16711</v>
      </c>
      <c r="C4935" s="2" t="s">
        <v>16712</v>
      </c>
      <c r="D4935" s="2">
        <v>38</v>
      </c>
      <c r="E4935" s="2">
        <v>39</v>
      </c>
      <c r="F4935" s="2" t="s">
        <v>16713</v>
      </c>
      <c r="H4935" s="2" t="s">
        <v>17</v>
      </c>
      <c r="K4935" s="4" t="s">
        <v>16714</v>
      </c>
      <c r="L4935" s="4">
        <v>24594</v>
      </c>
      <c r="M4935" s="2" t="s">
        <v>40</v>
      </c>
      <c r="N4935" s="2" t="s">
        <v>5389</v>
      </c>
    </row>
    <row r="4936" spans="1:14">
      <c r="A4936" s="2">
        <v>4935</v>
      </c>
      <c r="B4936" s="3" t="s">
        <v>16715</v>
      </c>
      <c r="C4936" s="2" t="s">
        <v>16716</v>
      </c>
      <c r="D4936" s="2">
        <v>39</v>
      </c>
      <c r="E4936" s="2">
        <v>39</v>
      </c>
      <c r="F4936" s="2" t="s">
        <v>16717</v>
      </c>
      <c r="H4936" s="2" t="s">
        <v>17</v>
      </c>
      <c r="K4936" s="4">
        <v>2654</v>
      </c>
      <c r="L4936" s="4">
        <v>33627</v>
      </c>
      <c r="M4936" s="2" t="s">
        <v>85</v>
      </c>
      <c r="N4936" s="2" t="s">
        <v>2800</v>
      </c>
    </row>
    <row r="4937" spans="1:14">
      <c r="A4937" s="2">
        <v>4936</v>
      </c>
      <c r="B4937" s="3" t="s">
        <v>16718</v>
      </c>
      <c r="C4937" s="2" t="s">
        <v>16719</v>
      </c>
      <c r="D4937" s="2">
        <v>39</v>
      </c>
      <c r="E4937" s="2">
        <v>39</v>
      </c>
      <c r="F4937" s="2" t="s">
        <v>16720</v>
      </c>
      <c r="H4937" s="2" t="s">
        <v>17</v>
      </c>
      <c r="K4937" s="4">
        <v>279</v>
      </c>
      <c r="L4937" s="4">
        <v>20980</v>
      </c>
      <c r="M4937" s="2" t="s">
        <v>423</v>
      </c>
      <c r="N4937" s="2" t="s">
        <v>16721</v>
      </c>
    </row>
    <row r="4938" spans="1:14">
      <c r="A4938" s="2">
        <v>4937</v>
      </c>
      <c r="B4938" s="3" t="s">
        <v>16722</v>
      </c>
      <c r="C4938" s="2" t="s">
        <v>16723</v>
      </c>
      <c r="D4938" s="2">
        <v>38</v>
      </c>
      <c r="E4938" s="2">
        <v>39</v>
      </c>
      <c r="F4938" s="2" t="s">
        <v>16724</v>
      </c>
      <c r="H4938" s="2" t="s">
        <v>17</v>
      </c>
      <c r="K4938" s="4">
        <v>2888</v>
      </c>
      <c r="L4938" s="4">
        <v>34897</v>
      </c>
      <c r="M4938" s="2" t="s">
        <v>47</v>
      </c>
      <c r="N4938" s="2" t="s">
        <v>16725</v>
      </c>
    </row>
    <row r="4939" spans="1:14">
      <c r="A4939" s="2">
        <v>4938</v>
      </c>
      <c r="B4939" s="3" t="s">
        <v>16726</v>
      </c>
      <c r="C4939" s="2" t="s">
        <v>16727</v>
      </c>
      <c r="D4939" s="2">
        <v>39</v>
      </c>
      <c r="E4939" s="2">
        <v>39</v>
      </c>
      <c r="F4939" s="2" t="s">
        <v>16728</v>
      </c>
      <c r="H4939" s="2" t="s">
        <v>17</v>
      </c>
      <c r="K4939" s="4">
        <v>7357</v>
      </c>
      <c r="L4939" s="4">
        <v>37108</v>
      </c>
      <c r="M4939" s="2" t="s">
        <v>30</v>
      </c>
      <c r="N4939" s="2" t="s">
        <v>4896</v>
      </c>
    </row>
    <row r="4940" spans="1:14">
      <c r="A4940" s="2">
        <v>4939</v>
      </c>
      <c r="B4940" s="3" t="s">
        <v>16729</v>
      </c>
      <c r="C4940" s="2" t="s">
        <v>16730</v>
      </c>
      <c r="D4940" s="2">
        <v>39</v>
      </c>
      <c r="E4940" s="2">
        <v>39</v>
      </c>
      <c r="F4940" s="2" t="s">
        <v>16731</v>
      </c>
      <c r="H4940" s="2" t="s">
        <v>17</v>
      </c>
      <c r="K4940" s="4" t="s">
        <v>16732</v>
      </c>
      <c r="L4940" s="4">
        <v>19548</v>
      </c>
      <c r="M4940" s="2" t="s">
        <v>66</v>
      </c>
      <c r="N4940" s="2" t="s">
        <v>2712</v>
      </c>
    </row>
    <row r="4941" spans="1:14">
      <c r="A4941" s="2">
        <v>4940</v>
      </c>
      <c r="B4941" s="3" t="s">
        <v>16733</v>
      </c>
      <c r="C4941" s="2" t="s">
        <v>16734</v>
      </c>
      <c r="D4941" s="2">
        <v>39</v>
      </c>
      <c r="E4941" s="2">
        <v>39</v>
      </c>
      <c r="F4941" s="2" t="s">
        <v>16735</v>
      </c>
      <c r="H4941" s="2" t="s">
        <v>17</v>
      </c>
      <c r="L4941" s="4">
        <v>27740</v>
      </c>
      <c r="M4941" s="2" t="s">
        <v>76</v>
      </c>
    </row>
    <row r="4942" spans="1:14">
      <c r="A4942" s="2">
        <v>4941</v>
      </c>
      <c r="B4942" s="3" t="s">
        <v>16736</v>
      </c>
      <c r="C4942" s="2" t="s">
        <v>16737</v>
      </c>
      <c r="D4942" s="2">
        <v>39</v>
      </c>
      <c r="E4942" s="2">
        <v>39</v>
      </c>
      <c r="F4942" s="2" t="s">
        <v>16738</v>
      </c>
      <c r="H4942" s="2" t="s">
        <v>17</v>
      </c>
      <c r="K4942" s="4" t="s">
        <v>16739</v>
      </c>
      <c r="L4942" s="4">
        <v>23762</v>
      </c>
      <c r="M4942" s="2" t="s">
        <v>170</v>
      </c>
      <c r="N4942" s="2" t="s">
        <v>323</v>
      </c>
    </row>
    <row r="4943" spans="1:14">
      <c r="A4943" s="2">
        <v>4942</v>
      </c>
      <c r="B4943" s="3" t="s">
        <v>16740</v>
      </c>
      <c r="C4943" s="2" t="s">
        <v>16741</v>
      </c>
      <c r="D4943" s="2">
        <v>39</v>
      </c>
      <c r="E4943" s="2">
        <v>39</v>
      </c>
      <c r="F4943" s="2" t="s">
        <v>16742</v>
      </c>
      <c r="H4943" s="2" t="s">
        <v>17</v>
      </c>
      <c r="K4943" s="4">
        <v>828</v>
      </c>
      <c r="L4943" s="4">
        <v>28738</v>
      </c>
      <c r="M4943" s="2" t="s">
        <v>170</v>
      </c>
      <c r="N4943" s="2" t="s">
        <v>323</v>
      </c>
    </row>
    <row r="4944" spans="1:14">
      <c r="A4944" s="2">
        <v>4943</v>
      </c>
      <c r="B4944" s="3" t="s">
        <v>16743</v>
      </c>
      <c r="C4944" s="2" t="s">
        <v>4595</v>
      </c>
      <c r="D4944" s="2">
        <v>39</v>
      </c>
      <c r="E4944" s="2">
        <v>39</v>
      </c>
      <c r="F4944" s="2" t="s">
        <v>16744</v>
      </c>
      <c r="H4944" s="2" t="s">
        <v>17</v>
      </c>
      <c r="K4944" s="4">
        <v>287</v>
      </c>
      <c r="L4944" s="4">
        <v>31543</v>
      </c>
      <c r="M4944" s="2" t="s">
        <v>154</v>
      </c>
      <c r="N4944" s="2" t="s">
        <v>1413</v>
      </c>
    </row>
    <row r="4945" spans="1:14">
      <c r="A4945" s="2">
        <v>4944</v>
      </c>
      <c r="B4945" s="3" t="s">
        <v>16745</v>
      </c>
      <c r="C4945" s="2" t="s">
        <v>16746</v>
      </c>
      <c r="D4945" s="2">
        <v>38</v>
      </c>
      <c r="E4945" s="2">
        <v>39</v>
      </c>
      <c r="F4945" s="2" t="s">
        <v>16747</v>
      </c>
      <c r="H4945" s="2" t="s">
        <v>17</v>
      </c>
      <c r="K4945" s="4">
        <v>4528</v>
      </c>
      <c r="L4945" s="4">
        <v>29543</v>
      </c>
      <c r="M4945" s="2" t="s">
        <v>47</v>
      </c>
      <c r="N4945" s="2" t="s">
        <v>13287</v>
      </c>
    </row>
    <row r="4946" spans="1:14">
      <c r="A4946" s="2">
        <v>4945</v>
      </c>
      <c r="B4946" s="3" t="s">
        <v>16748</v>
      </c>
      <c r="C4946" s="2" t="s">
        <v>16749</v>
      </c>
      <c r="D4946" s="2">
        <v>38</v>
      </c>
      <c r="E4946" s="2">
        <v>39</v>
      </c>
      <c r="F4946" s="2" t="s">
        <v>16750</v>
      </c>
      <c r="H4946" s="2" t="s">
        <v>17</v>
      </c>
      <c r="K4946" s="4">
        <v>3151</v>
      </c>
      <c r="L4946" s="4">
        <v>32974</v>
      </c>
      <c r="M4946" s="2" t="s">
        <v>47</v>
      </c>
      <c r="N4946" s="2" t="s">
        <v>16751</v>
      </c>
    </row>
    <row r="4947" spans="1:14">
      <c r="A4947" s="2">
        <v>4946</v>
      </c>
      <c r="B4947" s="3" t="s">
        <v>16752</v>
      </c>
      <c r="C4947" s="2" t="s">
        <v>16753</v>
      </c>
      <c r="D4947" s="2">
        <v>39</v>
      </c>
      <c r="E4947" s="2">
        <v>39</v>
      </c>
      <c r="F4947" s="2" t="s">
        <v>16754</v>
      </c>
      <c r="H4947" s="2" t="s">
        <v>17</v>
      </c>
      <c r="K4947" s="4">
        <v>339</v>
      </c>
      <c r="L4947" s="4">
        <v>25410</v>
      </c>
      <c r="M4947" s="2" t="s">
        <v>198</v>
      </c>
      <c r="N4947" s="2" t="s">
        <v>199</v>
      </c>
    </row>
    <row r="4948" spans="1:14">
      <c r="A4948" s="2">
        <v>4947</v>
      </c>
      <c r="B4948" s="3" t="s">
        <v>16755</v>
      </c>
      <c r="C4948" s="2" t="s">
        <v>16756</v>
      </c>
      <c r="D4948" s="2">
        <v>38</v>
      </c>
      <c r="E4948" s="2">
        <v>39</v>
      </c>
      <c r="F4948" s="2" t="s">
        <v>16757</v>
      </c>
      <c r="H4948" s="2" t="s">
        <v>17</v>
      </c>
      <c r="K4948" s="4">
        <v>291</v>
      </c>
      <c r="L4948" s="4">
        <v>20694</v>
      </c>
      <c r="M4948" s="2" t="s">
        <v>185</v>
      </c>
      <c r="N4948" s="2" t="s">
        <v>838</v>
      </c>
    </row>
    <row r="4949" spans="1:14">
      <c r="A4949" s="2">
        <v>4948</v>
      </c>
      <c r="B4949" s="3" t="s">
        <v>16758</v>
      </c>
      <c r="C4949" s="2" t="s">
        <v>16759</v>
      </c>
      <c r="D4949" s="2">
        <v>38</v>
      </c>
      <c r="E4949" s="2">
        <v>39</v>
      </c>
      <c r="F4949" s="2" t="s">
        <v>16760</v>
      </c>
      <c r="H4949" s="2" t="s">
        <v>17</v>
      </c>
      <c r="K4949" s="4">
        <v>3714</v>
      </c>
      <c r="L4949" s="4">
        <v>25188</v>
      </c>
      <c r="M4949" s="2" t="s">
        <v>146</v>
      </c>
      <c r="N4949" s="2" t="s">
        <v>16761</v>
      </c>
    </row>
    <row r="4950" spans="1:14">
      <c r="A4950" s="2">
        <v>4949</v>
      </c>
      <c r="B4950" s="3" t="s">
        <v>16762</v>
      </c>
      <c r="C4950" s="2" t="s">
        <v>16763</v>
      </c>
      <c r="D4950" s="2">
        <v>39</v>
      </c>
      <c r="E4950" s="2">
        <v>39</v>
      </c>
      <c r="F4950" s="2" t="s">
        <v>16764</v>
      </c>
      <c r="H4950" s="2" t="s">
        <v>17</v>
      </c>
      <c r="K4950" s="4">
        <v>5660</v>
      </c>
      <c r="L4950" s="4">
        <v>19885</v>
      </c>
      <c r="M4950" s="2" t="s">
        <v>85</v>
      </c>
      <c r="N4950" s="2" t="s">
        <v>86</v>
      </c>
    </row>
    <row r="4951" spans="1:14">
      <c r="A4951" s="2">
        <v>4950</v>
      </c>
      <c r="B4951" s="3" t="s">
        <v>16765</v>
      </c>
      <c r="C4951" s="2" t="s">
        <v>16766</v>
      </c>
      <c r="D4951" s="2">
        <v>37</v>
      </c>
      <c r="E4951" s="2">
        <v>39</v>
      </c>
      <c r="F4951" s="2" t="s">
        <v>16767</v>
      </c>
      <c r="H4951" s="2" t="s">
        <v>17</v>
      </c>
      <c r="K4951" s="4">
        <v>1806</v>
      </c>
      <c r="L4951" s="4">
        <v>29192</v>
      </c>
      <c r="M4951" s="2" t="s">
        <v>76</v>
      </c>
      <c r="N4951" s="2" t="s">
        <v>14001</v>
      </c>
    </row>
    <row r="4952" spans="1:14">
      <c r="A4952" s="2">
        <v>4951</v>
      </c>
      <c r="B4952" s="3" t="s">
        <v>16768</v>
      </c>
      <c r="C4952" s="2" t="s">
        <v>16769</v>
      </c>
      <c r="D4952" s="2">
        <v>39</v>
      </c>
      <c r="E4952" s="2">
        <v>39</v>
      </c>
      <c r="F4952" s="2" t="s">
        <v>16770</v>
      </c>
      <c r="H4952" s="2" t="s">
        <v>17</v>
      </c>
      <c r="K4952" s="4">
        <v>2822</v>
      </c>
      <c r="L4952" s="4">
        <v>30905</v>
      </c>
      <c r="M4952" s="2" t="s">
        <v>423</v>
      </c>
      <c r="N4952" s="2" t="s">
        <v>456</v>
      </c>
    </row>
    <row r="4953" spans="1:14">
      <c r="A4953" s="2">
        <v>4952</v>
      </c>
      <c r="B4953" s="3" t="s">
        <v>16771</v>
      </c>
      <c r="C4953" s="2" t="s">
        <v>16772</v>
      </c>
      <c r="D4953" s="2">
        <v>37</v>
      </c>
      <c r="E4953" s="2">
        <v>39</v>
      </c>
      <c r="F4953" s="2" t="s">
        <v>16773</v>
      </c>
      <c r="H4953" s="2" t="s">
        <v>17</v>
      </c>
      <c r="K4953" s="4" t="s">
        <v>16774</v>
      </c>
      <c r="L4953" s="4">
        <v>28087</v>
      </c>
      <c r="M4953" s="2" t="s">
        <v>198</v>
      </c>
    </row>
    <row r="4954" spans="1:14">
      <c r="A4954" s="2">
        <v>4953</v>
      </c>
      <c r="B4954" s="3" t="s">
        <v>16775</v>
      </c>
      <c r="C4954" s="2" t="s">
        <v>16776</v>
      </c>
      <c r="D4954" s="2">
        <v>39</v>
      </c>
      <c r="E4954" s="2">
        <v>39</v>
      </c>
      <c r="F4954" s="2" t="s">
        <v>16777</v>
      </c>
      <c r="H4954" s="2" t="s">
        <v>17</v>
      </c>
      <c r="K4954" s="4">
        <v>4104</v>
      </c>
      <c r="L4954" s="4">
        <v>35496</v>
      </c>
      <c r="M4954" s="2" t="s">
        <v>423</v>
      </c>
      <c r="N4954" s="2" t="s">
        <v>3005</v>
      </c>
    </row>
    <row r="4955" spans="1:14">
      <c r="A4955" s="2">
        <v>4954</v>
      </c>
      <c r="B4955" s="3" t="s">
        <v>16778</v>
      </c>
      <c r="C4955" s="2" t="s">
        <v>16779</v>
      </c>
      <c r="D4955" s="2">
        <v>36</v>
      </c>
      <c r="E4955" s="2">
        <v>39</v>
      </c>
      <c r="F4955" s="2" t="s">
        <v>16780</v>
      </c>
      <c r="H4955" s="2" t="s">
        <v>17</v>
      </c>
      <c r="K4955" s="4" t="s">
        <v>16781</v>
      </c>
      <c r="L4955" s="4">
        <v>19138</v>
      </c>
      <c r="M4955" s="2" t="s">
        <v>170</v>
      </c>
      <c r="N4955" s="2" t="s">
        <v>802</v>
      </c>
    </row>
    <row r="4956" spans="1:14">
      <c r="A4956" s="2">
        <v>4955</v>
      </c>
      <c r="B4956" s="3" t="s">
        <v>16782</v>
      </c>
      <c r="C4956" s="2" t="s">
        <v>16783</v>
      </c>
      <c r="D4956" s="2">
        <v>39</v>
      </c>
      <c r="E4956" s="2">
        <v>39</v>
      </c>
      <c r="F4956" s="2" t="s">
        <v>16784</v>
      </c>
      <c r="H4956" s="2" t="s">
        <v>17</v>
      </c>
      <c r="K4956" s="4" t="s">
        <v>16785</v>
      </c>
      <c r="L4956" s="4">
        <v>22924</v>
      </c>
      <c r="M4956" s="2" t="s">
        <v>47</v>
      </c>
      <c r="N4956" s="2" t="s">
        <v>48</v>
      </c>
    </row>
    <row r="4957" spans="1:14">
      <c r="A4957" s="2">
        <v>4956</v>
      </c>
      <c r="B4957" s="3" t="s">
        <v>16786</v>
      </c>
      <c r="C4957" s="2" t="s">
        <v>16787</v>
      </c>
      <c r="D4957" s="2">
        <v>39</v>
      </c>
      <c r="E4957" s="2">
        <v>39</v>
      </c>
      <c r="F4957" s="2" t="s">
        <v>16788</v>
      </c>
      <c r="H4957" s="2" t="s">
        <v>17</v>
      </c>
      <c r="K4957" s="4" t="s">
        <v>16789</v>
      </c>
      <c r="L4957" s="4">
        <v>31405</v>
      </c>
      <c r="M4957" s="2" t="s">
        <v>66</v>
      </c>
      <c r="N4957" s="2" t="s">
        <v>3640</v>
      </c>
    </row>
    <row r="4958" spans="1:14">
      <c r="A4958" s="2">
        <v>4957</v>
      </c>
      <c r="B4958" s="3" t="s">
        <v>16790</v>
      </c>
      <c r="C4958" s="2" t="s">
        <v>16791</v>
      </c>
      <c r="D4958" s="2">
        <v>39</v>
      </c>
      <c r="E4958" s="2">
        <v>39</v>
      </c>
      <c r="F4958" s="2" t="s">
        <v>16792</v>
      </c>
      <c r="H4958" s="2" t="s">
        <v>17</v>
      </c>
      <c r="K4958" s="4">
        <v>8708</v>
      </c>
      <c r="L4958" s="4">
        <v>37332</v>
      </c>
      <c r="M4958" s="2" t="s">
        <v>47</v>
      </c>
      <c r="N4958" s="2" t="s">
        <v>48</v>
      </c>
    </row>
    <row r="4959" spans="1:14">
      <c r="A4959" s="2">
        <v>4958</v>
      </c>
      <c r="B4959" s="3" t="s">
        <v>16793</v>
      </c>
      <c r="C4959" s="2" t="s">
        <v>16794</v>
      </c>
      <c r="D4959" s="2">
        <v>39</v>
      </c>
      <c r="E4959" s="2">
        <v>39</v>
      </c>
      <c r="F4959" s="2" t="s">
        <v>16795</v>
      </c>
      <c r="H4959" s="2" t="s">
        <v>17</v>
      </c>
      <c r="K4959" s="4">
        <v>485</v>
      </c>
      <c r="M4959" s="2" t="s">
        <v>198</v>
      </c>
      <c r="N4959" s="2" t="s">
        <v>4411</v>
      </c>
    </row>
    <row r="4960" spans="1:14">
      <c r="A4960" s="2">
        <v>4959</v>
      </c>
      <c r="B4960" s="3" t="s">
        <v>16796</v>
      </c>
      <c r="C4960" s="2" t="s">
        <v>16797</v>
      </c>
      <c r="D4960" s="2">
        <v>39</v>
      </c>
      <c r="E4960" s="2">
        <v>39</v>
      </c>
      <c r="F4960" s="2" t="s">
        <v>16798</v>
      </c>
      <c r="H4960" s="2" t="s">
        <v>17</v>
      </c>
      <c r="K4960" s="4" t="s">
        <v>16799</v>
      </c>
      <c r="L4960" s="4">
        <v>27810</v>
      </c>
      <c r="M4960" s="2" t="s">
        <v>47</v>
      </c>
      <c r="N4960" s="2" t="s">
        <v>11282</v>
      </c>
    </row>
    <row r="4961" spans="1:14">
      <c r="A4961" s="2">
        <v>4960</v>
      </c>
      <c r="B4961" s="3" t="s">
        <v>16800</v>
      </c>
      <c r="C4961" s="2" t="s">
        <v>16801</v>
      </c>
      <c r="D4961" s="2">
        <v>39</v>
      </c>
      <c r="E4961" s="2">
        <v>39</v>
      </c>
      <c r="F4961" s="2" t="s">
        <v>16802</v>
      </c>
      <c r="H4961" s="2" t="s">
        <v>17</v>
      </c>
      <c r="K4961" s="4">
        <v>2943</v>
      </c>
      <c r="L4961" s="4">
        <v>33997</v>
      </c>
      <c r="M4961" s="2" t="s">
        <v>18</v>
      </c>
      <c r="N4961" s="2" t="s">
        <v>19</v>
      </c>
    </row>
    <row r="4962" spans="1:14">
      <c r="A4962" s="2">
        <v>4961</v>
      </c>
      <c r="B4962" s="3" t="s">
        <v>16803</v>
      </c>
      <c r="C4962" s="2" t="s">
        <v>16804</v>
      </c>
      <c r="D4962" s="2">
        <v>39</v>
      </c>
      <c r="E4962" s="2">
        <v>39</v>
      </c>
      <c r="F4962" s="2" t="s">
        <v>16805</v>
      </c>
      <c r="H4962" s="2" t="s">
        <v>17</v>
      </c>
      <c r="K4962" s="4">
        <v>4486</v>
      </c>
      <c r="L4962" s="4">
        <v>33217</v>
      </c>
      <c r="M4962" s="2" t="s">
        <v>85</v>
      </c>
      <c r="N4962" s="2" t="s">
        <v>2533</v>
      </c>
    </row>
    <row r="4963" spans="1:14">
      <c r="A4963" s="2">
        <v>4962</v>
      </c>
      <c r="B4963" s="3" t="s">
        <v>16806</v>
      </c>
      <c r="C4963" s="2" t="s">
        <v>16807</v>
      </c>
      <c r="D4963" s="2">
        <v>37</v>
      </c>
      <c r="E4963" s="2">
        <v>39</v>
      </c>
      <c r="F4963" s="2" t="s">
        <v>16808</v>
      </c>
      <c r="H4963" s="2" t="s">
        <v>17</v>
      </c>
      <c r="K4963" s="4" t="s">
        <v>16809</v>
      </c>
      <c r="L4963" s="4">
        <v>23600</v>
      </c>
      <c r="M4963" s="2" t="s">
        <v>47</v>
      </c>
      <c r="N4963" s="2" t="s">
        <v>625</v>
      </c>
    </row>
    <row r="4964" spans="1:14">
      <c r="A4964" s="2">
        <v>4963</v>
      </c>
      <c r="B4964" s="3" t="s">
        <v>16810</v>
      </c>
      <c r="C4964" s="2" t="s">
        <v>16811</v>
      </c>
      <c r="D4964" s="2">
        <v>38</v>
      </c>
      <c r="E4964" s="2">
        <v>39</v>
      </c>
      <c r="F4964" s="2" t="s">
        <v>16812</v>
      </c>
      <c r="H4964" s="2" t="s">
        <v>17</v>
      </c>
      <c r="K4964" s="4">
        <v>3259</v>
      </c>
      <c r="L4964" s="4">
        <v>26241</v>
      </c>
      <c r="M4964" s="2" t="s">
        <v>336</v>
      </c>
      <c r="N4964" s="2" t="s">
        <v>1364</v>
      </c>
    </row>
    <row r="4965" spans="1:14">
      <c r="A4965" s="2">
        <v>4964</v>
      </c>
      <c r="B4965" s="3" t="s">
        <v>16813</v>
      </c>
      <c r="C4965" s="2" t="s">
        <v>8225</v>
      </c>
      <c r="D4965" s="2">
        <v>39</v>
      </c>
      <c r="E4965" s="2">
        <v>39</v>
      </c>
      <c r="F4965" s="2" t="s">
        <v>16814</v>
      </c>
      <c r="H4965" s="2" t="s">
        <v>17</v>
      </c>
      <c r="K4965" s="4">
        <v>3909</v>
      </c>
      <c r="M4965" s="2" t="s">
        <v>192</v>
      </c>
      <c r="N4965" s="2" t="s">
        <v>3969</v>
      </c>
    </row>
    <row r="4966" spans="1:14">
      <c r="A4966" s="2">
        <v>4965</v>
      </c>
      <c r="B4966" s="3" t="s">
        <v>16815</v>
      </c>
      <c r="C4966" s="2" t="s">
        <v>16816</v>
      </c>
      <c r="D4966" s="2">
        <v>39</v>
      </c>
      <c r="E4966" s="2">
        <v>39</v>
      </c>
      <c r="F4966" s="2" t="s">
        <v>16817</v>
      </c>
      <c r="H4966" s="2" t="s">
        <v>17</v>
      </c>
      <c r="K4966" s="4">
        <v>1354</v>
      </c>
      <c r="L4966" s="4">
        <v>21113</v>
      </c>
      <c r="M4966" s="2" t="s">
        <v>66</v>
      </c>
      <c r="N4966" s="2" t="s">
        <v>71</v>
      </c>
    </row>
    <row r="4967" spans="1:14">
      <c r="A4967" s="2">
        <v>4966</v>
      </c>
      <c r="B4967" s="3" t="s">
        <v>16818</v>
      </c>
      <c r="C4967" s="2" t="s">
        <v>16819</v>
      </c>
      <c r="D4967" s="2">
        <v>39</v>
      </c>
      <c r="E4967" s="2">
        <v>39</v>
      </c>
      <c r="F4967" s="2" t="s">
        <v>16820</v>
      </c>
      <c r="H4967" s="2" t="s">
        <v>17</v>
      </c>
      <c r="K4967" s="4" t="s">
        <v>16821</v>
      </c>
      <c r="L4967" s="4">
        <v>25828</v>
      </c>
      <c r="M4967" s="2" t="s">
        <v>53</v>
      </c>
      <c r="N4967" s="2" t="s">
        <v>16822</v>
      </c>
    </row>
    <row r="4968" spans="1:14">
      <c r="A4968" s="2">
        <v>4967</v>
      </c>
      <c r="B4968" s="3" t="s">
        <v>16823</v>
      </c>
      <c r="C4968" s="2" t="s">
        <v>16824</v>
      </c>
      <c r="D4968" s="2">
        <v>38</v>
      </c>
      <c r="E4968" s="2">
        <v>38</v>
      </c>
      <c r="F4968" s="2" t="s">
        <v>16825</v>
      </c>
      <c r="H4968" s="2" t="s">
        <v>17</v>
      </c>
      <c r="K4968" s="4">
        <v>430</v>
      </c>
      <c r="M4968" s="2" t="s">
        <v>66</v>
      </c>
      <c r="N4968" s="2" t="s">
        <v>3640</v>
      </c>
    </row>
    <row r="4969" spans="1:14">
      <c r="A4969" s="2">
        <v>4968</v>
      </c>
      <c r="B4969" s="3" t="s">
        <v>16826</v>
      </c>
      <c r="C4969" s="2" t="s">
        <v>16827</v>
      </c>
      <c r="D4969" s="2">
        <v>38</v>
      </c>
      <c r="E4969" s="2">
        <v>38</v>
      </c>
      <c r="F4969" s="2" t="s">
        <v>16828</v>
      </c>
      <c r="H4969" s="2" t="s">
        <v>17</v>
      </c>
      <c r="K4969" s="4" t="s">
        <v>16829</v>
      </c>
      <c r="L4969" s="4">
        <v>17591</v>
      </c>
      <c r="M4969" s="2" t="s">
        <v>154</v>
      </c>
      <c r="N4969" s="2" t="s">
        <v>208</v>
      </c>
    </row>
    <row r="4970" spans="1:14">
      <c r="A4970" s="2">
        <v>4969</v>
      </c>
      <c r="B4970" s="3" t="s">
        <v>16830</v>
      </c>
      <c r="C4970" s="2" t="s">
        <v>16831</v>
      </c>
      <c r="D4970" s="2">
        <v>36</v>
      </c>
      <c r="E4970" s="2">
        <v>38</v>
      </c>
      <c r="F4970" s="2" t="s">
        <v>16832</v>
      </c>
      <c r="H4970" s="2" t="s">
        <v>17</v>
      </c>
      <c r="K4970" s="4" t="s">
        <v>16833</v>
      </c>
      <c r="L4970" s="4">
        <v>27996</v>
      </c>
      <c r="M4970" s="2" t="s">
        <v>170</v>
      </c>
      <c r="N4970" s="2" t="s">
        <v>12454</v>
      </c>
    </row>
    <row r="4971" spans="1:14">
      <c r="A4971" s="2">
        <v>4970</v>
      </c>
      <c r="B4971" s="3" t="s">
        <v>16834</v>
      </c>
      <c r="C4971" s="2" t="s">
        <v>16835</v>
      </c>
      <c r="D4971" s="2">
        <v>37</v>
      </c>
      <c r="E4971" s="2">
        <v>38</v>
      </c>
      <c r="F4971" s="2" t="s">
        <v>16836</v>
      </c>
      <c r="H4971" s="2" t="s">
        <v>17</v>
      </c>
      <c r="K4971" s="4" t="s">
        <v>16837</v>
      </c>
      <c r="L4971" s="4">
        <v>26675</v>
      </c>
      <c r="M4971" s="2" t="s">
        <v>140</v>
      </c>
    </row>
    <row r="4972" spans="1:14">
      <c r="A4972" s="2">
        <v>4971</v>
      </c>
      <c r="B4972" s="3" t="s">
        <v>16838</v>
      </c>
      <c r="C4972" s="2" t="s">
        <v>16839</v>
      </c>
      <c r="D4972" s="2">
        <v>38</v>
      </c>
      <c r="E4972" s="2">
        <v>38</v>
      </c>
      <c r="F4972" s="2" t="s">
        <v>16840</v>
      </c>
      <c r="H4972" s="2" t="s">
        <v>17</v>
      </c>
      <c r="K4972" s="4" t="s">
        <v>16841</v>
      </c>
      <c r="L4972" s="4">
        <v>19526</v>
      </c>
      <c r="M4972" s="2" t="s">
        <v>146</v>
      </c>
    </row>
    <row r="4973" spans="1:14">
      <c r="A4973" s="2">
        <v>4972</v>
      </c>
      <c r="B4973" s="3" t="s">
        <v>16842</v>
      </c>
      <c r="C4973" s="2" t="s">
        <v>16843</v>
      </c>
      <c r="D4973" s="2">
        <v>33</v>
      </c>
      <c r="E4973" s="2">
        <v>38</v>
      </c>
      <c r="F4973" s="2" t="s">
        <v>16844</v>
      </c>
      <c r="H4973" s="2" t="s">
        <v>17</v>
      </c>
      <c r="K4973" s="4" t="s">
        <v>16845</v>
      </c>
      <c r="L4973" s="4">
        <v>19230</v>
      </c>
      <c r="M4973" s="2" t="s">
        <v>198</v>
      </c>
      <c r="N4973" s="2" t="s">
        <v>5240</v>
      </c>
    </row>
    <row r="4974" spans="1:14">
      <c r="A4974" s="2">
        <v>4973</v>
      </c>
      <c r="B4974" s="3" t="s">
        <v>16846</v>
      </c>
      <c r="C4974" s="2" t="s">
        <v>16847</v>
      </c>
      <c r="D4974" s="2">
        <v>38</v>
      </c>
      <c r="E4974" s="2">
        <v>38</v>
      </c>
      <c r="F4974" s="2" t="s">
        <v>16848</v>
      </c>
      <c r="H4974" s="2" t="s">
        <v>17</v>
      </c>
      <c r="K4974" s="4">
        <v>5479</v>
      </c>
      <c r="M4974" s="2" t="s">
        <v>85</v>
      </c>
    </row>
    <row r="4975" spans="1:14">
      <c r="A4975" s="2">
        <v>4974</v>
      </c>
      <c r="B4975" s="3" t="s">
        <v>16849</v>
      </c>
      <c r="C4975" s="2" t="s">
        <v>16850</v>
      </c>
      <c r="D4975" s="2">
        <v>37</v>
      </c>
      <c r="E4975" s="2">
        <v>38</v>
      </c>
      <c r="F4975" s="2" t="s">
        <v>16851</v>
      </c>
      <c r="H4975" s="2" t="s">
        <v>17</v>
      </c>
      <c r="K4975" s="4" t="s">
        <v>16852</v>
      </c>
      <c r="L4975" s="4">
        <v>28004</v>
      </c>
    </row>
    <row r="4976" spans="1:14">
      <c r="A4976" s="2">
        <v>4975</v>
      </c>
      <c r="B4976" s="3" t="s">
        <v>16853</v>
      </c>
      <c r="C4976" s="2" t="s">
        <v>16854</v>
      </c>
      <c r="D4976" s="2">
        <v>38</v>
      </c>
      <c r="E4976" s="2">
        <v>38</v>
      </c>
      <c r="F4976" s="2" t="s">
        <v>16855</v>
      </c>
      <c r="H4976" s="2" t="s">
        <v>17</v>
      </c>
      <c r="K4976" s="4">
        <v>1336</v>
      </c>
      <c r="L4976" s="4">
        <v>24165</v>
      </c>
      <c r="M4976" s="2" t="s">
        <v>198</v>
      </c>
    </row>
    <row r="4977" spans="1:14">
      <c r="A4977" s="2">
        <v>4976</v>
      </c>
      <c r="B4977" s="3" t="s">
        <v>16856</v>
      </c>
      <c r="C4977" s="2" t="s">
        <v>16857</v>
      </c>
      <c r="D4977" s="2">
        <v>38</v>
      </c>
      <c r="E4977" s="2">
        <v>38</v>
      </c>
      <c r="F4977" s="2" t="s">
        <v>16858</v>
      </c>
      <c r="H4977" s="2" t="s">
        <v>17</v>
      </c>
      <c r="K4977" s="4" t="s">
        <v>16859</v>
      </c>
      <c r="L4977" s="4">
        <v>25332</v>
      </c>
      <c r="M4977" s="2" t="s">
        <v>18</v>
      </c>
      <c r="N4977" s="2" t="s">
        <v>16860</v>
      </c>
    </row>
    <row r="4978" spans="1:14">
      <c r="A4978" s="2">
        <v>4977</v>
      </c>
      <c r="B4978" s="3" t="s">
        <v>16861</v>
      </c>
      <c r="C4978" s="2" t="s">
        <v>16862</v>
      </c>
      <c r="D4978" s="2">
        <v>38</v>
      </c>
      <c r="E4978" s="2">
        <v>38</v>
      </c>
      <c r="F4978" s="2" t="s">
        <v>16863</v>
      </c>
      <c r="H4978" s="2" t="s">
        <v>17</v>
      </c>
      <c r="K4978" s="4" t="s">
        <v>16864</v>
      </c>
      <c r="L4978" s="4">
        <v>26559</v>
      </c>
      <c r="M4978" s="2" t="s">
        <v>185</v>
      </c>
      <c r="N4978" s="2" t="s">
        <v>16865</v>
      </c>
    </row>
    <row r="4979" spans="1:14">
      <c r="A4979" s="2">
        <v>4978</v>
      </c>
      <c r="B4979" s="3" t="s">
        <v>16866</v>
      </c>
      <c r="C4979" s="2" t="s">
        <v>16867</v>
      </c>
      <c r="D4979" s="2">
        <v>38</v>
      </c>
      <c r="E4979" s="2">
        <v>38</v>
      </c>
      <c r="F4979" s="2" t="s">
        <v>16868</v>
      </c>
      <c r="H4979" s="2" t="s">
        <v>17</v>
      </c>
      <c r="K4979" s="4">
        <v>1550</v>
      </c>
      <c r="L4979" s="4">
        <v>32869</v>
      </c>
      <c r="M4979" s="2" t="s">
        <v>40</v>
      </c>
      <c r="N4979" s="2" t="s">
        <v>16388</v>
      </c>
    </row>
    <row r="4980" spans="1:14">
      <c r="A4980" s="2">
        <v>4979</v>
      </c>
      <c r="B4980" s="3" t="s">
        <v>16869</v>
      </c>
      <c r="C4980" s="2" t="s">
        <v>16870</v>
      </c>
      <c r="D4980" s="2">
        <v>38</v>
      </c>
      <c r="E4980" s="2">
        <v>38</v>
      </c>
      <c r="F4980" s="2" t="s">
        <v>16871</v>
      </c>
      <c r="H4980" s="2" t="s">
        <v>17</v>
      </c>
      <c r="K4980" s="4">
        <v>2272</v>
      </c>
      <c r="L4980" s="4">
        <v>33814</v>
      </c>
      <c r="M4980" s="2" t="s">
        <v>198</v>
      </c>
      <c r="N4980" s="2" t="s">
        <v>12284</v>
      </c>
    </row>
    <row r="4981" spans="1:14">
      <c r="A4981" s="2">
        <v>4980</v>
      </c>
      <c r="B4981" s="3" t="s">
        <v>16872</v>
      </c>
      <c r="C4981" s="2" t="s">
        <v>16873</v>
      </c>
      <c r="D4981" s="2">
        <v>38</v>
      </c>
      <c r="E4981" s="2">
        <v>38</v>
      </c>
      <c r="F4981" s="2" t="s">
        <v>16874</v>
      </c>
      <c r="H4981" s="2" t="s">
        <v>17</v>
      </c>
      <c r="K4981" s="4">
        <v>5825</v>
      </c>
      <c r="L4981" s="4">
        <v>31478</v>
      </c>
      <c r="M4981" s="2" t="s">
        <v>170</v>
      </c>
      <c r="N4981" s="2" t="s">
        <v>3274</v>
      </c>
    </row>
    <row r="4982" spans="1:14">
      <c r="A4982" s="2">
        <v>4981</v>
      </c>
      <c r="B4982" s="3" t="s">
        <v>16875</v>
      </c>
      <c r="C4982" s="2" t="s">
        <v>16876</v>
      </c>
      <c r="D4982" s="2">
        <v>38</v>
      </c>
      <c r="E4982" s="2">
        <v>38</v>
      </c>
      <c r="F4982" s="2" t="s">
        <v>16877</v>
      </c>
      <c r="H4982" s="2" t="s">
        <v>17</v>
      </c>
      <c r="K4982" s="4" t="s">
        <v>16878</v>
      </c>
      <c r="L4982" s="4">
        <v>22110</v>
      </c>
      <c r="M4982" s="2" t="s">
        <v>35</v>
      </c>
      <c r="N4982" s="2" t="s">
        <v>372</v>
      </c>
    </row>
    <row r="4983" spans="1:14">
      <c r="A4983" s="2">
        <v>4982</v>
      </c>
      <c r="B4983" s="3" t="s">
        <v>16879</v>
      </c>
      <c r="C4983" s="2" t="s">
        <v>16880</v>
      </c>
      <c r="D4983" s="2">
        <v>38</v>
      </c>
      <c r="E4983" s="2">
        <v>38</v>
      </c>
      <c r="F4983" s="2" t="s">
        <v>16881</v>
      </c>
      <c r="H4983" s="2" t="s">
        <v>17</v>
      </c>
      <c r="K4983" s="4" t="s">
        <v>16882</v>
      </c>
      <c r="L4983" s="4">
        <v>17030</v>
      </c>
      <c r="M4983" s="2" t="s">
        <v>423</v>
      </c>
      <c r="N4983" s="2" t="s">
        <v>10207</v>
      </c>
    </row>
    <row r="4984" spans="1:14">
      <c r="A4984" s="2">
        <v>4983</v>
      </c>
      <c r="B4984" s="3" t="s">
        <v>16883</v>
      </c>
      <c r="C4984" s="2" t="s">
        <v>16884</v>
      </c>
      <c r="D4984" s="2">
        <v>27</v>
      </c>
      <c r="E4984" s="2">
        <v>38</v>
      </c>
      <c r="F4984" s="2" t="s">
        <v>16885</v>
      </c>
      <c r="H4984" s="2" t="s">
        <v>17</v>
      </c>
      <c r="K4984" s="4" t="s">
        <v>16886</v>
      </c>
      <c r="L4984" s="4">
        <v>23928</v>
      </c>
      <c r="M4984" s="2" t="s">
        <v>47</v>
      </c>
      <c r="N4984" s="2" t="s">
        <v>8985</v>
      </c>
    </row>
    <row r="4985" spans="1:14">
      <c r="A4985" s="2">
        <v>4984</v>
      </c>
      <c r="B4985" s="3" t="s">
        <v>16887</v>
      </c>
      <c r="C4985" s="2" t="s">
        <v>16888</v>
      </c>
      <c r="D4985" s="2">
        <v>38</v>
      </c>
      <c r="E4985" s="2">
        <v>38</v>
      </c>
      <c r="F4985" s="2" t="s">
        <v>16889</v>
      </c>
      <c r="H4985" s="2" t="s">
        <v>17</v>
      </c>
      <c r="K4985" s="4">
        <v>7069</v>
      </c>
      <c r="L4985" s="4">
        <v>31117</v>
      </c>
      <c r="M4985" s="2" t="s">
        <v>85</v>
      </c>
      <c r="N4985" s="2" t="s">
        <v>86</v>
      </c>
    </row>
    <row r="4986" spans="1:14">
      <c r="A4986" s="2">
        <v>4985</v>
      </c>
      <c r="B4986" s="3" t="s">
        <v>16890</v>
      </c>
      <c r="C4986" s="2" t="s">
        <v>16891</v>
      </c>
      <c r="D4986" s="2">
        <v>37</v>
      </c>
      <c r="E4986" s="2">
        <v>38</v>
      </c>
      <c r="F4986" s="2" t="s">
        <v>16892</v>
      </c>
      <c r="H4986" s="2" t="s">
        <v>17</v>
      </c>
      <c r="K4986" s="4" t="s">
        <v>16681</v>
      </c>
      <c r="M4986" s="2" t="s">
        <v>47</v>
      </c>
      <c r="N4986" s="2" t="s">
        <v>9312</v>
      </c>
    </row>
    <row r="4987" spans="1:14">
      <c r="A4987" s="2">
        <v>4986</v>
      </c>
      <c r="B4987" s="3" t="s">
        <v>16893</v>
      </c>
      <c r="C4987" s="2" t="s">
        <v>16894</v>
      </c>
      <c r="D4987" s="2">
        <v>38</v>
      </c>
      <c r="E4987" s="2">
        <v>38</v>
      </c>
      <c r="F4987" s="2" t="s">
        <v>16895</v>
      </c>
      <c r="H4987" s="2" t="s">
        <v>17</v>
      </c>
      <c r="K4987" s="4" t="s">
        <v>16896</v>
      </c>
      <c r="L4987" s="4">
        <v>28756</v>
      </c>
      <c r="M4987" s="2" t="s">
        <v>66</v>
      </c>
      <c r="N4987" s="2" t="s">
        <v>3640</v>
      </c>
    </row>
    <row r="4988" spans="1:14">
      <c r="A4988" s="2">
        <v>4987</v>
      </c>
      <c r="B4988" s="3" t="s">
        <v>16897</v>
      </c>
      <c r="C4988" s="2" t="s">
        <v>16898</v>
      </c>
      <c r="D4988" s="2">
        <v>38</v>
      </c>
      <c r="E4988" s="2">
        <v>38</v>
      </c>
      <c r="F4988" s="2" t="s">
        <v>16899</v>
      </c>
      <c r="H4988" s="2" t="s">
        <v>17</v>
      </c>
      <c r="K4988" s="4">
        <v>6031</v>
      </c>
      <c r="L4988" s="4">
        <v>30586</v>
      </c>
      <c r="M4988" s="2" t="s">
        <v>146</v>
      </c>
      <c r="N4988" s="2" t="s">
        <v>147</v>
      </c>
    </row>
    <row r="4989" spans="1:14">
      <c r="A4989" s="2">
        <v>4988</v>
      </c>
      <c r="B4989" s="3" t="s">
        <v>16900</v>
      </c>
      <c r="C4989" s="2" t="s">
        <v>16901</v>
      </c>
      <c r="D4989" s="2">
        <v>38</v>
      </c>
      <c r="E4989" s="2">
        <v>38</v>
      </c>
      <c r="F4989" s="2" t="s">
        <v>16902</v>
      </c>
      <c r="H4989" s="2" t="s">
        <v>17</v>
      </c>
      <c r="K4989" s="4" t="s">
        <v>16903</v>
      </c>
      <c r="L4989" s="4">
        <v>21039</v>
      </c>
      <c r="M4989" s="2" t="s">
        <v>164</v>
      </c>
      <c r="N4989" s="2" t="s">
        <v>6164</v>
      </c>
    </row>
    <row r="4990" spans="1:14">
      <c r="A4990" s="2">
        <v>4989</v>
      </c>
      <c r="B4990" s="3" t="s">
        <v>16904</v>
      </c>
      <c r="C4990" s="2" t="s">
        <v>16905</v>
      </c>
      <c r="D4990" s="2">
        <v>38</v>
      </c>
      <c r="E4990" s="2">
        <v>38</v>
      </c>
      <c r="F4990" s="2" t="s">
        <v>16906</v>
      </c>
      <c r="H4990" s="2" t="s">
        <v>17</v>
      </c>
    </row>
    <row r="4991" spans="1:14">
      <c r="A4991" s="2">
        <v>4990</v>
      </c>
      <c r="B4991" s="3" t="s">
        <v>16907</v>
      </c>
      <c r="C4991" s="2" t="s">
        <v>16908</v>
      </c>
      <c r="D4991" s="2">
        <v>38</v>
      </c>
      <c r="E4991" s="2">
        <v>38</v>
      </c>
      <c r="F4991" s="2" t="s">
        <v>16909</v>
      </c>
      <c r="H4991" s="2" t="s">
        <v>17</v>
      </c>
      <c r="K4991" s="4">
        <v>165</v>
      </c>
    </row>
    <row r="4992" spans="1:14">
      <c r="A4992" s="2">
        <v>4991</v>
      </c>
      <c r="B4992" s="3" t="s">
        <v>16910</v>
      </c>
      <c r="C4992" s="2" t="s">
        <v>16911</v>
      </c>
      <c r="D4992" s="2">
        <v>38</v>
      </c>
      <c r="E4992" s="2">
        <v>38</v>
      </c>
      <c r="F4992" s="2" t="s">
        <v>16912</v>
      </c>
      <c r="H4992" s="2" t="s">
        <v>17</v>
      </c>
      <c r="K4992" s="4" t="s">
        <v>16913</v>
      </c>
      <c r="L4992" s="4">
        <v>21217</v>
      </c>
      <c r="M4992" s="2" t="s">
        <v>140</v>
      </c>
      <c r="N4992" s="2" t="s">
        <v>294</v>
      </c>
    </row>
    <row r="4993" spans="1:14">
      <c r="A4993" s="2">
        <v>4992</v>
      </c>
      <c r="B4993" s="3" t="s">
        <v>16914</v>
      </c>
      <c r="C4993" s="2" t="s">
        <v>16915</v>
      </c>
      <c r="D4993" s="2">
        <v>38</v>
      </c>
      <c r="E4993" s="2">
        <v>38</v>
      </c>
      <c r="F4993" s="2" t="s">
        <v>16916</v>
      </c>
      <c r="H4993" s="2" t="s">
        <v>17</v>
      </c>
      <c r="K4993" s="4">
        <v>434</v>
      </c>
      <c r="L4993" s="4">
        <v>30299</v>
      </c>
      <c r="M4993" s="2" t="s">
        <v>76</v>
      </c>
      <c r="N4993" s="2" t="s">
        <v>77</v>
      </c>
    </row>
    <row r="4994" spans="1:14">
      <c r="A4994" s="2">
        <v>4993</v>
      </c>
      <c r="B4994" s="3" t="s">
        <v>16917</v>
      </c>
      <c r="C4994" s="2" t="s">
        <v>16918</v>
      </c>
      <c r="D4994" s="2">
        <v>38</v>
      </c>
      <c r="E4994" s="2">
        <v>38</v>
      </c>
      <c r="F4994" s="2" t="s">
        <v>16919</v>
      </c>
      <c r="H4994" s="2" t="s">
        <v>17</v>
      </c>
      <c r="K4994" s="4">
        <v>3286</v>
      </c>
      <c r="M4994" s="2" t="s">
        <v>18</v>
      </c>
      <c r="N4994" s="2" t="s">
        <v>342</v>
      </c>
    </row>
    <row r="4995" spans="1:14">
      <c r="A4995" s="2">
        <v>4994</v>
      </c>
      <c r="B4995" s="3" t="s">
        <v>16920</v>
      </c>
      <c r="C4995" s="2" t="s">
        <v>16921</v>
      </c>
      <c r="D4995" s="2">
        <v>38</v>
      </c>
      <c r="E4995" s="2">
        <v>38</v>
      </c>
      <c r="F4995" s="2" t="s">
        <v>16922</v>
      </c>
      <c r="H4995" s="2" t="s">
        <v>17</v>
      </c>
      <c r="K4995" s="4">
        <v>2525</v>
      </c>
      <c r="L4995" s="4">
        <v>38455</v>
      </c>
      <c r="M4995" s="2" t="s">
        <v>423</v>
      </c>
      <c r="N4995" s="2" t="s">
        <v>16923</v>
      </c>
    </row>
    <row r="4996" spans="1:14">
      <c r="A4996" s="2">
        <v>4995</v>
      </c>
      <c r="B4996" s="3" t="s">
        <v>16924</v>
      </c>
      <c r="C4996" s="2" t="s">
        <v>16925</v>
      </c>
      <c r="D4996" s="2">
        <v>38</v>
      </c>
      <c r="E4996" s="2">
        <v>38</v>
      </c>
      <c r="F4996" s="2" t="s">
        <v>16926</v>
      </c>
      <c r="H4996" s="2" t="s">
        <v>17</v>
      </c>
      <c r="K4996" s="4" t="s">
        <v>16927</v>
      </c>
      <c r="L4996" s="4">
        <v>25416</v>
      </c>
      <c r="M4996" s="2" t="s">
        <v>40</v>
      </c>
      <c r="N4996" s="2" t="s">
        <v>41</v>
      </c>
    </row>
    <row r="4997" spans="1:14">
      <c r="A4997" s="2">
        <v>4996</v>
      </c>
      <c r="B4997" s="3" t="s">
        <v>16928</v>
      </c>
      <c r="C4997" s="2" t="s">
        <v>16929</v>
      </c>
      <c r="D4997" s="2">
        <v>38</v>
      </c>
      <c r="E4997" s="2">
        <v>38</v>
      </c>
      <c r="F4997" s="2" t="s">
        <v>16930</v>
      </c>
      <c r="H4997" s="2" t="s">
        <v>17</v>
      </c>
      <c r="K4997" s="4">
        <v>605</v>
      </c>
      <c r="L4997" s="4">
        <v>23785</v>
      </c>
      <c r="M4997" s="2" t="s">
        <v>66</v>
      </c>
    </row>
    <row r="4998" spans="1:14">
      <c r="A4998" s="2">
        <v>4997</v>
      </c>
      <c r="B4998" s="3" t="s">
        <v>16931</v>
      </c>
      <c r="C4998" s="2" t="s">
        <v>16932</v>
      </c>
      <c r="D4998" s="2">
        <v>38</v>
      </c>
      <c r="E4998" s="2">
        <v>38</v>
      </c>
      <c r="F4998" s="2" t="s">
        <v>16933</v>
      </c>
      <c r="H4998" s="2" t="s">
        <v>17</v>
      </c>
      <c r="K4998" s="4">
        <v>1852</v>
      </c>
      <c r="L4998" s="4">
        <v>33185</v>
      </c>
      <c r="M4998" s="2" t="s">
        <v>192</v>
      </c>
      <c r="N4998" s="2" t="s">
        <v>3675</v>
      </c>
    </row>
    <row r="4999" spans="1:14">
      <c r="A4999" s="2">
        <v>4998</v>
      </c>
      <c r="B4999" s="3" t="s">
        <v>16934</v>
      </c>
      <c r="C4999" s="2" t="s">
        <v>16935</v>
      </c>
      <c r="D4999" s="2">
        <v>37</v>
      </c>
      <c r="E4999" s="2">
        <v>38</v>
      </c>
      <c r="F4999" s="2" t="s">
        <v>16936</v>
      </c>
      <c r="H4999" s="2" t="s">
        <v>17</v>
      </c>
      <c r="K4999" s="4">
        <v>200</v>
      </c>
      <c r="L4999" s="4">
        <v>28840</v>
      </c>
      <c r="M4999" s="2" t="s">
        <v>192</v>
      </c>
      <c r="N4999" s="2" t="s">
        <v>16937</v>
      </c>
    </row>
    <row r="5000" spans="1:14">
      <c r="A5000" s="2">
        <v>4999</v>
      </c>
      <c r="B5000" s="3" t="s">
        <v>16938</v>
      </c>
      <c r="C5000" s="2" t="s">
        <v>16939</v>
      </c>
      <c r="D5000" s="2">
        <v>38</v>
      </c>
      <c r="E5000" s="2">
        <v>38</v>
      </c>
      <c r="F5000" s="2" t="s">
        <v>16940</v>
      </c>
      <c r="H5000" s="2" t="s">
        <v>17</v>
      </c>
      <c r="K5000" s="4">
        <v>515</v>
      </c>
      <c r="L5000" s="4">
        <v>30611</v>
      </c>
      <c r="M5000" s="2" t="s">
        <v>47</v>
      </c>
      <c r="N5000" s="2" t="s">
        <v>442</v>
      </c>
    </row>
    <row r="5001" spans="1:14">
      <c r="A5001" s="2">
        <v>5000</v>
      </c>
      <c r="B5001" s="3" t="s">
        <v>16941</v>
      </c>
      <c r="C5001" s="2" t="s">
        <v>16942</v>
      </c>
      <c r="D5001" s="2">
        <v>36</v>
      </c>
      <c r="E5001" s="2">
        <v>38</v>
      </c>
      <c r="F5001" s="2" t="s">
        <v>16943</v>
      </c>
      <c r="H5001" s="2" t="s">
        <v>17</v>
      </c>
      <c r="K5001" s="4" t="s">
        <v>16944</v>
      </c>
      <c r="L5001" s="4">
        <v>26910</v>
      </c>
      <c r="M5001" s="2" t="s">
        <v>35</v>
      </c>
      <c r="N5001" s="2" t="s">
        <v>772</v>
      </c>
    </row>
    <row r="5002" spans="1:14">
      <c r="A5002" s="2">
        <v>5001</v>
      </c>
      <c r="B5002" s="3" t="s">
        <v>16945</v>
      </c>
      <c r="C5002" s="2" t="s">
        <v>16946</v>
      </c>
      <c r="D5002" s="2">
        <v>38</v>
      </c>
      <c r="E5002" s="2">
        <v>38</v>
      </c>
      <c r="F5002" s="2" t="s">
        <v>16947</v>
      </c>
      <c r="H5002" s="2" t="s">
        <v>17</v>
      </c>
      <c r="K5002" s="4" t="s">
        <v>16948</v>
      </c>
      <c r="L5002" s="4">
        <v>21972</v>
      </c>
      <c r="M5002" s="2" t="s">
        <v>170</v>
      </c>
    </row>
    <row r="5003" spans="1:14">
      <c r="A5003" s="2">
        <v>5002</v>
      </c>
      <c r="B5003" s="3" t="s">
        <v>16949</v>
      </c>
      <c r="C5003" s="2" t="s">
        <v>16950</v>
      </c>
      <c r="D5003" s="2">
        <v>33</v>
      </c>
      <c r="E5003" s="2">
        <v>38</v>
      </c>
      <c r="F5003" s="2" t="s">
        <v>16951</v>
      </c>
      <c r="H5003" s="2" t="s">
        <v>17</v>
      </c>
      <c r="K5003" s="4" t="s">
        <v>16952</v>
      </c>
      <c r="L5003" s="4">
        <v>29952</v>
      </c>
      <c r="M5003" s="2" t="s">
        <v>66</v>
      </c>
      <c r="N5003" s="2" t="s">
        <v>6963</v>
      </c>
    </row>
    <row r="5004" spans="1:14">
      <c r="A5004" s="2">
        <v>5003</v>
      </c>
      <c r="B5004" s="3" t="s">
        <v>16953</v>
      </c>
      <c r="C5004" s="2" t="s">
        <v>16954</v>
      </c>
      <c r="D5004" s="2">
        <v>38</v>
      </c>
      <c r="E5004" s="2">
        <v>38</v>
      </c>
      <c r="F5004" s="2" t="s">
        <v>16955</v>
      </c>
      <c r="H5004" s="2" t="s">
        <v>17</v>
      </c>
      <c r="K5004" s="4">
        <v>2305</v>
      </c>
      <c r="L5004" s="4">
        <v>36245</v>
      </c>
      <c r="M5004" s="2" t="s">
        <v>85</v>
      </c>
      <c r="N5004" s="2" t="s">
        <v>86</v>
      </c>
    </row>
    <row r="5005" spans="1:14">
      <c r="A5005" s="2">
        <v>5004</v>
      </c>
      <c r="B5005" s="3" t="s">
        <v>16956</v>
      </c>
      <c r="C5005" s="2" t="s">
        <v>16957</v>
      </c>
      <c r="D5005" s="2">
        <v>38</v>
      </c>
      <c r="E5005" s="2">
        <v>38</v>
      </c>
      <c r="F5005" s="2" t="s">
        <v>16958</v>
      </c>
      <c r="H5005" s="2" t="s">
        <v>17</v>
      </c>
      <c r="K5005" s="4">
        <v>70</v>
      </c>
      <c r="L5005" s="4">
        <v>31160</v>
      </c>
      <c r="M5005" s="2" t="s">
        <v>47</v>
      </c>
      <c r="N5005" s="2" t="s">
        <v>48</v>
      </c>
    </row>
    <row r="5006" spans="1:14">
      <c r="A5006" s="2">
        <v>5005</v>
      </c>
      <c r="B5006" s="3" t="s">
        <v>16959</v>
      </c>
      <c r="C5006" s="2" t="s">
        <v>16960</v>
      </c>
      <c r="D5006" s="2">
        <v>35</v>
      </c>
      <c r="E5006" s="2">
        <v>38</v>
      </c>
      <c r="F5006" s="2" t="s">
        <v>16961</v>
      </c>
      <c r="H5006" s="2" t="s">
        <v>17</v>
      </c>
      <c r="K5006" s="4" t="s">
        <v>16962</v>
      </c>
      <c r="L5006" s="4">
        <v>21572</v>
      </c>
      <c r="M5006" s="2" t="s">
        <v>85</v>
      </c>
      <c r="N5006" s="2" t="s">
        <v>1356</v>
      </c>
    </row>
    <row r="5007" spans="1:14">
      <c r="A5007" s="2">
        <v>5006</v>
      </c>
      <c r="B5007" s="3" t="s">
        <v>16963</v>
      </c>
      <c r="C5007" s="2" t="s">
        <v>16964</v>
      </c>
      <c r="D5007" s="2">
        <v>38</v>
      </c>
      <c r="E5007" s="2">
        <v>38</v>
      </c>
      <c r="F5007" s="2" t="s">
        <v>16965</v>
      </c>
      <c r="H5007" s="2" t="s">
        <v>17</v>
      </c>
      <c r="K5007" s="4">
        <v>784</v>
      </c>
      <c r="L5007" s="4">
        <v>28522</v>
      </c>
      <c r="M5007" s="2" t="s">
        <v>170</v>
      </c>
      <c r="N5007" s="2" t="s">
        <v>12352</v>
      </c>
    </row>
    <row r="5008" spans="1:14">
      <c r="A5008" s="2">
        <v>5007</v>
      </c>
      <c r="B5008" s="3" t="s">
        <v>16966</v>
      </c>
      <c r="C5008" s="2" t="s">
        <v>16967</v>
      </c>
      <c r="D5008" s="2">
        <v>37</v>
      </c>
      <c r="E5008" s="2">
        <v>38</v>
      </c>
      <c r="F5008" s="2" t="s">
        <v>16968</v>
      </c>
      <c r="H5008" s="2" t="s">
        <v>17</v>
      </c>
      <c r="K5008" s="4">
        <v>2451</v>
      </c>
      <c r="L5008" s="4">
        <v>29788</v>
      </c>
      <c r="M5008" s="2" t="s">
        <v>35</v>
      </c>
      <c r="N5008" s="2" t="s">
        <v>2261</v>
      </c>
    </row>
    <row r="5009" spans="1:14">
      <c r="A5009" s="2">
        <v>5008</v>
      </c>
      <c r="B5009" s="3" t="s">
        <v>16969</v>
      </c>
      <c r="C5009" s="2" t="s">
        <v>16970</v>
      </c>
      <c r="D5009" s="2">
        <v>38</v>
      </c>
      <c r="E5009" s="2">
        <v>38</v>
      </c>
      <c r="F5009" s="2" t="s">
        <v>16971</v>
      </c>
      <c r="H5009" s="2" t="s">
        <v>17</v>
      </c>
      <c r="K5009" s="4" t="s">
        <v>16972</v>
      </c>
      <c r="L5009" s="4">
        <v>24172</v>
      </c>
      <c r="M5009" s="2" t="s">
        <v>170</v>
      </c>
      <c r="N5009" s="2" t="s">
        <v>1624</v>
      </c>
    </row>
    <row r="5010" spans="1:14">
      <c r="A5010" s="2">
        <v>5009</v>
      </c>
      <c r="B5010" s="3" t="s">
        <v>16973</v>
      </c>
      <c r="C5010" s="2" t="s">
        <v>12083</v>
      </c>
      <c r="D5010" s="2">
        <v>33</v>
      </c>
      <c r="E5010" s="2">
        <v>38</v>
      </c>
      <c r="F5010" s="2" t="s">
        <v>16974</v>
      </c>
      <c r="H5010" s="2" t="s">
        <v>17</v>
      </c>
      <c r="K5010" s="4" t="s">
        <v>16975</v>
      </c>
      <c r="L5010" s="4">
        <v>26022</v>
      </c>
      <c r="M5010" s="2" t="s">
        <v>35</v>
      </c>
      <c r="N5010" s="2" t="s">
        <v>672</v>
      </c>
    </row>
    <row r="5011" spans="1:14">
      <c r="A5011" s="2">
        <v>5010</v>
      </c>
      <c r="B5011" s="3" t="s">
        <v>16976</v>
      </c>
      <c r="C5011" s="2" t="s">
        <v>16977</v>
      </c>
      <c r="D5011" s="2">
        <v>38</v>
      </c>
      <c r="E5011" s="2">
        <v>38</v>
      </c>
      <c r="F5011" s="2" t="s">
        <v>16978</v>
      </c>
      <c r="H5011" s="2" t="s">
        <v>17</v>
      </c>
      <c r="K5011" s="4" t="s">
        <v>16979</v>
      </c>
      <c r="M5011" s="2" t="s">
        <v>66</v>
      </c>
      <c r="N5011" s="2" t="s">
        <v>16980</v>
      </c>
    </row>
    <row r="5012" spans="1:14">
      <c r="A5012" s="2">
        <v>5011</v>
      </c>
      <c r="B5012" s="3" t="s">
        <v>16981</v>
      </c>
      <c r="C5012" s="2" t="s">
        <v>16982</v>
      </c>
      <c r="D5012" s="2">
        <v>38</v>
      </c>
      <c r="E5012" s="2">
        <v>38</v>
      </c>
      <c r="F5012" s="2" t="s">
        <v>16983</v>
      </c>
      <c r="H5012" s="2" t="s">
        <v>17</v>
      </c>
      <c r="K5012" s="4">
        <v>2115</v>
      </c>
      <c r="L5012" s="4">
        <v>27236</v>
      </c>
      <c r="M5012" s="2" t="s">
        <v>85</v>
      </c>
      <c r="N5012" s="2" t="s">
        <v>2474</v>
      </c>
    </row>
    <row r="5013" spans="1:14">
      <c r="A5013" s="2">
        <v>5012</v>
      </c>
      <c r="B5013" s="3" t="s">
        <v>16984</v>
      </c>
      <c r="C5013" s="2" t="s">
        <v>16985</v>
      </c>
      <c r="D5013" s="2">
        <v>38</v>
      </c>
      <c r="E5013" s="2">
        <v>38</v>
      </c>
      <c r="F5013" s="2" t="s">
        <v>16986</v>
      </c>
      <c r="H5013" s="2" t="s">
        <v>17</v>
      </c>
      <c r="K5013" s="4">
        <v>234</v>
      </c>
      <c r="L5013" s="4">
        <v>28337</v>
      </c>
      <c r="M5013" s="2" t="s">
        <v>35</v>
      </c>
      <c r="N5013" s="2" t="s">
        <v>1242</v>
      </c>
    </row>
    <row r="5014" spans="1:14">
      <c r="A5014" s="2">
        <v>5013</v>
      </c>
      <c r="B5014" s="3" t="s">
        <v>16987</v>
      </c>
      <c r="C5014" s="2" t="s">
        <v>16988</v>
      </c>
      <c r="D5014" s="2">
        <v>37</v>
      </c>
      <c r="E5014" s="2">
        <v>38</v>
      </c>
      <c r="F5014" s="2" t="s">
        <v>16989</v>
      </c>
      <c r="H5014" s="2" t="s">
        <v>17</v>
      </c>
      <c r="K5014" s="4" t="s">
        <v>16990</v>
      </c>
      <c r="L5014" s="4">
        <v>25619</v>
      </c>
      <c r="M5014" s="2" t="s">
        <v>336</v>
      </c>
      <c r="N5014" s="2" t="s">
        <v>1883</v>
      </c>
    </row>
    <row r="5015" spans="1:14">
      <c r="A5015" s="2">
        <v>5014</v>
      </c>
      <c r="B5015" s="3" t="s">
        <v>16991</v>
      </c>
      <c r="C5015" s="2" t="s">
        <v>16992</v>
      </c>
      <c r="D5015" s="2">
        <v>38</v>
      </c>
      <c r="E5015" s="2">
        <v>38</v>
      </c>
      <c r="F5015" s="2" t="s">
        <v>16993</v>
      </c>
      <c r="H5015" s="2" t="s">
        <v>17</v>
      </c>
      <c r="K5015" s="4" t="s">
        <v>16994</v>
      </c>
      <c r="L5015" s="4">
        <v>26699</v>
      </c>
      <c r="M5015" s="2" t="s">
        <v>53</v>
      </c>
      <c r="N5015" s="2" t="s">
        <v>54</v>
      </c>
    </row>
    <row r="5016" spans="1:14">
      <c r="A5016" s="2">
        <v>5015</v>
      </c>
      <c r="B5016" s="3" t="s">
        <v>16995</v>
      </c>
      <c r="C5016" s="2" t="s">
        <v>16996</v>
      </c>
      <c r="D5016" s="2">
        <v>38</v>
      </c>
      <c r="E5016" s="2">
        <v>38</v>
      </c>
      <c r="F5016" s="2" t="s">
        <v>16997</v>
      </c>
      <c r="H5016" s="2" t="s">
        <v>17</v>
      </c>
      <c r="K5016" s="4">
        <v>5500</v>
      </c>
      <c r="L5016" s="4">
        <v>31160</v>
      </c>
      <c r="M5016" s="2" t="s">
        <v>40</v>
      </c>
    </row>
    <row r="5017" spans="1:14">
      <c r="A5017" s="2">
        <v>5016</v>
      </c>
      <c r="B5017" s="3" t="s">
        <v>16998</v>
      </c>
      <c r="C5017" s="2" t="s">
        <v>16999</v>
      </c>
      <c r="D5017" s="2">
        <v>36</v>
      </c>
      <c r="E5017" s="2">
        <v>38</v>
      </c>
      <c r="F5017" s="2" t="s">
        <v>17000</v>
      </c>
      <c r="H5017" s="2" t="s">
        <v>17</v>
      </c>
      <c r="K5017" s="4" t="s">
        <v>17001</v>
      </c>
      <c r="L5017" s="4">
        <v>23943</v>
      </c>
      <c r="M5017" s="2" t="s">
        <v>47</v>
      </c>
      <c r="N5017" s="2" t="s">
        <v>48</v>
      </c>
    </row>
    <row r="5018" spans="1:14">
      <c r="A5018" s="2">
        <v>5017</v>
      </c>
      <c r="B5018" s="3" t="s">
        <v>17002</v>
      </c>
      <c r="C5018" s="2" t="s">
        <v>17003</v>
      </c>
      <c r="D5018" s="2">
        <v>38</v>
      </c>
      <c r="E5018" s="2">
        <v>38</v>
      </c>
      <c r="F5018" s="2" t="s">
        <v>17004</v>
      </c>
      <c r="H5018" s="2" t="s">
        <v>17</v>
      </c>
    </row>
    <row r="5019" spans="1:14">
      <c r="A5019" s="2">
        <v>5018</v>
      </c>
      <c r="B5019" s="3" t="s">
        <v>17005</v>
      </c>
      <c r="C5019" s="2" t="s">
        <v>17006</v>
      </c>
      <c r="D5019" s="2">
        <v>38</v>
      </c>
      <c r="E5019" s="2">
        <v>38</v>
      </c>
      <c r="F5019" s="2" t="s">
        <v>17007</v>
      </c>
      <c r="H5019" s="2" t="s">
        <v>17</v>
      </c>
      <c r="K5019" s="4" t="s">
        <v>17008</v>
      </c>
      <c r="L5019" s="4">
        <v>20235</v>
      </c>
      <c r="M5019" s="2" t="s">
        <v>35</v>
      </c>
      <c r="N5019" s="2" t="s">
        <v>11458</v>
      </c>
    </row>
    <row r="5020" spans="1:14">
      <c r="A5020" s="2">
        <v>5019</v>
      </c>
      <c r="B5020" s="3" t="s">
        <v>17009</v>
      </c>
      <c r="C5020" s="2" t="s">
        <v>17010</v>
      </c>
      <c r="D5020" s="2">
        <v>36</v>
      </c>
      <c r="E5020" s="2">
        <v>38</v>
      </c>
      <c r="F5020" s="2" t="s">
        <v>17011</v>
      </c>
      <c r="H5020" s="2" t="s">
        <v>17</v>
      </c>
      <c r="K5020" s="4" t="s">
        <v>17012</v>
      </c>
      <c r="L5020" s="4">
        <v>33244</v>
      </c>
      <c r="M5020" s="2" t="s">
        <v>192</v>
      </c>
      <c r="N5020" s="2" t="s">
        <v>3675</v>
      </c>
    </row>
    <row r="5021" spans="1:14">
      <c r="A5021" s="2">
        <v>5020</v>
      </c>
      <c r="B5021" s="3" t="s">
        <v>17013</v>
      </c>
      <c r="C5021" s="2" t="s">
        <v>17014</v>
      </c>
      <c r="D5021" s="2">
        <v>38</v>
      </c>
      <c r="E5021" s="2">
        <v>38</v>
      </c>
      <c r="F5021" s="2" t="s">
        <v>17015</v>
      </c>
      <c r="H5021" s="2" t="s">
        <v>17</v>
      </c>
      <c r="K5021" s="4">
        <v>4357</v>
      </c>
      <c r="L5021" s="4">
        <v>25511</v>
      </c>
      <c r="M5021" s="2" t="s">
        <v>40</v>
      </c>
      <c r="N5021" s="2" t="s">
        <v>41</v>
      </c>
    </row>
    <row r="5022" spans="1:14">
      <c r="A5022" s="2">
        <v>5021</v>
      </c>
      <c r="B5022" s="3" t="s">
        <v>17016</v>
      </c>
      <c r="C5022" s="2" t="s">
        <v>17017</v>
      </c>
      <c r="D5022" s="2">
        <v>38</v>
      </c>
      <c r="E5022" s="2">
        <v>38</v>
      </c>
      <c r="F5022" s="2" t="s">
        <v>17018</v>
      </c>
      <c r="H5022" s="2" t="s">
        <v>17</v>
      </c>
      <c r="K5022" s="4">
        <v>1040</v>
      </c>
      <c r="L5022" s="4">
        <v>31413</v>
      </c>
      <c r="M5022" s="2" t="s">
        <v>18</v>
      </c>
      <c r="N5022" s="2" t="s">
        <v>19</v>
      </c>
    </row>
    <row r="5023" spans="1:14">
      <c r="A5023" s="2">
        <v>5022</v>
      </c>
      <c r="B5023" s="3" t="s">
        <v>17019</v>
      </c>
      <c r="C5023" s="2" t="s">
        <v>17020</v>
      </c>
      <c r="D5023" s="2">
        <v>38</v>
      </c>
      <c r="E5023" s="2">
        <v>38</v>
      </c>
      <c r="F5023" s="2" t="s">
        <v>17021</v>
      </c>
      <c r="H5023" s="2" t="s">
        <v>17</v>
      </c>
      <c r="K5023" s="4">
        <v>3380</v>
      </c>
      <c r="L5023" s="4">
        <v>35185</v>
      </c>
      <c r="M5023" s="2" t="s">
        <v>164</v>
      </c>
      <c r="N5023" s="2" t="s">
        <v>165</v>
      </c>
    </row>
    <row r="5024" spans="1:14">
      <c r="A5024" s="2">
        <v>5023</v>
      </c>
      <c r="B5024" s="3" t="s">
        <v>17022</v>
      </c>
      <c r="C5024" s="2" t="s">
        <v>17023</v>
      </c>
      <c r="D5024" s="2">
        <v>38</v>
      </c>
      <c r="E5024" s="2">
        <v>38</v>
      </c>
      <c r="F5024" s="2" t="s">
        <v>17024</v>
      </c>
      <c r="H5024" s="2" t="s">
        <v>17</v>
      </c>
      <c r="K5024" s="4">
        <v>5400</v>
      </c>
      <c r="M5024" s="2" t="s">
        <v>91</v>
      </c>
      <c r="N5024" s="2" t="s">
        <v>677</v>
      </c>
    </row>
    <row r="5025" spans="1:14">
      <c r="A5025" s="2">
        <v>5024</v>
      </c>
      <c r="B5025" s="3" t="s">
        <v>17025</v>
      </c>
      <c r="C5025" s="2" t="s">
        <v>17026</v>
      </c>
      <c r="D5025" s="2">
        <v>38</v>
      </c>
      <c r="E5025" s="2">
        <v>38</v>
      </c>
      <c r="F5025" s="2" t="s">
        <v>17027</v>
      </c>
      <c r="H5025" s="2" t="s">
        <v>17</v>
      </c>
      <c r="K5025" s="4">
        <v>2597</v>
      </c>
      <c r="L5025" s="4">
        <v>37325</v>
      </c>
      <c r="M5025" s="2" t="s">
        <v>40</v>
      </c>
      <c r="N5025" s="2" t="s">
        <v>17028</v>
      </c>
    </row>
    <row r="5026" spans="1:14">
      <c r="A5026" s="2">
        <v>5025</v>
      </c>
      <c r="B5026" s="3" t="s">
        <v>17029</v>
      </c>
      <c r="C5026" s="2" t="s">
        <v>17030</v>
      </c>
      <c r="D5026" s="2">
        <v>38</v>
      </c>
      <c r="E5026" s="2">
        <v>38</v>
      </c>
      <c r="F5026" s="2" t="s">
        <v>17031</v>
      </c>
      <c r="H5026" s="2" t="s">
        <v>17</v>
      </c>
      <c r="L5026" s="4">
        <v>26845</v>
      </c>
      <c r="M5026" s="2" t="s">
        <v>247</v>
      </c>
    </row>
    <row r="5027" spans="1:14">
      <c r="A5027" s="2">
        <v>5026</v>
      </c>
      <c r="B5027" s="3" t="s">
        <v>17032</v>
      </c>
      <c r="C5027" s="2" t="s">
        <v>17033</v>
      </c>
      <c r="D5027" s="2">
        <v>36</v>
      </c>
      <c r="E5027" s="2">
        <v>38</v>
      </c>
      <c r="F5027" s="2" t="s">
        <v>17034</v>
      </c>
      <c r="H5027" s="2" t="s">
        <v>17</v>
      </c>
      <c r="K5027" s="4" t="s">
        <v>17035</v>
      </c>
      <c r="L5027" s="4">
        <v>27285</v>
      </c>
      <c r="M5027" s="2" t="s">
        <v>35</v>
      </c>
      <c r="N5027" s="2" t="s">
        <v>7122</v>
      </c>
    </row>
    <row r="5028" spans="1:14">
      <c r="A5028" s="2">
        <v>5027</v>
      </c>
      <c r="B5028" s="3" t="s">
        <v>17036</v>
      </c>
      <c r="C5028" s="2" t="s">
        <v>17037</v>
      </c>
      <c r="D5028" s="2">
        <v>38</v>
      </c>
      <c r="E5028" s="2">
        <v>38</v>
      </c>
      <c r="F5028" s="2" t="s">
        <v>17038</v>
      </c>
      <c r="H5028" s="2" t="s">
        <v>17</v>
      </c>
      <c r="K5028" s="4" t="s">
        <v>17039</v>
      </c>
      <c r="L5028" s="4">
        <v>18754</v>
      </c>
      <c r="M5028" s="2" t="s">
        <v>47</v>
      </c>
      <c r="N5028" s="2" t="s">
        <v>1538</v>
      </c>
    </row>
    <row r="5029" spans="1:14">
      <c r="A5029" s="2">
        <v>5028</v>
      </c>
      <c r="B5029" s="3" t="s">
        <v>17040</v>
      </c>
      <c r="C5029" s="2" t="s">
        <v>17041</v>
      </c>
      <c r="D5029" s="2">
        <v>35</v>
      </c>
      <c r="E5029" s="2">
        <v>38</v>
      </c>
      <c r="F5029" s="2" t="s">
        <v>17042</v>
      </c>
      <c r="H5029" s="2" t="s">
        <v>17</v>
      </c>
      <c r="K5029" s="4" t="s">
        <v>16845</v>
      </c>
      <c r="L5029" s="4">
        <v>19719</v>
      </c>
      <c r="M5029" s="2" t="s">
        <v>35</v>
      </c>
      <c r="N5029" s="2" t="s">
        <v>12348</v>
      </c>
    </row>
    <row r="5030" spans="1:14">
      <c r="A5030" s="2">
        <v>5029</v>
      </c>
      <c r="B5030" s="3" t="s">
        <v>17043</v>
      </c>
      <c r="C5030" s="2" t="s">
        <v>17044</v>
      </c>
      <c r="D5030" s="2">
        <v>38</v>
      </c>
      <c r="E5030" s="2">
        <v>38</v>
      </c>
      <c r="F5030" s="2" t="s">
        <v>17045</v>
      </c>
      <c r="H5030" s="2" t="s">
        <v>17</v>
      </c>
      <c r="K5030" s="4">
        <v>935</v>
      </c>
      <c r="L5030" s="4">
        <v>31090</v>
      </c>
      <c r="M5030" s="2" t="s">
        <v>170</v>
      </c>
    </row>
    <row r="5031" spans="1:14">
      <c r="A5031" s="2">
        <v>5030</v>
      </c>
      <c r="B5031" s="3" t="s">
        <v>17046</v>
      </c>
      <c r="C5031" s="2" t="s">
        <v>17047</v>
      </c>
      <c r="D5031" s="2">
        <v>36</v>
      </c>
      <c r="E5031" s="2">
        <v>38</v>
      </c>
      <c r="F5031" s="2" t="s">
        <v>17048</v>
      </c>
      <c r="H5031" s="2" t="s">
        <v>17</v>
      </c>
      <c r="K5031" s="4">
        <v>272</v>
      </c>
      <c r="L5031" s="4">
        <v>29811</v>
      </c>
      <c r="M5031" s="2" t="s">
        <v>40</v>
      </c>
      <c r="N5031" s="2" t="s">
        <v>41</v>
      </c>
    </row>
    <row r="5032" spans="1:14">
      <c r="A5032" s="2">
        <v>5031</v>
      </c>
      <c r="B5032" s="3" t="s">
        <v>17049</v>
      </c>
      <c r="C5032" s="2" t="s">
        <v>17050</v>
      </c>
      <c r="D5032" s="2">
        <v>38</v>
      </c>
      <c r="E5032" s="2">
        <v>38</v>
      </c>
      <c r="F5032" s="2" t="s">
        <v>17051</v>
      </c>
      <c r="H5032" s="2" t="s">
        <v>17</v>
      </c>
      <c r="L5032" s="4">
        <v>21568</v>
      </c>
      <c r="N5032" s="2" t="s">
        <v>17052</v>
      </c>
    </row>
    <row r="5033" spans="1:14">
      <c r="A5033" s="2">
        <v>5032</v>
      </c>
      <c r="B5033" s="3" t="s">
        <v>17053</v>
      </c>
      <c r="C5033" s="2" t="s">
        <v>17054</v>
      </c>
      <c r="D5033" s="2">
        <v>38</v>
      </c>
      <c r="E5033" s="2">
        <v>38</v>
      </c>
      <c r="F5033" s="2" t="s">
        <v>17055</v>
      </c>
      <c r="H5033" s="2" t="s">
        <v>17</v>
      </c>
      <c r="K5033" s="4" t="s">
        <v>17056</v>
      </c>
      <c r="L5033" s="4">
        <v>23863</v>
      </c>
      <c r="M5033" s="2" t="s">
        <v>40</v>
      </c>
      <c r="N5033" s="2" t="s">
        <v>9536</v>
      </c>
    </row>
    <row r="5034" spans="1:14">
      <c r="A5034" s="2">
        <v>5033</v>
      </c>
      <c r="B5034" s="3" t="s">
        <v>17057</v>
      </c>
      <c r="C5034" s="2" t="s">
        <v>17058</v>
      </c>
      <c r="D5034" s="2">
        <v>38</v>
      </c>
      <c r="E5034" s="2">
        <v>38</v>
      </c>
      <c r="F5034" s="2" t="s">
        <v>17059</v>
      </c>
      <c r="H5034" s="2" t="s">
        <v>17</v>
      </c>
      <c r="K5034" s="4" t="s">
        <v>17060</v>
      </c>
      <c r="L5034" s="4">
        <v>28034</v>
      </c>
      <c r="M5034" s="2" t="s">
        <v>85</v>
      </c>
      <c r="N5034" s="2" t="s">
        <v>86</v>
      </c>
    </row>
    <row r="5035" spans="1:14">
      <c r="A5035" s="2">
        <v>5034</v>
      </c>
      <c r="B5035" s="3" t="s">
        <v>17061</v>
      </c>
      <c r="C5035" s="2" t="s">
        <v>17062</v>
      </c>
      <c r="D5035" s="2">
        <v>38</v>
      </c>
      <c r="E5035" s="2">
        <v>38</v>
      </c>
      <c r="F5035" s="2" t="s">
        <v>17063</v>
      </c>
      <c r="H5035" s="2" t="s">
        <v>17</v>
      </c>
      <c r="K5035" s="4" t="s">
        <v>17064</v>
      </c>
      <c r="L5035" s="4">
        <v>29809</v>
      </c>
      <c r="M5035" s="2" t="s">
        <v>170</v>
      </c>
      <c r="N5035" s="2" t="s">
        <v>759</v>
      </c>
    </row>
    <row r="5036" spans="1:14">
      <c r="A5036" s="2">
        <v>5035</v>
      </c>
      <c r="B5036" s="3" t="s">
        <v>17065</v>
      </c>
      <c r="C5036" s="2" t="s">
        <v>17066</v>
      </c>
      <c r="D5036" s="2">
        <v>38</v>
      </c>
      <c r="E5036" s="2">
        <v>38</v>
      </c>
      <c r="F5036" s="2" t="s">
        <v>17067</v>
      </c>
      <c r="H5036" s="2" t="s">
        <v>17</v>
      </c>
      <c r="K5036" s="4">
        <v>3452</v>
      </c>
      <c r="L5036" s="4">
        <v>31019</v>
      </c>
      <c r="M5036" s="2" t="s">
        <v>198</v>
      </c>
      <c r="N5036" s="2" t="s">
        <v>15224</v>
      </c>
    </row>
    <row r="5037" spans="1:14">
      <c r="A5037" s="2">
        <v>5036</v>
      </c>
      <c r="B5037" s="3" t="s">
        <v>17068</v>
      </c>
      <c r="C5037" s="2" t="s">
        <v>17069</v>
      </c>
      <c r="D5037" s="2">
        <v>38</v>
      </c>
      <c r="E5037" s="2">
        <v>38</v>
      </c>
      <c r="F5037" s="2" t="s">
        <v>17070</v>
      </c>
      <c r="H5037" s="2" t="s">
        <v>17</v>
      </c>
      <c r="K5037" s="4">
        <v>3633</v>
      </c>
      <c r="L5037" s="4">
        <v>23298</v>
      </c>
      <c r="M5037" s="2" t="s">
        <v>66</v>
      </c>
      <c r="N5037" s="2" t="s">
        <v>71</v>
      </c>
    </row>
    <row r="5038" spans="1:14">
      <c r="A5038" s="2">
        <v>5037</v>
      </c>
      <c r="B5038" s="3" t="s">
        <v>17071</v>
      </c>
      <c r="C5038" s="2" t="s">
        <v>17072</v>
      </c>
      <c r="D5038" s="2">
        <v>38</v>
      </c>
      <c r="E5038" s="2">
        <v>38</v>
      </c>
      <c r="F5038" s="2" t="s">
        <v>17073</v>
      </c>
      <c r="H5038" s="2" t="s">
        <v>17</v>
      </c>
      <c r="K5038" s="4">
        <v>2373</v>
      </c>
      <c r="M5038" s="2" t="s">
        <v>66</v>
      </c>
      <c r="N5038" s="2" t="s">
        <v>1756</v>
      </c>
    </row>
    <row r="5039" spans="1:14">
      <c r="A5039" s="2">
        <v>5038</v>
      </c>
      <c r="B5039" s="3" t="s">
        <v>17074</v>
      </c>
      <c r="C5039" s="2" t="s">
        <v>17075</v>
      </c>
      <c r="D5039" s="2">
        <v>38</v>
      </c>
      <c r="E5039" s="2">
        <v>38</v>
      </c>
      <c r="F5039" s="2" t="s">
        <v>17076</v>
      </c>
      <c r="H5039" s="2" t="s">
        <v>17</v>
      </c>
      <c r="K5039" s="4">
        <v>5471</v>
      </c>
      <c r="L5039" s="4">
        <v>29184</v>
      </c>
    </row>
    <row r="5040" spans="1:14">
      <c r="A5040" s="2">
        <v>5039</v>
      </c>
      <c r="B5040" s="3" t="s">
        <v>17077</v>
      </c>
      <c r="C5040" s="2" t="s">
        <v>17078</v>
      </c>
      <c r="D5040" s="2">
        <v>38</v>
      </c>
      <c r="E5040" s="2">
        <v>38</v>
      </c>
      <c r="F5040" s="2" t="s">
        <v>17079</v>
      </c>
      <c r="H5040" s="2" t="s">
        <v>17</v>
      </c>
      <c r="K5040" s="4" t="s">
        <v>17080</v>
      </c>
      <c r="M5040" s="2" t="s">
        <v>146</v>
      </c>
      <c r="N5040" s="2" t="s">
        <v>147</v>
      </c>
    </row>
    <row r="5041" spans="1:14">
      <c r="A5041" s="2">
        <v>5040</v>
      </c>
      <c r="B5041" s="3" t="s">
        <v>17081</v>
      </c>
      <c r="C5041" s="2" t="s">
        <v>17082</v>
      </c>
      <c r="D5041" s="2">
        <v>31</v>
      </c>
      <c r="E5041" s="2">
        <v>38</v>
      </c>
      <c r="F5041" s="2" t="s">
        <v>17083</v>
      </c>
      <c r="H5041" s="2" t="s">
        <v>17</v>
      </c>
      <c r="K5041" s="4" t="s">
        <v>17084</v>
      </c>
      <c r="L5041" s="4">
        <v>19998</v>
      </c>
      <c r="M5041" s="2" t="s">
        <v>164</v>
      </c>
      <c r="N5041" s="2" t="s">
        <v>6729</v>
      </c>
    </row>
    <row r="5042" spans="1:14">
      <c r="A5042" s="2">
        <v>5041</v>
      </c>
      <c r="B5042" s="3" t="s">
        <v>17085</v>
      </c>
      <c r="C5042" s="2" t="s">
        <v>17086</v>
      </c>
      <c r="D5042" s="2">
        <v>38</v>
      </c>
      <c r="E5042" s="2">
        <v>38</v>
      </c>
      <c r="F5042" s="2" t="s">
        <v>17087</v>
      </c>
      <c r="H5042" s="2" t="s">
        <v>17</v>
      </c>
      <c r="L5042" s="4">
        <v>28424</v>
      </c>
      <c r="M5042" s="2" t="s">
        <v>40</v>
      </c>
      <c r="N5042" s="2" t="s">
        <v>41</v>
      </c>
    </row>
    <row r="5043" spans="1:14">
      <c r="A5043" s="2">
        <v>5042</v>
      </c>
      <c r="B5043" s="3" t="s">
        <v>17088</v>
      </c>
      <c r="C5043" s="2" t="s">
        <v>17089</v>
      </c>
      <c r="D5043" s="2">
        <v>38</v>
      </c>
      <c r="E5043" s="2">
        <v>38</v>
      </c>
      <c r="F5043" s="2" t="s">
        <v>17090</v>
      </c>
      <c r="H5043" s="2" t="s">
        <v>17</v>
      </c>
      <c r="K5043" s="4" t="s">
        <v>17091</v>
      </c>
      <c r="L5043" s="4">
        <v>28929</v>
      </c>
      <c r="M5043" s="2" t="s">
        <v>35</v>
      </c>
      <c r="N5043" s="2" t="s">
        <v>13044</v>
      </c>
    </row>
    <row r="5044" spans="1:14">
      <c r="A5044" s="2">
        <v>5043</v>
      </c>
      <c r="B5044" s="3" t="s">
        <v>17092</v>
      </c>
      <c r="C5044" s="2" t="s">
        <v>17093</v>
      </c>
      <c r="D5044" s="2">
        <v>38</v>
      </c>
      <c r="E5044" s="2">
        <v>38</v>
      </c>
      <c r="F5044" s="2" t="s">
        <v>17094</v>
      </c>
      <c r="H5044" s="2" t="s">
        <v>17</v>
      </c>
      <c r="K5044" s="4" t="s">
        <v>17095</v>
      </c>
      <c r="L5044" s="4">
        <v>23856</v>
      </c>
      <c r="M5044" s="2" t="s">
        <v>85</v>
      </c>
      <c r="N5044" s="2" t="s">
        <v>86</v>
      </c>
    </row>
    <row r="5045" spans="1:14">
      <c r="A5045" s="2">
        <v>5044</v>
      </c>
      <c r="B5045" s="3" t="s">
        <v>17096</v>
      </c>
      <c r="C5045" s="2" t="s">
        <v>17097</v>
      </c>
      <c r="D5045" s="2">
        <v>37</v>
      </c>
      <c r="E5045" s="2">
        <v>38</v>
      </c>
      <c r="F5045" s="2" t="s">
        <v>17098</v>
      </c>
      <c r="H5045" s="2" t="s">
        <v>17</v>
      </c>
      <c r="L5045" s="4">
        <v>21496</v>
      </c>
      <c r="M5045" s="2" t="s">
        <v>170</v>
      </c>
      <c r="N5045" s="2" t="s">
        <v>323</v>
      </c>
    </row>
    <row r="5046" spans="1:14">
      <c r="A5046" s="2">
        <v>5045</v>
      </c>
      <c r="B5046" s="3" t="s">
        <v>17099</v>
      </c>
      <c r="C5046" s="2" t="s">
        <v>17100</v>
      </c>
      <c r="D5046" s="2">
        <v>38</v>
      </c>
      <c r="E5046" s="2">
        <v>38</v>
      </c>
      <c r="F5046" s="2" t="s">
        <v>17101</v>
      </c>
      <c r="H5046" s="2" t="s">
        <v>17</v>
      </c>
      <c r="K5046" s="4">
        <v>2985</v>
      </c>
      <c r="L5046" s="4">
        <v>29709</v>
      </c>
      <c r="M5046" s="2" t="s">
        <v>85</v>
      </c>
      <c r="N5046" s="2" t="s">
        <v>86</v>
      </c>
    </row>
    <row r="5047" spans="1:14">
      <c r="A5047" s="2">
        <v>5046</v>
      </c>
      <c r="B5047" s="3" t="s">
        <v>17102</v>
      </c>
      <c r="C5047" s="2" t="s">
        <v>17103</v>
      </c>
      <c r="D5047" s="2">
        <v>38</v>
      </c>
      <c r="E5047" s="2">
        <v>38</v>
      </c>
      <c r="F5047" s="2" t="s">
        <v>17104</v>
      </c>
      <c r="H5047" s="2" t="s">
        <v>17</v>
      </c>
    </row>
    <row r="5048" spans="1:14">
      <c r="A5048" s="2">
        <v>5047</v>
      </c>
      <c r="B5048" s="3" t="s">
        <v>17105</v>
      </c>
      <c r="C5048" s="2" t="s">
        <v>17106</v>
      </c>
      <c r="D5048" s="2">
        <v>38</v>
      </c>
      <c r="E5048" s="2">
        <v>38</v>
      </c>
      <c r="F5048" s="2" t="s">
        <v>17107</v>
      </c>
      <c r="H5048" s="2" t="s">
        <v>17</v>
      </c>
      <c r="K5048" s="4">
        <v>2711</v>
      </c>
      <c r="L5048" s="4">
        <v>36279</v>
      </c>
      <c r="M5048" s="2" t="s">
        <v>66</v>
      </c>
      <c r="N5048" s="2" t="s">
        <v>1665</v>
      </c>
    </row>
    <row r="5049" spans="1:14">
      <c r="A5049" s="2">
        <v>5048</v>
      </c>
      <c r="B5049" s="3" t="s">
        <v>17108</v>
      </c>
      <c r="C5049" s="2" t="s">
        <v>17109</v>
      </c>
      <c r="D5049" s="2">
        <v>38</v>
      </c>
      <c r="E5049" s="2">
        <v>38</v>
      </c>
      <c r="F5049" s="2" t="s">
        <v>17110</v>
      </c>
      <c r="H5049" s="2" t="s">
        <v>17</v>
      </c>
      <c r="K5049" s="4" t="s">
        <v>17111</v>
      </c>
      <c r="L5049" s="4">
        <v>23365</v>
      </c>
      <c r="M5049" s="2" t="s">
        <v>170</v>
      </c>
      <c r="N5049" s="2" t="s">
        <v>323</v>
      </c>
    </row>
    <row r="5050" spans="1:14">
      <c r="A5050" s="2">
        <v>5049</v>
      </c>
      <c r="B5050" s="3" t="s">
        <v>17112</v>
      </c>
      <c r="C5050" s="2" t="s">
        <v>17113</v>
      </c>
      <c r="D5050" s="2">
        <v>38</v>
      </c>
      <c r="E5050" s="2">
        <v>38</v>
      </c>
      <c r="F5050" s="2" t="s">
        <v>17114</v>
      </c>
      <c r="H5050" s="2" t="s">
        <v>17</v>
      </c>
      <c r="K5050" s="4">
        <v>4782</v>
      </c>
      <c r="L5050" s="4">
        <v>34263</v>
      </c>
      <c r="M5050" s="2" t="s">
        <v>170</v>
      </c>
      <c r="N5050" s="2" t="s">
        <v>323</v>
      </c>
    </row>
    <row r="5051" spans="1:14">
      <c r="A5051" s="2">
        <v>5050</v>
      </c>
      <c r="B5051" s="3" t="s">
        <v>17115</v>
      </c>
      <c r="C5051" s="2" t="s">
        <v>17116</v>
      </c>
      <c r="D5051" s="2">
        <v>38</v>
      </c>
      <c r="E5051" s="2">
        <v>38</v>
      </c>
      <c r="F5051" s="2" t="s">
        <v>17117</v>
      </c>
      <c r="H5051" s="2" t="s">
        <v>17</v>
      </c>
      <c r="K5051" s="4" t="s">
        <v>17118</v>
      </c>
      <c r="L5051" s="4">
        <v>26416</v>
      </c>
      <c r="M5051" s="2" t="s">
        <v>35</v>
      </c>
      <c r="N5051" s="2" t="s">
        <v>2486</v>
      </c>
    </row>
    <row r="5052" spans="1:14">
      <c r="A5052" s="2">
        <v>5051</v>
      </c>
      <c r="B5052" s="3" t="s">
        <v>17119</v>
      </c>
      <c r="C5052" s="2" t="s">
        <v>17120</v>
      </c>
      <c r="D5052" s="2">
        <v>38</v>
      </c>
      <c r="E5052" s="2">
        <v>38</v>
      </c>
      <c r="F5052" s="2" t="s">
        <v>17121</v>
      </c>
      <c r="H5052" s="2" t="s">
        <v>17</v>
      </c>
      <c r="K5052" s="4" t="s">
        <v>17122</v>
      </c>
      <c r="L5052" s="4">
        <v>32048</v>
      </c>
      <c r="M5052" s="2" t="s">
        <v>146</v>
      </c>
    </row>
    <row r="5053" spans="1:14">
      <c r="A5053" s="2">
        <v>5052</v>
      </c>
      <c r="B5053" s="3" t="s">
        <v>17123</v>
      </c>
      <c r="C5053" s="2" t="s">
        <v>17124</v>
      </c>
      <c r="D5053" s="2">
        <v>38</v>
      </c>
      <c r="E5053" s="2">
        <v>38</v>
      </c>
      <c r="F5053" s="2" t="s">
        <v>17125</v>
      </c>
      <c r="H5053" s="2" t="s">
        <v>17</v>
      </c>
      <c r="K5053" s="4" t="s">
        <v>17126</v>
      </c>
      <c r="L5053" s="4">
        <v>25903</v>
      </c>
      <c r="M5053" s="2" t="s">
        <v>35</v>
      </c>
      <c r="N5053" s="2" t="s">
        <v>11818</v>
      </c>
    </row>
    <row r="5054" spans="1:14">
      <c r="A5054" s="2">
        <v>5053</v>
      </c>
      <c r="B5054" s="3" t="s">
        <v>17127</v>
      </c>
      <c r="C5054" s="2" t="s">
        <v>17128</v>
      </c>
      <c r="D5054" s="2">
        <v>36</v>
      </c>
      <c r="E5054" s="2">
        <v>38</v>
      </c>
      <c r="F5054" s="2" t="s">
        <v>17129</v>
      </c>
      <c r="H5054" s="2" t="s">
        <v>17</v>
      </c>
      <c r="K5054" s="4" t="s">
        <v>17130</v>
      </c>
      <c r="L5054" s="4">
        <v>26930</v>
      </c>
      <c r="M5054" s="2" t="s">
        <v>85</v>
      </c>
      <c r="N5054" s="2" t="s">
        <v>7960</v>
      </c>
    </row>
    <row r="5055" spans="1:14">
      <c r="A5055" s="2">
        <v>5054</v>
      </c>
      <c r="B5055" s="3" t="s">
        <v>17131</v>
      </c>
      <c r="C5055" s="2" t="s">
        <v>17132</v>
      </c>
      <c r="D5055" s="2">
        <v>38</v>
      </c>
      <c r="E5055" s="2">
        <v>38</v>
      </c>
      <c r="F5055" s="2" t="s">
        <v>17133</v>
      </c>
      <c r="H5055" s="2" t="s">
        <v>17</v>
      </c>
      <c r="K5055" s="4" t="s">
        <v>17134</v>
      </c>
      <c r="L5055" s="4">
        <v>25692</v>
      </c>
      <c r="M5055" s="2" t="s">
        <v>85</v>
      </c>
      <c r="N5055" s="2" t="s">
        <v>1254</v>
      </c>
    </row>
    <row r="5056" spans="1:14">
      <c r="A5056" s="2">
        <v>5055</v>
      </c>
      <c r="B5056" s="3" t="s">
        <v>17135</v>
      </c>
      <c r="C5056" s="2" t="s">
        <v>17136</v>
      </c>
      <c r="D5056" s="2">
        <v>38</v>
      </c>
      <c r="E5056" s="2">
        <v>38</v>
      </c>
      <c r="F5056" s="2" t="s">
        <v>17137</v>
      </c>
      <c r="H5056" s="2" t="s">
        <v>17</v>
      </c>
      <c r="L5056" s="4">
        <v>17808</v>
      </c>
    </row>
    <row r="5057" spans="1:14">
      <c r="A5057" s="2">
        <v>5056</v>
      </c>
      <c r="B5057" s="3" t="s">
        <v>17138</v>
      </c>
      <c r="C5057" s="2" t="s">
        <v>17139</v>
      </c>
      <c r="D5057" s="2">
        <v>38</v>
      </c>
      <c r="E5057" s="2">
        <v>38</v>
      </c>
      <c r="F5057" s="2" t="s">
        <v>17140</v>
      </c>
      <c r="H5057" s="2" t="s">
        <v>17</v>
      </c>
    </row>
    <row r="5058" spans="1:14">
      <c r="A5058" s="2">
        <v>5057</v>
      </c>
      <c r="B5058" s="3" t="s">
        <v>17141</v>
      </c>
      <c r="C5058" s="2" t="s">
        <v>17142</v>
      </c>
      <c r="D5058" s="2">
        <v>38</v>
      </c>
      <c r="E5058" s="2">
        <v>38</v>
      </c>
      <c r="F5058" s="2" t="s">
        <v>17143</v>
      </c>
      <c r="H5058" s="2" t="s">
        <v>17</v>
      </c>
      <c r="K5058" s="4" t="s">
        <v>17144</v>
      </c>
      <c r="M5058" s="2" t="s">
        <v>47</v>
      </c>
      <c r="N5058" s="2" t="s">
        <v>8947</v>
      </c>
    </row>
    <row r="5059" spans="1:14">
      <c r="A5059" s="2">
        <v>5058</v>
      </c>
      <c r="B5059" s="3" t="s">
        <v>17145</v>
      </c>
      <c r="C5059" s="2" t="s">
        <v>17146</v>
      </c>
      <c r="D5059" s="2">
        <v>38</v>
      </c>
      <c r="E5059" s="2">
        <v>38</v>
      </c>
      <c r="F5059" s="2" t="s">
        <v>17147</v>
      </c>
      <c r="H5059" s="2" t="s">
        <v>17</v>
      </c>
      <c r="K5059" s="4" t="s">
        <v>17148</v>
      </c>
      <c r="L5059" s="4">
        <v>22177</v>
      </c>
      <c r="M5059" s="2" t="s">
        <v>66</v>
      </c>
      <c r="N5059" s="2" t="s">
        <v>71</v>
      </c>
    </row>
    <row r="5060" spans="1:14">
      <c r="A5060" s="2">
        <v>5059</v>
      </c>
      <c r="B5060" s="3" t="s">
        <v>17149</v>
      </c>
      <c r="C5060" s="2" t="s">
        <v>17150</v>
      </c>
      <c r="D5060" s="2">
        <v>38</v>
      </c>
      <c r="E5060" s="2">
        <v>38</v>
      </c>
      <c r="F5060" s="2" t="s">
        <v>17151</v>
      </c>
      <c r="H5060" s="2" t="s">
        <v>17</v>
      </c>
      <c r="K5060" s="4" t="s">
        <v>15036</v>
      </c>
      <c r="L5060" s="4">
        <v>32404</v>
      </c>
      <c r="M5060" s="2" t="s">
        <v>40</v>
      </c>
      <c r="N5060" s="2" t="s">
        <v>2573</v>
      </c>
    </row>
    <row r="5061" spans="1:14">
      <c r="A5061" s="2">
        <v>5060</v>
      </c>
      <c r="B5061" s="3" t="s">
        <v>17152</v>
      </c>
      <c r="C5061" s="2" t="s">
        <v>17153</v>
      </c>
      <c r="D5061" s="2">
        <v>38</v>
      </c>
      <c r="E5061" s="2">
        <v>38</v>
      </c>
      <c r="F5061" s="2" t="s">
        <v>17154</v>
      </c>
      <c r="H5061" s="2" t="s">
        <v>17</v>
      </c>
      <c r="K5061" s="4" t="s">
        <v>17155</v>
      </c>
      <c r="L5061" s="4">
        <v>25479</v>
      </c>
      <c r="M5061" s="2" t="s">
        <v>85</v>
      </c>
      <c r="N5061" s="2" t="s">
        <v>1868</v>
      </c>
    </row>
    <row r="5062" spans="1:14">
      <c r="A5062" s="2">
        <v>5061</v>
      </c>
      <c r="B5062" s="3" t="s">
        <v>17156</v>
      </c>
      <c r="C5062" s="2" t="s">
        <v>17157</v>
      </c>
      <c r="D5062" s="2">
        <v>38</v>
      </c>
      <c r="E5062" s="2">
        <v>38</v>
      </c>
      <c r="F5062" s="2" t="s">
        <v>17158</v>
      </c>
      <c r="H5062" s="2" t="s">
        <v>17</v>
      </c>
      <c r="K5062" s="4" t="s">
        <v>17159</v>
      </c>
      <c r="L5062" s="4">
        <v>24054</v>
      </c>
      <c r="M5062" s="2" t="s">
        <v>66</v>
      </c>
      <c r="N5062" s="2" t="s">
        <v>71</v>
      </c>
    </row>
    <row r="5063" spans="1:14">
      <c r="A5063" s="2">
        <v>5062</v>
      </c>
      <c r="B5063" s="3" t="s">
        <v>17160</v>
      </c>
      <c r="C5063" s="2" t="s">
        <v>17161</v>
      </c>
      <c r="D5063" s="2">
        <v>38</v>
      </c>
      <c r="E5063" s="2">
        <v>38</v>
      </c>
      <c r="F5063" s="2" t="s">
        <v>17162</v>
      </c>
      <c r="H5063" s="2" t="s">
        <v>17</v>
      </c>
      <c r="K5063" s="4" t="s">
        <v>17163</v>
      </c>
      <c r="L5063" s="4">
        <v>24623</v>
      </c>
      <c r="M5063" s="2" t="s">
        <v>198</v>
      </c>
      <c r="N5063" s="2" t="s">
        <v>3671</v>
      </c>
    </row>
    <row r="5064" spans="1:14">
      <c r="A5064" s="2">
        <v>5063</v>
      </c>
      <c r="B5064" s="3" t="s">
        <v>17164</v>
      </c>
      <c r="C5064" s="2" t="s">
        <v>17165</v>
      </c>
      <c r="D5064" s="2">
        <v>38</v>
      </c>
      <c r="E5064" s="2">
        <v>38</v>
      </c>
      <c r="F5064" s="2" t="s">
        <v>17166</v>
      </c>
      <c r="H5064" s="2" t="s">
        <v>17</v>
      </c>
      <c r="K5064" s="4">
        <v>6524</v>
      </c>
      <c r="L5064" s="4">
        <v>23236</v>
      </c>
      <c r="M5064" s="2" t="s">
        <v>170</v>
      </c>
      <c r="N5064" s="2" t="s">
        <v>2157</v>
      </c>
    </row>
    <row r="5065" spans="1:14">
      <c r="A5065" s="2">
        <v>5064</v>
      </c>
      <c r="B5065" s="3" t="s">
        <v>17167</v>
      </c>
      <c r="C5065" s="2" t="s">
        <v>17168</v>
      </c>
      <c r="D5065" s="2">
        <v>38</v>
      </c>
      <c r="E5065" s="2">
        <v>38</v>
      </c>
      <c r="F5065" s="2" t="s">
        <v>17169</v>
      </c>
      <c r="H5065" s="2" t="s">
        <v>17</v>
      </c>
      <c r="K5065" s="4">
        <v>2871</v>
      </c>
      <c r="M5065" s="2" t="s">
        <v>336</v>
      </c>
      <c r="N5065" s="2" t="s">
        <v>3732</v>
      </c>
    </row>
    <row r="5066" spans="1:14">
      <c r="A5066" s="2">
        <v>5065</v>
      </c>
      <c r="B5066" s="3" t="s">
        <v>17170</v>
      </c>
      <c r="C5066" s="2" t="s">
        <v>17171</v>
      </c>
      <c r="D5066" s="2">
        <v>38</v>
      </c>
      <c r="E5066" s="2">
        <v>38</v>
      </c>
      <c r="F5066" s="2" t="s">
        <v>17172</v>
      </c>
      <c r="H5066" s="2" t="s">
        <v>17</v>
      </c>
      <c r="K5066" s="4">
        <v>75</v>
      </c>
      <c r="L5066" s="4">
        <v>31976</v>
      </c>
      <c r="M5066" s="2" t="s">
        <v>198</v>
      </c>
      <c r="N5066" s="2" t="s">
        <v>199</v>
      </c>
    </row>
    <row r="5067" spans="1:14">
      <c r="A5067" s="2">
        <v>5066</v>
      </c>
      <c r="B5067" s="3" t="s">
        <v>17173</v>
      </c>
      <c r="C5067" s="2" t="s">
        <v>17174</v>
      </c>
      <c r="D5067" s="2">
        <v>38</v>
      </c>
      <c r="E5067" s="2">
        <v>38</v>
      </c>
      <c r="F5067" s="2" t="s">
        <v>17175</v>
      </c>
      <c r="H5067" s="2" t="s">
        <v>17</v>
      </c>
      <c r="K5067" s="4">
        <v>1463</v>
      </c>
      <c r="L5067" s="4">
        <v>22167</v>
      </c>
      <c r="M5067" s="2" t="s">
        <v>40</v>
      </c>
      <c r="N5067" s="2" t="s">
        <v>41</v>
      </c>
    </row>
    <row r="5068" spans="1:14">
      <c r="A5068" s="2">
        <v>5067</v>
      </c>
      <c r="B5068" s="3" t="s">
        <v>17176</v>
      </c>
      <c r="C5068" s="2" t="s">
        <v>17177</v>
      </c>
      <c r="D5068" s="2">
        <v>38</v>
      </c>
      <c r="E5068" s="2">
        <v>38</v>
      </c>
      <c r="F5068" s="2" t="s">
        <v>17178</v>
      </c>
      <c r="H5068" s="2" t="s">
        <v>17</v>
      </c>
      <c r="K5068" s="4" t="s">
        <v>17179</v>
      </c>
      <c r="L5068" s="4">
        <v>24725</v>
      </c>
      <c r="M5068" s="2" t="s">
        <v>66</v>
      </c>
      <c r="N5068" s="2" t="s">
        <v>12230</v>
      </c>
    </row>
    <row r="5069" spans="1:14">
      <c r="A5069" s="2">
        <v>5068</v>
      </c>
      <c r="B5069" s="3" t="s">
        <v>17180</v>
      </c>
      <c r="C5069" s="2" t="s">
        <v>17181</v>
      </c>
      <c r="D5069" s="2">
        <v>38</v>
      </c>
      <c r="E5069" s="2">
        <v>38</v>
      </c>
      <c r="F5069" s="2" t="s">
        <v>17182</v>
      </c>
      <c r="H5069" s="2" t="s">
        <v>17</v>
      </c>
      <c r="K5069" s="4">
        <v>5615</v>
      </c>
      <c r="L5069" s="4">
        <v>39991</v>
      </c>
      <c r="M5069" s="2" t="s">
        <v>47</v>
      </c>
      <c r="N5069" s="2" t="s">
        <v>48</v>
      </c>
    </row>
    <row r="5070" spans="1:14">
      <c r="A5070" s="2">
        <v>5069</v>
      </c>
      <c r="B5070" s="3" t="s">
        <v>17183</v>
      </c>
      <c r="C5070" s="2" t="s">
        <v>17184</v>
      </c>
      <c r="D5070" s="2">
        <v>38</v>
      </c>
      <c r="E5070" s="2">
        <v>38</v>
      </c>
      <c r="F5070" s="2" t="s">
        <v>17185</v>
      </c>
      <c r="H5070" s="2" t="s">
        <v>17</v>
      </c>
      <c r="K5070" s="4" t="s">
        <v>17186</v>
      </c>
      <c r="L5070" s="4">
        <v>24968</v>
      </c>
      <c r="M5070" s="2" t="s">
        <v>85</v>
      </c>
      <c r="N5070" s="2" t="s">
        <v>1254</v>
      </c>
    </row>
    <row r="5071" spans="1:14">
      <c r="A5071" s="2">
        <v>5070</v>
      </c>
      <c r="B5071" s="3" t="s">
        <v>17187</v>
      </c>
      <c r="C5071" s="2" t="s">
        <v>17188</v>
      </c>
      <c r="D5071" s="2">
        <v>38</v>
      </c>
      <c r="E5071" s="2">
        <v>38</v>
      </c>
      <c r="F5071" s="2" t="s">
        <v>17189</v>
      </c>
      <c r="H5071" s="2" t="s">
        <v>17</v>
      </c>
      <c r="K5071" s="4" t="s">
        <v>17190</v>
      </c>
      <c r="L5071" s="4">
        <v>21579</v>
      </c>
      <c r="M5071" s="2" t="s">
        <v>154</v>
      </c>
      <c r="N5071" s="2" t="s">
        <v>208</v>
      </c>
    </row>
    <row r="5072" spans="1:14">
      <c r="A5072" s="2">
        <v>5071</v>
      </c>
      <c r="B5072" s="3" t="s">
        <v>17191</v>
      </c>
      <c r="C5072" s="2" t="s">
        <v>17192</v>
      </c>
      <c r="D5072" s="2">
        <v>27</v>
      </c>
      <c r="E5072" s="2">
        <v>38</v>
      </c>
      <c r="F5072" s="2" t="s">
        <v>17193</v>
      </c>
      <c r="H5072" s="2" t="s">
        <v>17</v>
      </c>
      <c r="K5072" s="4" t="s">
        <v>17194</v>
      </c>
      <c r="L5072" s="4">
        <v>18386</v>
      </c>
      <c r="M5072" s="2" t="s">
        <v>91</v>
      </c>
      <c r="N5072" s="2" t="s">
        <v>92</v>
      </c>
    </row>
    <row r="5073" spans="1:14">
      <c r="A5073" s="2">
        <v>5072</v>
      </c>
      <c r="B5073" s="3" t="s">
        <v>17195</v>
      </c>
      <c r="C5073" s="2" t="s">
        <v>17196</v>
      </c>
      <c r="D5073" s="2">
        <v>38</v>
      </c>
      <c r="E5073" s="2">
        <v>38</v>
      </c>
      <c r="F5073" s="2" t="s">
        <v>17197</v>
      </c>
      <c r="H5073" s="2" t="s">
        <v>17</v>
      </c>
      <c r="K5073" s="4">
        <v>438</v>
      </c>
      <c r="L5073" s="4">
        <v>30610</v>
      </c>
      <c r="M5073" s="2" t="s">
        <v>198</v>
      </c>
    </row>
    <row r="5074" spans="1:14">
      <c r="A5074" s="2">
        <v>5073</v>
      </c>
      <c r="B5074" s="3" t="s">
        <v>17198</v>
      </c>
      <c r="C5074" s="2" t="s">
        <v>17199</v>
      </c>
      <c r="D5074" s="2">
        <v>36</v>
      </c>
      <c r="E5074" s="2">
        <v>38</v>
      </c>
      <c r="F5074" s="2" t="s">
        <v>17200</v>
      </c>
      <c r="H5074" s="2" t="s">
        <v>17</v>
      </c>
      <c r="K5074" s="4" t="s">
        <v>17201</v>
      </c>
      <c r="L5074" s="4">
        <v>19576</v>
      </c>
      <c r="M5074" s="2" t="s">
        <v>47</v>
      </c>
      <c r="N5074" s="2" t="s">
        <v>3707</v>
      </c>
    </row>
    <row r="5075" spans="1:14">
      <c r="A5075" s="2">
        <v>5074</v>
      </c>
      <c r="B5075" s="3" t="s">
        <v>17202</v>
      </c>
      <c r="C5075" s="2" t="s">
        <v>17203</v>
      </c>
      <c r="D5075" s="2">
        <v>38</v>
      </c>
      <c r="E5075" s="2">
        <v>38</v>
      </c>
      <c r="F5075" s="2" t="s">
        <v>17204</v>
      </c>
      <c r="H5075" s="2" t="s">
        <v>17</v>
      </c>
      <c r="K5075" s="4" t="s">
        <v>17205</v>
      </c>
      <c r="L5075" s="4">
        <v>19820</v>
      </c>
      <c r="M5075" s="2" t="s">
        <v>40</v>
      </c>
      <c r="N5075" s="2" t="s">
        <v>41</v>
      </c>
    </row>
    <row r="5076" spans="1:14">
      <c r="A5076" s="2">
        <v>5075</v>
      </c>
      <c r="B5076" s="3" t="s">
        <v>17206</v>
      </c>
      <c r="C5076" s="2" t="s">
        <v>17207</v>
      </c>
      <c r="D5076" s="2">
        <v>38</v>
      </c>
      <c r="E5076" s="2">
        <v>38</v>
      </c>
      <c r="F5076" s="2" t="s">
        <v>17208</v>
      </c>
      <c r="H5076" s="2" t="s">
        <v>17</v>
      </c>
      <c r="K5076" s="4" t="s">
        <v>17209</v>
      </c>
      <c r="L5076" s="4">
        <v>24552</v>
      </c>
      <c r="M5076" s="2" t="s">
        <v>423</v>
      </c>
      <c r="N5076" s="2" t="s">
        <v>3488</v>
      </c>
    </row>
    <row r="5077" spans="1:14">
      <c r="A5077" s="2">
        <v>5076</v>
      </c>
      <c r="B5077" s="3" t="s">
        <v>17210</v>
      </c>
      <c r="C5077" s="2" t="s">
        <v>17211</v>
      </c>
      <c r="D5077" s="2">
        <v>38</v>
      </c>
      <c r="E5077" s="2">
        <v>38</v>
      </c>
      <c r="F5077" s="2" t="s">
        <v>17212</v>
      </c>
      <c r="H5077" s="2" t="s">
        <v>17</v>
      </c>
      <c r="K5077" s="4" t="s">
        <v>17213</v>
      </c>
      <c r="L5077" s="4">
        <v>27059</v>
      </c>
      <c r="M5077" s="2" t="s">
        <v>170</v>
      </c>
      <c r="N5077" s="2" t="s">
        <v>13799</v>
      </c>
    </row>
    <row r="5078" spans="1:14">
      <c r="A5078" s="2">
        <v>5077</v>
      </c>
      <c r="B5078" s="3" t="s">
        <v>17214</v>
      </c>
      <c r="C5078" s="2" t="s">
        <v>17215</v>
      </c>
      <c r="D5078" s="2">
        <v>38</v>
      </c>
      <c r="E5078" s="2">
        <v>38</v>
      </c>
      <c r="F5078" s="2" t="s">
        <v>17216</v>
      </c>
      <c r="H5078" s="2" t="s">
        <v>17</v>
      </c>
      <c r="K5078" s="4">
        <v>1087</v>
      </c>
      <c r="L5078" s="4">
        <v>28765</v>
      </c>
      <c r="M5078" s="2" t="s">
        <v>40</v>
      </c>
      <c r="N5078" s="2" t="s">
        <v>17217</v>
      </c>
    </row>
    <row r="5079" spans="1:14">
      <c r="A5079" s="2">
        <v>5078</v>
      </c>
      <c r="B5079" s="3" t="s">
        <v>17218</v>
      </c>
      <c r="C5079" s="2" t="s">
        <v>17219</v>
      </c>
      <c r="D5079" s="2">
        <v>38</v>
      </c>
      <c r="E5079" s="2">
        <v>38</v>
      </c>
      <c r="F5079" s="2" t="s">
        <v>17220</v>
      </c>
      <c r="H5079" s="2" t="s">
        <v>17</v>
      </c>
      <c r="K5079" s="4" t="s">
        <v>17122</v>
      </c>
      <c r="M5079" s="2" t="s">
        <v>66</v>
      </c>
      <c r="N5079" s="2" t="s">
        <v>730</v>
      </c>
    </row>
    <row r="5080" spans="1:14">
      <c r="A5080" s="2">
        <v>5079</v>
      </c>
      <c r="B5080" s="3" t="s">
        <v>17221</v>
      </c>
      <c r="C5080" s="2" t="s">
        <v>17222</v>
      </c>
      <c r="D5080" s="2">
        <v>38</v>
      </c>
      <c r="E5080" s="2">
        <v>38</v>
      </c>
      <c r="F5080" s="2" t="s">
        <v>17223</v>
      </c>
      <c r="H5080" s="2" t="s">
        <v>17</v>
      </c>
      <c r="K5080" s="4" t="s">
        <v>17224</v>
      </c>
      <c r="L5080" s="4">
        <v>25236</v>
      </c>
      <c r="M5080" s="2" t="s">
        <v>47</v>
      </c>
      <c r="N5080" s="2" t="s">
        <v>7150</v>
      </c>
    </row>
    <row r="5081" spans="1:14">
      <c r="A5081" s="2">
        <v>5080</v>
      </c>
      <c r="B5081" s="3" t="s">
        <v>17225</v>
      </c>
      <c r="C5081" s="2" t="s">
        <v>17226</v>
      </c>
      <c r="D5081" s="2">
        <v>38</v>
      </c>
      <c r="E5081" s="2">
        <v>38</v>
      </c>
      <c r="F5081" s="2" t="s">
        <v>17227</v>
      </c>
      <c r="H5081" s="2" t="s">
        <v>17</v>
      </c>
      <c r="K5081" s="4">
        <v>619</v>
      </c>
      <c r="M5081" s="2" t="s">
        <v>35</v>
      </c>
      <c r="N5081" s="2" t="s">
        <v>13044</v>
      </c>
    </row>
    <row r="5082" spans="1:14">
      <c r="A5082" s="2">
        <v>5081</v>
      </c>
      <c r="B5082" s="3" t="s">
        <v>17228</v>
      </c>
      <c r="C5082" s="2" t="s">
        <v>17229</v>
      </c>
      <c r="D5082" s="2">
        <v>38</v>
      </c>
      <c r="E5082" s="2">
        <v>38</v>
      </c>
      <c r="F5082" s="2" t="s">
        <v>17230</v>
      </c>
      <c r="H5082" s="2" t="s">
        <v>17</v>
      </c>
      <c r="K5082" s="4">
        <v>1021</v>
      </c>
      <c r="L5082" s="4">
        <v>27167</v>
      </c>
      <c r="M5082" s="2" t="s">
        <v>85</v>
      </c>
      <c r="N5082" s="2" t="s">
        <v>1868</v>
      </c>
    </row>
    <row r="5083" spans="1:14">
      <c r="A5083" s="2">
        <v>5082</v>
      </c>
      <c r="B5083" s="3" t="s">
        <v>17231</v>
      </c>
      <c r="C5083" s="2" t="s">
        <v>17232</v>
      </c>
      <c r="D5083" s="2">
        <v>38</v>
      </c>
      <c r="E5083" s="2">
        <v>38</v>
      </c>
      <c r="F5083" s="2" t="s">
        <v>17233</v>
      </c>
      <c r="H5083" s="2" t="s">
        <v>17</v>
      </c>
      <c r="K5083" s="4" t="s">
        <v>17234</v>
      </c>
      <c r="L5083" s="4">
        <v>31766</v>
      </c>
      <c r="M5083" s="2" t="s">
        <v>47</v>
      </c>
      <c r="N5083" s="2" t="s">
        <v>417</v>
      </c>
    </row>
    <row r="5084" spans="1:14">
      <c r="A5084" s="2">
        <v>5083</v>
      </c>
      <c r="B5084" s="3" t="s">
        <v>17235</v>
      </c>
      <c r="C5084" s="2" t="s">
        <v>17236</v>
      </c>
      <c r="D5084" s="2">
        <v>38</v>
      </c>
      <c r="E5084" s="2">
        <v>38</v>
      </c>
      <c r="F5084" s="2" t="s">
        <v>17237</v>
      </c>
      <c r="H5084" s="2" t="s">
        <v>17</v>
      </c>
      <c r="K5084" s="4">
        <v>4384</v>
      </c>
      <c r="L5084" s="4">
        <v>37403</v>
      </c>
      <c r="M5084" s="2" t="s">
        <v>164</v>
      </c>
      <c r="N5084" s="2" t="s">
        <v>165</v>
      </c>
    </row>
    <row r="5085" spans="1:14">
      <c r="A5085" s="2">
        <v>5084</v>
      </c>
      <c r="B5085" s="3" t="s">
        <v>17238</v>
      </c>
      <c r="C5085" s="2" t="s">
        <v>17239</v>
      </c>
      <c r="D5085" s="2">
        <v>38</v>
      </c>
      <c r="E5085" s="2">
        <v>38</v>
      </c>
      <c r="F5085" s="2" t="s">
        <v>17240</v>
      </c>
      <c r="H5085" s="2" t="s">
        <v>17</v>
      </c>
      <c r="K5085" s="4">
        <v>3038</v>
      </c>
      <c r="L5085" s="4">
        <v>27881</v>
      </c>
      <c r="M5085" s="2" t="s">
        <v>164</v>
      </c>
      <c r="N5085" s="2" t="s">
        <v>165</v>
      </c>
    </row>
    <row r="5086" spans="1:14">
      <c r="A5086" s="2">
        <v>5085</v>
      </c>
      <c r="B5086" s="3" t="s">
        <v>17241</v>
      </c>
      <c r="C5086" s="2" t="s">
        <v>7798</v>
      </c>
      <c r="D5086" s="2">
        <v>37</v>
      </c>
      <c r="E5086" s="2">
        <v>38</v>
      </c>
      <c r="F5086" s="2" t="s">
        <v>17242</v>
      </c>
      <c r="H5086" s="2" t="s">
        <v>17</v>
      </c>
      <c r="K5086" s="4" t="s">
        <v>17243</v>
      </c>
      <c r="L5086" s="4">
        <v>27260</v>
      </c>
      <c r="M5086" s="2" t="s">
        <v>85</v>
      </c>
      <c r="N5086" s="2" t="s">
        <v>86</v>
      </c>
    </row>
    <row r="5087" spans="1:14">
      <c r="A5087" s="2">
        <v>5086</v>
      </c>
      <c r="B5087" s="3" t="s">
        <v>17244</v>
      </c>
      <c r="C5087" s="2" t="s">
        <v>17245</v>
      </c>
      <c r="D5087" s="2">
        <v>28</v>
      </c>
      <c r="E5087" s="2">
        <v>38</v>
      </c>
      <c r="F5087" s="2" t="s">
        <v>17246</v>
      </c>
      <c r="H5087" s="2" t="s">
        <v>17</v>
      </c>
      <c r="K5087" s="4" t="s">
        <v>17247</v>
      </c>
      <c r="L5087" s="4">
        <v>23494</v>
      </c>
      <c r="M5087" s="2" t="s">
        <v>40</v>
      </c>
      <c r="N5087" s="2" t="s">
        <v>41</v>
      </c>
    </row>
    <row r="5088" spans="1:14">
      <c r="A5088" s="2">
        <v>5087</v>
      </c>
      <c r="B5088" s="3" t="s">
        <v>17248</v>
      </c>
      <c r="C5088" s="2" t="s">
        <v>17249</v>
      </c>
      <c r="D5088" s="2">
        <v>38</v>
      </c>
      <c r="E5088" s="2">
        <v>38</v>
      </c>
      <c r="F5088" s="2" t="s">
        <v>17250</v>
      </c>
      <c r="H5088" s="2" t="s">
        <v>17</v>
      </c>
      <c r="K5088" s="4" t="s">
        <v>17251</v>
      </c>
      <c r="L5088" s="4">
        <v>18062</v>
      </c>
      <c r="M5088" s="2" t="s">
        <v>35</v>
      </c>
      <c r="N5088" s="2" t="s">
        <v>10900</v>
      </c>
    </row>
    <row r="5089" spans="1:14">
      <c r="A5089" s="2">
        <v>5088</v>
      </c>
      <c r="B5089" s="3" t="s">
        <v>17252</v>
      </c>
      <c r="C5089" s="2" t="s">
        <v>17253</v>
      </c>
      <c r="D5089" s="2">
        <v>38</v>
      </c>
      <c r="E5089" s="2">
        <v>38</v>
      </c>
      <c r="F5089" s="2" t="s">
        <v>17254</v>
      </c>
      <c r="H5089" s="2" t="s">
        <v>17</v>
      </c>
      <c r="K5089" s="4">
        <v>1360</v>
      </c>
      <c r="L5089" s="4">
        <v>35815</v>
      </c>
      <c r="M5089" s="2" t="s">
        <v>140</v>
      </c>
      <c r="N5089" s="2" t="s">
        <v>5850</v>
      </c>
    </row>
    <row r="5090" spans="1:14">
      <c r="A5090" s="2">
        <v>5089</v>
      </c>
      <c r="B5090" s="3" t="s">
        <v>17255</v>
      </c>
      <c r="C5090" s="2" t="s">
        <v>17256</v>
      </c>
      <c r="D5090" s="2">
        <v>38</v>
      </c>
      <c r="E5090" s="2">
        <v>38</v>
      </c>
      <c r="F5090" s="2" t="s">
        <v>17257</v>
      </c>
      <c r="H5090" s="2" t="s">
        <v>17</v>
      </c>
      <c r="K5090" s="4">
        <v>4606</v>
      </c>
      <c r="L5090" s="4">
        <v>37109</v>
      </c>
      <c r="M5090" s="2" t="s">
        <v>40</v>
      </c>
      <c r="N5090" s="2" t="s">
        <v>1017</v>
      </c>
    </row>
    <row r="5091" spans="1:14">
      <c r="A5091" s="2">
        <v>5090</v>
      </c>
      <c r="B5091" s="3" t="s">
        <v>17258</v>
      </c>
      <c r="C5091" s="2" t="s">
        <v>17259</v>
      </c>
      <c r="D5091" s="2">
        <v>38</v>
      </c>
      <c r="E5091" s="2">
        <v>38</v>
      </c>
      <c r="F5091" s="2" t="s">
        <v>17260</v>
      </c>
      <c r="H5091" s="2" t="s">
        <v>17</v>
      </c>
      <c r="K5091" s="4">
        <v>3236</v>
      </c>
      <c r="L5091" s="4">
        <v>32146</v>
      </c>
      <c r="M5091" s="2" t="s">
        <v>47</v>
      </c>
      <c r="N5091" s="2" t="s">
        <v>691</v>
      </c>
    </row>
    <row r="5092" spans="1:14">
      <c r="A5092" s="2">
        <v>5091</v>
      </c>
      <c r="B5092" s="3" t="s">
        <v>17261</v>
      </c>
      <c r="C5092" s="2" t="s">
        <v>17262</v>
      </c>
      <c r="D5092" s="2">
        <v>38</v>
      </c>
      <c r="E5092" s="2">
        <v>38</v>
      </c>
      <c r="F5092" s="2" t="s">
        <v>17263</v>
      </c>
      <c r="H5092" s="2" t="s">
        <v>17</v>
      </c>
      <c r="K5092" s="4">
        <v>4163</v>
      </c>
      <c r="L5092" s="4">
        <v>34490</v>
      </c>
      <c r="M5092" s="2" t="s">
        <v>164</v>
      </c>
      <c r="N5092" s="2" t="s">
        <v>17264</v>
      </c>
    </row>
    <row r="5093" spans="1:14">
      <c r="A5093" s="2">
        <v>5092</v>
      </c>
      <c r="B5093" s="3" t="s">
        <v>17265</v>
      </c>
      <c r="C5093" s="2" t="s">
        <v>17266</v>
      </c>
      <c r="D5093" s="2">
        <v>36</v>
      </c>
      <c r="E5093" s="2">
        <v>38</v>
      </c>
      <c r="F5093" s="2" t="s">
        <v>17267</v>
      </c>
      <c r="H5093" s="2" t="s">
        <v>17</v>
      </c>
      <c r="K5093" s="4" t="s">
        <v>17268</v>
      </c>
      <c r="L5093" s="4">
        <v>23320</v>
      </c>
      <c r="M5093" s="2" t="s">
        <v>76</v>
      </c>
      <c r="N5093" s="2" t="s">
        <v>906</v>
      </c>
    </row>
    <row r="5094" spans="1:14">
      <c r="A5094" s="2">
        <v>5093</v>
      </c>
      <c r="B5094" s="3" t="s">
        <v>17269</v>
      </c>
      <c r="C5094" s="2" t="s">
        <v>17270</v>
      </c>
      <c r="D5094" s="2">
        <v>38</v>
      </c>
      <c r="E5094" s="2">
        <v>38</v>
      </c>
      <c r="F5094" s="2" t="s">
        <v>17271</v>
      </c>
      <c r="H5094" s="2" t="s">
        <v>17</v>
      </c>
      <c r="K5094" s="4">
        <v>3380</v>
      </c>
      <c r="L5094" s="4">
        <v>25396</v>
      </c>
      <c r="M5094" s="2" t="s">
        <v>170</v>
      </c>
      <c r="N5094" s="2" t="s">
        <v>171</v>
      </c>
    </row>
    <row r="5095" spans="1:14">
      <c r="A5095" s="2">
        <v>5094</v>
      </c>
      <c r="B5095" s="3" t="s">
        <v>17272</v>
      </c>
      <c r="C5095" s="2" t="s">
        <v>17273</v>
      </c>
      <c r="D5095" s="2">
        <v>38</v>
      </c>
      <c r="E5095" s="2">
        <v>38</v>
      </c>
      <c r="F5095" s="2" t="s">
        <v>17274</v>
      </c>
      <c r="H5095" s="2" t="s">
        <v>17</v>
      </c>
      <c r="K5095" s="4" t="s">
        <v>17275</v>
      </c>
      <c r="L5095" s="4">
        <v>27925</v>
      </c>
      <c r="M5095" s="2" t="s">
        <v>336</v>
      </c>
      <c r="N5095" s="2" t="s">
        <v>15795</v>
      </c>
    </row>
    <row r="5096" spans="1:14">
      <c r="A5096" s="2">
        <v>5095</v>
      </c>
      <c r="B5096" s="3" t="s">
        <v>17276</v>
      </c>
      <c r="C5096" s="2" t="s">
        <v>17277</v>
      </c>
      <c r="D5096" s="2">
        <v>38</v>
      </c>
      <c r="E5096" s="2">
        <v>38</v>
      </c>
      <c r="F5096" s="2" t="s">
        <v>17278</v>
      </c>
      <c r="H5096" s="2" t="s">
        <v>17</v>
      </c>
      <c r="K5096" s="4">
        <v>2043</v>
      </c>
      <c r="L5096" s="4">
        <v>37026</v>
      </c>
      <c r="M5096" s="2" t="s">
        <v>85</v>
      </c>
      <c r="N5096" s="2" t="s">
        <v>86</v>
      </c>
    </row>
    <row r="5097" spans="1:14">
      <c r="A5097" s="2">
        <v>5096</v>
      </c>
      <c r="B5097" s="3" t="s">
        <v>17279</v>
      </c>
      <c r="C5097" s="2" t="s">
        <v>17280</v>
      </c>
      <c r="D5097" s="2">
        <v>37</v>
      </c>
      <c r="E5097" s="2">
        <v>38</v>
      </c>
      <c r="F5097" s="2" t="s">
        <v>17281</v>
      </c>
      <c r="H5097" s="2" t="s">
        <v>17</v>
      </c>
      <c r="K5097" s="4">
        <v>986</v>
      </c>
      <c r="L5097" s="4">
        <v>27994</v>
      </c>
      <c r="M5097" s="2" t="s">
        <v>35</v>
      </c>
      <c r="N5097" s="2" t="s">
        <v>10783</v>
      </c>
    </row>
    <row r="5098" spans="1:14">
      <c r="A5098" s="2">
        <v>5097</v>
      </c>
      <c r="B5098" s="3" t="s">
        <v>17282</v>
      </c>
      <c r="C5098" s="2" t="s">
        <v>17283</v>
      </c>
      <c r="D5098" s="2">
        <v>38</v>
      </c>
      <c r="E5098" s="2">
        <v>38</v>
      </c>
      <c r="F5098" s="2" t="s">
        <v>17284</v>
      </c>
      <c r="H5098" s="2" t="s">
        <v>17</v>
      </c>
      <c r="K5098" s="4">
        <v>4404</v>
      </c>
      <c r="L5098" s="4">
        <v>38279</v>
      </c>
      <c r="M5098" s="2" t="s">
        <v>35</v>
      </c>
      <c r="N5098" s="2" t="s">
        <v>1462</v>
      </c>
    </row>
    <row r="5099" spans="1:14">
      <c r="A5099" s="2">
        <v>5098</v>
      </c>
      <c r="B5099" s="3" t="s">
        <v>17285</v>
      </c>
      <c r="C5099" s="2" t="s">
        <v>17286</v>
      </c>
      <c r="D5099" s="2">
        <v>38</v>
      </c>
      <c r="E5099" s="2">
        <v>38</v>
      </c>
      <c r="F5099" s="2" t="s">
        <v>17287</v>
      </c>
      <c r="H5099" s="2" t="s">
        <v>17</v>
      </c>
      <c r="K5099" s="4" t="s">
        <v>17288</v>
      </c>
      <c r="L5099" s="4">
        <v>18375</v>
      </c>
      <c r="M5099" s="2" t="s">
        <v>76</v>
      </c>
      <c r="N5099" s="2" t="s">
        <v>6506</v>
      </c>
    </row>
    <row r="5100" spans="1:14">
      <c r="A5100" s="2">
        <v>5099</v>
      </c>
      <c r="B5100" s="3" t="s">
        <v>17289</v>
      </c>
      <c r="C5100" s="2" t="s">
        <v>17290</v>
      </c>
      <c r="D5100" s="2">
        <v>38</v>
      </c>
      <c r="E5100" s="2">
        <v>38</v>
      </c>
      <c r="F5100" s="2" t="s">
        <v>17291</v>
      </c>
      <c r="H5100" s="2" t="s">
        <v>17</v>
      </c>
      <c r="K5100" s="4">
        <v>471</v>
      </c>
      <c r="L5100" s="4">
        <v>18507</v>
      </c>
      <c r="M5100" s="2" t="s">
        <v>40</v>
      </c>
      <c r="N5100" s="2" t="s">
        <v>1381</v>
      </c>
    </row>
    <row r="5101" spans="1:14">
      <c r="A5101" s="2">
        <v>5100</v>
      </c>
      <c r="B5101" s="3" t="s">
        <v>17292</v>
      </c>
      <c r="C5101" s="2" t="s">
        <v>17293</v>
      </c>
      <c r="D5101" s="2">
        <v>38</v>
      </c>
      <c r="E5101" s="2">
        <v>38</v>
      </c>
      <c r="F5101" s="2" t="s">
        <v>17294</v>
      </c>
      <c r="H5101" s="2" t="s">
        <v>17</v>
      </c>
      <c r="K5101" s="4" t="s">
        <v>17295</v>
      </c>
      <c r="L5101" s="4">
        <v>19670</v>
      </c>
      <c r="M5101" s="2" t="s">
        <v>30</v>
      </c>
      <c r="N5101" s="2" t="s">
        <v>31</v>
      </c>
    </row>
    <row r="5102" spans="1:14">
      <c r="A5102" s="2">
        <v>5101</v>
      </c>
      <c r="B5102" s="3" t="s">
        <v>17296</v>
      </c>
      <c r="C5102" s="2" t="s">
        <v>13177</v>
      </c>
      <c r="D5102" s="2">
        <v>38</v>
      </c>
      <c r="E5102" s="2">
        <v>38</v>
      </c>
      <c r="F5102" s="2" t="s">
        <v>17297</v>
      </c>
      <c r="H5102" s="2" t="s">
        <v>17</v>
      </c>
      <c r="K5102" s="4">
        <v>587</v>
      </c>
      <c r="L5102" s="4">
        <v>17863</v>
      </c>
      <c r="M5102" s="2" t="s">
        <v>198</v>
      </c>
    </row>
    <row r="5103" spans="1:14">
      <c r="A5103" s="2">
        <v>5102</v>
      </c>
      <c r="B5103" s="3" t="s">
        <v>17298</v>
      </c>
      <c r="C5103" s="2" t="s">
        <v>17299</v>
      </c>
      <c r="D5103" s="2">
        <v>38</v>
      </c>
      <c r="E5103" s="2">
        <v>38</v>
      </c>
      <c r="F5103" s="2" t="s">
        <v>17300</v>
      </c>
      <c r="H5103" s="2" t="s">
        <v>17</v>
      </c>
      <c r="K5103" s="4" t="s">
        <v>17301</v>
      </c>
      <c r="L5103" s="4">
        <v>22649</v>
      </c>
      <c r="M5103" s="2" t="s">
        <v>35</v>
      </c>
      <c r="N5103" s="2" t="s">
        <v>9672</v>
      </c>
    </row>
    <row r="5104" spans="1:14">
      <c r="A5104" s="2">
        <v>5103</v>
      </c>
      <c r="B5104" s="3" t="s">
        <v>17302</v>
      </c>
      <c r="C5104" s="2" t="s">
        <v>14653</v>
      </c>
      <c r="D5104" s="2">
        <v>36</v>
      </c>
      <c r="E5104" s="2">
        <v>38</v>
      </c>
      <c r="F5104" s="2" t="s">
        <v>17303</v>
      </c>
      <c r="H5104" s="2" t="s">
        <v>17</v>
      </c>
      <c r="K5104" s="4" t="s">
        <v>17304</v>
      </c>
      <c r="L5104" s="4">
        <v>21449</v>
      </c>
      <c r="M5104" s="2" t="s">
        <v>185</v>
      </c>
      <c r="N5104" s="2" t="s">
        <v>5014</v>
      </c>
    </row>
    <row r="5105" spans="1:14">
      <c r="A5105" s="2">
        <v>5104</v>
      </c>
      <c r="B5105" s="3" t="s">
        <v>17305</v>
      </c>
      <c r="C5105" s="2" t="s">
        <v>17306</v>
      </c>
      <c r="D5105" s="2">
        <v>38</v>
      </c>
      <c r="E5105" s="2">
        <v>38</v>
      </c>
      <c r="F5105" s="2" t="s">
        <v>17307</v>
      </c>
      <c r="H5105" s="2" t="s">
        <v>17</v>
      </c>
      <c r="K5105" s="4">
        <v>680</v>
      </c>
      <c r="L5105" s="4">
        <v>30145</v>
      </c>
      <c r="M5105" s="2" t="s">
        <v>35</v>
      </c>
      <c r="N5105" s="2" t="s">
        <v>2327</v>
      </c>
    </row>
    <row r="5106" spans="1:14">
      <c r="A5106" s="2">
        <v>5105</v>
      </c>
      <c r="B5106" s="3" t="s">
        <v>17308</v>
      </c>
      <c r="C5106" s="2" t="s">
        <v>17309</v>
      </c>
      <c r="D5106" s="2">
        <v>38</v>
      </c>
      <c r="E5106" s="2">
        <v>38</v>
      </c>
      <c r="F5106" s="2" t="s">
        <v>17310</v>
      </c>
      <c r="H5106" s="2" t="s">
        <v>17</v>
      </c>
      <c r="K5106" s="4">
        <v>385</v>
      </c>
      <c r="L5106" s="4">
        <v>17046</v>
      </c>
      <c r="M5106" s="2" t="s">
        <v>47</v>
      </c>
      <c r="N5106" s="2" t="s">
        <v>17311</v>
      </c>
    </row>
    <row r="5107" spans="1:14">
      <c r="A5107" s="2">
        <v>5106</v>
      </c>
      <c r="B5107" s="3" t="s">
        <v>17312</v>
      </c>
      <c r="C5107" s="2" t="s">
        <v>17313</v>
      </c>
      <c r="D5107" s="2">
        <v>38</v>
      </c>
      <c r="E5107" s="2">
        <v>38</v>
      </c>
      <c r="F5107" s="2" t="s">
        <v>17314</v>
      </c>
      <c r="H5107" s="2" t="s">
        <v>17</v>
      </c>
      <c r="K5107" s="4" t="s">
        <v>17315</v>
      </c>
      <c r="L5107" s="4">
        <v>20487</v>
      </c>
      <c r="M5107" s="2" t="s">
        <v>192</v>
      </c>
      <c r="N5107" s="2" t="s">
        <v>15041</v>
      </c>
    </row>
    <row r="5108" spans="1:14">
      <c r="A5108" s="2">
        <v>5107</v>
      </c>
      <c r="B5108" s="3" t="s">
        <v>17316</v>
      </c>
      <c r="C5108" s="2" t="s">
        <v>17317</v>
      </c>
      <c r="D5108" s="2">
        <v>31</v>
      </c>
      <c r="E5108" s="2">
        <v>38</v>
      </c>
      <c r="F5108" s="2" t="s">
        <v>17318</v>
      </c>
      <c r="H5108" s="2" t="s">
        <v>17</v>
      </c>
      <c r="K5108" s="4" t="s">
        <v>17319</v>
      </c>
      <c r="L5108" s="4">
        <v>18327</v>
      </c>
      <c r="M5108" s="2" t="s">
        <v>198</v>
      </c>
      <c r="N5108" s="2" t="s">
        <v>199</v>
      </c>
    </row>
    <row r="5109" spans="1:14">
      <c r="A5109" s="2">
        <v>5108</v>
      </c>
      <c r="B5109" s="3" t="s">
        <v>17320</v>
      </c>
      <c r="C5109" s="2" t="s">
        <v>17321</v>
      </c>
      <c r="D5109" s="2">
        <v>38</v>
      </c>
      <c r="E5109" s="2">
        <v>38</v>
      </c>
      <c r="F5109" s="2" t="s">
        <v>17322</v>
      </c>
      <c r="H5109" s="2" t="s">
        <v>17</v>
      </c>
      <c r="K5109" s="4" t="s">
        <v>17323</v>
      </c>
      <c r="L5109" s="4">
        <v>20059</v>
      </c>
    </row>
    <row r="5110" spans="1:14">
      <c r="A5110" s="2">
        <v>5109</v>
      </c>
      <c r="B5110" s="3" t="s">
        <v>17324</v>
      </c>
      <c r="C5110" s="2" t="s">
        <v>17325</v>
      </c>
      <c r="D5110" s="2">
        <v>30</v>
      </c>
      <c r="E5110" s="2">
        <v>38</v>
      </c>
      <c r="F5110" s="2" t="s">
        <v>17326</v>
      </c>
      <c r="H5110" s="2" t="s">
        <v>17</v>
      </c>
      <c r="K5110" s="4" t="s">
        <v>17327</v>
      </c>
      <c r="L5110" s="4">
        <v>23168</v>
      </c>
      <c r="M5110" s="2" t="s">
        <v>140</v>
      </c>
      <c r="N5110" s="2" t="s">
        <v>141</v>
      </c>
    </row>
    <row r="5111" spans="1:14">
      <c r="A5111" s="2">
        <v>5110</v>
      </c>
      <c r="B5111" s="3" t="s">
        <v>17328</v>
      </c>
      <c r="C5111" s="2" t="s">
        <v>17329</v>
      </c>
      <c r="D5111" s="2">
        <v>38</v>
      </c>
      <c r="E5111" s="2">
        <v>38</v>
      </c>
      <c r="F5111" s="2" t="s">
        <v>17330</v>
      </c>
      <c r="H5111" s="2" t="s">
        <v>17</v>
      </c>
      <c r="K5111" s="4">
        <v>4682</v>
      </c>
      <c r="L5111" s="4">
        <v>23270</v>
      </c>
      <c r="M5111" s="2" t="s">
        <v>170</v>
      </c>
      <c r="N5111" s="2" t="s">
        <v>1154</v>
      </c>
    </row>
    <row r="5112" spans="1:14">
      <c r="A5112" s="2">
        <v>5111</v>
      </c>
      <c r="B5112" s="3" t="s">
        <v>17331</v>
      </c>
      <c r="C5112" s="2" t="s">
        <v>17332</v>
      </c>
      <c r="D5112" s="2">
        <v>34</v>
      </c>
      <c r="E5112" s="2">
        <v>38</v>
      </c>
      <c r="F5112" s="2" t="s">
        <v>17333</v>
      </c>
      <c r="H5112" s="2" t="s">
        <v>17</v>
      </c>
      <c r="K5112" s="4" t="s">
        <v>17334</v>
      </c>
      <c r="L5112" s="4">
        <v>27531</v>
      </c>
      <c r="M5112" s="2" t="s">
        <v>47</v>
      </c>
      <c r="N5112" s="2" t="s">
        <v>17335</v>
      </c>
    </row>
    <row r="5113" spans="1:14">
      <c r="A5113" s="2">
        <v>5112</v>
      </c>
      <c r="B5113" s="3" t="s">
        <v>17336</v>
      </c>
      <c r="C5113" s="2" t="s">
        <v>17337</v>
      </c>
      <c r="D5113" s="2">
        <v>38</v>
      </c>
      <c r="E5113" s="2">
        <v>38</v>
      </c>
      <c r="F5113" s="2" t="s">
        <v>17338</v>
      </c>
      <c r="H5113" s="2" t="s">
        <v>17</v>
      </c>
      <c r="K5113" s="4" t="s">
        <v>17339</v>
      </c>
      <c r="L5113" s="4">
        <v>19641</v>
      </c>
      <c r="M5113" s="2" t="s">
        <v>47</v>
      </c>
      <c r="N5113" s="2" t="s">
        <v>17340</v>
      </c>
    </row>
    <row r="5114" spans="1:14">
      <c r="A5114" s="2">
        <v>5113</v>
      </c>
      <c r="B5114" s="3" t="s">
        <v>17341</v>
      </c>
      <c r="C5114" s="2" t="s">
        <v>17342</v>
      </c>
      <c r="D5114" s="2">
        <v>38</v>
      </c>
      <c r="E5114" s="2">
        <v>38</v>
      </c>
      <c r="F5114" s="2" t="s">
        <v>17343</v>
      </c>
      <c r="H5114" s="2" t="s">
        <v>17</v>
      </c>
      <c r="K5114" s="4" t="s">
        <v>17344</v>
      </c>
      <c r="L5114" s="4">
        <v>32167</v>
      </c>
      <c r="M5114" s="2" t="s">
        <v>35</v>
      </c>
      <c r="N5114" s="2" t="s">
        <v>1462</v>
      </c>
    </row>
    <row r="5115" spans="1:14">
      <c r="A5115" s="2">
        <v>5114</v>
      </c>
      <c r="B5115" s="3" t="s">
        <v>17345</v>
      </c>
      <c r="C5115" s="2" t="s">
        <v>17346</v>
      </c>
      <c r="D5115" s="2">
        <v>38</v>
      </c>
      <c r="E5115" s="2">
        <v>38</v>
      </c>
      <c r="F5115" s="2" t="s">
        <v>17347</v>
      </c>
      <c r="H5115" s="2" t="s">
        <v>17</v>
      </c>
      <c r="K5115" s="4" t="s">
        <v>17348</v>
      </c>
      <c r="L5115" s="4">
        <v>21144</v>
      </c>
      <c r="M5115" s="2" t="s">
        <v>66</v>
      </c>
    </row>
    <row r="5116" spans="1:14">
      <c r="A5116" s="2">
        <v>5115</v>
      </c>
      <c r="B5116" s="3" t="s">
        <v>17349</v>
      </c>
      <c r="C5116" s="2" t="s">
        <v>17350</v>
      </c>
      <c r="D5116" s="2">
        <v>32</v>
      </c>
      <c r="E5116" s="2">
        <v>38</v>
      </c>
      <c r="F5116" s="2" t="s">
        <v>17351</v>
      </c>
      <c r="H5116" s="2" t="s">
        <v>17</v>
      </c>
      <c r="K5116" s="4" t="s">
        <v>17352</v>
      </c>
      <c r="L5116" s="4">
        <v>25174</v>
      </c>
      <c r="M5116" s="2" t="s">
        <v>35</v>
      </c>
      <c r="N5116" s="2" t="s">
        <v>10783</v>
      </c>
    </row>
    <row r="5117" spans="1:14">
      <c r="A5117" s="2">
        <v>5116</v>
      </c>
      <c r="B5117" s="3" t="s">
        <v>17353</v>
      </c>
      <c r="C5117" s="2" t="s">
        <v>17354</v>
      </c>
      <c r="D5117" s="2">
        <v>38</v>
      </c>
      <c r="E5117" s="2">
        <v>38</v>
      </c>
      <c r="F5117" s="2" t="s">
        <v>17355</v>
      </c>
      <c r="H5117" s="2" t="s">
        <v>17</v>
      </c>
      <c r="K5117" s="4" t="s">
        <v>17356</v>
      </c>
      <c r="L5117" s="4">
        <v>29170</v>
      </c>
      <c r="M5117" s="2" t="s">
        <v>47</v>
      </c>
      <c r="N5117" s="2" t="s">
        <v>17357</v>
      </c>
    </row>
    <row r="5118" spans="1:14">
      <c r="A5118" s="2">
        <v>5117</v>
      </c>
      <c r="B5118" s="3" t="s">
        <v>17358</v>
      </c>
      <c r="C5118" s="2" t="s">
        <v>17359</v>
      </c>
      <c r="D5118" s="2">
        <v>34</v>
      </c>
      <c r="E5118" s="2">
        <v>38</v>
      </c>
      <c r="F5118" s="2" t="s">
        <v>17360</v>
      </c>
      <c r="H5118" s="2" t="s">
        <v>17</v>
      </c>
      <c r="K5118" s="4" t="s">
        <v>17361</v>
      </c>
      <c r="L5118" s="4">
        <v>20190</v>
      </c>
      <c r="M5118" s="2" t="s">
        <v>170</v>
      </c>
      <c r="N5118" s="2" t="s">
        <v>323</v>
      </c>
    </row>
    <row r="5119" spans="1:14">
      <c r="A5119" s="2">
        <v>5118</v>
      </c>
      <c r="B5119" s="3" t="s">
        <v>17362</v>
      </c>
      <c r="C5119" s="2" t="s">
        <v>17363</v>
      </c>
      <c r="D5119" s="2">
        <v>38</v>
      </c>
      <c r="E5119" s="2">
        <v>38</v>
      </c>
      <c r="F5119" s="2" t="s">
        <v>17364</v>
      </c>
      <c r="H5119" s="2" t="s">
        <v>17</v>
      </c>
      <c r="K5119" s="4" t="s">
        <v>17365</v>
      </c>
      <c r="L5119" s="4">
        <v>26491</v>
      </c>
      <c r="M5119" s="2" t="s">
        <v>18</v>
      </c>
      <c r="N5119" s="2" t="s">
        <v>19</v>
      </c>
    </row>
    <row r="5120" spans="1:14">
      <c r="A5120" s="2">
        <v>5119</v>
      </c>
      <c r="B5120" s="3" t="s">
        <v>17366</v>
      </c>
      <c r="C5120" s="2" t="s">
        <v>17367</v>
      </c>
      <c r="D5120" s="2">
        <v>38</v>
      </c>
      <c r="E5120" s="2">
        <v>38</v>
      </c>
      <c r="F5120" s="2" t="s">
        <v>17368</v>
      </c>
      <c r="H5120" s="2" t="s">
        <v>17</v>
      </c>
      <c r="K5120" s="4">
        <v>3137</v>
      </c>
      <c r="M5120" s="2" t="s">
        <v>47</v>
      </c>
      <c r="N5120" s="2" t="s">
        <v>48</v>
      </c>
    </row>
    <row r="5121" spans="1:14">
      <c r="A5121" s="2">
        <v>5120</v>
      </c>
      <c r="B5121" s="3" t="s">
        <v>17369</v>
      </c>
      <c r="C5121" s="2" t="s">
        <v>17370</v>
      </c>
      <c r="D5121" s="2">
        <v>38</v>
      </c>
      <c r="E5121" s="2">
        <v>38</v>
      </c>
      <c r="F5121" s="2" t="s">
        <v>17371</v>
      </c>
      <c r="H5121" s="2" t="s">
        <v>17</v>
      </c>
      <c r="K5121" s="4">
        <v>4659</v>
      </c>
      <c r="L5121" s="4">
        <v>26999</v>
      </c>
      <c r="M5121" s="2" t="s">
        <v>40</v>
      </c>
      <c r="N5121" s="2" t="s">
        <v>41</v>
      </c>
    </row>
    <row r="5122" spans="1:14">
      <c r="A5122" s="2">
        <v>5121</v>
      </c>
      <c r="B5122" s="3" t="s">
        <v>17372</v>
      </c>
      <c r="C5122" s="2" t="s">
        <v>17373</v>
      </c>
      <c r="D5122" s="2">
        <v>38</v>
      </c>
      <c r="E5122" s="2">
        <v>38</v>
      </c>
      <c r="F5122" s="2" t="s">
        <v>17374</v>
      </c>
      <c r="H5122" s="2" t="s">
        <v>17</v>
      </c>
      <c r="K5122" s="4" t="s">
        <v>17375</v>
      </c>
      <c r="L5122" s="4">
        <v>26115</v>
      </c>
      <c r="M5122" s="2" t="s">
        <v>66</v>
      </c>
      <c r="N5122" s="2" t="s">
        <v>6076</v>
      </c>
    </row>
    <row r="5123" spans="1:14">
      <c r="A5123" s="2">
        <v>5122</v>
      </c>
      <c r="B5123" s="3" t="s">
        <v>17376</v>
      </c>
      <c r="C5123" s="2" t="s">
        <v>17377</v>
      </c>
      <c r="D5123" s="2">
        <v>38</v>
      </c>
      <c r="E5123" s="2">
        <v>38</v>
      </c>
      <c r="F5123" s="2" t="s">
        <v>17378</v>
      </c>
      <c r="H5123" s="2" t="s">
        <v>17</v>
      </c>
      <c r="K5123" s="4" t="s">
        <v>17379</v>
      </c>
      <c r="L5123" s="4">
        <v>27273</v>
      </c>
      <c r="M5123" s="2" t="s">
        <v>35</v>
      </c>
      <c r="N5123" s="2" t="s">
        <v>703</v>
      </c>
    </row>
    <row r="5124" spans="1:14">
      <c r="A5124" s="2">
        <v>5123</v>
      </c>
      <c r="B5124" s="3" t="s">
        <v>17380</v>
      </c>
      <c r="C5124" s="2" t="s">
        <v>17381</v>
      </c>
      <c r="D5124" s="2">
        <v>38</v>
      </c>
      <c r="E5124" s="2">
        <v>38</v>
      </c>
      <c r="F5124" s="2" t="s">
        <v>17382</v>
      </c>
      <c r="H5124" s="2" t="s">
        <v>17</v>
      </c>
      <c r="K5124" s="4">
        <v>1546</v>
      </c>
      <c r="M5124" s="2" t="s">
        <v>40</v>
      </c>
    </row>
    <row r="5125" spans="1:14">
      <c r="A5125" s="2">
        <v>5124</v>
      </c>
      <c r="B5125" s="3" t="s">
        <v>17383</v>
      </c>
      <c r="C5125" s="2" t="s">
        <v>17384</v>
      </c>
      <c r="D5125" s="2">
        <v>36</v>
      </c>
      <c r="E5125" s="2">
        <v>38</v>
      </c>
      <c r="F5125" s="2" t="s">
        <v>17385</v>
      </c>
      <c r="H5125" s="2" t="s">
        <v>17</v>
      </c>
      <c r="K5125" s="4" t="s">
        <v>17386</v>
      </c>
      <c r="L5125" s="4">
        <v>25942</v>
      </c>
      <c r="M5125" s="2" t="s">
        <v>47</v>
      </c>
      <c r="N5125" s="2" t="s">
        <v>48</v>
      </c>
    </row>
    <row r="5126" spans="1:14">
      <c r="A5126" s="2">
        <v>5125</v>
      </c>
      <c r="B5126" s="3" t="s">
        <v>17387</v>
      </c>
      <c r="C5126" s="2" t="s">
        <v>17388</v>
      </c>
      <c r="D5126" s="2">
        <v>36</v>
      </c>
      <c r="E5126" s="2">
        <v>38</v>
      </c>
      <c r="F5126" s="2" t="s">
        <v>17389</v>
      </c>
      <c r="H5126" s="2" t="s">
        <v>17</v>
      </c>
      <c r="K5126" s="4">
        <v>2398</v>
      </c>
      <c r="L5126" s="4">
        <v>32399</v>
      </c>
      <c r="M5126" s="2" t="s">
        <v>164</v>
      </c>
      <c r="N5126" s="2" t="s">
        <v>165</v>
      </c>
    </row>
    <row r="5127" spans="1:14">
      <c r="A5127" s="2">
        <v>5126</v>
      </c>
      <c r="B5127" s="3" t="s">
        <v>17390</v>
      </c>
      <c r="C5127" s="2" t="s">
        <v>17391</v>
      </c>
      <c r="D5127" s="2">
        <v>38</v>
      </c>
      <c r="E5127" s="2">
        <v>38</v>
      </c>
      <c r="F5127" s="2" t="s">
        <v>17392</v>
      </c>
      <c r="H5127" s="2" t="s">
        <v>17</v>
      </c>
      <c r="K5127" s="4">
        <v>4568</v>
      </c>
      <c r="L5127" s="4">
        <v>34599</v>
      </c>
      <c r="M5127" s="2" t="s">
        <v>154</v>
      </c>
      <c r="N5127" s="2" t="s">
        <v>208</v>
      </c>
    </row>
    <row r="5128" spans="1:14">
      <c r="A5128" s="2">
        <v>5127</v>
      </c>
      <c r="B5128" s="3" t="s">
        <v>17393</v>
      </c>
      <c r="C5128" s="2" t="s">
        <v>17394</v>
      </c>
      <c r="D5128" s="2">
        <v>35</v>
      </c>
      <c r="E5128" s="2">
        <v>38</v>
      </c>
      <c r="F5128" s="2" t="s">
        <v>17395</v>
      </c>
      <c r="H5128" s="2" t="s">
        <v>17</v>
      </c>
      <c r="K5128" s="4" t="s">
        <v>17396</v>
      </c>
      <c r="L5128" s="4">
        <v>20530</v>
      </c>
      <c r="M5128" s="2" t="s">
        <v>66</v>
      </c>
      <c r="N5128" s="2" t="s">
        <v>1561</v>
      </c>
    </row>
    <row r="5129" spans="1:14">
      <c r="A5129" s="2">
        <v>5128</v>
      </c>
      <c r="B5129" s="3" t="s">
        <v>17397</v>
      </c>
      <c r="C5129" s="2" t="s">
        <v>17398</v>
      </c>
      <c r="D5129" s="2">
        <v>38</v>
      </c>
      <c r="E5129" s="2">
        <v>38</v>
      </c>
      <c r="F5129" s="2" t="s">
        <v>17399</v>
      </c>
      <c r="H5129" s="2" t="s">
        <v>17</v>
      </c>
      <c r="K5129" s="4">
        <v>3311</v>
      </c>
      <c r="L5129" s="4">
        <v>37202</v>
      </c>
      <c r="M5129" s="2" t="s">
        <v>47</v>
      </c>
      <c r="N5129" s="2" t="s">
        <v>48</v>
      </c>
    </row>
    <row r="5130" spans="1:14">
      <c r="A5130" s="2">
        <v>5129</v>
      </c>
      <c r="B5130" s="3" t="s">
        <v>17400</v>
      </c>
      <c r="C5130" s="2" t="s">
        <v>17401</v>
      </c>
      <c r="D5130" s="2">
        <v>38</v>
      </c>
      <c r="E5130" s="2">
        <v>38</v>
      </c>
      <c r="F5130" s="2" t="s">
        <v>17402</v>
      </c>
      <c r="H5130" s="2" t="s">
        <v>17</v>
      </c>
      <c r="K5130" s="4">
        <v>3649</v>
      </c>
      <c r="L5130" s="4">
        <v>33460</v>
      </c>
      <c r="M5130" s="2" t="s">
        <v>30</v>
      </c>
      <c r="N5130" s="2" t="s">
        <v>31</v>
      </c>
    </row>
    <row r="5131" spans="1:14">
      <c r="A5131" s="2">
        <v>5130</v>
      </c>
      <c r="B5131" s="3" t="s">
        <v>17403</v>
      </c>
      <c r="C5131" s="2" t="s">
        <v>17404</v>
      </c>
      <c r="D5131" s="2">
        <v>37</v>
      </c>
      <c r="E5131" s="2">
        <v>38</v>
      </c>
      <c r="F5131" s="2" t="s">
        <v>17405</v>
      </c>
      <c r="H5131" s="2" t="s">
        <v>17</v>
      </c>
      <c r="K5131" s="4" t="s">
        <v>17406</v>
      </c>
      <c r="L5131" s="4">
        <v>18962</v>
      </c>
      <c r="M5131" s="2" t="s">
        <v>35</v>
      </c>
      <c r="N5131" s="2" t="s">
        <v>3885</v>
      </c>
    </row>
    <row r="5132" spans="1:14">
      <c r="A5132" s="2">
        <v>5131</v>
      </c>
      <c r="B5132" s="3" t="s">
        <v>17407</v>
      </c>
      <c r="C5132" s="2" t="s">
        <v>17408</v>
      </c>
      <c r="D5132" s="2">
        <v>38</v>
      </c>
      <c r="E5132" s="2">
        <v>38</v>
      </c>
      <c r="F5132" s="2" t="s">
        <v>17409</v>
      </c>
      <c r="H5132" s="2" t="s">
        <v>17</v>
      </c>
      <c r="K5132" s="4">
        <v>732</v>
      </c>
      <c r="L5132" s="4">
        <v>21374</v>
      </c>
      <c r="M5132" s="2" t="s">
        <v>185</v>
      </c>
      <c r="N5132" s="2" t="s">
        <v>3645</v>
      </c>
    </row>
    <row r="5133" spans="1:14">
      <c r="A5133" s="2">
        <v>5132</v>
      </c>
      <c r="B5133" s="3" t="s">
        <v>17410</v>
      </c>
      <c r="C5133" s="2" t="s">
        <v>17411</v>
      </c>
      <c r="D5133" s="2">
        <v>38</v>
      </c>
      <c r="E5133" s="2">
        <v>38</v>
      </c>
      <c r="F5133" s="2" t="s">
        <v>17412</v>
      </c>
      <c r="H5133" s="2" t="s">
        <v>17</v>
      </c>
      <c r="K5133" s="4">
        <v>853</v>
      </c>
      <c r="L5133" s="4">
        <v>30557</v>
      </c>
      <c r="M5133" s="2" t="s">
        <v>423</v>
      </c>
      <c r="N5133" s="2" t="s">
        <v>8765</v>
      </c>
    </row>
    <row r="5134" spans="1:14">
      <c r="A5134" s="2">
        <v>5133</v>
      </c>
      <c r="B5134" s="3" t="s">
        <v>17413</v>
      </c>
      <c r="C5134" s="2" t="s">
        <v>17414</v>
      </c>
      <c r="D5134" s="2">
        <v>38</v>
      </c>
      <c r="E5134" s="2">
        <v>38</v>
      </c>
      <c r="F5134" s="2" t="s">
        <v>17415</v>
      </c>
      <c r="H5134" s="2" t="s">
        <v>17</v>
      </c>
      <c r="K5134" s="4" t="s">
        <v>17416</v>
      </c>
      <c r="L5134" s="4">
        <v>29769</v>
      </c>
      <c r="M5134" s="2" t="s">
        <v>154</v>
      </c>
      <c r="N5134" s="2" t="s">
        <v>11054</v>
      </c>
    </row>
    <row r="5135" spans="1:14">
      <c r="A5135" s="2">
        <v>5134</v>
      </c>
      <c r="B5135" s="3" t="s">
        <v>17417</v>
      </c>
      <c r="C5135" s="2" t="s">
        <v>12440</v>
      </c>
      <c r="D5135" s="2">
        <v>37</v>
      </c>
      <c r="E5135" s="2">
        <v>38</v>
      </c>
      <c r="F5135" s="2" t="s">
        <v>17418</v>
      </c>
      <c r="H5135" s="2" t="s">
        <v>17</v>
      </c>
      <c r="K5135" s="4" t="s">
        <v>17419</v>
      </c>
      <c r="L5135" s="4">
        <v>29155</v>
      </c>
      <c r="M5135" s="2" t="s">
        <v>198</v>
      </c>
      <c r="N5135" s="2" t="s">
        <v>3557</v>
      </c>
    </row>
    <row r="5136" spans="1:14">
      <c r="A5136" s="2">
        <v>5135</v>
      </c>
      <c r="B5136" s="3" t="s">
        <v>17420</v>
      </c>
      <c r="C5136" s="2" t="s">
        <v>17421</v>
      </c>
      <c r="D5136" s="2">
        <v>38</v>
      </c>
      <c r="E5136" s="2">
        <v>38</v>
      </c>
      <c r="F5136" s="2" t="s">
        <v>17422</v>
      </c>
      <c r="H5136" s="2" t="s">
        <v>17</v>
      </c>
      <c r="K5136" s="4">
        <v>6791</v>
      </c>
      <c r="L5136" s="4">
        <v>34213</v>
      </c>
      <c r="M5136" s="2" t="s">
        <v>91</v>
      </c>
    </row>
    <row r="5137" spans="1:14">
      <c r="A5137" s="2">
        <v>5136</v>
      </c>
      <c r="B5137" s="3" t="s">
        <v>17423</v>
      </c>
      <c r="C5137" s="2" t="s">
        <v>17424</v>
      </c>
      <c r="D5137" s="2">
        <v>38</v>
      </c>
      <c r="E5137" s="2">
        <v>38</v>
      </c>
      <c r="F5137" s="2" t="s">
        <v>17425</v>
      </c>
      <c r="H5137" s="2" t="s">
        <v>17</v>
      </c>
      <c r="K5137" s="4" t="s">
        <v>17426</v>
      </c>
      <c r="L5137" s="4">
        <v>20475</v>
      </c>
      <c r="M5137" s="2" t="s">
        <v>85</v>
      </c>
      <c r="N5137" s="2" t="s">
        <v>86</v>
      </c>
    </row>
    <row r="5138" spans="1:14">
      <c r="A5138" s="2">
        <v>5137</v>
      </c>
      <c r="B5138" s="3" t="s">
        <v>17427</v>
      </c>
      <c r="C5138" s="2" t="s">
        <v>17428</v>
      </c>
      <c r="D5138" s="2">
        <v>38</v>
      </c>
      <c r="E5138" s="2">
        <v>38</v>
      </c>
      <c r="F5138" s="2" t="s">
        <v>17429</v>
      </c>
      <c r="H5138" s="2" t="s">
        <v>17</v>
      </c>
      <c r="K5138" s="4" t="s">
        <v>17430</v>
      </c>
      <c r="L5138" s="4">
        <v>26967</v>
      </c>
      <c r="M5138" s="2" t="s">
        <v>66</v>
      </c>
      <c r="N5138" s="2" t="s">
        <v>17431</v>
      </c>
    </row>
    <row r="5139" spans="1:14">
      <c r="A5139" s="2">
        <v>5138</v>
      </c>
      <c r="B5139" s="3" t="s">
        <v>17432</v>
      </c>
      <c r="C5139" s="2" t="s">
        <v>17433</v>
      </c>
      <c r="D5139" s="2">
        <v>38</v>
      </c>
      <c r="E5139" s="2">
        <v>38</v>
      </c>
      <c r="F5139" s="2" t="s">
        <v>17434</v>
      </c>
      <c r="H5139" s="2" t="s">
        <v>17</v>
      </c>
      <c r="K5139" s="4" t="s">
        <v>17435</v>
      </c>
      <c r="L5139" s="4">
        <v>18519</v>
      </c>
      <c r="M5139" s="2" t="s">
        <v>423</v>
      </c>
      <c r="N5139" s="2" t="s">
        <v>456</v>
      </c>
    </row>
    <row r="5140" spans="1:14">
      <c r="A5140" s="2">
        <v>5139</v>
      </c>
      <c r="B5140" s="3" t="s">
        <v>17436</v>
      </c>
      <c r="C5140" s="2" t="s">
        <v>17437</v>
      </c>
      <c r="D5140" s="2">
        <v>38</v>
      </c>
      <c r="E5140" s="2">
        <v>38</v>
      </c>
      <c r="F5140" s="2" t="s">
        <v>17438</v>
      </c>
      <c r="H5140" s="2" t="s">
        <v>17</v>
      </c>
      <c r="K5140" s="4">
        <v>145</v>
      </c>
      <c r="L5140" s="4">
        <v>25103</v>
      </c>
      <c r="M5140" s="2" t="s">
        <v>66</v>
      </c>
      <c r="N5140" s="2" t="s">
        <v>6179</v>
      </c>
    </row>
    <row r="5141" spans="1:14">
      <c r="A5141" s="2">
        <v>5140</v>
      </c>
      <c r="B5141" s="3" t="s">
        <v>17439</v>
      </c>
      <c r="C5141" s="2" t="s">
        <v>17440</v>
      </c>
      <c r="D5141" s="2">
        <v>34</v>
      </c>
      <c r="E5141" s="2">
        <v>38</v>
      </c>
      <c r="F5141" s="2" t="s">
        <v>17441</v>
      </c>
      <c r="H5141" s="2" t="s">
        <v>17</v>
      </c>
      <c r="K5141" s="4" t="s">
        <v>17442</v>
      </c>
      <c r="L5141" s="4">
        <v>18895</v>
      </c>
      <c r="M5141" s="2" t="s">
        <v>40</v>
      </c>
      <c r="N5141" s="2" t="s">
        <v>1528</v>
      </c>
    </row>
    <row r="5142" spans="1:14">
      <c r="A5142" s="2">
        <v>5141</v>
      </c>
      <c r="B5142" s="3" t="s">
        <v>17443</v>
      </c>
      <c r="C5142" s="2" t="s">
        <v>17444</v>
      </c>
      <c r="D5142" s="2">
        <v>38</v>
      </c>
      <c r="E5142" s="2">
        <v>38</v>
      </c>
      <c r="F5142" s="2" t="s">
        <v>17445</v>
      </c>
      <c r="H5142" s="2" t="s">
        <v>17</v>
      </c>
      <c r="K5142" s="4">
        <v>5782</v>
      </c>
      <c r="L5142" s="4">
        <v>35568</v>
      </c>
      <c r="M5142" s="2" t="s">
        <v>66</v>
      </c>
      <c r="N5142" s="2" t="s">
        <v>71</v>
      </c>
    </row>
    <row r="5143" spans="1:14">
      <c r="A5143" s="2">
        <v>5142</v>
      </c>
      <c r="B5143" s="3" t="s">
        <v>17446</v>
      </c>
      <c r="C5143" s="2" t="s">
        <v>11754</v>
      </c>
      <c r="D5143" s="2">
        <v>37</v>
      </c>
      <c r="E5143" s="2">
        <v>38</v>
      </c>
      <c r="F5143" s="2" t="s">
        <v>17447</v>
      </c>
      <c r="H5143" s="2" t="s">
        <v>17</v>
      </c>
      <c r="K5143" s="4" t="s">
        <v>17448</v>
      </c>
      <c r="L5143" s="4">
        <v>25505</v>
      </c>
      <c r="M5143" s="2" t="s">
        <v>47</v>
      </c>
      <c r="N5143" s="2" t="s">
        <v>48</v>
      </c>
    </row>
    <row r="5144" spans="1:14">
      <c r="A5144" s="2">
        <v>5143</v>
      </c>
      <c r="B5144" s="3" t="s">
        <v>17449</v>
      </c>
      <c r="C5144" s="2" t="s">
        <v>17450</v>
      </c>
      <c r="D5144" s="2">
        <v>36</v>
      </c>
      <c r="E5144" s="2">
        <v>38</v>
      </c>
      <c r="F5144" s="2" t="s">
        <v>17451</v>
      </c>
      <c r="H5144" s="2" t="s">
        <v>17</v>
      </c>
      <c r="K5144" s="4" t="s">
        <v>17452</v>
      </c>
      <c r="L5144" s="4">
        <v>23770</v>
      </c>
      <c r="M5144" s="2" t="s">
        <v>35</v>
      </c>
      <c r="N5144" s="2" t="s">
        <v>8588</v>
      </c>
    </row>
    <row r="5145" spans="1:14">
      <c r="A5145" s="2">
        <v>5144</v>
      </c>
      <c r="B5145" s="3" t="s">
        <v>17453</v>
      </c>
      <c r="C5145" s="2" t="s">
        <v>17454</v>
      </c>
      <c r="D5145" s="2">
        <v>38</v>
      </c>
      <c r="E5145" s="2">
        <v>38</v>
      </c>
      <c r="F5145" s="2" t="s">
        <v>17455</v>
      </c>
      <c r="H5145" s="2" t="s">
        <v>17</v>
      </c>
      <c r="K5145" s="4">
        <v>5015</v>
      </c>
      <c r="L5145" s="4">
        <v>28110</v>
      </c>
      <c r="M5145" s="2" t="s">
        <v>164</v>
      </c>
      <c r="N5145" s="2" t="s">
        <v>17456</v>
      </c>
    </row>
    <row r="5146" spans="1:14">
      <c r="A5146" s="2">
        <v>5145</v>
      </c>
      <c r="B5146" s="3" t="s">
        <v>17457</v>
      </c>
      <c r="C5146" s="2" t="s">
        <v>17458</v>
      </c>
      <c r="D5146" s="2">
        <v>36</v>
      </c>
      <c r="E5146" s="2">
        <v>38</v>
      </c>
      <c r="F5146" s="2" t="s">
        <v>17459</v>
      </c>
      <c r="H5146" s="2" t="s">
        <v>17</v>
      </c>
      <c r="K5146" s="4" t="s">
        <v>17460</v>
      </c>
      <c r="L5146" s="4">
        <v>29065</v>
      </c>
      <c r="M5146" s="2" t="s">
        <v>66</v>
      </c>
      <c r="N5146" s="2" t="s">
        <v>71</v>
      </c>
    </row>
    <row r="5147" spans="1:14">
      <c r="A5147" s="2">
        <v>5146</v>
      </c>
      <c r="B5147" s="3" t="s">
        <v>17461</v>
      </c>
      <c r="C5147" s="2" t="s">
        <v>17462</v>
      </c>
      <c r="D5147" s="2">
        <v>38</v>
      </c>
      <c r="E5147" s="2">
        <v>38</v>
      </c>
      <c r="F5147" s="2" t="s">
        <v>17463</v>
      </c>
      <c r="H5147" s="2" t="s">
        <v>17</v>
      </c>
      <c r="K5147" s="4" t="s">
        <v>17464</v>
      </c>
      <c r="M5147" s="2" t="s">
        <v>18</v>
      </c>
      <c r="N5147" s="2" t="s">
        <v>19</v>
      </c>
    </row>
    <row r="5148" spans="1:14">
      <c r="A5148" s="2">
        <v>5147</v>
      </c>
      <c r="B5148" s="3" t="s">
        <v>17465</v>
      </c>
      <c r="C5148" s="2" t="s">
        <v>17466</v>
      </c>
      <c r="D5148" s="2">
        <v>38</v>
      </c>
      <c r="E5148" s="2">
        <v>38</v>
      </c>
      <c r="F5148" s="2" t="s">
        <v>17467</v>
      </c>
      <c r="H5148" s="2" t="s">
        <v>17</v>
      </c>
      <c r="K5148" s="4" t="s">
        <v>17468</v>
      </c>
      <c r="L5148" s="4">
        <v>24763</v>
      </c>
      <c r="M5148" s="2" t="s">
        <v>35</v>
      </c>
      <c r="N5148" s="2" t="s">
        <v>1032</v>
      </c>
    </row>
    <row r="5149" spans="1:14">
      <c r="A5149" s="2">
        <v>5148</v>
      </c>
      <c r="B5149" s="3" t="s">
        <v>17469</v>
      </c>
      <c r="C5149" s="2" t="s">
        <v>12481</v>
      </c>
      <c r="D5149" s="2">
        <v>38</v>
      </c>
      <c r="E5149" s="2">
        <v>38</v>
      </c>
      <c r="F5149" s="2" t="s">
        <v>17470</v>
      </c>
      <c r="H5149" s="2" t="s">
        <v>17</v>
      </c>
      <c r="K5149" s="4">
        <v>2903</v>
      </c>
      <c r="L5149" s="4">
        <v>35721</v>
      </c>
      <c r="M5149" s="2" t="s">
        <v>154</v>
      </c>
      <c r="N5149" s="2" t="s">
        <v>155</v>
      </c>
    </row>
    <row r="5150" spans="1:14">
      <c r="A5150" s="2">
        <v>5149</v>
      </c>
      <c r="B5150" s="3" t="s">
        <v>17471</v>
      </c>
      <c r="C5150" s="2" t="s">
        <v>17472</v>
      </c>
      <c r="D5150" s="2">
        <v>38</v>
      </c>
      <c r="E5150" s="2">
        <v>38</v>
      </c>
      <c r="F5150" s="2" t="s">
        <v>17473</v>
      </c>
      <c r="H5150" s="2" t="s">
        <v>17</v>
      </c>
      <c r="K5150" s="4" t="s">
        <v>17474</v>
      </c>
      <c r="L5150" s="4">
        <v>21364</v>
      </c>
      <c r="M5150" s="2" t="s">
        <v>47</v>
      </c>
      <c r="N5150" s="2" t="s">
        <v>442</v>
      </c>
    </row>
    <row r="5151" spans="1:14">
      <c r="A5151" s="2">
        <v>5150</v>
      </c>
      <c r="B5151" s="3" t="s">
        <v>17475</v>
      </c>
      <c r="C5151" s="2" t="s">
        <v>17476</v>
      </c>
      <c r="D5151" s="2">
        <v>38</v>
      </c>
      <c r="E5151" s="2">
        <v>38</v>
      </c>
      <c r="F5151" s="2" t="s">
        <v>17477</v>
      </c>
      <c r="H5151" s="2" t="s">
        <v>17</v>
      </c>
      <c r="K5151" s="4">
        <v>4249</v>
      </c>
      <c r="L5151" s="4">
        <v>27622</v>
      </c>
      <c r="M5151" s="2" t="s">
        <v>85</v>
      </c>
      <c r="N5151" s="2" t="s">
        <v>86</v>
      </c>
    </row>
    <row r="5152" spans="1:14">
      <c r="A5152" s="2">
        <v>5151</v>
      </c>
      <c r="B5152" s="3" t="s">
        <v>17478</v>
      </c>
      <c r="C5152" s="2" t="s">
        <v>17479</v>
      </c>
      <c r="D5152" s="2">
        <v>38</v>
      </c>
      <c r="E5152" s="2">
        <v>38</v>
      </c>
      <c r="F5152" s="2" t="s">
        <v>17480</v>
      </c>
      <c r="H5152" s="2" t="s">
        <v>17</v>
      </c>
      <c r="K5152" s="4" t="s">
        <v>17481</v>
      </c>
      <c r="L5152" s="4">
        <v>20863</v>
      </c>
      <c r="M5152" s="2" t="s">
        <v>40</v>
      </c>
      <c r="N5152" s="2" t="s">
        <v>17482</v>
      </c>
    </row>
    <row r="5153" spans="1:14">
      <c r="A5153" s="2">
        <v>5152</v>
      </c>
      <c r="B5153" s="3" t="s">
        <v>17483</v>
      </c>
      <c r="C5153" s="2" t="s">
        <v>17484</v>
      </c>
      <c r="D5153" s="2">
        <v>38</v>
      </c>
      <c r="E5153" s="2">
        <v>38</v>
      </c>
      <c r="F5153" s="2" t="s">
        <v>17485</v>
      </c>
      <c r="H5153" s="2" t="s">
        <v>17</v>
      </c>
      <c r="K5153" s="4">
        <v>4078</v>
      </c>
      <c r="L5153" s="4">
        <v>35591</v>
      </c>
      <c r="M5153" s="2" t="s">
        <v>35</v>
      </c>
      <c r="N5153" s="2" t="s">
        <v>672</v>
      </c>
    </row>
    <row r="5154" spans="1:14">
      <c r="A5154" s="2">
        <v>5153</v>
      </c>
      <c r="B5154" s="3" t="s">
        <v>17486</v>
      </c>
      <c r="C5154" s="2" t="s">
        <v>17487</v>
      </c>
      <c r="D5154" s="2">
        <v>38</v>
      </c>
      <c r="E5154" s="2">
        <v>38</v>
      </c>
      <c r="F5154" s="2" t="s">
        <v>17488</v>
      </c>
      <c r="H5154" s="2" t="s">
        <v>17</v>
      </c>
      <c r="K5154" s="4" t="s">
        <v>17489</v>
      </c>
      <c r="L5154" s="4">
        <v>26513</v>
      </c>
      <c r="M5154" s="2" t="s">
        <v>423</v>
      </c>
      <c r="N5154" s="2" t="s">
        <v>3488</v>
      </c>
    </row>
    <row r="5155" spans="1:14">
      <c r="A5155" s="2">
        <v>5154</v>
      </c>
      <c r="B5155" s="3" t="s">
        <v>17490</v>
      </c>
      <c r="C5155" s="2" t="s">
        <v>17491</v>
      </c>
      <c r="D5155" s="2">
        <v>38</v>
      </c>
      <c r="E5155" s="2">
        <v>38</v>
      </c>
      <c r="F5155" s="2" t="s">
        <v>17492</v>
      </c>
      <c r="H5155" s="2" t="s">
        <v>17</v>
      </c>
      <c r="K5155" s="4" t="s">
        <v>17493</v>
      </c>
      <c r="L5155" s="4">
        <v>23638</v>
      </c>
      <c r="M5155" s="2" t="s">
        <v>170</v>
      </c>
      <c r="N5155" s="2" t="s">
        <v>323</v>
      </c>
    </row>
    <row r="5156" spans="1:14">
      <c r="A5156" s="2">
        <v>5155</v>
      </c>
      <c r="B5156" s="3" t="s">
        <v>17494</v>
      </c>
      <c r="C5156" s="2" t="s">
        <v>17495</v>
      </c>
      <c r="D5156" s="2">
        <v>35</v>
      </c>
      <c r="E5156" s="2">
        <v>38</v>
      </c>
      <c r="F5156" s="2" t="s">
        <v>17496</v>
      </c>
      <c r="H5156" s="2" t="s">
        <v>17</v>
      </c>
      <c r="K5156" s="4" t="s">
        <v>17497</v>
      </c>
      <c r="M5156" s="2" t="s">
        <v>35</v>
      </c>
      <c r="N5156" s="2" t="s">
        <v>17498</v>
      </c>
    </row>
    <row r="5157" spans="1:14">
      <c r="A5157" s="2">
        <v>5156</v>
      </c>
      <c r="B5157" s="3" t="s">
        <v>17499</v>
      </c>
      <c r="C5157" s="2" t="s">
        <v>17500</v>
      </c>
      <c r="D5157" s="2">
        <v>38</v>
      </c>
      <c r="E5157" s="2">
        <v>38</v>
      </c>
      <c r="F5157" s="2" t="s">
        <v>17501</v>
      </c>
      <c r="H5157" s="2" t="s">
        <v>17</v>
      </c>
      <c r="K5157" s="4">
        <v>1219</v>
      </c>
      <c r="L5157" s="4">
        <v>28736</v>
      </c>
      <c r="M5157" s="2" t="s">
        <v>423</v>
      </c>
      <c r="N5157" s="2" t="s">
        <v>10303</v>
      </c>
    </row>
    <row r="5158" spans="1:14">
      <c r="A5158" s="2">
        <v>5157</v>
      </c>
      <c r="B5158" s="3" t="s">
        <v>17502</v>
      </c>
      <c r="C5158" s="2" t="s">
        <v>17503</v>
      </c>
      <c r="D5158" s="2">
        <v>38</v>
      </c>
      <c r="E5158" s="2">
        <v>38</v>
      </c>
      <c r="F5158" s="2" t="s">
        <v>17504</v>
      </c>
      <c r="H5158" s="2" t="s">
        <v>17</v>
      </c>
      <c r="K5158" s="4" t="s">
        <v>17505</v>
      </c>
      <c r="L5158" s="4">
        <v>23491</v>
      </c>
      <c r="M5158" s="2" t="s">
        <v>170</v>
      </c>
      <c r="N5158" s="2" t="s">
        <v>3452</v>
      </c>
    </row>
    <row r="5159" spans="1:14">
      <c r="A5159" s="2">
        <v>5158</v>
      </c>
      <c r="B5159" s="3" t="s">
        <v>17506</v>
      </c>
      <c r="C5159" s="2" t="s">
        <v>17507</v>
      </c>
      <c r="D5159" s="2">
        <v>37</v>
      </c>
      <c r="E5159" s="2">
        <v>38</v>
      </c>
      <c r="F5159" s="2" t="s">
        <v>17508</v>
      </c>
      <c r="H5159" s="2" t="s">
        <v>17</v>
      </c>
      <c r="K5159" s="4" t="s">
        <v>17301</v>
      </c>
      <c r="L5159" s="4">
        <v>19133</v>
      </c>
      <c r="M5159" s="2" t="s">
        <v>47</v>
      </c>
      <c r="N5159" s="2" t="s">
        <v>17357</v>
      </c>
    </row>
    <row r="5160" spans="1:14">
      <c r="A5160" s="2">
        <v>5159</v>
      </c>
      <c r="B5160" s="3" t="s">
        <v>17509</v>
      </c>
      <c r="C5160" s="2" t="s">
        <v>17510</v>
      </c>
      <c r="D5160" s="2">
        <v>38</v>
      </c>
      <c r="E5160" s="2">
        <v>38</v>
      </c>
      <c r="F5160" s="2" t="s">
        <v>17511</v>
      </c>
      <c r="H5160" s="2" t="s">
        <v>17</v>
      </c>
      <c r="K5160" s="4" t="s">
        <v>17512</v>
      </c>
      <c r="L5160" s="4">
        <v>20938</v>
      </c>
      <c r="M5160" s="2" t="s">
        <v>30</v>
      </c>
      <c r="N5160" s="2" t="s">
        <v>31</v>
      </c>
    </row>
    <row r="5161" spans="1:14">
      <c r="A5161" s="2">
        <v>5160</v>
      </c>
      <c r="B5161" s="3" t="s">
        <v>17513</v>
      </c>
      <c r="C5161" s="2" t="s">
        <v>17514</v>
      </c>
      <c r="D5161" s="2">
        <v>36</v>
      </c>
      <c r="E5161" s="2">
        <v>38</v>
      </c>
      <c r="F5161" s="2" t="s">
        <v>17515</v>
      </c>
      <c r="H5161" s="2" t="s">
        <v>17</v>
      </c>
      <c r="K5161" s="4" t="s">
        <v>17516</v>
      </c>
      <c r="L5161" s="4">
        <v>23040</v>
      </c>
      <c r="M5161" s="2" t="s">
        <v>85</v>
      </c>
      <c r="N5161" s="2" t="s">
        <v>3969</v>
      </c>
    </row>
    <row r="5162" spans="1:14">
      <c r="A5162" s="2">
        <v>5161</v>
      </c>
      <c r="B5162" s="3" t="s">
        <v>17517</v>
      </c>
      <c r="C5162" s="2" t="s">
        <v>17518</v>
      </c>
      <c r="D5162" s="2">
        <v>38</v>
      </c>
      <c r="E5162" s="2">
        <v>38</v>
      </c>
      <c r="F5162" s="2" t="s">
        <v>17519</v>
      </c>
      <c r="H5162" s="2" t="s">
        <v>17</v>
      </c>
      <c r="K5162" s="4" t="s">
        <v>17520</v>
      </c>
      <c r="L5162" s="4">
        <v>26619</v>
      </c>
      <c r="M5162" s="2" t="s">
        <v>146</v>
      </c>
    </row>
    <row r="5163" spans="1:14">
      <c r="A5163" s="2">
        <v>5162</v>
      </c>
      <c r="B5163" s="3" t="s">
        <v>17521</v>
      </c>
      <c r="C5163" s="2" t="s">
        <v>17522</v>
      </c>
      <c r="D5163" s="2">
        <v>34</v>
      </c>
      <c r="E5163" s="2">
        <v>38</v>
      </c>
      <c r="F5163" s="2" t="s">
        <v>17523</v>
      </c>
      <c r="H5163" s="2" t="s">
        <v>17</v>
      </c>
      <c r="K5163" s="4" t="s">
        <v>17524</v>
      </c>
      <c r="L5163" s="4">
        <v>22761</v>
      </c>
      <c r="M5163" s="2" t="s">
        <v>47</v>
      </c>
      <c r="N5163" s="2" t="s">
        <v>17525</v>
      </c>
    </row>
    <row r="5164" spans="1:14">
      <c r="A5164" s="2">
        <v>5163</v>
      </c>
      <c r="B5164" s="3" t="s">
        <v>17526</v>
      </c>
      <c r="C5164" s="2" t="s">
        <v>17527</v>
      </c>
      <c r="D5164" s="2">
        <v>38</v>
      </c>
      <c r="E5164" s="2">
        <v>38</v>
      </c>
      <c r="F5164" s="2" t="s">
        <v>17528</v>
      </c>
      <c r="H5164" s="2" t="s">
        <v>17</v>
      </c>
      <c r="K5164" s="4" t="s">
        <v>17529</v>
      </c>
      <c r="L5164" s="4">
        <v>20922</v>
      </c>
      <c r="M5164" s="2" t="s">
        <v>66</v>
      </c>
      <c r="N5164" s="2" t="s">
        <v>3640</v>
      </c>
    </row>
    <row r="5165" spans="1:14">
      <c r="A5165" s="2">
        <v>5164</v>
      </c>
      <c r="B5165" s="3" t="s">
        <v>17530</v>
      </c>
      <c r="C5165" s="2" t="s">
        <v>15563</v>
      </c>
      <c r="D5165" s="2">
        <v>35</v>
      </c>
      <c r="E5165" s="2">
        <v>38</v>
      </c>
      <c r="F5165" s="2" t="s">
        <v>17531</v>
      </c>
      <c r="H5165" s="2" t="s">
        <v>17</v>
      </c>
      <c r="K5165" s="4" t="s">
        <v>17532</v>
      </c>
      <c r="L5165" s="4">
        <v>22046</v>
      </c>
      <c r="M5165" s="2" t="s">
        <v>198</v>
      </c>
    </row>
    <row r="5166" spans="1:14">
      <c r="A5166" s="2">
        <v>5165</v>
      </c>
      <c r="B5166" s="3" t="s">
        <v>17533</v>
      </c>
      <c r="C5166" s="2" t="s">
        <v>17534</v>
      </c>
      <c r="D5166" s="2">
        <v>38</v>
      </c>
      <c r="E5166" s="2">
        <v>38</v>
      </c>
      <c r="F5166" s="2" t="s">
        <v>17535</v>
      </c>
      <c r="H5166" s="2" t="s">
        <v>17</v>
      </c>
      <c r="K5166" s="4">
        <v>2559</v>
      </c>
      <c r="L5166" s="4">
        <v>22491</v>
      </c>
      <c r="M5166" s="2" t="s">
        <v>85</v>
      </c>
      <c r="N5166" s="2" t="s">
        <v>10262</v>
      </c>
    </row>
    <row r="5167" spans="1:14">
      <c r="A5167" s="2">
        <v>5166</v>
      </c>
      <c r="B5167" s="3" t="s">
        <v>17536</v>
      </c>
      <c r="C5167" s="2" t="s">
        <v>17537</v>
      </c>
      <c r="D5167" s="2">
        <v>38</v>
      </c>
      <c r="E5167" s="2">
        <v>38</v>
      </c>
      <c r="F5167" s="2" t="s">
        <v>17538</v>
      </c>
      <c r="H5167" s="2" t="s">
        <v>17</v>
      </c>
      <c r="K5167" s="4">
        <v>2345</v>
      </c>
      <c r="L5167" s="4">
        <v>26512</v>
      </c>
      <c r="M5167" s="2" t="s">
        <v>423</v>
      </c>
      <c r="N5167" s="2" t="s">
        <v>3942</v>
      </c>
    </row>
    <row r="5168" spans="1:14">
      <c r="A5168" s="2">
        <v>5167</v>
      </c>
      <c r="B5168" s="3" t="s">
        <v>17539</v>
      </c>
      <c r="C5168" s="2" t="s">
        <v>17540</v>
      </c>
      <c r="D5168" s="2">
        <v>38</v>
      </c>
      <c r="E5168" s="2">
        <v>38</v>
      </c>
      <c r="F5168" s="2" t="s">
        <v>17541</v>
      </c>
      <c r="H5168" s="2" t="s">
        <v>17</v>
      </c>
      <c r="K5168" s="4" t="s">
        <v>17542</v>
      </c>
      <c r="L5168" s="4">
        <v>12533</v>
      </c>
      <c r="M5168" s="2" t="s">
        <v>66</v>
      </c>
      <c r="N5168" s="2" t="s">
        <v>3262</v>
      </c>
    </row>
    <row r="5169" spans="1:14">
      <c r="A5169" s="2">
        <v>5168</v>
      </c>
      <c r="B5169" s="3" t="s">
        <v>17543</v>
      </c>
      <c r="C5169" s="2" t="s">
        <v>17544</v>
      </c>
      <c r="D5169" s="2">
        <v>38</v>
      </c>
      <c r="E5169" s="2">
        <v>38</v>
      </c>
      <c r="F5169" s="2" t="s">
        <v>17545</v>
      </c>
      <c r="H5169" s="2" t="s">
        <v>17</v>
      </c>
      <c r="K5169" s="4" t="s">
        <v>17546</v>
      </c>
      <c r="L5169" s="4">
        <v>26480</v>
      </c>
      <c r="M5169" s="2" t="s">
        <v>140</v>
      </c>
      <c r="N5169" s="2" t="s">
        <v>15720</v>
      </c>
    </row>
    <row r="5170" spans="1:14">
      <c r="A5170" s="2">
        <v>5169</v>
      </c>
      <c r="B5170" s="3" t="s">
        <v>17547</v>
      </c>
      <c r="C5170" s="2" t="s">
        <v>17548</v>
      </c>
      <c r="D5170" s="2">
        <v>38</v>
      </c>
      <c r="E5170" s="2">
        <v>38</v>
      </c>
      <c r="F5170" s="2" t="s">
        <v>17549</v>
      </c>
      <c r="H5170" s="2" t="s">
        <v>17</v>
      </c>
      <c r="K5170" s="4" t="s">
        <v>16652</v>
      </c>
      <c r="L5170" s="4">
        <v>30455</v>
      </c>
      <c r="M5170" s="2" t="s">
        <v>47</v>
      </c>
      <c r="N5170" s="2" t="s">
        <v>48</v>
      </c>
    </row>
    <row r="5171" spans="1:14">
      <c r="A5171" s="2">
        <v>5170</v>
      </c>
      <c r="B5171" s="3" t="s">
        <v>17550</v>
      </c>
      <c r="C5171" s="2" t="s">
        <v>17551</v>
      </c>
      <c r="D5171" s="2">
        <v>38</v>
      </c>
      <c r="E5171" s="2">
        <v>38</v>
      </c>
      <c r="F5171" s="2" t="s">
        <v>17552</v>
      </c>
      <c r="H5171" s="2" t="s">
        <v>17</v>
      </c>
      <c r="K5171" s="4" t="s">
        <v>17553</v>
      </c>
      <c r="L5171" s="4">
        <v>22328</v>
      </c>
      <c r="M5171" s="2" t="s">
        <v>423</v>
      </c>
      <c r="N5171" s="2" t="s">
        <v>3942</v>
      </c>
    </row>
    <row r="5172" spans="1:14">
      <c r="A5172" s="2">
        <v>5171</v>
      </c>
      <c r="B5172" s="3" t="s">
        <v>17554</v>
      </c>
      <c r="C5172" s="2" t="s">
        <v>17555</v>
      </c>
      <c r="D5172" s="2">
        <v>38</v>
      </c>
      <c r="E5172" s="2">
        <v>38</v>
      </c>
      <c r="F5172" s="2" t="s">
        <v>17556</v>
      </c>
      <c r="H5172" s="2" t="s">
        <v>17</v>
      </c>
      <c r="L5172" s="4">
        <v>27945</v>
      </c>
      <c r="M5172" s="2" t="s">
        <v>66</v>
      </c>
      <c r="N5172" s="2" t="s">
        <v>1021</v>
      </c>
    </row>
    <row r="5173" spans="1:14">
      <c r="A5173" s="2">
        <v>5172</v>
      </c>
      <c r="B5173" s="3" t="s">
        <v>17557</v>
      </c>
      <c r="C5173" s="2" t="s">
        <v>17558</v>
      </c>
      <c r="D5173" s="2">
        <v>37</v>
      </c>
      <c r="E5173" s="2">
        <v>38</v>
      </c>
      <c r="F5173" s="2" t="s">
        <v>17559</v>
      </c>
      <c r="H5173" s="2" t="s">
        <v>17</v>
      </c>
      <c r="K5173" s="4">
        <v>1641</v>
      </c>
      <c r="L5173" s="4">
        <v>31548</v>
      </c>
      <c r="M5173" s="2" t="s">
        <v>341</v>
      </c>
      <c r="N5173" s="2" t="s">
        <v>834</v>
      </c>
    </row>
    <row r="5174" spans="1:14">
      <c r="A5174" s="2">
        <v>5173</v>
      </c>
      <c r="B5174" s="3" t="s">
        <v>17560</v>
      </c>
      <c r="C5174" s="2" t="s">
        <v>17561</v>
      </c>
      <c r="D5174" s="2">
        <v>38</v>
      </c>
      <c r="E5174" s="2">
        <v>38</v>
      </c>
      <c r="F5174" s="2" t="s">
        <v>17562</v>
      </c>
      <c r="H5174" s="2" t="s">
        <v>17</v>
      </c>
      <c r="K5174" s="4">
        <v>1126</v>
      </c>
      <c r="L5174" s="4">
        <v>28250</v>
      </c>
      <c r="M5174" s="2" t="s">
        <v>66</v>
      </c>
      <c r="N5174" s="2" t="s">
        <v>6179</v>
      </c>
    </row>
    <row r="5175" spans="1:14">
      <c r="A5175" s="2">
        <v>5174</v>
      </c>
      <c r="B5175" s="3" t="s">
        <v>17563</v>
      </c>
      <c r="C5175" s="2" t="s">
        <v>17564</v>
      </c>
      <c r="D5175" s="2">
        <v>38</v>
      </c>
      <c r="E5175" s="2">
        <v>38</v>
      </c>
      <c r="F5175" s="2" t="s">
        <v>17565</v>
      </c>
      <c r="H5175" s="2" t="s">
        <v>17</v>
      </c>
      <c r="K5175" s="4">
        <v>461</v>
      </c>
      <c r="L5175" s="4">
        <v>19013</v>
      </c>
      <c r="M5175" s="2" t="s">
        <v>53</v>
      </c>
      <c r="N5175" s="2" t="s">
        <v>6601</v>
      </c>
    </row>
    <row r="5176" spans="1:14">
      <c r="A5176" s="2">
        <v>5175</v>
      </c>
      <c r="B5176" s="3" t="s">
        <v>17566</v>
      </c>
      <c r="C5176" s="2" t="s">
        <v>17567</v>
      </c>
      <c r="D5176" s="2">
        <v>38</v>
      </c>
      <c r="E5176" s="2">
        <v>38</v>
      </c>
      <c r="F5176" s="2" t="s">
        <v>17568</v>
      </c>
      <c r="H5176" s="2" t="s">
        <v>17</v>
      </c>
      <c r="K5176" s="4" t="s">
        <v>17569</v>
      </c>
      <c r="M5176" s="2" t="s">
        <v>35</v>
      </c>
      <c r="N5176" s="2" t="s">
        <v>8588</v>
      </c>
    </row>
    <row r="5177" spans="1:14">
      <c r="A5177" s="2">
        <v>5176</v>
      </c>
      <c r="B5177" s="3" t="s">
        <v>17570</v>
      </c>
      <c r="C5177" s="2" t="s">
        <v>17571</v>
      </c>
      <c r="D5177" s="2">
        <v>38</v>
      </c>
      <c r="E5177" s="2">
        <v>38</v>
      </c>
      <c r="F5177" s="2" t="s">
        <v>17572</v>
      </c>
      <c r="H5177" s="2" t="s">
        <v>17</v>
      </c>
      <c r="K5177" s="4">
        <v>2889</v>
      </c>
      <c r="L5177" s="4">
        <v>28364</v>
      </c>
      <c r="M5177" s="2" t="s">
        <v>198</v>
      </c>
      <c r="N5177" s="2" t="s">
        <v>3682</v>
      </c>
    </row>
    <row r="5178" spans="1:14">
      <c r="A5178" s="2">
        <v>5177</v>
      </c>
      <c r="B5178" s="3" t="s">
        <v>17573</v>
      </c>
      <c r="C5178" s="2" t="s">
        <v>17574</v>
      </c>
      <c r="D5178" s="2">
        <v>38</v>
      </c>
      <c r="E5178" s="2">
        <v>38</v>
      </c>
      <c r="F5178" s="2" t="s">
        <v>17575</v>
      </c>
      <c r="H5178" s="2" t="s">
        <v>17</v>
      </c>
      <c r="K5178" s="4" t="s">
        <v>17576</v>
      </c>
      <c r="L5178" s="4">
        <v>18225</v>
      </c>
      <c r="M5178" s="2" t="s">
        <v>40</v>
      </c>
      <c r="N5178" s="2" t="s">
        <v>1528</v>
      </c>
    </row>
    <row r="5179" spans="1:14">
      <c r="A5179" s="2">
        <v>5178</v>
      </c>
      <c r="B5179" s="3" t="s">
        <v>17577</v>
      </c>
      <c r="C5179" s="2" t="s">
        <v>17578</v>
      </c>
      <c r="D5179" s="2">
        <v>38</v>
      </c>
      <c r="E5179" s="2">
        <v>38</v>
      </c>
      <c r="F5179" s="2" t="s">
        <v>17579</v>
      </c>
      <c r="H5179" s="2" t="s">
        <v>17</v>
      </c>
      <c r="K5179" s="4" t="s">
        <v>17580</v>
      </c>
      <c r="L5179" s="4">
        <v>23865</v>
      </c>
      <c r="M5179" s="2" t="s">
        <v>35</v>
      </c>
      <c r="N5179" s="2" t="s">
        <v>10610</v>
      </c>
    </row>
    <row r="5180" spans="1:14">
      <c r="A5180" s="2">
        <v>5179</v>
      </c>
      <c r="B5180" s="3" t="s">
        <v>17581</v>
      </c>
      <c r="C5180" s="2" t="s">
        <v>17582</v>
      </c>
      <c r="D5180" s="2">
        <v>38</v>
      </c>
      <c r="E5180" s="2">
        <v>38</v>
      </c>
      <c r="F5180" s="2" t="s">
        <v>17583</v>
      </c>
      <c r="H5180" s="2" t="s">
        <v>17</v>
      </c>
    </row>
    <row r="5181" spans="1:14">
      <c r="A5181" s="2">
        <v>5180</v>
      </c>
      <c r="B5181" s="3" t="s">
        <v>17584</v>
      </c>
      <c r="C5181" s="2" t="s">
        <v>17585</v>
      </c>
      <c r="D5181" s="2">
        <v>38</v>
      </c>
      <c r="E5181" s="2">
        <v>38</v>
      </c>
      <c r="F5181" s="2" t="s">
        <v>17586</v>
      </c>
      <c r="H5181" s="2" t="s">
        <v>17</v>
      </c>
      <c r="L5181" s="4">
        <v>17357</v>
      </c>
      <c r="M5181" s="2" t="s">
        <v>146</v>
      </c>
    </row>
    <row r="5182" spans="1:14">
      <c r="A5182" s="2">
        <v>5181</v>
      </c>
      <c r="B5182" s="3" t="s">
        <v>17587</v>
      </c>
      <c r="C5182" s="2" t="s">
        <v>17588</v>
      </c>
      <c r="D5182" s="2">
        <v>37</v>
      </c>
      <c r="E5182" s="2">
        <v>37</v>
      </c>
      <c r="F5182" s="2" t="s">
        <v>17589</v>
      </c>
      <c r="H5182" s="2" t="s">
        <v>17</v>
      </c>
    </row>
    <row r="5183" spans="1:14">
      <c r="A5183" s="2">
        <v>5182</v>
      </c>
      <c r="B5183" s="3" t="s">
        <v>17590</v>
      </c>
      <c r="C5183" s="2" t="s">
        <v>17591</v>
      </c>
      <c r="D5183" s="2">
        <v>34</v>
      </c>
      <c r="E5183" s="2">
        <v>37</v>
      </c>
      <c r="F5183" s="2" t="s">
        <v>17592</v>
      </c>
      <c r="H5183" s="2" t="s">
        <v>17</v>
      </c>
      <c r="K5183" s="4" t="s">
        <v>17593</v>
      </c>
      <c r="L5183" s="4">
        <v>21276</v>
      </c>
      <c r="M5183" s="2" t="s">
        <v>423</v>
      </c>
      <c r="N5183" s="2" t="s">
        <v>3005</v>
      </c>
    </row>
    <row r="5184" spans="1:14">
      <c r="A5184" s="2">
        <v>5183</v>
      </c>
      <c r="B5184" s="3" t="s">
        <v>17594</v>
      </c>
      <c r="C5184" s="2" t="s">
        <v>17595</v>
      </c>
      <c r="D5184" s="2">
        <v>36</v>
      </c>
      <c r="E5184" s="2">
        <v>37</v>
      </c>
      <c r="F5184" s="2" t="s">
        <v>17596</v>
      </c>
      <c r="H5184" s="2" t="s">
        <v>17</v>
      </c>
      <c r="K5184" s="4" t="s">
        <v>17597</v>
      </c>
      <c r="L5184" s="4">
        <v>25001</v>
      </c>
      <c r="M5184" s="2" t="s">
        <v>85</v>
      </c>
      <c r="N5184" s="2" t="s">
        <v>86</v>
      </c>
    </row>
    <row r="5185" spans="1:14">
      <c r="A5185" s="2">
        <v>5184</v>
      </c>
      <c r="B5185" s="3" t="s">
        <v>17598</v>
      </c>
      <c r="C5185" s="2" t="s">
        <v>17599</v>
      </c>
      <c r="D5185" s="2">
        <v>37</v>
      </c>
      <c r="E5185" s="2">
        <v>37</v>
      </c>
      <c r="F5185" s="2" t="s">
        <v>17600</v>
      </c>
      <c r="H5185" s="2" t="s">
        <v>17</v>
      </c>
    </row>
    <row r="5186" spans="1:14">
      <c r="A5186" s="2">
        <v>5185</v>
      </c>
      <c r="B5186" s="3" t="s">
        <v>17601</v>
      </c>
      <c r="C5186" s="2" t="s">
        <v>17602</v>
      </c>
      <c r="D5186" s="2">
        <v>36</v>
      </c>
      <c r="E5186" s="2">
        <v>37</v>
      </c>
      <c r="F5186" s="2" t="s">
        <v>17603</v>
      </c>
      <c r="H5186" s="2" t="s">
        <v>17</v>
      </c>
      <c r="K5186" s="4" t="s">
        <v>17604</v>
      </c>
      <c r="L5186" s="4">
        <v>17124</v>
      </c>
      <c r="M5186" s="2" t="s">
        <v>47</v>
      </c>
      <c r="N5186" s="2" t="s">
        <v>5754</v>
      </c>
    </row>
    <row r="5187" spans="1:14">
      <c r="A5187" s="2">
        <v>5186</v>
      </c>
      <c r="B5187" s="3" t="s">
        <v>17605</v>
      </c>
      <c r="C5187" s="2" t="s">
        <v>17606</v>
      </c>
      <c r="D5187" s="2">
        <v>37</v>
      </c>
      <c r="E5187" s="2">
        <v>37</v>
      </c>
      <c r="F5187" s="2" t="s">
        <v>17607</v>
      </c>
      <c r="H5187" s="2" t="s">
        <v>17</v>
      </c>
      <c r="K5187" s="4" t="s">
        <v>17608</v>
      </c>
      <c r="L5187" s="4">
        <v>18594</v>
      </c>
      <c r="M5187" s="2" t="s">
        <v>24</v>
      </c>
      <c r="N5187" s="2" t="s">
        <v>25</v>
      </c>
    </row>
    <row r="5188" spans="1:14">
      <c r="A5188" s="2">
        <v>5187</v>
      </c>
      <c r="B5188" s="3" t="s">
        <v>17609</v>
      </c>
      <c r="C5188" s="2" t="s">
        <v>11965</v>
      </c>
      <c r="D5188" s="2">
        <v>37</v>
      </c>
      <c r="E5188" s="2">
        <v>37</v>
      </c>
      <c r="F5188" s="2" t="s">
        <v>17610</v>
      </c>
      <c r="H5188" s="2" t="s">
        <v>17</v>
      </c>
      <c r="L5188" s="4">
        <v>13357</v>
      </c>
    </row>
    <row r="5189" spans="1:14">
      <c r="A5189" s="2">
        <v>5188</v>
      </c>
      <c r="B5189" s="3" t="s">
        <v>17611</v>
      </c>
      <c r="C5189" s="2" t="s">
        <v>17612</v>
      </c>
      <c r="D5189" s="2">
        <v>35</v>
      </c>
      <c r="E5189" s="2">
        <v>37</v>
      </c>
      <c r="F5189" s="2" t="s">
        <v>17613</v>
      </c>
      <c r="H5189" s="2" t="s">
        <v>17</v>
      </c>
      <c r="K5189" s="4" t="s">
        <v>17614</v>
      </c>
      <c r="L5189" s="4">
        <v>19857</v>
      </c>
      <c r="M5189" s="2" t="s">
        <v>66</v>
      </c>
      <c r="N5189" s="2" t="s">
        <v>11429</v>
      </c>
    </row>
    <row r="5190" spans="1:14">
      <c r="A5190" s="2">
        <v>5189</v>
      </c>
      <c r="B5190" s="3" t="s">
        <v>17615</v>
      </c>
      <c r="C5190" s="2" t="s">
        <v>17616</v>
      </c>
      <c r="D5190" s="2">
        <v>36</v>
      </c>
      <c r="E5190" s="2">
        <v>37</v>
      </c>
      <c r="F5190" s="2" t="s">
        <v>17617</v>
      </c>
      <c r="H5190" s="2" t="s">
        <v>17</v>
      </c>
      <c r="K5190" s="4" t="s">
        <v>17618</v>
      </c>
      <c r="L5190" s="4">
        <v>19580</v>
      </c>
      <c r="M5190" s="2" t="s">
        <v>35</v>
      </c>
      <c r="N5190" s="2" t="s">
        <v>3806</v>
      </c>
    </row>
    <row r="5191" spans="1:14">
      <c r="A5191" s="2">
        <v>5190</v>
      </c>
      <c r="B5191" s="3" t="s">
        <v>17619</v>
      </c>
      <c r="C5191" s="2" t="s">
        <v>17620</v>
      </c>
      <c r="D5191" s="2">
        <v>37</v>
      </c>
      <c r="E5191" s="2">
        <v>37</v>
      </c>
      <c r="F5191" s="2" t="s">
        <v>17621</v>
      </c>
      <c r="H5191" s="2" t="s">
        <v>17</v>
      </c>
      <c r="K5191" s="4">
        <v>342</v>
      </c>
      <c r="L5191" s="4">
        <v>14642</v>
      </c>
      <c r="M5191" s="2" t="s">
        <v>198</v>
      </c>
      <c r="N5191" s="2" t="s">
        <v>199</v>
      </c>
    </row>
    <row r="5192" spans="1:14">
      <c r="A5192" s="2">
        <v>5191</v>
      </c>
      <c r="B5192" s="3" t="s">
        <v>17622</v>
      </c>
      <c r="C5192" s="2" t="s">
        <v>17623</v>
      </c>
      <c r="D5192" s="2">
        <v>36</v>
      </c>
      <c r="E5192" s="2">
        <v>37</v>
      </c>
      <c r="F5192" s="2" t="s">
        <v>17624</v>
      </c>
      <c r="H5192" s="2" t="s">
        <v>17</v>
      </c>
      <c r="K5192" s="4">
        <v>1646</v>
      </c>
      <c r="L5192" s="4">
        <v>33760</v>
      </c>
      <c r="M5192" s="2" t="s">
        <v>146</v>
      </c>
    </row>
    <row r="5193" spans="1:14">
      <c r="A5193" s="2">
        <v>5192</v>
      </c>
      <c r="B5193" s="3" t="s">
        <v>17625</v>
      </c>
      <c r="C5193" s="2" t="s">
        <v>17626</v>
      </c>
      <c r="D5193" s="2">
        <v>37</v>
      </c>
      <c r="E5193" s="2">
        <v>37</v>
      </c>
      <c r="F5193" s="2" t="s">
        <v>17627</v>
      </c>
      <c r="H5193" s="2" t="s">
        <v>17</v>
      </c>
      <c r="K5193" s="4" t="s">
        <v>17628</v>
      </c>
      <c r="L5193" s="4">
        <v>29805</v>
      </c>
      <c r="M5193" s="2" t="s">
        <v>170</v>
      </c>
    </row>
    <row r="5194" spans="1:14">
      <c r="A5194" s="2">
        <v>5193</v>
      </c>
      <c r="B5194" s="3" t="s">
        <v>17629</v>
      </c>
      <c r="C5194" s="2" t="s">
        <v>17630</v>
      </c>
      <c r="D5194" s="2">
        <v>37</v>
      </c>
      <c r="E5194" s="2">
        <v>37</v>
      </c>
      <c r="F5194" s="2" t="s">
        <v>17631</v>
      </c>
      <c r="H5194" s="2" t="s">
        <v>17</v>
      </c>
      <c r="K5194" s="4" t="s">
        <v>17632</v>
      </c>
      <c r="L5194" s="4">
        <v>22874</v>
      </c>
      <c r="M5194" s="2" t="s">
        <v>35</v>
      </c>
      <c r="N5194" s="2" t="s">
        <v>2327</v>
      </c>
    </row>
    <row r="5195" spans="1:14">
      <c r="A5195" s="2">
        <v>5194</v>
      </c>
      <c r="B5195" s="3" t="s">
        <v>17633</v>
      </c>
      <c r="C5195" s="2" t="s">
        <v>17634</v>
      </c>
      <c r="D5195" s="2">
        <v>36</v>
      </c>
      <c r="E5195" s="2">
        <v>37</v>
      </c>
      <c r="F5195" s="2" t="s">
        <v>17635</v>
      </c>
      <c r="H5195" s="2" t="s">
        <v>17</v>
      </c>
      <c r="K5195" s="4" t="s">
        <v>17636</v>
      </c>
      <c r="L5195" s="4">
        <v>20744</v>
      </c>
      <c r="M5195" s="2" t="s">
        <v>35</v>
      </c>
      <c r="N5195" s="2" t="s">
        <v>672</v>
      </c>
    </row>
    <row r="5196" spans="1:14">
      <c r="A5196" s="2">
        <v>5195</v>
      </c>
      <c r="B5196" s="3" t="s">
        <v>17637</v>
      </c>
      <c r="C5196" s="2" t="s">
        <v>17638</v>
      </c>
      <c r="D5196" s="2">
        <v>36</v>
      </c>
      <c r="E5196" s="2">
        <v>37</v>
      </c>
      <c r="F5196" s="2" t="s">
        <v>17639</v>
      </c>
      <c r="H5196" s="2" t="s">
        <v>17</v>
      </c>
      <c r="K5196" s="4" t="s">
        <v>17640</v>
      </c>
      <c r="L5196" s="4">
        <v>24311</v>
      </c>
      <c r="M5196" s="2" t="s">
        <v>336</v>
      </c>
      <c r="N5196" s="2" t="s">
        <v>1883</v>
      </c>
    </row>
    <row r="5197" spans="1:14">
      <c r="A5197" s="2">
        <v>5196</v>
      </c>
      <c r="B5197" s="3" t="s">
        <v>17641</v>
      </c>
      <c r="C5197" s="2" t="s">
        <v>17642</v>
      </c>
      <c r="D5197" s="2">
        <v>36</v>
      </c>
      <c r="E5197" s="2">
        <v>37</v>
      </c>
      <c r="F5197" s="2" t="s">
        <v>17643</v>
      </c>
      <c r="H5197" s="2" t="s">
        <v>17</v>
      </c>
      <c r="K5197" s="4" t="s">
        <v>17644</v>
      </c>
      <c r="L5197" s="4">
        <v>17584</v>
      </c>
      <c r="M5197" s="2" t="s">
        <v>154</v>
      </c>
      <c r="N5197" s="2" t="s">
        <v>17645</v>
      </c>
    </row>
    <row r="5198" spans="1:14">
      <c r="A5198" s="2">
        <v>5197</v>
      </c>
      <c r="B5198" s="3" t="s">
        <v>17646</v>
      </c>
      <c r="C5198" s="2" t="s">
        <v>17647</v>
      </c>
      <c r="D5198" s="2">
        <v>36</v>
      </c>
      <c r="E5198" s="2">
        <v>37</v>
      </c>
      <c r="F5198" s="2" t="s">
        <v>17648</v>
      </c>
      <c r="H5198" s="2" t="s">
        <v>17</v>
      </c>
      <c r="K5198" s="4" t="s">
        <v>17649</v>
      </c>
      <c r="L5198" s="4">
        <v>16470</v>
      </c>
      <c r="M5198" s="2" t="s">
        <v>40</v>
      </c>
      <c r="N5198" s="2" t="s">
        <v>1528</v>
      </c>
    </row>
    <row r="5199" spans="1:14">
      <c r="A5199" s="2">
        <v>5198</v>
      </c>
      <c r="B5199" s="3" t="s">
        <v>17650</v>
      </c>
      <c r="C5199" s="2" t="s">
        <v>17651</v>
      </c>
      <c r="D5199" s="2">
        <v>36</v>
      </c>
      <c r="E5199" s="2">
        <v>37</v>
      </c>
      <c r="F5199" s="2" t="s">
        <v>17652</v>
      </c>
      <c r="H5199" s="2" t="s">
        <v>17</v>
      </c>
      <c r="K5199" s="4" t="s">
        <v>17653</v>
      </c>
      <c r="L5199" s="4">
        <v>23963</v>
      </c>
      <c r="M5199" s="2" t="s">
        <v>969</v>
      </c>
    </row>
    <row r="5200" spans="1:14">
      <c r="A5200" s="2">
        <v>5199</v>
      </c>
      <c r="B5200" s="3" t="s">
        <v>17654</v>
      </c>
      <c r="C5200" s="2" t="s">
        <v>17655</v>
      </c>
      <c r="D5200" s="2">
        <v>37</v>
      </c>
      <c r="E5200" s="2">
        <v>37</v>
      </c>
      <c r="F5200" s="2" t="s">
        <v>17656</v>
      </c>
      <c r="H5200" s="2" t="s">
        <v>17</v>
      </c>
    </row>
    <row r="5201" spans="1:14">
      <c r="A5201" s="2">
        <v>5200</v>
      </c>
      <c r="B5201" s="3" t="s">
        <v>17657</v>
      </c>
      <c r="C5201" s="2" t="s">
        <v>17658</v>
      </c>
      <c r="D5201" s="2">
        <v>36</v>
      </c>
      <c r="E5201" s="2">
        <v>37</v>
      </c>
      <c r="F5201" s="2" t="s">
        <v>17659</v>
      </c>
      <c r="H5201" s="2" t="s">
        <v>17</v>
      </c>
      <c r="K5201" s="4" t="s">
        <v>17660</v>
      </c>
      <c r="L5201" s="4">
        <v>16017</v>
      </c>
      <c r="M5201" s="2" t="s">
        <v>66</v>
      </c>
      <c r="N5201" s="2" t="s">
        <v>359</v>
      </c>
    </row>
    <row r="5202" spans="1:14">
      <c r="A5202" s="2">
        <v>5201</v>
      </c>
      <c r="B5202" s="3" t="s">
        <v>17661</v>
      </c>
      <c r="C5202" s="2" t="s">
        <v>17662</v>
      </c>
      <c r="D5202" s="2">
        <v>24</v>
      </c>
      <c r="E5202" s="2">
        <v>37</v>
      </c>
      <c r="F5202" s="2" t="s">
        <v>17663</v>
      </c>
      <c r="H5202" s="2" t="s">
        <v>17</v>
      </c>
      <c r="K5202" s="4" t="s">
        <v>17664</v>
      </c>
      <c r="L5202" s="4">
        <v>14372</v>
      </c>
      <c r="M5202" s="2" t="s">
        <v>35</v>
      </c>
      <c r="N5202" s="2" t="s">
        <v>3929</v>
      </c>
    </row>
    <row r="5203" spans="1:14">
      <c r="A5203" s="2">
        <v>5202</v>
      </c>
      <c r="B5203" s="3" t="s">
        <v>17665</v>
      </c>
      <c r="C5203" s="2" t="s">
        <v>17666</v>
      </c>
      <c r="D5203" s="2">
        <v>28</v>
      </c>
      <c r="E5203" s="2">
        <v>37</v>
      </c>
      <c r="F5203" s="2" t="s">
        <v>17667</v>
      </c>
      <c r="H5203" s="2" t="s">
        <v>17</v>
      </c>
      <c r="K5203" s="4" t="s">
        <v>17668</v>
      </c>
      <c r="L5203" s="4">
        <v>16803</v>
      </c>
      <c r="M5203" s="2" t="s">
        <v>35</v>
      </c>
      <c r="N5203" s="2" t="s">
        <v>672</v>
      </c>
    </row>
    <row r="5204" spans="1:14">
      <c r="A5204" s="2">
        <v>5203</v>
      </c>
      <c r="B5204" s="3" t="s">
        <v>17669</v>
      </c>
      <c r="C5204" s="2" t="s">
        <v>17670</v>
      </c>
      <c r="D5204" s="2">
        <v>37</v>
      </c>
      <c r="E5204" s="2">
        <v>37</v>
      </c>
      <c r="F5204" s="2" t="s">
        <v>17671</v>
      </c>
      <c r="H5204" s="2" t="s">
        <v>17</v>
      </c>
      <c r="K5204" s="4" t="s">
        <v>17672</v>
      </c>
      <c r="L5204" s="4">
        <v>25931</v>
      </c>
      <c r="M5204" s="2" t="s">
        <v>170</v>
      </c>
      <c r="N5204" s="2" t="s">
        <v>323</v>
      </c>
    </row>
    <row r="5205" spans="1:14">
      <c r="A5205" s="2">
        <v>5204</v>
      </c>
      <c r="B5205" s="3" t="s">
        <v>17673</v>
      </c>
      <c r="C5205" s="2" t="s">
        <v>17674</v>
      </c>
      <c r="D5205" s="2">
        <v>37</v>
      </c>
      <c r="E5205" s="2">
        <v>37</v>
      </c>
      <c r="F5205" s="2" t="s">
        <v>17675</v>
      </c>
      <c r="H5205" s="2" t="s">
        <v>17</v>
      </c>
      <c r="L5205" s="4">
        <v>21024</v>
      </c>
    </row>
    <row r="5206" spans="1:14">
      <c r="A5206" s="2">
        <v>5205</v>
      </c>
      <c r="B5206" s="3" t="s">
        <v>17676</v>
      </c>
      <c r="C5206" s="2" t="s">
        <v>17677</v>
      </c>
      <c r="D5206" s="2">
        <v>29</v>
      </c>
      <c r="E5206" s="2">
        <v>37</v>
      </c>
      <c r="F5206" s="2" t="s">
        <v>17678</v>
      </c>
      <c r="H5206" s="2" t="s">
        <v>17</v>
      </c>
      <c r="K5206" s="4" t="s">
        <v>17679</v>
      </c>
      <c r="L5206" s="4">
        <v>13399</v>
      </c>
      <c r="M5206" s="2" t="s">
        <v>40</v>
      </c>
      <c r="N5206" s="2" t="s">
        <v>8816</v>
      </c>
    </row>
    <row r="5207" spans="1:14">
      <c r="A5207" s="2">
        <v>5206</v>
      </c>
      <c r="B5207" s="3" t="s">
        <v>17680</v>
      </c>
      <c r="C5207" s="2" t="s">
        <v>17681</v>
      </c>
      <c r="D5207" s="2">
        <v>37</v>
      </c>
      <c r="E5207" s="2">
        <v>37</v>
      </c>
      <c r="F5207" s="2" t="s">
        <v>17682</v>
      </c>
      <c r="H5207" s="2" t="s">
        <v>17</v>
      </c>
    </row>
    <row r="5208" spans="1:14">
      <c r="A5208" s="2">
        <v>5207</v>
      </c>
      <c r="B5208" s="3" t="s">
        <v>17683</v>
      </c>
      <c r="C5208" s="2" t="s">
        <v>17684</v>
      </c>
      <c r="D5208" s="2">
        <v>31</v>
      </c>
      <c r="E5208" s="2">
        <v>37</v>
      </c>
      <c r="F5208" s="2" t="s">
        <v>17685</v>
      </c>
      <c r="H5208" s="2" t="s">
        <v>17</v>
      </c>
      <c r="K5208" s="4" t="s">
        <v>17686</v>
      </c>
      <c r="L5208" s="4">
        <v>16125</v>
      </c>
      <c r="M5208" s="2" t="s">
        <v>198</v>
      </c>
      <c r="N5208" s="2" t="s">
        <v>199</v>
      </c>
    </row>
    <row r="5209" spans="1:14">
      <c r="A5209" s="2">
        <v>5208</v>
      </c>
      <c r="B5209" s="3" t="s">
        <v>17687</v>
      </c>
      <c r="C5209" s="2" t="s">
        <v>17688</v>
      </c>
      <c r="D5209" s="2">
        <v>36</v>
      </c>
      <c r="E5209" s="2">
        <v>37</v>
      </c>
      <c r="F5209" s="2" t="s">
        <v>17689</v>
      </c>
      <c r="H5209" s="2" t="s">
        <v>17</v>
      </c>
      <c r="K5209" s="4" t="s">
        <v>16071</v>
      </c>
      <c r="L5209" s="4">
        <v>23901</v>
      </c>
      <c r="M5209" s="2" t="s">
        <v>247</v>
      </c>
      <c r="N5209" s="2" t="s">
        <v>8360</v>
      </c>
    </row>
    <row r="5210" spans="1:14">
      <c r="A5210" s="2">
        <v>5209</v>
      </c>
      <c r="B5210" s="3" t="s">
        <v>17690</v>
      </c>
      <c r="C5210" s="2" t="s">
        <v>17691</v>
      </c>
      <c r="D5210" s="2">
        <v>37</v>
      </c>
      <c r="E5210" s="2">
        <v>37</v>
      </c>
      <c r="F5210" s="2" t="s">
        <v>17692</v>
      </c>
      <c r="H5210" s="2" t="s">
        <v>17</v>
      </c>
      <c r="L5210" s="4">
        <v>17919</v>
      </c>
    </row>
    <row r="5211" spans="1:14">
      <c r="A5211" s="2">
        <v>5210</v>
      </c>
      <c r="B5211" s="3" t="s">
        <v>17693</v>
      </c>
      <c r="C5211" s="2" t="s">
        <v>17694</v>
      </c>
      <c r="D5211" s="2">
        <v>37</v>
      </c>
      <c r="E5211" s="2">
        <v>37</v>
      </c>
      <c r="F5211" s="2" t="s">
        <v>17695</v>
      </c>
      <c r="H5211" s="2" t="s">
        <v>17</v>
      </c>
      <c r="L5211" s="4">
        <v>21565</v>
      </c>
    </row>
    <row r="5212" spans="1:14">
      <c r="A5212" s="2">
        <v>5211</v>
      </c>
      <c r="B5212" s="3" t="s">
        <v>17696</v>
      </c>
      <c r="C5212" s="2" t="s">
        <v>17697</v>
      </c>
      <c r="D5212" s="2">
        <v>37</v>
      </c>
      <c r="E5212" s="2">
        <v>37</v>
      </c>
      <c r="F5212" s="2" t="s">
        <v>17698</v>
      </c>
      <c r="H5212" s="2" t="s">
        <v>17</v>
      </c>
      <c r="L5212" s="4">
        <v>16943</v>
      </c>
      <c r="M5212" s="2" t="s">
        <v>40</v>
      </c>
      <c r="N5212" s="2" t="s">
        <v>6544</v>
      </c>
    </row>
    <row r="5213" spans="1:14">
      <c r="A5213" s="2">
        <v>5212</v>
      </c>
      <c r="B5213" s="3" t="s">
        <v>17699</v>
      </c>
      <c r="C5213" s="2" t="s">
        <v>17700</v>
      </c>
      <c r="D5213" s="2">
        <v>36</v>
      </c>
      <c r="E5213" s="2">
        <v>37</v>
      </c>
      <c r="F5213" s="2" t="s">
        <v>17701</v>
      </c>
      <c r="H5213" s="2" t="s">
        <v>17</v>
      </c>
      <c r="K5213" s="4" t="s">
        <v>17702</v>
      </c>
      <c r="L5213" s="4">
        <v>15863</v>
      </c>
      <c r="M5213" s="2" t="s">
        <v>40</v>
      </c>
      <c r="N5213" s="2" t="s">
        <v>41</v>
      </c>
    </row>
    <row r="5214" spans="1:14">
      <c r="A5214" s="2">
        <v>5213</v>
      </c>
      <c r="B5214" s="3" t="s">
        <v>17703</v>
      </c>
      <c r="C5214" s="2" t="s">
        <v>17704</v>
      </c>
      <c r="D5214" s="2">
        <v>37</v>
      </c>
      <c r="E5214" s="2">
        <v>37</v>
      </c>
      <c r="F5214" s="2" t="s">
        <v>17705</v>
      </c>
      <c r="H5214" s="2" t="s">
        <v>17</v>
      </c>
      <c r="K5214" s="4" t="s">
        <v>17706</v>
      </c>
      <c r="M5214" s="2" t="s">
        <v>47</v>
      </c>
      <c r="N5214" s="2" t="s">
        <v>1538</v>
      </c>
    </row>
    <row r="5215" spans="1:14">
      <c r="A5215" s="2">
        <v>5214</v>
      </c>
      <c r="B5215" s="3" t="s">
        <v>17707</v>
      </c>
      <c r="C5215" s="2" t="s">
        <v>17708</v>
      </c>
      <c r="D5215" s="2">
        <v>36</v>
      </c>
      <c r="E5215" s="2">
        <v>37</v>
      </c>
      <c r="F5215" s="2" t="s">
        <v>17709</v>
      </c>
      <c r="H5215" s="2" t="s">
        <v>17</v>
      </c>
      <c r="K5215" s="4" t="s">
        <v>17710</v>
      </c>
      <c r="L5215" s="4">
        <v>24738</v>
      </c>
      <c r="M5215" s="2" t="s">
        <v>66</v>
      </c>
      <c r="N5215" s="2" t="s">
        <v>11429</v>
      </c>
    </row>
    <row r="5216" spans="1:14">
      <c r="A5216" s="2">
        <v>5215</v>
      </c>
      <c r="B5216" s="3" t="s">
        <v>17711</v>
      </c>
      <c r="C5216" s="2" t="s">
        <v>17712</v>
      </c>
      <c r="D5216" s="2">
        <v>36</v>
      </c>
      <c r="E5216" s="2">
        <v>37</v>
      </c>
      <c r="F5216" s="2" t="s">
        <v>17713</v>
      </c>
      <c r="H5216" s="2" t="s">
        <v>17</v>
      </c>
      <c r="K5216" s="4" t="s">
        <v>17714</v>
      </c>
      <c r="L5216" s="4">
        <v>18843</v>
      </c>
      <c r="M5216" s="2" t="s">
        <v>85</v>
      </c>
      <c r="N5216" s="2" t="s">
        <v>86</v>
      </c>
    </row>
    <row r="5217" spans="1:14">
      <c r="A5217" s="2">
        <v>5216</v>
      </c>
      <c r="B5217" s="3" t="s">
        <v>17715</v>
      </c>
      <c r="C5217" s="2" t="s">
        <v>17716</v>
      </c>
      <c r="D5217" s="2">
        <v>36</v>
      </c>
      <c r="E5217" s="2">
        <v>37</v>
      </c>
      <c r="F5217" s="2" t="s">
        <v>17717</v>
      </c>
      <c r="H5217" s="2" t="s">
        <v>17</v>
      </c>
      <c r="K5217" s="4" t="s">
        <v>17718</v>
      </c>
      <c r="M5217" s="2" t="s">
        <v>47</v>
      </c>
      <c r="N5217" s="2" t="s">
        <v>1538</v>
      </c>
    </row>
    <row r="5218" spans="1:14">
      <c r="A5218" s="2">
        <v>5217</v>
      </c>
      <c r="B5218" s="3" t="s">
        <v>17719</v>
      </c>
      <c r="C5218" s="2" t="s">
        <v>17720</v>
      </c>
      <c r="D5218" s="2">
        <v>37</v>
      </c>
      <c r="E5218" s="2">
        <v>37</v>
      </c>
      <c r="F5218" s="2" t="s">
        <v>17721</v>
      </c>
      <c r="H5218" s="2" t="s">
        <v>17</v>
      </c>
    </row>
    <row r="5219" spans="1:14">
      <c r="A5219" s="2">
        <v>5218</v>
      </c>
      <c r="B5219" s="3" t="s">
        <v>17722</v>
      </c>
      <c r="C5219" s="2" t="s">
        <v>14292</v>
      </c>
      <c r="D5219" s="2">
        <v>37</v>
      </c>
      <c r="E5219" s="2">
        <v>37</v>
      </c>
      <c r="F5219" s="2" t="s">
        <v>17723</v>
      </c>
      <c r="H5219" s="2" t="s">
        <v>17</v>
      </c>
      <c r="K5219" s="4" t="s">
        <v>17724</v>
      </c>
      <c r="L5219" s="4">
        <v>17800</v>
      </c>
      <c r="M5219" s="2" t="s">
        <v>35</v>
      </c>
      <c r="N5219" s="2" t="s">
        <v>15810</v>
      </c>
    </row>
    <row r="5220" spans="1:14">
      <c r="A5220" s="2">
        <v>5219</v>
      </c>
      <c r="B5220" s="3" t="s">
        <v>17725</v>
      </c>
      <c r="C5220" s="2" t="s">
        <v>17726</v>
      </c>
      <c r="D5220" s="2">
        <v>37</v>
      </c>
      <c r="E5220" s="2">
        <v>37</v>
      </c>
      <c r="F5220" s="2" t="s">
        <v>17727</v>
      </c>
      <c r="H5220" s="2" t="s">
        <v>17</v>
      </c>
      <c r="K5220" s="4" t="s">
        <v>17728</v>
      </c>
      <c r="L5220" s="4">
        <v>29267</v>
      </c>
    </row>
    <row r="5221" spans="1:14">
      <c r="A5221" s="2">
        <v>5220</v>
      </c>
      <c r="B5221" s="3" t="s">
        <v>17729</v>
      </c>
      <c r="C5221" s="2" t="s">
        <v>17730</v>
      </c>
      <c r="D5221" s="2">
        <v>37</v>
      </c>
      <c r="E5221" s="2">
        <v>37</v>
      </c>
      <c r="F5221" s="2" t="s">
        <v>17731</v>
      </c>
      <c r="H5221" s="2" t="s">
        <v>17</v>
      </c>
      <c r="K5221" s="4">
        <v>2949</v>
      </c>
      <c r="L5221" s="4">
        <v>30667</v>
      </c>
      <c r="M5221" s="2" t="s">
        <v>91</v>
      </c>
      <c r="N5221" s="2" t="s">
        <v>677</v>
      </c>
    </row>
    <row r="5222" spans="1:14">
      <c r="A5222" s="2">
        <v>5221</v>
      </c>
      <c r="B5222" s="3" t="s">
        <v>17732</v>
      </c>
      <c r="C5222" s="2" t="s">
        <v>17733</v>
      </c>
      <c r="D5222" s="2">
        <v>37</v>
      </c>
      <c r="E5222" s="2">
        <v>37</v>
      </c>
      <c r="F5222" s="2" t="s">
        <v>17734</v>
      </c>
      <c r="H5222" s="2" t="s">
        <v>17</v>
      </c>
      <c r="K5222" s="4" t="s">
        <v>17735</v>
      </c>
      <c r="L5222" s="4">
        <v>23854</v>
      </c>
      <c r="M5222" s="2" t="s">
        <v>66</v>
      </c>
      <c r="N5222" s="2" t="s">
        <v>71</v>
      </c>
    </row>
    <row r="5223" spans="1:14">
      <c r="A5223" s="2">
        <v>5222</v>
      </c>
      <c r="B5223" s="3" t="s">
        <v>17736</v>
      </c>
      <c r="C5223" s="2" t="s">
        <v>17737</v>
      </c>
      <c r="D5223" s="2">
        <v>36</v>
      </c>
      <c r="E5223" s="2">
        <v>37</v>
      </c>
      <c r="F5223" s="2" t="s">
        <v>17738</v>
      </c>
      <c r="H5223" s="2" t="s">
        <v>17</v>
      </c>
      <c r="K5223" s="4" t="s">
        <v>17739</v>
      </c>
      <c r="L5223" s="4">
        <v>21525</v>
      </c>
      <c r="M5223" s="2" t="s">
        <v>47</v>
      </c>
      <c r="N5223" s="2" t="s">
        <v>1656</v>
      </c>
    </row>
    <row r="5224" spans="1:14">
      <c r="A5224" s="2">
        <v>5223</v>
      </c>
      <c r="B5224" s="3" t="s">
        <v>17740</v>
      </c>
      <c r="C5224" s="2" t="s">
        <v>17741</v>
      </c>
      <c r="D5224" s="2">
        <v>36</v>
      </c>
      <c r="E5224" s="2">
        <v>37</v>
      </c>
      <c r="F5224" s="2" t="s">
        <v>17742</v>
      </c>
      <c r="H5224" s="2" t="s">
        <v>17</v>
      </c>
      <c r="K5224" s="4" t="s">
        <v>17743</v>
      </c>
      <c r="L5224" s="4">
        <v>24764</v>
      </c>
      <c r="M5224" s="2" t="s">
        <v>35</v>
      </c>
      <c r="N5224" s="2" t="s">
        <v>1462</v>
      </c>
    </row>
    <row r="5225" spans="1:14">
      <c r="A5225" s="2">
        <v>5224</v>
      </c>
      <c r="B5225" s="3" t="s">
        <v>17744</v>
      </c>
      <c r="C5225" s="2" t="s">
        <v>17745</v>
      </c>
      <c r="D5225" s="2">
        <v>37</v>
      </c>
      <c r="E5225" s="2">
        <v>37</v>
      </c>
      <c r="F5225" s="2" t="s">
        <v>17746</v>
      </c>
      <c r="H5225" s="2" t="s">
        <v>17</v>
      </c>
      <c r="K5225" s="4" t="s">
        <v>17747</v>
      </c>
      <c r="L5225" s="4">
        <v>17505</v>
      </c>
      <c r="M5225" s="2" t="s">
        <v>53</v>
      </c>
    </row>
    <row r="5226" spans="1:14">
      <c r="A5226" s="2">
        <v>5225</v>
      </c>
      <c r="B5226" s="3" t="s">
        <v>17748</v>
      </c>
      <c r="C5226" s="2" t="s">
        <v>17749</v>
      </c>
      <c r="D5226" s="2">
        <v>37</v>
      </c>
      <c r="E5226" s="2">
        <v>37</v>
      </c>
      <c r="F5226" s="2" t="s">
        <v>17750</v>
      </c>
      <c r="H5226" s="2" t="s">
        <v>17</v>
      </c>
      <c r="K5226" s="4" t="s">
        <v>17751</v>
      </c>
      <c r="L5226" s="4">
        <v>29658</v>
      </c>
      <c r="M5226" s="2" t="s">
        <v>170</v>
      </c>
      <c r="N5226" s="2" t="s">
        <v>759</v>
      </c>
    </row>
    <row r="5227" spans="1:14">
      <c r="A5227" s="2">
        <v>5226</v>
      </c>
      <c r="B5227" s="3" t="s">
        <v>17752</v>
      </c>
      <c r="C5227" s="2" t="s">
        <v>17753</v>
      </c>
      <c r="D5227" s="2">
        <v>37</v>
      </c>
      <c r="E5227" s="2">
        <v>37</v>
      </c>
      <c r="F5227" s="2" t="s">
        <v>17754</v>
      </c>
      <c r="H5227" s="2" t="s">
        <v>45</v>
      </c>
      <c r="K5227" s="4" t="s">
        <v>17755</v>
      </c>
      <c r="L5227" s="4">
        <v>28019</v>
      </c>
      <c r="M5227" s="2" t="s">
        <v>47</v>
      </c>
      <c r="N5227" s="2" t="s">
        <v>48</v>
      </c>
    </row>
    <row r="5228" spans="1:14">
      <c r="A5228" s="2">
        <v>5227</v>
      </c>
      <c r="B5228" s="3" t="s">
        <v>17756</v>
      </c>
      <c r="C5228" s="2" t="s">
        <v>17757</v>
      </c>
      <c r="D5228" s="2">
        <v>34</v>
      </c>
      <c r="E5228" s="2">
        <v>37</v>
      </c>
      <c r="F5228" s="2" t="s">
        <v>17758</v>
      </c>
      <c r="H5228" s="2" t="s">
        <v>17</v>
      </c>
      <c r="K5228" s="4" t="s">
        <v>17759</v>
      </c>
      <c r="L5228" s="4">
        <v>14341</v>
      </c>
      <c r="M5228" s="2" t="s">
        <v>47</v>
      </c>
      <c r="N5228" s="2" t="s">
        <v>4066</v>
      </c>
    </row>
    <row r="5229" spans="1:14">
      <c r="A5229" s="2">
        <v>5228</v>
      </c>
      <c r="B5229" s="3" t="s">
        <v>17760</v>
      </c>
      <c r="C5229" s="2" t="s">
        <v>17761</v>
      </c>
      <c r="D5229" s="2">
        <v>22</v>
      </c>
      <c r="E5229" s="2">
        <v>37</v>
      </c>
      <c r="F5229" s="2" t="s">
        <v>17762</v>
      </c>
      <c r="H5229" s="2" t="s">
        <v>17</v>
      </c>
      <c r="K5229" s="4" t="s">
        <v>17763</v>
      </c>
      <c r="L5229" s="4">
        <v>22396</v>
      </c>
      <c r="M5229" s="2" t="s">
        <v>66</v>
      </c>
      <c r="N5229" s="2" t="s">
        <v>17764</v>
      </c>
    </row>
    <row r="5230" spans="1:14">
      <c r="A5230" s="2">
        <v>5229</v>
      </c>
      <c r="B5230" s="3" t="s">
        <v>17765</v>
      </c>
      <c r="C5230" s="2" t="s">
        <v>17766</v>
      </c>
      <c r="D5230" s="2">
        <v>37</v>
      </c>
      <c r="E5230" s="2">
        <v>37</v>
      </c>
      <c r="F5230" s="2" t="s">
        <v>17767</v>
      </c>
      <c r="H5230" s="2" t="s">
        <v>17</v>
      </c>
      <c r="K5230" s="4" t="s">
        <v>17768</v>
      </c>
      <c r="L5230" s="4">
        <v>15251</v>
      </c>
      <c r="M5230" s="2" t="s">
        <v>47</v>
      </c>
      <c r="N5230" s="2" t="s">
        <v>48</v>
      </c>
    </row>
    <row r="5231" spans="1:14">
      <c r="A5231" s="2">
        <v>5230</v>
      </c>
      <c r="B5231" s="3" t="s">
        <v>17769</v>
      </c>
      <c r="C5231" s="2" t="s">
        <v>17770</v>
      </c>
      <c r="D5231" s="2">
        <v>37</v>
      </c>
      <c r="E5231" s="2">
        <v>37</v>
      </c>
      <c r="F5231" s="2" t="s">
        <v>17771</v>
      </c>
      <c r="H5231" s="2" t="s">
        <v>17</v>
      </c>
      <c r="K5231" s="4" t="s">
        <v>17772</v>
      </c>
      <c r="L5231" s="4">
        <v>26000</v>
      </c>
      <c r="M5231" s="2" t="s">
        <v>76</v>
      </c>
      <c r="N5231" s="2" t="s">
        <v>906</v>
      </c>
    </row>
    <row r="5232" spans="1:14">
      <c r="A5232" s="2">
        <v>5231</v>
      </c>
      <c r="B5232" s="3" t="s">
        <v>17773</v>
      </c>
      <c r="C5232" s="2" t="s">
        <v>16985</v>
      </c>
      <c r="D5232" s="2">
        <v>30</v>
      </c>
      <c r="E5232" s="2">
        <v>37</v>
      </c>
      <c r="F5232" s="2" t="s">
        <v>17774</v>
      </c>
      <c r="H5232" s="2" t="s">
        <v>17</v>
      </c>
      <c r="K5232" s="4" t="s">
        <v>17775</v>
      </c>
      <c r="L5232" s="4">
        <v>19847</v>
      </c>
      <c r="M5232" s="2" t="s">
        <v>35</v>
      </c>
      <c r="N5232" s="2" t="s">
        <v>1242</v>
      </c>
    </row>
    <row r="5233" spans="1:14">
      <c r="A5233" s="2">
        <v>5232</v>
      </c>
      <c r="B5233" s="3" t="s">
        <v>17776</v>
      </c>
      <c r="C5233" s="2" t="s">
        <v>17777</v>
      </c>
      <c r="D5233" s="2">
        <v>37</v>
      </c>
      <c r="E5233" s="2">
        <v>37</v>
      </c>
      <c r="F5233" s="2" t="s">
        <v>17778</v>
      </c>
      <c r="H5233" s="2" t="s">
        <v>17</v>
      </c>
      <c r="K5233" s="4" t="s">
        <v>17779</v>
      </c>
      <c r="L5233" s="4">
        <v>19741</v>
      </c>
      <c r="M5233" s="2" t="s">
        <v>170</v>
      </c>
      <c r="N5233" s="2" t="s">
        <v>323</v>
      </c>
    </row>
    <row r="5234" spans="1:14">
      <c r="A5234" s="2">
        <v>5233</v>
      </c>
      <c r="B5234" s="3" t="s">
        <v>17780</v>
      </c>
      <c r="C5234" s="2" t="s">
        <v>17781</v>
      </c>
      <c r="D5234" s="2">
        <v>37</v>
      </c>
      <c r="E5234" s="2">
        <v>37</v>
      </c>
      <c r="F5234" s="2" t="s">
        <v>17782</v>
      </c>
      <c r="H5234" s="2" t="s">
        <v>17</v>
      </c>
      <c r="K5234" s="4" t="s">
        <v>17783</v>
      </c>
      <c r="L5234" s="4">
        <v>21374</v>
      </c>
      <c r="M5234" s="2" t="s">
        <v>66</v>
      </c>
      <c r="N5234" s="2" t="s">
        <v>6644</v>
      </c>
    </row>
    <row r="5235" spans="1:14">
      <c r="A5235" s="2">
        <v>5234</v>
      </c>
      <c r="B5235" s="3" t="s">
        <v>17784</v>
      </c>
      <c r="C5235" s="2" t="s">
        <v>17785</v>
      </c>
      <c r="D5235" s="2">
        <v>34</v>
      </c>
      <c r="E5235" s="2">
        <v>37</v>
      </c>
      <c r="F5235" s="2" t="s">
        <v>17786</v>
      </c>
      <c r="H5235" s="2" t="s">
        <v>17</v>
      </c>
      <c r="K5235" s="4" t="s">
        <v>17787</v>
      </c>
      <c r="L5235" s="4">
        <v>13346</v>
      </c>
      <c r="M5235" s="2" t="s">
        <v>76</v>
      </c>
      <c r="N5235" s="2" t="s">
        <v>6830</v>
      </c>
    </row>
    <row r="5236" spans="1:14">
      <c r="A5236" s="2">
        <v>5235</v>
      </c>
      <c r="B5236" s="3" t="s">
        <v>17788</v>
      </c>
      <c r="C5236" s="2" t="s">
        <v>17789</v>
      </c>
      <c r="D5236" s="2">
        <v>37</v>
      </c>
      <c r="E5236" s="2">
        <v>37</v>
      </c>
      <c r="F5236" s="2" t="s">
        <v>17790</v>
      </c>
      <c r="H5236" s="2" t="s">
        <v>17</v>
      </c>
      <c r="K5236" s="4">
        <v>2525</v>
      </c>
      <c r="L5236" s="4">
        <v>19038</v>
      </c>
      <c r="M5236" s="2" t="s">
        <v>170</v>
      </c>
      <c r="N5236" s="2" t="s">
        <v>6759</v>
      </c>
    </row>
    <row r="5237" spans="1:14">
      <c r="A5237" s="2">
        <v>5236</v>
      </c>
      <c r="B5237" s="3" t="s">
        <v>17791</v>
      </c>
      <c r="C5237" s="2" t="s">
        <v>17792</v>
      </c>
      <c r="D5237" s="2">
        <v>37</v>
      </c>
      <c r="E5237" s="2">
        <v>37</v>
      </c>
      <c r="F5237" s="2" t="s">
        <v>17793</v>
      </c>
      <c r="H5237" s="2" t="s">
        <v>17</v>
      </c>
    </row>
    <row r="5238" spans="1:14">
      <c r="A5238" s="2">
        <v>5237</v>
      </c>
      <c r="B5238" s="3" t="s">
        <v>17794</v>
      </c>
      <c r="C5238" s="2" t="s">
        <v>17795</v>
      </c>
      <c r="D5238" s="2">
        <v>37</v>
      </c>
      <c r="E5238" s="2">
        <v>37</v>
      </c>
      <c r="F5238" s="2" t="s">
        <v>17796</v>
      </c>
      <c r="H5238" s="2" t="s">
        <v>17</v>
      </c>
      <c r="K5238" s="4" t="s">
        <v>17797</v>
      </c>
      <c r="M5238" s="2" t="s">
        <v>146</v>
      </c>
    </row>
    <row r="5239" spans="1:14">
      <c r="A5239" s="2">
        <v>5238</v>
      </c>
      <c r="B5239" s="3" t="s">
        <v>17798</v>
      </c>
      <c r="C5239" s="2" t="s">
        <v>17799</v>
      </c>
      <c r="D5239" s="2">
        <v>36</v>
      </c>
      <c r="E5239" s="2">
        <v>37</v>
      </c>
      <c r="F5239" s="2" t="s">
        <v>17800</v>
      </c>
      <c r="H5239" s="2" t="s">
        <v>17</v>
      </c>
      <c r="K5239" s="4" t="s">
        <v>17801</v>
      </c>
      <c r="L5239" s="4">
        <v>35657</v>
      </c>
      <c r="M5239" s="2" t="s">
        <v>423</v>
      </c>
      <c r="N5239" s="2" t="s">
        <v>3488</v>
      </c>
    </row>
    <row r="5240" spans="1:14">
      <c r="A5240" s="2">
        <v>5239</v>
      </c>
      <c r="B5240" s="3" t="s">
        <v>17802</v>
      </c>
      <c r="C5240" s="2" t="s">
        <v>17803</v>
      </c>
      <c r="D5240" s="2">
        <v>37</v>
      </c>
      <c r="E5240" s="2">
        <v>37</v>
      </c>
      <c r="F5240" s="2" t="s">
        <v>17804</v>
      </c>
      <c r="H5240" s="2" t="s">
        <v>17</v>
      </c>
      <c r="K5240" s="4" t="s">
        <v>17805</v>
      </c>
      <c r="M5240" s="2" t="s">
        <v>66</v>
      </c>
      <c r="N5240" s="2" t="s">
        <v>2712</v>
      </c>
    </row>
    <row r="5241" spans="1:14">
      <c r="A5241" s="2">
        <v>5240</v>
      </c>
      <c r="B5241" s="3" t="s">
        <v>17806</v>
      </c>
      <c r="C5241" s="2" t="s">
        <v>17807</v>
      </c>
      <c r="D5241" s="2">
        <v>37</v>
      </c>
      <c r="E5241" s="2">
        <v>37</v>
      </c>
      <c r="F5241" s="2" t="s">
        <v>17807</v>
      </c>
      <c r="H5241" s="2" t="s">
        <v>17</v>
      </c>
      <c r="L5241" s="4">
        <v>20943</v>
      </c>
    </row>
    <row r="5242" spans="1:14">
      <c r="A5242" s="2">
        <v>5241</v>
      </c>
      <c r="B5242" s="3" t="s">
        <v>17808</v>
      </c>
      <c r="C5242" s="2" t="s">
        <v>17809</v>
      </c>
      <c r="D5242" s="2">
        <v>36</v>
      </c>
      <c r="E5242" s="2">
        <v>37</v>
      </c>
      <c r="F5242" s="2" t="s">
        <v>17810</v>
      </c>
      <c r="H5242" s="2" t="s">
        <v>17</v>
      </c>
      <c r="K5242" s="4" t="s">
        <v>17811</v>
      </c>
      <c r="L5242" s="4">
        <v>16841</v>
      </c>
      <c r="M5242" s="2" t="s">
        <v>185</v>
      </c>
      <c r="N5242" s="2" t="s">
        <v>7309</v>
      </c>
    </row>
    <row r="5243" spans="1:14">
      <c r="A5243" s="2">
        <v>5242</v>
      </c>
      <c r="B5243" s="3" t="s">
        <v>17812</v>
      </c>
      <c r="C5243" s="2" t="s">
        <v>17813</v>
      </c>
      <c r="D5243" s="2">
        <v>36</v>
      </c>
      <c r="E5243" s="2">
        <v>37</v>
      </c>
      <c r="F5243" s="2" t="s">
        <v>17814</v>
      </c>
      <c r="H5243" s="2" t="s">
        <v>45</v>
      </c>
      <c r="K5243" s="4" t="s">
        <v>17815</v>
      </c>
      <c r="L5243" s="4">
        <v>30058</v>
      </c>
      <c r="M5243" s="2" t="s">
        <v>47</v>
      </c>
      <c r="N5243" s="2" t="s">
        <v>48</v>
      </c>
    </row>
    <row r="5244" spans="1:14">
      <c r="A5244" s="2">
        <v>5243</v>
      </c>
      <c r="B5244" s="3" t="s">
        <v>17816</v>
      </c>
      <c r="C5244" s="2" t="s">
        <v>17817</v>
      </c>
      <c r="D5244" s="2">
        <v>25</v>
      </c>
      <c r="E5244" s="2">
        <v>37</v>
      </c>
      <c r="F5244" s="2" t="s">
        <v>17818</v>
      </c>
      <c r="H5244" s="2" t="s">
        <v>17</v>
      </c>
      <c r="K5244" s="4" t="s">
        <v>17819</v>
      </c>
      <c r="L5244" s="4">
        <v>19857</v>
      </c>
      <c r="M5244" s="2" t="s">
        <v>35</v>
      </c>
      <c r="N5244" s="2" t="s">
        <v>12700</v>
      </c>
    </row>
    <row r="5245" spans="1:14">
      <c r="A5245" s="2">
        <v>5244</v>
      </c>
      <c r="B5245" s="3" t="s">
        <v>17820</v>
      </c>
      <c r="C5245" s="2" t="s">
        <v>17821</v>
      </c>
      <c r="D5245" s="2">
        <v>37</v>
      </c>
      <c r="E5245" s="2">
        <v>37</v>
      </c>
      <c r="F5245" s="2" t="s">
        <v>17822</v>
      </c>
      <c r="H5245" s="2" t="s">
        <v>17</v>
      </c>
      <c r="K5245" s="4" t="s">
        <v>17823</v>
      </c>
      <c r="L5245" s="4">
        <v>25495</v>
      </c>
      <c r="M5245" s="2" t="s">
        <v>47</v>
      </c>
      <c r="N5245" s="2" t="s">
        <v>442</v>
      </c>
    </row>
    <row r="5246" spans="1:14">
      <c r="A5246" s="2">
        <v>5245</v>
      </c>
      <c r="B5246" s="3" t="s">
        <v>17824</v>
      </c>
      <c r="C5246" s="2" t="s">
        <v>17825</v>
      </c>
      <c r="D5246" s="2">
        <v>36</v>
      </c>
      <c r="E5246" s="2">
        <v>37</v>
      </c>
      <c r="F5246" s="2" t="s">
        <v>17826</v>
      </c>
      <c r="H5246" s="2" t="s">
        <v>17</v>
      </c>
      <c r="K5246" s="4" t="s">
        <v>17827</v>
      </c>
      <c r="L5246" s="4">
        <v>22080</v>
      </c>
      <c r="M5246" s="2" t="s">
        <v>170</v>
      </c>
    </row>
    <row r="5247" spans="1:14">
      <c r="A5247" s="2">
        <v>5246</v>
      </c>
      <c r="B5247" s="3" t="s">
        <v>17828</v>
      </c>
      <c r="C5247" s="2" t="s">
        <v>17829</v>
      </c>
      <c r="D5247" s="2">
        <v>22</v>
      </c>
      <c r="E5247" s="2">
        <v>37</v>
      </c>
      <c r="F5247" s="2" t="s">
        <v>17830</v>
      </c>
      <c r="H5247" s="2" t="s">
        <v>17</v>
      </c>
      <c r="K5247" s="4" t="s">
        <v>17831</v>
      </c>
      <c r="L5247" s="4">
        <v>19583</v>
      </c>
      <c r="M5247" s="2" t="s">
        <v>47</v>
      </c>
      <c r="N5247" s="2" t="s">
        <v>3765</v>
      </c>
    </row>
    <row r="5248" spans="1:14">
      <c r="A5248" s="2">
        <v>5247</v>
      </c>
      <c r="B5248" s="3" t="s">
        <v>17832</v>
      </c>
      <c r="C5248" s="2" t="s">
        <v>17833</v>
      </c>
      <c r="D5248" s="2">
        <v>37</v>
      </c>
      <c r="E5248" s="2">
        <v>37</v>
      </c>
      <c r="F5248" s="2" t="s">
        <v>17834</v>
      </c>
      <c r="H5248" s="2" t="s">
        <v>17</v>
      </c>
      <c r="K5248" s="4" t="s">
        <v>17243</v>
      </c>
      <c r="L5248" s="4">
        <v>31721</v>
      </c>
      <c r="M5248" s="2" t="s">
        <v>53</v>
      </c>
      <c r="N5248" s="2" t="s">
        <v>54</v>
      </c>
    </row>
    <row r="5249" spans="1:14">
      <c r="A5249" s="2">
        <v>5248</v>
      </c>
      <c r="B5249" s="3" t="s">
        <v>17835</v>
      </c>
      <c r="C5249" s="2" t="s">
        <v>17836</v>
      </c>
      <c r="D5249" s="2">
        <v>36</v>
      </c>
      <c r="E5249" s="2">
        <v>37</v>
      </c>
      <c r="F5249" s="2" t="s">
        <v>17837</v>
      </c>
      <c r="H5249" s="2" t="s">
        <v>17</v>
      </c>
      <c r="K5249" s="4" t="s">
        <v>17838</v>
      </c>
      <c r="L5249" s="4">
        <v>20886</v>
      </c>
      <c r="M5249" s="2" t="s">
        <v>164</v>
      </c>
      <c r="N5249" s="2" t="s">
        <v>165</v>
      </c>
    </row>
    <row r="5250" spans="1:14">
      <c r="A5250" s="2">
        <v>5249</v>
      </c>
      <c r="B5250" s="3" t="s">
        <v>17839</v>
      </c>
      <c r="C5250" s="2" t="s">
        <v>17840</v>
      </c>
      <c r="D5250" s="2">
        <v>37</v>
      </c>
      <c r="E5250" s="2">
        <v>37</v>
      </c>
      <c r="F5250" s="2" t="s">
        <v>17841</v>
      </c>
      <c r="H5250" s="2" t="s">
        <v>17</v>
      </c>
    </row>
    <row r="5251" spans="1:14">
      <c r="A5251" s="2">
        <v>5250</v>
      </c>
      <c r="B5251" s="3" t="s">
        <v>17842</v>
      </c>
      <c r="C5251" s="2" t="s">
        <v>17843</v>
      </c>
      <c r="D5251" s="2">
        <v>29</v>
      </c>
      <c r="E5251" s="2">
        <v>37</v>
      </c>
      <c r="F5251" s="2" t="s">
        <v>17844</v>
      </c>
      <c r="H5251" s="2" t="s">
        <v>17</v>
      </c>
      <c r="K5251" s="4" t="s">
        <v>17845</v>
      </c>
      <c r="L5251" s="4">
        <v>14015</v>
      </c>
      <c r="M5251" s="2" t="s">
        <v>198</v>
      </c>
    </row>
    <row r="5252" spans="1:14">
      <c r="A5252" s="2">
        <v>5251</v>
      </c>
      <c r="B5252" s="3" t="s">
        <v>17846</v>
      </c>
      <c r="C5252" s="2" t="s">
        <v>17847</v>
      </c>
      <c r="D5252" s="2">
        <v>37</v>
      </c>
      <c r="E5252" s="2">
        <v>37</v>
      </c>
      <c r="F5252" s="2" t="s">
        <v>17848</v>
      </c>
      <c r="H5252" s="2" t="s">
        <v>17</v>
      </c>
      <c r="K5252" s="4" t="s">
        <v>17849</v>
      </c>
      <c r="L5252" s="4">
        <v>18823</v>
      </c>
      <c r="M5252" s="2" t="s">
        <v>47</v>
      </c>
      <c r="N5252" s="2" t="s">
        <v>9901</v>
      </c>
    </row>
    <row r="5253" spans="1:14">
      <c r="A5253" s="2">
        <v>5252</v>
      </c>
      <c r="B5253" s="3" t="s">
        <v>17850</v>
      </c>
      <c r="C5253" s="2" t="s">
        <v>17851</v>
      </c>
      <c r="D5253" s="2">
        <v>37</v>
      </c>
      <c r="E5253" s="2">
        <v>37</v>
      </c>
      <c r="F5253" s="2" t="s">
        <v>17852</v>
      </c>
      <c r="H5253" s="2" t="s">
        <v>17</v>
      </c>
    </row>
    <row r="5254" spans="1:14">
      <c r="A5254" s="2">
        <v>5253</v>
      </c>
      <c r="B5254" s="3" t="s">
        <v>17853</v>
      </c>
      <c r="C5254" s="2" t="s">
        <v>17854</v>
      </c>
      <c r="D5254" s="2">
        <v>37</v>
      </c>
      <c r="E5254" s="2">
        <v>37</v>
      </c>
      <c r="F5254" s="2" t="s">
        <v>17855</v>
      </c>
      <c r="H5254" s="2" t="s">
        <v>17</v>
      </c>
      <c r="L5254" s="4">
        <v>29541</v>
      </c>
    </row>
    <row r="5255" spans="1:14">
      <c r="A5255" s="2">
        <v>5254</v>
      </c>
      <c r="B5255" s="3" t="s">
        <v>17856</v>
      </c>
      <c r="C5255" s="2" t="s">
        <v>17857</v>
      </c>
      <c r="D5255" s="2">
        <v>37</v>
      </c>
      <c r="E5255" s="2">
        <v>37</v>
      </c>
      <c r="F5255" s="2" t="s">
        <v>17858</v>
      </c>
      <c r="H5255" s="2" t="s">
        <v>17</v>
      </c>
      <c r="K5255" s="4">
        <v>2979</v>
      </c>
      <c r="L5255" s="4">
        <v>39153</v>
      </c>
      <c r="M5255" s="2" t="s">
        <v>35</v>
      </c>
      <c r="N5255" s="2" t="s">
        <v>58</v>
      </c>
    </row>
    <row r="5256" spans="1:14">
      <c r="A5256" s="2">
        <v>5255</v>
      </c>
      <c r="B5256" s="3" t="s">
        <v>17859</v>
      </c>
      <c r="C5256" s="2" t="s">
        <v>17860</v>
      </c>
      <c r="D5256" s="2">
        <v>36</v>
      </c>
      <c r="E5256" s="2">
        <v>37</v>
      </c>
      <c r="F5256" s="2" t="s">
        <v>17861</v>
      </c>
      <c r="H5256" s="2" t="s">
        <v>17</v>
      </c>
      <c r="K5256" s="4">
        <v>1733</v>
      </c>
      <c r="L5256" s="4">
        <v>23671</v>
      </c>
      <c r="M5256" s="2" t="s">
        <v>35</v>
      </c>
      <c r="N5256" s="2" t="s">
        <v>10815</v>
      </c>
    </row>
    <row r="5257" spans="1:14">
      <c r="A5257" s="2">
        <v>5256</v>
      </c>
      <c r="B5257" s="3" t="s">
        <v>17862</v>
      </c>
      <c r="C5257" s="2" t="s">
        <v>17863</v>
      </c>
      <c r="D5257" s="2">
        <v>36</v>
      </c>
      <c r="E5257" s="2">
        <v>37</v>
      </c>
      <c r="F5257" s="2" t="s">
        <v>17864</v>
      </c>
      <c r="H5257" s="2" t="s">
        <v>17</v>
      </c>
      <c r="K5257" s="4" t="s">
        <v>17865</v>
      </c>
      <c r="L5257" s="4">
        <v>20341</v>
      </c>
      <c r="M5257" s="2" t="s">
        <v>66</v>
      </c>
      <c r="N5257" s="2" t="s">
        <v>6076</v>
      </c>
    </row>
    <row r="5258" spans="1:14">
      <c r="A5258" s="2">
        <v>5257</v>
      </c>
      <c r="B5258" s="3" t="s">
        <v>17866</v>
      </c>
      <c r="C5258" s="2" t="s">
        <v>17867</v>
      </c>
      <c r="D5258" s="2">
        <v>37</v>
      </c>
      <c r="E5258" s="2">
        <v>37</v>
      </c>
      <c r="F5258" s="2" t="s">
        <v>17868</v>
      </c>
      <c r="H5258" s="2" t="s">
        <v>17</v>
      </c>
      <c r="K5258" s="4" t="s">
        <v>17869</v>
      </c>
      <c r="L5258" s="4">
        <v>16039</v>
      </c>
      <c r="M5258" s="2" t="s">
        <v>40</v>
      </c>
      <c r="N5258" s="2" t="s">
        <v>17870</v>
      </c>
    </row>
    <row r="5259" spans="1:14">
      <c r="A5259" s="2">
        <v>5258</v>
      </c>
      <c r="B5259" s="3" t="s">
        <v>17871</v>
      </c>
      <c r="C5259" s="2" t="s">
        <v>17872</v>
      </c>
      <c r="D5259" s="2">
        <v>36</v>
      </c>
      <c r="E5259" s="2">
        <v>37</v>
      </c>
      <c r="F5259" s="2" t="s">
        <v>17873</v>
      </c>
      <c r="H5259" s="2" t="s">
        <v>17</v>
      </c>
      <c r="K5259" s="4" t="s">
        <v>17874</v>
      </c>
      <c r="L5259" s="4">
        <v>15231</v>
      </c>
      <c r="M5259" s="2" t="s">
        <v>91</v>
      </c>
      <c r="N5259" s="2" t="s">
        <v>16267</v>
      </c>
    </row>
    <row r="5260" spans="1:14">
      <c r="A5260" s="2">
        <v>5259</v>
      </c>
      <c r="B5260" s="3" t="s">
        <v>17875</v>
      </c>
      <c r="C5260" s="2" t="s">
        <v>17876</v>
      </c>
      <c r="D5260" s="2">
        <v>37</v>
      </c>
      <c r="E5260" s="2">
        <v>37</v>
      </c>
      <c r="F5260" s="2" t="s">
        <v>17877</v>
      </c>
      <c r="H5260" s="2" t="s">
        <v>17</v>
      </c>
      <c r="K5260" s="4" t="s">
        <v>17878</v>
      </c>
      <c r="L5260" s="4">
        <v>24497</v>
      </c>
      <c r="M5260" s="2" t="s">
        <v>423</v>
      </c>
      <c r="N5260" s="2" t="s">
        <v>3005</v>
      </c>
    </row>
    <row r="5261" spans="1:14">
      <c r="A5261" s="2">
        <v>5260</v>
      </c>
      <c r="B5261" s="3" t="s">
        <v>17879</v>
      </c>
      <c r="C5261" s="2" t="s">
        <v>17880</v>
      </c>
      <c r="D5261" s="2">
        <v>37</v>
      </c>
      <c r="E5261" s="2">
        <v>37</v>
      </c>
      <c r="F5261" s="2" t="s">
        <v>17881</v>
      </c>
      <c r="H5261" s="2" t="s">
        <v>17</v>
      </c>
      <c r="K5261" s="4" t="s">
        <v>17882</v>
      </c>
      <c r="L5261" s="4">
        <v>14822</v>
      </c>
      <c r="M5261" s="2" t="s">
        <v>423</v>
      </c>
      <c r="N5261" s="2" t="s">
        <v>3005</v>
      </c>
    </row>
    <row r="5262" spans="1:14">
      <c r="A5262" s="2">
        <v>5261</v>
      </c>
      <c r="B5262" s="3" t="s">
        <v>17883</v>
      </c>
      <c r="C5262" s="2" t="s">
        <v>17884</v>
      </c>
      <c r="D5262" s="2">
        <v>36</v>
      </c>
      <c r="E5262" s="2">
        <v>37</v>
      </c>
      <c r="F5262" s="2" t="s">
        <v>17885</v>
      </c>
      <c r="H5262" s="2" t="s">
        <v>17</v>
      </c>
      <c r="K5262" s="4" t="s">
        <v>17886</v>
      </c>
      <c r="L5262" s="4">
        <v>26396</v>
      </c>
      <c r="M5262" s="2" t="s">
        <v>40</v>
      </c>
      <c r="N5262" s="2" t="s">
        <v>41</v>
      </c>
    </row>
    <row r="5263" spans="1:14">
      <c r="A5263" s="2">
        <v>5262</v>
      </c>
      <c r="B5263" s="3" t="s">
        <v>17887</v>
      </c>
      <c r="C5263" s="2" t="s">
        <v>17888</v>
      </c>
      <c r="D5263" s="2">
        <v>36</v>
      </c>
      <c r="E5263" s="2">
        <v>37</v>
      </c>
      <c r="F5263" s="2" t="s">
        <v>17889</v>
      </c>
      <c r="H5263" s="2" t="s">
        <v>17</v>
      </c>
      <c r="K5263" s="4" t="s">
        <v>17890</v>
      </c>
      <c r="M5263" s="2" t="s">
        <v>66</v>
      </c>
      <c r="N5263" s="2" t="s">
        <v>71</v>
      </c>
    </row>
    <row r="5264" spans="1:14">
      <c r="A5264" s="2">
        <v>5263</v>
      </c>
      <c r="B5264" s="3" t="s">
        <v>17891</v>
      </c>
      <c r="C5264" s="2" t="s">
        <v>17892</v>
      </c>
      <c r="D5264" s="2">
        <v>37</v>
      </c>
      <c r="E5264" s="2">
        <v>37</v>
      </c>
      <c r="F5264" s="2" t="s">
        <v>17893</v>
      </c>
      <c r="H5264" s="2" t="s">
        <v>17</v>
      </c>
      <c r="K5264" s="4" t="s">
        <v>17894</v>
      </c>
      <c r="L5264" s="4">
        <v>26188</v>
      </c>
      <c r="M5264" s="2" t="s">
        <v>185</v>
      </c>
      <c r="N5264" s="2" t="s">
        <v>16052</v>
      </c>
    </row>
    <row r="5265" spans="1:14">
      <c r="A5265" s="2">
        <v>5264</v>
      </c>
      <c r="B5265" s="3" t="s">
        <v>17895</v>
      </c>
      <c r="C5265" s="2" t="s">
        <v>17896</v>
      </c>
      <c r="D5265" s="2">
        <v>37</v>
      </c>
      <c r="E5265" s="2">
        <v>37</v>
      </c>
      <c r="F5265" s="2" t="s">
        <v>17897</v>
      </c>
      <c r="H5265" s="2" t="s">
        <v>17</v>
      </c>
      <c r="K5265" s="4">
        <v>2368</v>
      </c>
      <c r="L5265" s="4">
        <v>14317</v>
      </c>
      <c r="M5265" s="2" t="s">
        <v>146</v>
      </c>
      <c r="N5265" s="2" t="s">
        <v>13390</v>
      </c>
    </row>
    <row r="5266" spans="1:14">
      <c r="A5266" s="2">
        <v>5265</v>
      </c>
      <c r="B5266" s="3" t="s">
        <v>17898</v>
      </c>
      <c r="C5266" s="2" t="s">
        <v>17899</v>
      </c>
      <c r="D5266" s="2">
        <v>37</v>
      </c>
      <c r="E5266" s="2">
        <v>37</v>
      </c>
      <c r="F5266" s="2" t="s">
        <v>17900</v>
      </c>
      <c r="H5266" s="2" t="s">
        <v>17</v>
      </c>
    </row>
    <row r="5267" spans="1:14">
      <c r="A5267" s="2">
        <v>5266</v>
      </c>
      <c r="B5267" s="3" t="s">
        <v>17901</v>
      </c>
      <c r="C5267" s="2" t="s">
        <v>9290</v>
      </c>
      <c r="D5267" s="2">
        <v>37</v>
      </c>
      <c r="E5267" s="2">
        <v>37</v>
      </c>
      <c r="F5267" s="2" t="s">
        <v>17902</v>
      </c>
      <c r="H5267" s="2" t="s">
        <v>17</v>
      </c>
    </row>
    <row r="5268" spans="1:14">
      <c r="A5268" s="2">
        <v>5267</v>
      </c>
      <c r="B5268" s="3" t="s">
        <v>17903</v>
      </c>
      <c r="C5268" s="2" t="s">
        <v>17904</v>
      </c>
      <c r="D5268" s="2">
        <v>37</v>
      </c>
      <c r="E5268" s="2">
        <v>37</v>
      </c>
      <c r="F5268" s="2" t="s">
        <v>17905</v>
      </c>
      <c r="H5268" s="2" t="s">
        <v>17</v>
      </c>
      <c r="M5268" s="2" t="s">
        <v>47</v>
      </c>
      <c r="N5268" s="2" t="s">
        <v>9901</v>
      </c>
    </row>
    <row r="5269" spans="1:14">
      <c r="A5269" s="2">
        <v>5268</v>
      </c>
      <c r="B5269" s="3" t="s">
        <v>17906</v>
      </c>
      <c r="C5269" s="2" t="s">
        <v>17907</v>
      </c>
      <c r="D5269" s="2">
        <v>36</v>
      </c>
      <c r="E5269" s="2">
        <v>37</v>
      </c>
      <c r="F5269" s="2" t="s">
        <v>17908</v>
      </c>
      <c r="H5269" s="2" t="s">
        <v>17</v>
      </c>
      <c r="K5269" s="4" t="s">
        <v>17909</v>
      </c>
      <c r="L5269" s="4">
        <v>24718</v>
      </c>
      <c r="M5269" s="2" t="s">
        <v>170</v>
      </c>
      <c r="N5269" s="2" t="s">
        <v>323</v>
      </c>
    </row>
    <row r="5270" spans="1:14">
      <c r="A5270" s="2">
        <v>5269</v>
      </c>
      <c r="B5270" s="3" t="s">
        <v>17910</v>
      </c>
      <c r="C5270" s="2" t="s">
        <v>17911</v>
      </c>
      <c r="D5270" s="2">
        <v>36</v>
      </c>
      <c r="E5270" s="2">
        <v>37</v>
      </c>
      <c r="F5270" s="2" t="s">
        <v>17912</v>
      </c>
      <c r="H5270" s="2" t="s">
        <v>17</v>
      </c>
      <c r="K5270" s="4" t="s">
        <v>17913</v>
      </c>
      <c r="L5270" s="4">
        <v>20284</v>
      </c>
      <c r="M5270" s="2" t="s">
        <v>66</v>
      </c>
      <c r="N5270" s="2" t="s">
        <v>71</v>
      </c>
    </row>
    <row r="5271" spans="1:14">
      <c r="A5271" s="2">
        <v>5270</v>
      </c>
      <c r="B5271" s="3" t="s">
        <v>17914</v>
      </c>
      <c r="C5271" s="2" t="s">
        <v>17915</v>
      </c>
      <c r="D5271" s="2">
        <v>37</v>
      </c>
      <c r="E5271" s="2">
        <v>37</v>
      </c>
      <c r="F5271" s="2" t="s">
        <v>17916</v>
      </c>
      <c r="H5271" s="2" t="s">
        <v>17</v>
      </c>
      <c r="K5271" s="4">
        <v>745</v>
      </c>
      <c r="L5271" s="4">
        <v>26578</v>
      </c>
      <c r="M5271" s="2" t="s">
        <v>47</v>
      </c>
      <c r="N5271" s="2" t="s">
        <v>48</v>
      </c>
    </row>
    <row r="5272" spans="1:14">
      <c r="A5272" s="2">
        <v>5271</v>
      </c>
      <c r="B5272" s="3" t="s">
        <v>17917</v>
      </c>
      <c r="C5272" s="2" t="s">
        <v>17918</v>
      </c>
      <c r="D5272" s="2">
        <v>37</v>
      </c>
      <c r="E5272" s="2">
        <v>37</v>
      </c>
      <c r="F5272" s="2" t="s">
        <v>17919</v>
      </c>
      <c r="H5272" s="2" t="s">
        <v>17</v>
      </c>
      <c r="M5272" s="2" t="s">
        <v>85</v>
      </c>
      <c r="N5272" s="2" t="s">
        <v>1254</v>
      </c>
    </row>
    <row r="5273" spans="1:14">
      <c r="A5273" s="2">
        <v>5272</v>
      </c>
      <c r="B5273" s="3" t="s">
        <v>17920</v>
      </c>
      <c r="C5273" s="2" t="s">
        <v>17921</v>
      </c>
      <c r="D5273" s="2">
        <v>23</v>
      </c>
      <c r="E5273" s="2">
        <v>37</v>
      </c>
      <c r="F5273" s="2" t="s">
        <v>17922</v>
      </c>
      <c r="H5273" s="2" t="s">
        <v>17</v>
      </c>
      <c r="K5273" s="4" t="s">
        <v>17923</v>
      </c>
      <c r="L5273" s="4">
        <v>14016</v>
      </c>
      <c r="M5273" s="2" t="s">
        <v>146</v>
      </c>
      <c r="N5273" s="2" t="s">
        <v>549</v>
      </c>
    </row>
    <row r="5274" spans="1:14">
      <c r="A5274" s="2">
        <v>5273</v>
      </c>
      <c r="B5274" s="3" t="s">
        <v>17924</v>
      </c>
      <c r="C5274" s="2" t="s">
        <v>11274</v>
      </c>
      <c r="D5274" s="2">
        <v>36</v>
      </c>
      <c r="E5274" s="2">
        <v>37</v>
      </c>
      <c r="F5274" s="2" t="s">
        <v>17925</v>
      </c>
      <c r="H5274" s="2" t="s">
        <v>17</v>
      </c>
      <c r="K5274" s="4" t="s">
        <v>17926</v>
      </c>
      <c r="L5274" s="4">
        <v>16080</v>
      </c>
      <c r="M5274" s="2" t="s">
        <v>969</v>
      </c>
    </row>
    <row r="5275" spans="1:14">
      <c r="A5275" s="2">
        <v>5274</v>
      </c>
      <c r="B5275" s="3" t="s">
        <v>17927</v>
      </c>
      <c r="C5275" s="2" t="s">
        <v>17928</v>
      </c>
      <c r="D5275" s="2">
        <v>36</v>
      </c>
      <c r="E5275" s="2">
        <v>37</v>
      </c>
      <c r="F5275" s="2" t="s">
        <v>17929</v>
      </c>
      <c r="H5275" s="2" t="s">
        <v>17</v>
      </c>
      <c r="K5275" s="4" t="s">
        <v>17930</v>
      </c>
      <c r="L5275" s="4">
        <v>27528</v>
      </c>
      <c r="M5275" s="2" t="s">
        <v>336</v>
      </c>
      <c r="N5275" s="2" t="s">
        <v>2505</v>
      </c>
    </row>
    <row r="5276" spans="1:14">
      <c r="A5276" s="2">
        <v>5275</v>
      </c>
      <c r="B5276" s="3" t="s">
        <v>17931</v>
      </c>
      <c r="C5276" s="2" t="s">
        <v>17932</v>
      </c>
      <c r="D5276" s="2">
        <v>32</v>
      </c>
      <c r="E5276" s="2">
        <v>37</v>
      </c>
      <c r="F5276" s="2" t="s">
        <v>17933</v>
      </c>
      <c r="H5276" s="2" t="s">
        <v>17</v>
      </c>
      <c r="K5276" s="4" t="s">
        <v>17934</v>
      </c>
      <c r="L5276" s="4">
        <v>18067</v>
      </c>
      <c r="M5276" s="2" t="s">
        <v>85</v>
      </c>
      <c r="N5276" s="2" t="s">
        <v>1868</v>
      </c>
    </row>
    <row r="5277" spans="1:14">
      <c r="A5277" s="2">
        <v>5276</v>
      </c>
      <c r="B5277" s="3" t="s">
        <v>17935</v>
      </c>
      <c r="C5277" s="2" t="s">
        <v>17936</v>
      </c>
      <c r="D5277" s="2">
        <v>37</v>
      </c>
      <c r="E5277" s="2">
        <v>37</v>
      </c>
      <c r="F5277" s="2" t="s">
        <v>17937</v>
      </c>
      <c r="H5277" s="2" t="s">
        <v>17</v>
      </c>
      <c r="K5277" s="4">
        <v>2171</v>
      </c>
      <c r="L5277" s="4">
        <v>34141</v>
      </c>
      <c r="M5277" s="2" t="s">
        <v>170</v>
      </c>
      <c r="N5277" s="2" t="s">
        <v>323</v>
      </c>
    </row>
    <row r="5278" spans="1:14">
      <c r="A5278" s="2">
        <v>5277</v>
      </c>
      <c r="B5278" s="3" t="s">
        <v>17938</v>
      </c>
      <c r="C5278" s="2" t="s">
        <v>17939</v>
      </c>
      <c r="D5278" s="2">
        <v>37</v>
      </c>
      <c r="E5278" s="2">
        <v>37</v>
      </c>
      <c r="F5278" s="2" t="s">
        <v>17940</v>
      </c>
      <c r="H5278" s="2" t="s">
        <v>17</v>
      </c>
    </row>
    <row r="5279" spans="1:14">
      <c r="A5279" s="2">
        <v>5278</v>
      </c>
      <c r="B5279" s="3" t="s">
        <v>17941</v>
      </c>
      <c r="C5279" s="2" t="s">
        <v>17942</v>
      </c>
      <c r="D5279" s="2">
        <v>37</v>
      </c>
      <c r="E5279" s="2">
        <v>37</v>
      </c>
      <c r="F5279" s="2" t="s">
        <v>17943</v>
      </c>
      <c r="H5279" s="2" t="s">
        <v>17</v>
      </c>
      <c r="K5279" s="4" t="s">
        <v>17944</v>
      </c>
      <c r="M5279" s="2" t="s">
        <v>192</v>
      </c>
      <c r="N5279" s="2" t="s">
        <v>3675</v>
      </c>
    </row>
    <row r="5280" spans="1:14">
      <c r="A5280" s="2">
        <v>5279</v>
      </c>
      <c r="B5280" s="3" t="s">
        <v>17945</v>
      </c>
      <c r="C5280" s="2" t="s">
        <v>17946</v>
      </c>
      <c r="D5280" s="2">
        <v>36</v>
      </c>
      <c r="E5280" s="2">
        <v>37</v>
      </c>
      <c r="F5280" s="2" t="s">
        <v>17947</v>
      </c>
      <c r="H5280" s="2" t="s">
        <v>17</v>
      </c>
      <c r="K5280" s="4">
        <v>1933</v>
      </c>
      <c r="M5280" s="2" t="s">
        <v>47</v>
      </c>
      <c r="N5280" s="2" t="s">
        <v>442</v>
      </c>
    </row>
    <row r="5281" spans="1:14">
      <c r="A5281" s="2">
        <v>5280</v>
      </c>
      <c r="B5281" s="3" t="s">
        <v>17948</v>
      </c>
      <c r="C5281" s="2" t="s">
        <v>17949</v>
      </c>
      <c r="D5281" s="2">
        <v>37</v>
      </c>
      <c r="E5281" s="2">
        <v>37</v>
      </c>
      <c r="F5281" s="2" t="s">
        <v>17950</v>
      </c>
      <c r="H5281" s="2" t="s">
        <v>17</v>
      </c>
      <c r="L5281" s="4">
        <v>23302</v>
      </c>
      <c r="M5281" s="2" t="s">
        <v>154</v>
      </c>
      <c r="N5281" s="2" t="s">
        <v>208</v>
      </c>
    </row>
    <row r="5282" spans="1:14">
      <c r="A5282" s="2">
        <v>5281</v>
      </c>
      <c r="B5282" s="3" t="s">
        <v>17951</v>
      </c>
      <c r="C5282" s="2" t="s">
        <v>12715</v>
      </c>
      <c r="D5282" s="2">
        <v>32</v>
      </c>
      <c r="E5282" s="2">
        <v>37</v>
      </c>
      <c r="F5282" s="2" t="s">
        <v>17952</v>
      </c>
      <c r="H5282" s="2" t="s">
        <v>17</v>
      </c>
      <c r="K5282" s="4" t="s">
        <v>17953</v>
      </c>
      <c r="L5282" s="4">
        <v>21958</v>
      </c>
      <c r="M5282" s="2" t="s">
        <v>40</v>
      </c>
    </row>
    <row r="5283" spans="1:14">
      <c r="A5283" s="2">
        <v>5282</v>
      </c>
      <c r="B5283" s="3" t="s">
        <v>17954</v>
      </c>
      <c r="C5283" s="2" t="s">
        <v>17955</v>
      </c>
      <c r="D5283" s="2">
        <v>36</v>
      </c>
      <c r="E5283" s="2">
        <v>37</v>
      </c>
      <c r="F5283" s="2" t="s">
        <v>17956</v>
      </c>
      <c r="H5283" s="2" t="s">
        <v>17</v>
      </c>
      <c r="K5283" s="4" t="s">
        <v>17957</v>
      </c>
      <c r="L5283" s="4">
        <v>19693</v>
      </c>
      <c r="M5283" s="2" t="s">
        <v>66</v>
      </c>
      <c r="N5283" s="2" t="s">
        <v>1665</v>
      </c>
    </row>
    <row r="5284" spans="1:14">
      <c r="A5284" s="2">
        <v>5283</v>
      </c>
      <c r="B5284" s="3" t="s">
        <v>17958</v>
      </c>
      <c r="C5284" s="2" t="s">
        <v>17959</v>
      </c>
      <c r="D5284" s="2">
        <v>36</v>
      </c>
      <c r="E5284" s="2">
        <v>37</v>
      </c>
      <c r="F5284" s="2" t="s">
        <v>17960</v>
      </c>
      <c r="H5284" s="2" t="s">
        <v>17</v>
      </c>
      <c r="K5284" s="4" t="s">
        <v>17961</v>
      </c>
      <c r="M5284" s="2" t="s">
        <v>140</v>
      </c>
      <c r="N5284" s="2" t="s">
        <v>294</v>
      </c>
    </row>
    <row r="5285" spans="1:14">
      <c r="A5285" s="2">
        <v>5284</v>
      </c>
      <c r="B5285" s="3" t="s">
        <v>17962</v>
      </c>
      <c r="C5285" s="2" t="s">
        <v>17963</v>
      </c>
      <c r="D5285" s="2">
        <v>36</v>
      </c>
      <c r="E5285" s="2">
        <v>37</v>
      </c>
      <c r="F5285" s="2" t="s">
        <v>17964</v>
      </c>
      <c r="H5285" s="2" t="s">
        <v>17</v>
      </c>
      <c r="K5285" s="4" t="s">
        <v>17965</v>
      </c>
      <c r="L5285" s="4">
        <v>14782</v>
      </c>
      <c r="M5285" s="2" t="s">
        <v>969</v>
      </c>
      <c r="N5285" s="2" t="s">
        <v>970</v>
      </c>
    </row>
    <row r="5286" spans="1:14">
      <c r="A5286" s="2">
        <v>5285</v>
      </c>
      <c r="B5286" s="3" t="s">
        <v>17966</v>
      </c>
      <c r="C5286" s="2" t="s">
        <v>17967</v>
      </c>
      <c r="D5286" s="2">
        <v>37</v>
      </c>
      <c r="E5286" s="2">
        <v>37</v>
      </c>
      <c r="F5286" s="2" t="s">
        <v>17968</v>
      </c>
      <c r="H5286" s="2" t="s">
        <v>17</v>
      </c>
      <c r="K5286" s="4" t="s">
        <v>17969</v>
      </c>
      <c r="L5286" s="4">
        <v>13199</v>
      </c>
      <c r="M5286" s="2" t="s">
        <v>170</v>
      </c>
      <c r="N5286" s="2" t="s">
        <v>5034</v>
      </c>
    </row>
    <row r="5287" spans="1:14">
      <c r="A5287" s="2">
        <v>5286</v>
      </c>
      <c r="B5287" s="3" t="s">
        <v>17970</v>
      </c>
      <c r="C5287" s="2" t="s">
        <v>17971</v>
      </c>
      <c r="D5287" s="2">
        <v>36</v>
      </c>
      <c r="E5287" s="2">
        <v>37</v>
      </c>
      <c r="F5287" s="2" t="s">
        <v>17972</v>
      </c>
      <c r="H5287" s="2" t="s">
        <v>17</v>
      </c>
      <c r="K5287" s="4" t="s">
        <v>17973</v>
      </c>
      <c r="M5287" s="2" t="s">
        <v>66</v>
      </c>
      <c r="N5287" s="2" t="s">
        <v>71</v>
      </c>
    </row>
    <row r="5288" spans="1:14">
      <c r="A5288" s="2">
        <v>5287</v>
      </c>
      <c r="B5288" s="3" t="s">
        <v>17974</v>
      </c>
      <c r="C5288" s="2" t="s">
        <v>17975</v>
      </c>
      <c r="D5288" s="2">
        <v>37</v>
      </c>
      <c r="E5288" s="2">
        <v>37</v>
      </c>
      <c r="F5288" s="2" t="s">
        <v>17976</v>
      </c>
      <c r="H5288" s="2" t="s">
        <v>17</v>
      </c>
    </row>
    <row r="5289" spans="1:14">
      <c r="A5289" s="2">
        <v>5288</v>
      </c>
      <c r="B5289" s="3" t="s">
        <v>17977</v>
      </c>
      <c r="C5289" s="2" t="s">
        <v>17978</v>
      </c>
      <c r="D5289" s="2">
        <v>37</v>
      </c>
      <c r="E5289" s="2">
        <v>37</v>
      </c>
      <c r="F5289" s="2" t="s">
        <v>17979</v>
      </c>
      <c r="H5289" s="2" t="s">
        <v>17</v>
      </c>
      <c r="K5289" s="4" t="s">
        <v>17980</v>
      </c>
      <c r="L5289" s="4">
        <v>16656</v>
      </c>
      <c r="M5289" s="2" t="s">
        <v>164</v>
      </c>
      <c r="N5289" s="2" t="s">
        <v>165</v>
      </c>
    </row>
    <row r="5290" spans="1:14">
      <c r="A5290" s="2">
        <v>5289</v>
      </c>
      <c r="B5290" s="3" t="s">
        <v>17981</v>
      </c>
      <c r="C5290" s="2" t="s">
        <v>17982</v>
      </c>
      <c r="D5290" s="2">
        <v>36</v>
      </c>
      <c r="E5290" s="2">
        <v>37</v>
      </c>
      <c r="F5290" s="2" t="s">
        <v>17983</v>
      </c>
      <c r="H5290" s="2" t="s">
        <v>17</v>
      </c>
      <c r="K5290" s="4" t="s">
        <v>17984</v>
      </c>
      <c r="L5290" s="4">
        <v>26504</v>
      </c>
      <c r="M5290" s="2" t="s">
        <v>18</v>
      </c>
      <c r="N5290" s="2" t="s">
        <v>19</v>
      </c>
    </row>
    <row r="5291" spans="1:14">
      <c r="A5291" s="2">
        <v>5290</v>
      </c>
      <c r="B5291" s="3" t="s">
        <v>17985</v>
      </c>
      <c r="C5291" s="2" t="s">
        <v>17986</v>
      </c>
      <c r="D5291" s="2">
        <v>37</v>
      </c>
      <c r="E5291" s="2">
        <v>37</v>
      </c>
      <c r="F5291" s="2" t="s">
        <v>17987</v>
      </c>
      <c r="H5291" s="2" t="s">
        <v>17</v>
      </c>
      <c r="K5291" s="4" t="s">
        <v>17988</v>
      </c>
      <c r="L5291" s="4">
        <v>15679</v>
      </c>
      <c r="M5291" s="2" t="s">
        <v>185</v>
      </c>
      <c r="N5291" s="2" t="s">
        <v>838</v>
      </c>
    </row>
    <row r="5292" spans="1:14">
      <c r="A5292" s="2">
        <v>5291</v>
      </c>
      <c r="B5292" s="3" t="s">
        <v>17989</v>
      </c>
      <c r="C5292" s="2" t="s">
        <v>17990</v>
      </c>
      <c r="D5292" s="2">
        <v>36</v>
      </c>
      <c r="E5292" s="2">
        <v>37</v>
      </c>
      <c r="F5292" s="2" t="s">
        <v>17991</v>
      </c>
      <c r="H5292" s="2" t="s">
        <v>17</v>
      </c>
      <c r="K5292" s="4" t="s">
        <v>17992</v>
      </c>
      <c r="L5292" s="4">
        <v>16296</v>
      </c>
      <c r="M5292" s="2" t="s">
        <v>185</v>
      </c>
      <c r="N5292" s="2" t="s">
        <v>3283</v>
      </c>
    </row>
    <row r="5293" spans="1:14">
      <c r="A5293" s="2">
        <v>5292</v>
      </c>
      <c r="B5293" s="3" t="s">
        <v>17993</v>
      </c>
      <c r="C5293" s="2" t="s">
        <v>17994</v>
      </c>
      <c r="D5293" s="2">
        <v>37</v>
      </c>
      <c r="E5293" s="2">
        <v>37</v>
      </c>
      <c r="F5293" s="2" t="s">
        <v>17995</v>
      </c>
      <c r="H5293" s="2" t="s">
        <v>17</v>
      </c>
      <c r="K5293" s="4" t="s">
        <v>17996</v>
      </c>
      <c r="L5293" s="4">
        <v>24010</v>
      </c>
      <c r="M5293" s="2" t="s">
        <v>47</v>
      </c>
      <c r="N5293" s="2" t="s">
        <v>17997</v>
      </c>
    </row>
    <row r="5294" spans="1:14">
      <c r="A5294" s="2">
        <v>5293</v>
      </c>
      <c r="B5294" s="3" t="s">
        <v>17998</v>
      </c>
      <c r="C5294" s="2" t="s">
        <v>17999</v>
      </c>
      <c r="D5294" s="2">
        <v>37</v>
      </c>
      <c r="E5294" s="2">
        <v>37</v>
      </c>
      <c r="F5294" s="2" t="s">
        <v>18000</v>
      </c>
      <c r="H5294" s="2" t="s">
        <v>17</v>
      </c>
      <c r="K5294" s="4">
        <v>2076</v>
      </c>
      <c r="L5294" s="4">
        <v>29978</v>
      </c>
      <c r="M5294" s="2" t="s">
        <v>76</v>
      </c>
      <c r="N5294" s="2" t="s">
        <v>9298</v>
      </c>
    </row>
    <row r="5295" spans="1:14">
      <c r="A5295" s="2">
        <v>5294</v>
      </c>
      <c r="B5295" s="3" t="s">
        <v>18001</v>
      </c>
      <c r="C5295" s="2" t="s">
        <v>18002</v>
      </c>
      <c r="D5295" s="2">
        <v>37</v>
      </c>
      <c r="E5295" s="2">
        <v>37</v>
      </c>
      <c r="F5295" s="2" t="s">
        <v>18003</v>
      </c>
      <c r="H5295" s="2" t="s">
        <v>17</v>
      </c>
      <c r="K5295" s="4" t="s">
        <v>18004</v>
      </c>
      <c r="L5295" s="4">
        <v>15389</v>
      </c>
      <c r="M5295" s="2" t="s">
        <v>198</v>
      </c>
      <c r="N5295" s="2" t="s">
        <v>199</v>
      </c>
    </row>
    <row r="5296" spans="1:14">
      <c r="A5296" s="2">
        <v>5295</v>
      </c>
      <c r="B5296" s="3" t="s">
        <v>18005</v>
      </c>
      <c r="C5296" s="2" t="s">
        <v>18006</v>
      </c>
      <c r="D5296" s="2">
        <v>37</v>
      </c>
      <c r="E5296" s="2">
        <v>37</v>
      </c>
      <c r="F5296" s="2" t="s">
        <v>18007</v>
      </c>
      <c r="H5296" s="2" t="s">
        <v>17</v>
      </c>
      <c r="K5296" s="4" t="s">
        <v>18008</v>
      </c>
      <c r="L5296" s="4">
        <v>20030</v>
      </c>
      <c r="M5296" s="2" t="s">
        <v>140</v>
      </c>
      <c r="N5296" s="2" t="s">
        <v>294</v>
      </c>
    </row>
    <row r="5297" spans="1:14">
      <c r="A5297" s="2">
        <v>5296</v>
      </c>
      <c r="B5297" s="3" t="s">
        <v>18009</v>
      </c>
      <c r="C5297" s="2" t="s">
        <v>18010</v>
      </c>
      <c r="D5297" s="2">
        <v>33</v>
      </c>
      <c r="E5297" s="2">
        <v>37</v>
      </c>
      <c r="F5297" s="2" t="s">
        <v>18011</v>
      </c>
      <c r="H5297" s="2" t="s">
        <v>17</v>
      </c>
      <c r="K5297" s="4" t="s">
        <v>18012</v>
      </c>
      <c r="L5297" s="4">
        <v>27620</v>
      </c>
      <c r="M5297" s="2" t="s">
        <v>969</v>
      </c>
    </row>
    <row r="5298" spans="1:14">
      <c r="A5298" s="2">
        <v>5297</v>
      </c>
      <c r="B5298" s="3" t="s">
        <v>18013</v>
      </c>
      <c r="C5298" s="2" t="s">
        <v>18014</v>
      </c>
      <c r="D5298" s="2">
        <v>37</v>
      </c>
      <c r="E5298" s="2">
        <v>37</v>
      </c>
      <c r="F5298" s="2" t="s">
        <v>18015</v>
      </c>
      <c r="H5298" s="2" t="s">
        <v>17</v>
      </c>
      <c r="K5298" s="4" t="s">
        <v>18016</v>
      </c>
      <c r="L5298" s="4">
        <v>15159</v>
      </c>
      <c r="M5298" s="2" t="s">
        <v>170</v>
      </c>
      <c r="N5298" s="2" t="s">
        <v>323</v>
      </c>
    </row>
    <row r="5299" spans="1:14">
      <c r="A5299" s="2">
        <v>5298</v>
      </c>
      <c r="B5299" s="3" t="s">
        <v>18017</v>
      </c>
      <c r="C5299" s="2" t="s">
        <v>18018</v>
      </c>
      <c r="D5299" s="2">
        <v>36</v>
      </c>
      <c r="E5299" s="2">
        <v>37</v>
      </c>
      <c r="F5299" s="2" t="s">
        <v>18019</v>
      </c>
      <c r="H5299" s="2" t="s">
        <v>17</v>
      </c>
      <c r="K5299" s="4" t="s">
        <v>18020</v>
      </c>
      <c r="L5299" s="4">
        <v>26280</v>
      </c>
      <c r="M5299" s="2" t="s">
        <v>76</v>
      </c>
      <c r="N5299" s="2" t="s">
        <v>7803</v>
      </c>
    </row>
    <row r="5300" spans="1:14">
      <c r="A5300" s="2">
        <v>5299</v>
      </c>
      <c r="B5300" s="3" t="s">
        <v>18021</v>
      </c>
      <c r="C5300" s="2" t="s">
        <v>18022</v>
      </c>
      <c r="D5300" s="2">
        <v>37</v>
      </c>
      <c r="E5300" s="2">
        <v>37</v>
      </c>
      <c r="F5300" s="2" t="s">
        <v>18023</v>
      </c>
      <c r="H5300" s="2" t="s">
        <v>17</v>
      </c>
    </row>
    <row r="5301" spans="1:14">
      <c r="A5301" s="2">
        <v>5300</v>
      </c>
      <c r="B5301" s="3" t="s">
        <v>18024</v>
      </c>
      <c r="C5301" s="2" t="s">
        <v>18025</v>
      </c>
      <c r="D5301" s="2">
        <v>36</v>
      </c>
      <c r="E5301" s="2">
        <v>37</v>
      </c>
      <c r="F5301" s="2" t="s">
        <v>18026</v>
      </c>
      <c r="H5301" s="2" t="s">
        <v>17</v>
      </c>
      <c r="K5301" s="4" t="s">
        <v>18027</v>
      </c>
      <c r="L5301" s="4">
        <v>18307</v>
      </c>
      <c r="M5301" s="2" t="s">
        <v>47</v>
      </c>
      <c r="N5301" s="2" t="s">
        <v>18028</v>
      </c>
    </row>
    <row r="5302" spans="1:14">
      <c r="A5302" s="2">
        <v>5301</v>
      </c>
      <c r="B5302" s="3" t="s">
        <v>18029</v>
      </c>
      <c r="C5302" s="2" t="s">
        <v>18030</v>
      </c>
      <c r="D5302" s="2">
        <v>33</v>
      </c>
      <c r="E5302" s="2">
        <v>37</v>
      </c>
      <c r="F5302" s="2" t="s">
        <v>18031</v>
      </c>
      <c r="H5302" s="2" t="s">
        <v>17</v>
      </c>
      <c r="K5302" s="4" t="s">
        <v>18032</v>
      </c>
      <c r="L5302" s="4">
        <v>22831</v>
      </c>
      <c r="M5302" s="2" t="s">
        <v>40</v>
      </c>
      <c r="N5302" s="2" t="s">
        <v>3814</v>
      </c>
    </row>
    <row r="5303" spans="1:14">
      <c r="A5303" s="2">
        <v>5302</v>
      </c>
      <c r="B5303" s="3" t="s">
        <v>18033</v>
      </c>
      <c r="C5303" s="2" t="s">
        <v>18034</v>
      </c>
      <c r="D5303" s="2">
        <v>37</v>
      </c>
      <c r="E5303" s="2">
        <v>37</v>
      </c>
      <c r="F5303" s="2" t="s">
        <v>18035</v>
      </c>
      <c r="H5303" s="2" t="s">
        <v>17</v>
      </c>
      <c r="K5303" s="4" t="s">
        <v>17934</v>
      </c>
      <c r="M5303" s="2" t="s">
        <v>85</v>
      </c>
      <c r="N5303" s="2" t="s">
        <v>1868</v>
      </c>
    </row>
    <row r="5304" spans="1:14">
      <c r="A5304" s="2">
        <v>5303</v>
      </c>
      <c r="B5304" s="3" t="s">
        <v>18036</v>
      </c>
      <c r="C5304" s="2" t="s">
        <v>18037</v>
      </c>
      <c r="D5304" s="2">
        <v>36</v>
      </c>
      <c r="E5304" s="2">
        <v>37</v>
      </c>
      <c r="F5304" s="2" t="s">
        <v>18038</v>
      </c>
      <c r="H5304" s="2" t="s">
        <v>17</v>
      </c>
      <c r="K5304" s="4" t="s">
        <v>18039</v>
      </c>
      <c r="L5304" s="4">
        <v>15036</v>
      </c>
      <c r="M5304" s="2" t="s">
        <v>146</v>
      </c>
      <c r="N5304" s="2" t="s">
        <v>2261</v>
      </c>
    </row>
    <row r="5305" spans="1:14">
      <c r="A5305" s="2">
        <v>5304</v>
      </c>
      <c r="B5305" s="3" t="s">
        <v>18040</v>
      </c>
      <c r="C5305" s="2" t="s">
        <v>18041</v>
      </c>
      <c r="D5305" s="2">
        <v>22</v>
      </c>
      <c r="E5305" s="2">
        <v>37</v>
      </c>
      <c r="F5305" s="2" t="s">
        <v>18042</v>
      </c>
      <c r="H5305" s="2" t="s">
        <v>17</v>
      </c>
      <c r="K5305" s="4" t="s">
        <v>18043</v>
      </c>
      <c r="L5305" s="4">
        <v>15680</v>
      </c>
      <c r="M5305" s="2" t="s">
        <v>40</v>
      </c>
      <c r="N5305" s="2" t="s">
        <v>41</v>
      </c>
    </row>
    <row r="5306" spans="1:14">
      <c r="A5306" s="2">
        <v>5305</v>
      </c>
      <c r="B5306" s="3" t="s">
        <v>18044</v>
      </c>
      <c r="C5306" s="2" t="s">
        <v>18045</v>
      </c>
      <c r="D5306" s="2">
        <v>36</v>
      </c>
      <c r="E5306" s="2">
        <v>37</v>
      </c>
      <c r="F5306" s="2" t="s">
        <v>18046</v>
      </c>
      <c r="H5306" s="2" t="s">
        <v>17</v>
      </c>
      <c r="K5306" s="4" t="s">
        <v>18047</v>
      </c>
      <c r="L5306" s="4">
        <v>23718</v>
      </c>
      <c r="M5306" s="2" t="s">
        <v>35</v>
      </c>
      <c r="N5306" s="2" t="s">
        <v>8309</v>
      </c>
    </row>
    <row r="5307" spans="1:14">
      <c r="A5307" s="2">
        <v>5306</v>
      </c>
      <c r="B5307" s="3" t="s">
        <v>18048</v>
      </c>
      <c r="C5307" s="2" t="s">
        <v>18049</v>
      </c>
      <c r="D5307" s="2">
        <v>37</v>
      </c>
      <c r="E5307" s="2">
        <v>37</v>
      </c>
      <c r="F5307" s="2" t="s">
        <v>18050</v>
      </c>
      <c r="H5307" s="2" t="s">
        <v>17</v>
      </c>
      <c r="K5307" s="4" t="s">
        <v>18051</v>
      </c>
      <c r="L5307" s="4">
        <v>19471</v>
      </c>
      <c r="M5307" s="2" t="s">
        <v>85</v>
      </c>
      <c r="N5307" s="2" t="s">
        <v>86</v>
      </c>
    </row>
    <row r="5308" spans="1:14">
      <c r="A5308" s="2">
        <v>5307</v>
      </c>
      <c r="B5308" s="3" t="s">
        <v>18052</v>
      </c>
      <c r="C5308" s="2" t="s">
        <v>18053</v>
      </c>
      <c r="D5308" s="2">
        <v>37</v>
      </c>
      <c r="E5308" s="2">
        <v>37</v>
      </c>
      <c r="F5308" s="2" t="s">
        <v>18054</v>
      </c>
      <c r="H5308" s="2" t="s">
        <v>17</v>
      </c>
      <c r="K5308" s="4" t="s">
        <v>18055</v>
      </c>
      <c r="L5308" s="4">
        <v>30700</v>
      </c>
      <c r="M5308" s="2" t="s">
        <v>192</v>
      </c>
      <c r="N5308" s="2" t="s">
        <v>193</v>
      </c>
    </row>
    <row r="5309" spans="1:14">
      <c r="A5309" s="2">
        <v>5308</v>
      </c>
      <c r="B5309" s="3" t="s">
        <v>18056</v>
      </c>
      <c r="C5309" s="2" t="s">
        <v>18057</v>
      </c>
      <c r="D5309" s="2">
        <v>37</v>
      </c>
      <c r="E5309" s="2">
        <v>37</v>
      </c>
      <c r="F5309" s="2" t="s">
        <v>18058</v>
      </c>
      <c r="H5309" s="2" t="s">
        <v>17</v>
      </c>
    </row>
    <row r="5310" spans="1:14">
      <c r="A5310" s="2">
        <v>5309</v>
      </c>
      <c r="B5310" s="3" t="s">
        <v>18059</v>
      </c>
      <c r="C5310" s="2" t="s">
        <v>18060</v>
      </c>
      <c r="D5310" s="2">
        <v>36</v>
      </c>
      <c r="E5310" s="2">
        <v>37</v>
      </c>
      <c r="F5310" s="2" t="s">
        <v>18061</v>
      </c>
      <c r="H5310" s="2" t="s">
        <v>17</v>
      </c>
      <c r="K5310" s="4">
        <v>2600</v>
      </c>
      <c r="L5310" s="4">
        <v>33635</v>
      </c>
      <c r="M5310" s="2" t="s">
        <v>85</v>
      </c>
      <c r="N5310" s="2" t="s">
        <v>9578</v>
      </c>
    </row>
    <row r="5311" spans="1:14">
      <c r="A5311" s="2">
        <v>5310</v>
      </c>
      <c r="B5311" s="3" t="s">
        <v>18062</v>
      </c>
      <c r="C5311" s="2" t="s">
        <v>18063</v>
      </c>
      <c r="D5311" s="2">
        <v>36</v>
      </c>
      <c r="E5311" s="2">
        <v>37</v>
      </c>
      <c r="F5311" s="2" t="s">
        <v>18064</v>
      </c>
      <c r="H5311" s="2" t="s">
        <v>17</v>
      </c>
      <c r="K5311" s="4" t="s">
        <v>18065</v>
      </c>
      <c r="L5311" s="4">
        <v>21992</v>
      </c>
      <c r="M5311" s="2" t="s">
        <v>35</v>
      </c>
      <c r="N5311" s="2" t="s">
        <v>2152</v>
      </c>
    </row>
    <row r="5312" spans="1:14">
      <c r="A5312" s="2">
        <v>5311</v>
      </c>
      <c r="B5312" s="3" t="s">
        <v>18066</v>
      </c>
      <c r="C5312" s="2" t="s">
        <v>18067</v>
      </c>
      <c r="D5312" s="2">
        <v>31</v>
      </c>
      <c r="E5312" s="2">
        <v>37</v>
      </c>
      <c r="F5312" s="2" t="s">
        <v>18068</v>
      </c>
      <c r="H5312" s="2" t="s">
        <v>17</v>
      </c>
      <c r="K5312" s="4" t="s">
        <v>18069</v>
      </c>
      <c r="L5312" s="4">
        <v>19159</v>
      </c>
      <c r="M5312" s="2" t="s">
        <v>170</v>
      </c>
    </row>
    <row r="5313" spans="1:14">
      <c r="A5313" s="2">
        <v>5312</v>
      </c>
      <c r="B5313" s="3" t="s">
        <v>18070</v>
      </c>
      <c r="C5313" s="2" t="s">
        <v>18071</v>
      </c>
      <c r="D5313" s="2">
        <v>34</v>
      </c>
      <c r="E5313" s="2">
        <v>37</v>
      </c>
      <c r="F5313" s="2" t="s">
        <v>18072</v>
      </c>
      <c r="H5313" s="2" t="s">
        <v>17</v>
      </c>
      <c r="L5313" s="4">
        <v>23101</v>
      </c>
    </row>
    <row r="5314" spans="1:14">
      <c r="A5314" s="2">
        <v>5313</v>
      </c>
      <c r="B5314" s="3" t="s">
        <v>18073</v>
      </c>
      <c r="C5314" s="2" t="s">
        <v>18074</v>
      </c>
      <c r="D5314" s="2">
        <v>25</v>
      </c>
      <c r="E5314" s="2">
        <v>37</v>
      </c>
      <c r="F5314" s="2" t="s">
        <v>18075</v>
      </c>
      <c r="H5314" s="2" t="s">
        <v>17</v>
      </c>
      <c r="K5314" s="4" t="s">
        <v>18076</v>
      </c>
      <c r="L5314" s="4">
        <v>16640</v>
      </c>
      <c r="M5314" s="2" t="s">
        <v>35</v>
      </c>
      <c r="N5314" s="2" t="s">
        <v>1462</v>
      </c>
    </row>
    <row r="5315" spans="1:14">
      <c r="A5315" s="2">
        <v>5314</v>
      </c>
      <c r="B5315" s="3" t="s">
        <v>18077</v>
      </c>
      <c r="C5315" s="2" t="s">
        <v>18078</v>
      </c>
      <c r="D5315" s="2">
        <v>28</v>
      </c>
      <c r="E5315" s="2">
        <v>37</v>
      </c>
      <c r="F5315" s="2" t="s">
        <v>18079</v>
      </c>
      <c r="H5315" s="2" t="s">
        <v>17</v>
      </c>
      <c r="K5315" s="4" t="s">
        <v>18080</v>
      </c>
      <c r="L5315" s="4">
        <v>15410</v>
      </c>
      <c r="M5315" s="2" t="s">
        <v>66</v>
      </c>
      <c r="N5315" s="2" t="s">
        <v>17431</v>
      </c>
    </row>
    <row r="5316" spans="1:14">
      <c r="A5316" s="2">
        <v>5315</v>
      </c>
      <c r="B5316" s="3" t="s">
        <v>18081</v>
      </c>
      <c r="C5316" s="2" t="s">
        <v>18082</v>
      </c>
      <c r="D5316" s="2">
        <v>37</v>
      </c>
      <c r="E5316" s="2">
        <v>37</v>
      </c>
      <c r="F5316" s="2" t="s">
        <v>18083</v>
      </c>
      <c r="H5316" s="2" t="s">
        <v>17</v>
      </c>
      <c r="K5316" s="4" t="s">
        <v>18084</v>
      </c>
      <c r="L5316" s="4">
        <v>26765</v>
      </c>
      <c r="M5316" s="2" t="s">
        <v>47</v>
      </c>
      <c r="N5316" s="2" t="s">
        <v>2861</v>
      </c>
    </row>
    <row r="5317" spans="1:14">
      <c r="A5317" s="2">
        <v>5316</v>
      </c>
      <c r="B5317" s="3" t="s">
        <v>18085</v>
      </c>
      <c r="C5317" s="2" t="s">
        <v>18086</v>
      </c>
      <c r="D5317" s="2">
        <v>37</v>
      </c>
      <c r="E5317" s="2">
        <v>37</v>
      </c>
      <c r="F5317" s="2" t="s">
        <v>18087</v>
      </c>
      <c r="H5317" s="2" t="s">
        <v>17</v>
      </c>
      <c r="K5317" s="4" t="s">
        <v>18088</v>
      </c>
      <c r="L5317" s="4">
        <v>24566</v>
      </c>
      <c r="M5317" s="2" t="s">
        <v>35</v>
      </c>
      <c r="N5317" s="2" t="s">
        <v>18089</v>
      </c>
    </row>
    <row r="5318" spans="1:14">
      <c r="A5318" s="2">
        <v>5317</v>
      </c>
      <c r="B5318" s="3" t="s">
        <v>18090</v>
      </c>
      <c r="C5318" s="2" t="s">
        <v>18091</v>
      </c>
      <c r="D5318" s="2">
        <v>33</v>
      </c>
      <c r="E5318" s="2">
        <v>37</v>
      </c>
      <c r="F5318" s="2" t="s">
        <v>18092</v>
      </c>
      <c r="H5318" s="2" t="s">
        <v>17</v>
      </c>
      <c r="K5318" s="4" t="s">
        <v>18093</v>
      </c>
      <c r="L5318" s="4">
        <v>30282</v>
      </c>
      <c r="M5318" s="2" t="s">
        <v>35</v>
      </c>
      <c r="N5318" s="2" t="s">
        <v>3602</v>
      </c>
    </row>
    <row r="5319" spans="1:14">
      <c r="A5319" s="2">
        <v>5318</v>
      </c>
      <c r="B5319" s="3" t="s">
        <v>18094</v>
      </c>
      <c r="C5319" s="2" t="s">
        <v>18095</v>
      </c>
      <c r="D5319" s="2">
        <v>37</v>
      </c>
      <c r="E5319" s="2">
        <v>37</v>
      </c>
      <c r="F5319" s="2" t="s">
        <v>18096</v>
      </c>
      <c r="H5319" s="2" t="s">
        <v>17</v>
      </c>
      <c r="K5319" s="4" t="s">
        <v>18097</v>
      </c>
      <c r="L5319" s="4">
        <v>23148</v>
      </c>
      <c r="M5319" s="2" t="s">
        <v>47</v>
      </c>
      <c r="N5319" s="2" t="s">
        <v>18098</v>
      </c>
    </row>
    <row r="5320" spans="1:14">
      <c r="A5320" s="2">
        <v>5319</v>
      </c>
      <c r="B5320" s="3" t="s">
        <v>18099</v>
      </c>
      <c r="C5320" s="2" t="s">
        <v>18100</v>
      </c>
      <c r="D5320" s="2">
        <v>37</v>
      </c>
      <c r="E5320" s="2">
        <v>37</v>
      </c>
      <c r="F5320" s="2" t="s">
        <v>18101</v>
      </c>
      <c r="H5320" s="2" t="s">
        <v>17</v>
      </c>
    </row>
    <row r="5321" spans="1:14">
      <c r="A5321" s="2">
        <v>5320</v>
      </c>
      <c r="B5321" s="3" t="s">
        <v>18102</v>
      </c>
      <c r="C5321" s="2" t="s">
        <v>18103</v>
      </c>
      <c r="D5321" s="2">
        <v>37</v>
      </c>
      <c r="E5321" s="2">
        <v>37</v>
      </c>
      <c r="F5321" s="2" t="s">
        <v>18104</v>
      </c>
      <c r="H5321" s="2" t="s">
        <v>17</v>
      </c>
      <c r="K5321" s="4">
        <v>66</v>
      </c>
      <c r="L5321" s="4">
        <v>25838</v>
      </c>
      <c r="M5321" s="2" t="s">
        <v>76</v>
      </c>
      <c r="N5321" s="2" t="s">
        <v>4886</v>
      </c>
    </row>
    <row r="5322" spans="1:14">
      <c r="A5322" s="2">
        <v>5321</v>
      </c>
      <c r="B5322" s="3" t="s">
        <v>18105</v>
      </c>
      <c r="C5322" s="2" t="s">
        <v>18106</v>
      </c>
      <c r="D5322" s="2">
        <v>37</v>
      </c>
      <c r="E5322" s="2">
        <v>37</v>
      </c>
      <c r="F5322" s="2" t="s">
        <v>18107</v>
      </c>
      <c r="H5322" s="2" t="s">
        <v>17</v>
      </c>
      <c r="K5322" s="4" t="s">
        <v>18108</v>
      </c>
      <c r="L5322" s="4">
        <v>20689</v>
      </c>
      <c r="M5322" s="2" t="s">
        <v>164</v>
      </c>
      <c r="N5322" s="2" t="s">
        <v>165</v>
      </c>
    </row>
    <row r="5323" spans="1:14">
      <c r="A5323" s="2">
        <v>5322</v>
      </c>
      <c r="B5323" s="3" t="s">
        <v>18109</v>
      </c>
      <c r="C5323" s="2" t="s">
        <v>18110</v>
      </c>
      <c r="D5323" s="2">
        <v>37</v>
      </c>
      <c r="E5323" s="2">
        <v>37</v>
      </c>
      <c r="F5323" s="2" t="s">
        <v>18111</v>
      </c>
      <c r="H5323" s="2" t="s">
        <v>17</v>
      </c>
      <c r="K5323" s="4" t="s">
        <v>18112</v>
      </c>
      <c r="L5323" s="4">
        <v>22680</v>
      </c>
      <c r="M5323" s="2" t="s">
        <v>198</v>
      </c>
      <c r="N5323" s="2" t="s">
        <v>199</v>
      </c>
    </row>
    <row r="5324" spans="1:14">
      <c r="A5324" s="2">
        <v>5323</v>
      </c>
      <c r="B5324" s="3" t="s">
        <v>18113</v>
      </c>
      <c r="C5324" s="2" t="s">
        <v>18114</v>
      </c>
      <c r="D5324" s="2">
        <v>37</v>
      </c>
      <c r="E5324" s="2">
        <v>37</v>
      </c>
      <c r="F5324" s="2" t="s">
        <v>18115</v>
      </c>
      <c r="H5324" s="2" t="s">
        <v>17</v>
      </c>
      <c r="K5324" s="4" t="s">
        <v>18116</v>
      </c>
      <c r="L5324" s="4">
        <v>24909</v>
      </c>
      <c r="M5324" s="2" t="s">
        <v>66</v>
      </c>
    </row>
    <row r="5325" spans="1:14">
      <c r="A5325" s="2">
        <v>5324</v>
      </c>
      <c r="B5325" s="3" t="s">
        <v>18117</v>
      </c>
      <c r="C5325" s="2" t="s">
        <v>18118</v>
      </c>
      <c r="D5325" s="2">
        <v>37</v>
      </c>
      <c r="E5325" s="2">
        <v>37</v>
      </c>
      <c r="F5325" s="2" t="s">
        <v>18119</v>
      </c>
      <c r="H5325" s="2" t="s">
        <v>17</v>
      </c>
      <c r="K5325" s="4" t="s">
        <v>18120</v>
      </c>
      <c r="L5325" s="4">
        <v>24804</v>
      </c>
      <c r="M5325" s="2" t="s">
        <v>47</v>
      </c>
      <c r="N5325" s="2" t="s">
        <v>2983</v>
      </c>
    </row>
    <row r="5326" spans="1:14">
      <c r="A5326" s="2">
        <v>5325</v>
      </c>
      <c r="B5326" s="3" t="s">
        <v>18121</v>
      </c>
      <c r="C5326" s="2" t="s">
        <v>18122</v>
      </c>
      <c r="D5326" s="2">
        <v>37</v>
      </c>
      <c r="E5326" s="2">
        <v>37</v>
      </c>
      <c r="F5326" s="2" t="s">
        <v>18123</v>
      </c>
      <c r="H5326" s="2" t="s">
        <v>17</v>
      </c>
      <c r="K5326" s="4" t="s">
        <v>18124</v>
      </c>
      <c r="L5326" s="4">
        <v>13523</v>
      </c>
      <c r="M5326" s="2" t="s">
        <v>53</v>
      </c>
      <c r="N5326" s="2" t="s">
        <v>54</v>
      </c>
    </row>
    <row r="5327" spans="1:14">
      <c r="A5327" s="2">
        <v>5326</v>
      </c>
      <c r="B5327" s="3" t="s">
        <v>18125</v>
      </c>
      <c r="C5327" s="2" t="s">
        <v>18126</v>
      </c>
      <c r="D5327" s="2">
        <v>36</v>
      </c>
      <c r="E5327" s="2">
        <v>37</v>
      </c>
      <c r="F5327" s="2" t="s">
        <v>18127</v>
      </c>
      <c r="H5327" s="2" t="s">
        <v>17</v>
      </c>
      <c r="K5327" s="4" t="s">
        <v>18128</v>
      </c>
      <c r="L5327" s="4">
        <v>30054</v>
      </c>
      <c r="M5327" s="2" t="s">
        <v>40</v>
      </c>
    </row>
    <row r="5328" spans="1:14">
      <c r="A5328" s="2">
        <v>5327</v>
      </c>
      <c r="B5328" s="3" t="s">
        <v>18129</v>
      </c>
      <c r="C5328" s="2" t="s">
        <v>18130</v>
      </c>
      <c r="D5328" s="2">
        <v>31</v>
      </c>
      <c r="E5328" s="2">
        <v>37</v>
      </c>
      <c r="F5328" s="2" t="s">
        <v>18131</v>
      </c>
      <c r="H5328" s="2" t="s">
        <v>17</v>
      </c>
      <c r="K5328" s="4" t="s">
        <v>18132</v>
      </c>
      <c r="L5328" s="4">
        <v>23255</v>
      </c>
      <c r="M5328" s="2" t="s">
        <v>170</v>
      </c>
      <c r="N5328" s="2" t="s">
        <v>12454</v>
      </c>
    </row>
    <row r="5329" spans="1:14">
      <c r="A5329" s="2">
        <v>5328</v>
      </c>
      <c r="B5329" s="3" t="s">
        <v>18133</v>
      </c>
      <c r="C5329" s="2" t="s">
        <v>18134</v>
      </c>
      <c r="D5329" s="2">
        <v>37</v>
      </c>
      <c r="E5329" s="2">
        <v>37</v>
      </c>
      <c r="F5329" s="2" t="s">
        <v>18135</v>
      </c>
      <c r="H5329" s="2" t="s">
        <v>17</v>
      </c>
    </row>
    <row r="5330" spans="1:14">
      <c r="A5330" s="2">
        <v>5329</v>
      </c>
      <c r="B5330" s="3" t="s">
        <v>18136</v>
      </c>
      <c r="C5330" s="2" t="s">
        <v>18137</v>
      </c>
      <c r="D5330" s="2">
        <v>31</v>
      </c>
      <c r="E5330" s="2">
        <v>37</v>
      </c>
      <c r="F5330" s="2" t="s">
        <v>18138</v>
      </c>
      <c r="H5330" s="2" t="s">
        <v>17</v>
      </c>
      <c r="K5330" s="4" t="s">
        <v>18139</v>
      </c>
      <c r="L5330" s="4">
        <v>16227</v>
      </c>
      <c r="M5330" s="2" t="s">
        <v>40</v>
      </c>
      <c r="N5330" s="2" t="s">
        <v>18140</v>
      </c>
    </row>
    <row r="5331" spans="1:14">
      <c r="A5331" s="2">
        <v>5330</v>
      </c>
      <c r="B5331" s="3" t="s">
        <v>18141</v>
      </c>
      <c r="C5331" s="2" t="s">
        <v>18142</v>
      </c>
      <c r="D5331" s="2">
        <v>36</v>
      </c>
      <c r="E5331" s="2">
        <v>37</v>
      </c>
      <c r="F5331" s="2" t="s">
        <v>18143</v>
      </c>
      <c r="H5331" s="2" t="s">
        <v>17</v>
      </c>
      <c r="K5331" s="4" t="s">
        <v>18144</v>
      </c>
      <c r="L5331" s="4">
        <v>26181</v>
      </c>
      <c r="M5331" s="2" t="s">
        <v>170</v>
      </c>
      <c r="N5331" s="2" t="s">
        <v>171</v>
      </c>
    </row>
    <row r="5332" spans="1:14">
      <c r="A5332" s="2">
        <v>5331</v>
      </c>
      <c r="B5332" s="3" t="s">
        <v>18145</v>
      </c>
      <c r="C5332" s="2" t="s">
        <v>18146</v>
      </c>
      <c r="D5332" s="2">
        <v>35</v>
      </c>
      <c r="E5332" s="2">
        <v>37</v>
      </c>
      <c r="F5332" s="2" t="s">
        <v>18147</v>
      </c>
      <c r="H5332" s="2" t="s">
        <v>17</v>
      </c>
      <c r="K5332" s="4" t="s">
        <v>18148</v>
      </c>
      <c r="L5332" s="4">
        <v>22438</v>
      </c>
      <c r="M5332" s="2" t="s">
        <v>35</v>
      </c>
      <c r="N5332" s="2" t="s">
        <v>11183</v>
      </c>
    </row>
    <row r="5333" spans="1:14">
      <c r="A5333" s="2">
        <v>5332</v>
      </c>
      <c r="B5333" s="3" t="s">
        <v>18149</v>
      </c>
      <c r="C5333" s="2" t="s">
        <v>18150</v>
      </c>
      <c r="D5333" s="2">
        <v>37</v>
      </c>
      <c r="E5333" s="2">
        <v>37</v>
      </c>
      <c r="F5333" s="2" t="s">
        <v>18151</v>
      </c>
      <c r="H5333" s="2" t="s">
        <v>17</v>
      </c>
      <c r="K5333" s="4">
        <v>3624</v>
      </c>
      <c r="L5333" s="4">
        <v>36859</v>
      </c>
      <c r="M5333" s="2" t="s">
        <v>40</v>
      </c>
      <c r="N5333" s="2" t="s">
        <v>9352</v>
      </c>
    </row>
    <row r="5334" spans="1:14">
      <c r="A5334" s="2">
        <v>5333</v>
      </c>
      <c r="B5334" s="3" t="s">
        <v>18152</v>
      </c>
      <c r="C5334" s="2" t="s">
        <v>18153</v>
      </c>
      <c r="D5334" s="2">
        <v>37</v>
      </c>
      <c r="E5334" s="2">
        <v>37</v>
      </c>
      <c r="F5334" s="2" t="s">
        <v>18154</v>
      </c>
      <c r="H5334" s="2" t="s">
        <v>17</v>
      </c>
      <c r="K5334" s="4" t="s">
        <v>18155</v>
      </c>
      <c r="L5334" s="4">
        <v>26082</v>
      </c>
      <c r="M5334" s="2" t="s">
        <v>170</v>
      </c>
    </row>
    <row r="5335" spans="1:14">
      <c r="A5335" s="2">
        <v>5334</v>
      </c>
      <c r="B5335" s="3" t="s">
        <v>18156</v>
      </c>
      <c r="C5335" s="2" t="s">
        <v>18157</v>
      </c>
      <c r="D5335" s="2">
        <v>36</v>
      </c>
      <c r="E5335" s="2">
        <v>37</v>
      </c>
      <c r="F5335" s="2" t="s">
        <v>18158</v>
      </c>
      <c r="H5335" s="2" t="s">
        <v>17</v>
      </c>
      <c r="K5335" s="4">
        <v>497</v>
      </c>
      <c r="L5335" s="4">
        <v>35622</v>
      </c>
      <c r="M5335" s="2" t="s">
        <v>85</v>
      </c>
      <c r="N5335" s="2" t="s">
        <v>86</v>
      </c>
    </row>
    <row r="5336" spans="1:14">
      <c r="A5336" s="2">
        <v>5335</v>
      </c>
      <c r="B5336" s="3" t="s">
        <v>18159</v>
      </c>
      <c r="C5336" s="2" t="s">
        <v>18160</v>
      </c>
      <c r="D5336" s="2">
        <v>36</v>
      </c>
      <c r="E5336" s="2">
        <v>37</v>
      </c>
      <c r="F5336" s="2" t="s">
        <v>18161</v>
      </c>
      <c r="H5336" s="2" t="s">
        <v>17</v>
      </c>
      <c r="K5336" s="4" t="s">
        <v>18162</v>
      </c>
      <c r="L5336" s="4">
        <v>16723</v>
      </c>
      <c r="M5336" s="2" t="s">
        <v>170</v>
      </c>
      <c r="N5336" s="2" t="s">
        <v>323</v>
      </c>
    </row>
    <row r="5337" spans="1:14">
      <c r="A5337" s="2">
        <v>5336</v>
      </c>
      <c r="B5337" s="3" t="s">
        <v>18163</v>
      </c>
      <c r="C5337" s="2" t="s">
        <v>18164</v>
      </c>
      <c r="D5337" s="2">
        <v>37</v>
      </c>
      <c r="E5337" s="2">
        <v>37</v>
      </c>
      <c r="F5337" s="2" t="s">
        <v>18165</v>
      </c>
      <c r="H5337" s="2" t="s">
        <v>17</v>
      </c>
      <c r="L5337" s="4">
        <v>19833</v>
      </c>
    </row>
    <row r="5338" spans="1:14">
      <c r="A5338" s="2">
        <v>5337</v>
      </c>
      <c r="B5338" s="3" t="s">
        <v>18166</v>
      </c>
      <c r="C5338" s="2" t="s">
        <v>18167</v>
      </c>
      <c r="D5338" s="2">
        <v>37</v>
      </c>
      <c r="E5338" s="2">
        <v>37</v>
      </c>
      <c r="F5338" s="2" t="s">
        <v>18168</v>
      </c>
      <c r="H5338" s="2" t="s">
        <v>17</v>
      </c>
      <c r="K5338" s="4" t="s">
        <v>18169</v>
      </c>
      <c r="L5338" s="4">
        <v>24676</v>
      </c>
      <c r="M5338" s="2" t="s">
        <v>47</v>
      </c>
      <c r="N5338" s="2" t="s">
        <v>417</v>
      </c>
    </row>
    <row r="5339" spans="1:14">
      <c r="A5339" s="2">
        <v>5338</v>
      </c>
      <c r="B5339" s="3" t="s">
        <v>18170</v>
      </c>
      <c r="C5339" s="2" t="s">
        <v>18171</v>
      </c>
      <c r="D5339" s="2">
        <v>32</v>
      </c>
      <c r="E5339" s="2">
        <v>37</v>
      </c>
      <c r="F5339" s="2" t="s">
        <v>18172</v>
      </c>
      <c r="H5339" s="2" t="s">
        <v>17</v>
      </c>
      <c r="K5339" s="4" t="s">
        <v>18173</v>
      </c>
      <c r="L5339" s="4">
        <v>16714</v>
      </c>
      <c r="M5339" s="2" t="s">
        <v>185</v>
      </c>
      <c r="N5339" s="2" t="s">
        <v>3283</v>
      </c>
    </row>
    <row r="5340" spans="1:14">
      <c r="A5340" s="2">
        <v>5339</v>
      </c>
      <c r="B5340" s="3" t="s">
        <v>18174</v>
      </c>
      <c r="C5340" s="2" t="s">
        <v>18175</v>
      </c>
      <c r="D5340" s="2">
        <v>36</v>
      </c>
      <c r="E5340" s="2">
        <v>37</v>
      </c>
      <c r="F5340" s="2" t="s">
        <v>18176</v>
      </c>
      <c r="H5340" s="2" t="s">
        <v>17</v>
      </c>
      <c r="K5340" s="4" t="s">
        <v>18177</v>
      </c>
      <c r="L5340" s="4">
        <v>25293</v>
      </c>
      <c r="M5340" s="2" t="s">
        <v>40</v>
      </c>
      <c r="N5340" s="2" t="s">
        <v>41</v>
      </c>
    </row>
    <row r="5341" spans="1:14">
      <c r="A5341" s="2">
        <v>5340</v>
      </c>
      <c r="B5341" s="3" t="s">
        <v>18178</v>
      </c>
      <c r="C5341" s="2" t="s">
        <v>18179</v>
      </c>
      <c r="D5341" s="2">
        <v>36</v>
      </c>
      <c r="E5341" s="2">
        <v>37</v>
      </c>
      <c r="F5341" s="2" t="s">
        <v>18180</v>
      </c>
      <c r="H5341" s="2" t="s">
        <v>17</v>
      </c>
      <c r="K5341" s="4" t="s">
        <v>18181</v>
      </c>
      <c r="L5341" s="4">
        <v>18754</v>
      </c>
      <c r="M5341" s="2" t="s">
        <v>969</v>
      </c>
    </row>
    <row r="5342" spans="1:14">
      <c r="A5342" s="2">
        <v>5341</v>
      </c>
      <c r="B5342" s="3" t="s">
        <v>18182</v>
      </c>
      <c r="C5342" s="2" t="s">
        <v>18183</v>
      </c>
      <c r="D5342" s="2">
        <v>33</v>
      </c>
      <c r="E5342" s="2">
        <v>37</v>
      </c>
      <c r="F5342" s="2" t="s">
        <v>18184</v>
      </c>
      <c r="H5342" s="2" t="s">
        <v>17</v>
      </c>
      <c r="K5342" s="4" t="s">
        <v>18185</v>
      </c>
      <c r="L5342" s="4">
        <v>15907</v>
      </c>
      <c r="M5342" s="2" t="s">
        <v>198</v>
      </c>
      <c r="N5342" s="2" t="s">
        <v>1388</v>
      </c>
    </row>
    <row r="5343" spans="1:14">
      <c r="A5343" s="2">
        <v>5342</v>
      </c>
      <c r="B5343" s="3" t="s">
        <v>18186</v>
      </c>
      <c r="C5343" s="2" t="s">
        <v>18187</v>
      </c>
      <c r="D5343" s="2">
        <v>37</v>
      </c>
      <c r="E5343" s="2">
        <v>37</v>
      </c>
      <c r="F5343" s="2" t="s">
        <v>18188</v>
      </c>
      <c r="H5343" s="2" t="s">
        <v>17</v>
      </c>
    </row>
    <row r="5344" spans="1:14">
      <c r="A5344" s="2">
        <v>5343</v>
      </c>
      <c r="B5344" s="3" t="s">
        <v>18189</v>
      </c>
      <c r="C5344" s="2" t="s">
        <v>18190</v>
      </c>
      <c r="D5344" s="2">
        <v>37</v>
      </c>
      <c r="E5344" s="2">
        <v>37</v>
      </c>
      <c r="F5344" s="2" t="s">
        <v>18191</v>
      </c>
      <c r="H5344" s="2" t="s">
        <v>17</v>
      </c>
      <c r="K5344" s="4" t="s">
        <v>18192</v>
      </c>
      <c r="M5344" s="2" t="s">
        <v>47</v>
      </c>
      <c r="N5344" s="2" t="s">
        <v>48</v>
      </c>
    </row>
    <row r="5345" spans="1:14">
      <c r="A5345" s="2">
        <v>5344</v>
      </c>
      <c r="B5345" s="3" t="s">
        <v>18193</v>
      </c>
      <c r="C5345" s="2" t="s">
        <v>18194</v>
      </c>
      <c r="D5345" s="2">
        <v>36</v>
      </c>
      <c r="E5345" s="2">
        <v>37</v>
      </c>
      <c r="F5345" s="2" t="s">
        <v>18195</v>
      </c>
      <c r="H5345" s="2" t="s">
        <v>17</v>
      </c>
      <c r="K5345" s="4" t="s">
        <v>18196</v>
      </c>
      <c r="M5345" s="2" t="s">
        <v>164</v>
      </c>
      <c r="N5345" s="2" t="s">
        <v>11087</v>
      </c>
    </row>
    <row r="5346" spans="1:14">
      <c r="A5346" s="2">
        <v>5345</v>
      </c>
      <c r="B5346" s="3" t="s">
        <v>18197</v>
      </c>
      <c r="C5346" s="2" t="s">
        <v>18198</v>
      </c>
      <c r="D5346" s="2">
        <v>36</v>
      </c>
      <c r="E5346" s="2">
        <v>37</v>
      </c>
      <c r="F5346" s="2" t="s">
        <v>18199</v>
      </c>
      <c r="H5346" s="2" t="s">
        <v>17</v>
      </c>
      <c r="K5346" s="4" t="s">
        <v>18200</v>
      </c>
      <c r="L5346" s="4">
        <v>17741</v>
      </c>
      <c r="M5346" s="2" t="s">
        <v>35</v>
      </c>
      <c r="N5346" s="2" t="s">
        <v>858</v>
      </c>
    </row>
    <row r="5347" spans="1:14">
      <c r="A5347" s="2">
        <v>5346</v>
      </c>
      <c r="B5347" s="3" t="s">
        <v>18201</v>
      </c>
      <c r="C5347" s="2" t="s">
        <v>18202</v>
      </c>
      <c r="D5347" s="2">
        <v>36</v>
      </c>
      <c r="E5347" s="2">
        <v>37</v>
      </c>
      <c r="F5347" s="2" t="s">
        <v>18203</v>
      </c>
      <c r="H5347" s="2" t="s">
        <v>17</v>
      </c>
      <c r="K5347" s="4">
        <v>2126</v>
      </c>
      <c r="M5347" s="2" t="s">
        <v>336</v>
      </c>
      <c r="N5347" s="2" t="s">
        <v>18204</v>
      </c>
    </row>
    <row r="5348" spans="1:14">
      <c r="A5348" s="2">
        <v>5347</v>
      </c>
      <c r="B5348" s="3" t="s">
        <v>18205</v>
      </c>
      <c r="C5348" s="2" t="s">
        <v>13893</v>
      </c>
      <c r="D5348" s="2">
        <v>29</v>
      </c>
      <c r="E5348" s="2">
        <v>37</v>
      </c>
      <c r="F5348" s="2" t="s">
        <v>18206</v>
      </c>
      <c r="H5348" s="2" t="s">
        <v>17</v>
      </c>
      <c r="K5348" s="4" t="s">
        <v>18207</v>
      </c>
      <c r="L5348" s="4">
        <v>16224</v>
      </c>
      <c r="M5348" s="2" t="s">
        <v>35</v>
      </c>
      <c r="N5348" s="2" t="s">
        <v>10783</v>
      </c>
    </row>
    <row r="5349" spans="1:14">
      <c r="A5349" s="2">
        <v>5348</v>
      </c>
      <c r="B5349" s="3" t="s">
        <v>18208</v>
      </c>
      <c r="C5349" s="2" t="s">
        <v>18209</v>
      </c>
      <c r="D5349" s="2">
        <v>37</v>
      </c>
      <c r="E5349" s="2">
        <v>37</v>
      </c>
      <c r="F5349" s="2" t="s">
        <v>18210</v>
      </c>
      <c r="H5349" s="2" t="s">
        <v>17</v>
      </c>
      <c r="K5349" s="4" t="s">
        <v>18211</v>
      </c>
      <c r="L5349" s="4">
        <v>17256</v>
      </c>
      <c r="M5349" s="2" t="s">
        <v>76</v>
      </c>
      <c r="N5349" s="2" t="s">
        <v>906</v>
      </c>
    </row>
    <row r="5350" spans="1:14">
      <c r="A5350" s="2">
        <v>5349</v>
      </c>
      <c r="B5350" s="3" t="s">
        <v>18212</v>
      </c>
      <c r="C5350" s="2" t="s">
        <v>18213</v>
      </c>
      <c r="D5350" s="2">
        <v>33</v>
      </c>
      <c r="E5350" s="2">
        <v>37</v>
      </c>
      <c r="F5350" s="2" t="s">
        <v>18214</v>
      </c>
      <c r="H5350" s="2" t="s">
        <v>17</v>
      </c>
      <c r="K5350" s="4" t="s">
        <v>18215</v>
      </c>
      <c r="L5350" s="4">
        <v>19192</v>
      </c>
      <c r="M5350" s="2" t="s">
        <v>170</v>
      </c>
      <c r="N5350" s="2" t="s">
        <v>3274</v>
      </c>
    </row>
    <row r="5351" spans="1:14">
      <c r="A5351" s="2">
        <v>5350</v>
      </c>
      <c r="B5351" s="3" t="s">
        <v>18216</v>
      </c>
      <c r="C5351" s="2" t="s">
        <v>18217</v>
      </c>
      <c r="D5351" s="2">
        <v>36</v>
      </c>
      <c r="E5351" s="2">
        <v>37</v>
      </c>
      <c r="F5351" s="2" t="s">
        <v>18218</v>
      </c>
      <c r="H5351" s="2" t="s">
        <v>17</v>
      </c>
      <c r="K5351" s="4" t="s">
        <v>18219</v>
      </c>
      <c r="L5351" s="4">
        <v>17835</v>
      </c>
      <c r="M5351" s="2" t="s">
        <v>35</v>
      </c>
      <c r="N5351" s="2" t="s">
        <v>15810</v>
      </c>
    </row>
    <row r="5352" spans="1:14">
      <c r="A5352" s="2">
        <v>5351</v>
      </c>
      <c r="B5352" s="3" t="s">
        <v>18220</v>
      </c>
      <c r="C5352" s="2" t="s">
        <v>18221</v>
      </c>
      <c r="D5352" s="2">
        <v>36</v>
      </c>
      <c r="E5352" s="2">
        <v>37</v>
      </c>
      <c r="F5352" s="2" t="s">
        <v>18222</v>
      </c>
      <c r="H5352" s="2" t="s">
        <v>17</v>
      </c>
      <c r="K5352" s="4" t="s">
        <v>18223</v>
      </c>
      <c r="L5352" s="4">
        <v>18428</v>
      </c>
      <c r="M5352" s="2" t="s">
        <v>146</v>
      </c>
      <c r="N5352" s="2" t="s">
        <v>147</v>
      </c>
    </row>
    <row r="5353" spans="1:14">
      <c r="A5353" s="2">
        <v>5352</v>
      </c>
      <c r="B5353" s="3" t="s">
        <v>18224</v>
      </c>
      <c r="C5353" s="2" t="s">
        <v>18225</v>
      </c>
      <c r="D5353" s="2">
        <v>37</v>
      </c>
      <c r="E5353" s="2">
        <v>37</v>
      </c>
      <c r="F5353" s="2" t="s">
        <v>18226</v>
      </c>
      <c r="H5353" s="2" t="s">
        <v>17</v>
      </c>
      <c r="K5353" s="4">
        <v>201</v>
      </c>
      <c r="L5353" s="4">
        <v>23146</v>
      </c>
      <c r="M5353" s="2" t="s">
        <v>91</v>
      </c>
      <c r="N5353" s="2" t="s">
        <v>3224</v>
      </c>
    </row>
    <row r="5354" spans="1:14">
      <c r="A5354" s="2">
        <v>5353</v>
      </c>
      <c r="B5354" s="3" t="s">
        <v>18227</v>
      </c>
      <c r="C5354" s="2" t="s">
        <v>18228</v>
      </c>
      <c r="D5354" s="2">
        <v>37</v>
      </c>
      <c r="E5354" s="2">
        <v>37</v>
      </c>
      <c r="F5354" s="2" t="s">
        <v>18229</v>
      </c>
      <c r="H5354" s="2" t="s">
        <v>17</v>
      </c>
      <c r="K5354" s="4" t="s">
        <v>18230</v>
      </c>
      <c r="L5354" s="4">
        <v>24992</v>
      </c>
      <c r="M5354" s="2" t="s">
        <v>53</v>
      </c>
      <c r="N5354" s="2" t="s">
        <v>847</v>
      </c>
    </row>
    <row r="5355" spans="1:14">
      <c r="A5355" s="2">
        <v>5354</v>
      </c>
      <c r="B5355" s="3" t="s">
        <v>18231</v>
      </c>
      <c r="C5355" s="2" t="s">
        <v>18232</v>
      </c>
      <c r="D5355" s="2">
        <v>37</v>
      </c>
      <c r="E5355" s="2">
        <v>37</v>
      </c>
      <c r="F5355" s="2" t="s">
        <v>18233</v>
      </c>
      <c r="H5355" s="2" t="s">
        <v>17</v>
      </c>
      <c r="K5355" s="4">
        <v>1120</v>
      </c>
      <c r="M5355" s="2" t="s">
        <v>170</v>
      </c>
      <c r="N5355" s="2" t="s">
        <v>323</v>
      </c>
    </row>
    <row r="5356" spans="1:14">
      <c r="A5356" s="2">
        <v>5355</v>
      </c>
      <c r="B5356" s="3" t="s">
        <v>18234</v>
      </c>
      <c r="C5356" s="2" t="s">
        <v>18235</v>
      </c>
      <c r="D5356" s="2">
        <v>37</v>
      </c>
      <c r="E5356" s="2">
        <v>37</v>
      </c>
      <c r="F5356" s="2" t="s">
        <v>18236</v>
      </c>
      <c r="H5356" s="2" t="s">
        <v>17</v>
      </c>
      <c r="K5356" s="4" t="s">
        <v>18237</v>
      </c>
      <c r="L5356" s="4">
        <v>24018</v>
      </c>
      <c r="M5356" s="2" t="s">
        <v>85</v>
      </c>
      <c r="N5356" s="2" t="s">
        <v>11256</v>
      </c>
    </row>
    <row r="5357" spans="1:14">
      <c r="A5357" s="2">
        <v>5356</v>
      </c>
      <c r="B5357" s="3" t="s">
        <v>18238</v>
      </c>
      <c r="C5357" s="2" t="s">
        <v>18239</v>
      </c>
      <c r="D5357" s="2">
        <v>36</v>
      </c>
      <c r="E5357" s="2">
        <v>37</v>
      </c>
      <c r="F5357" s="2" t="s">
        <v>18240</v>
      </c>
      <c r="H5357" s="2" t="s">
        <v>17</v>
      </c>
      <c r="K5357" s="4" t="s">
        <v>18241</v>
      </c>
      <c r="L5357" s="4">
        <v>25120</v>
      </c>
      <c r="M5357" s="2" t="s">
        <v>66</v>
      </c>
      <c r="N5357" s="2" t="s">
        <v>6963</v>
      </c>
    </row>
    <row r="5358" spans="1:14">
      <c r="A5358" s="2">
        <v>5357</v>
      </c>
      <c r="B5358" s="3" t="s">
        <v>18242</v>
      </c>
      <c r="C5358" s="2" t="s">
        <v>18243</v>
      </c>
      <c r="D5358" s="2">
        <v>37</v>
      </c>
      <c r="E5358" s="2">
        <v>37</v>
      </c>
      <c r="F5358" s="2" t="s">
        <v>18244</v>
      </c>
      <c r="H5358" s="2" t="s">
        <v>17</v>
      </c>
    </row>
    <row r="5359" spans="1:14">
      <c r="A5359" s="2">
        <v>5358</v>
      </c>
      <c r="B5359" s="3" t="s">
        <v>18245</v>
      </c>
      <c r="C5359" s="2" t="s">
        <v>18246</v>
      </c>
      <c r="D5359" s="2">
        <v>37</v>
      </c>
      <c r="E5359" s="2">
        <v>37</v>
      </c>
      <c r="F5359" s="2" t="s">
        <v>18247</v>
      </c>
      <c r="H5359" s="2" t="s">
        <v>17</v>
      </c>
      <c r="K5359" s="4" t="s">
        <v>18248</v>
      </c>
      <c r="L5359" s="4">
        <v>17600</v>
      </c>
      <c r="M5359" s="2" t="s">
        <v>146</v>
      </c>
    </row>
    <row r="5360" spans="1:14">
      <c r="A5360" s="2">
        <v>5359</v>
      </c>
      <c r="B5360" s="3" t="s">
        <v>18249</v>
      </c>
      <c r="C5360" s="2" t="s">
        <v>18250</v>
      </c>
      <c r="D5360" s="2">
        <v>36</v>
      </c>
      <c r="E5360" s="2">
        <v>37</v>
      </c>
      <c r="F5360" s="2" t="s">
        <v>18251</v>
      </c>
      <c r="H5360" s="2" t="s">
        <v>17</v>
      </c>
      <c r="K5360" s="4">
        <v>602</v>
      </c>
      <c r="L5360" s="4">
        <v>29885</v>
      </c>
    </row>
    <row r="5361" spans="1:14">
      <c r="A5361" s="2">
        <v>5360</v>
      </c>
      <c r="B5361" s="3" t="s">
        <v>18252</v>
      </c>
      <c r="C5361" s="2" t="s">
        <v>18253</v>
      </c>
      <c r="D5361" s="2">
        <v>36</v>
      </c>
      <c r="E5361" s="2">
        <v>37</v>
      </c>
      <c r="F5361" s="2" t="s">
        <v>18254</v>
      </c>
      <c r="H5361" s="2" t="s">
        <v>17</v>
      </c>
      <c r="K5361" s="4" t="s">
        <v>18255</v>
      </c>
      <c r="M5361" s="2" t="s">
        <v>170</v>
      </c>
    </row>
    <row r="5362" spans="1:14">
      <c r="A5362" s="2">
        <v>5361</v>
      </c>
      <c r="B5362" s="3" t="s">
        <v>18256</v>
      </c>
      <c r="C5362" s="2" t="s">
        <v>18257</v>
      </c>
      <c r="D5362" s="2">
        <v>32</v>
      </c>
      <c r="E5362" s="2">
        <v>37</v>
      </c>
      <c r="F5362" s="2" t="s">
        <v>18258</v>
      </c>
      <c r="H5362" s="2" t="s">
        <v>17</v>
      </c>
      <c r="K5362" s="4" t="s">
        <v>18259</v>
      </c>
      <c r="L5362" s="4">
        <v>17481</v>
      </c>
      <c r="M5362" s="2" t="s">
        <v>170</v>
      </c>
      <c r="N5362" s="2" t="s">
        <v>171</v>
      </c>
    </row>
    <row r="5363" spans="1:14">
      <c r="A5363" s="2">
        <v>5362</v>
      </c>
      <c r="B5363" s="3" t="s">
        <v>18260</v>
      </c>
      <c r="C5363" s="2" t="s">
        <v>18261</v>
      </c>
      <c r="D5363" s="2">
        <v>36</v>
      </c>
      <c r="E5363" s="2">
        <v>37</v>
      </c>
      <c r="F5363" s="2" t="s">
        <v>18262</v>
      </c>
      <c r="H5363" s="2" t="s">
        <v>17</v>
      </c>
      <c r="K5363" s="4">
        <v>506</v>
      </c>
      <c r="L5363" s="4">
        <v>18122</v>
      </c>
      <c r="M5363" s="2" t="s">
        <v>76</v>
      </c>
      <c r="N5363" s="2" t="s">
        <v>9787</v>
      </c>
    </row>
    <row r="5364" spans="1:14">
      <c r="A5364" s="2">
        <v>5363</v>
      </c>
      <c r="B5364" s="3" t="s">
        <v>18263</v>
      </c>
      <c r="C5364" s="2" t="s">
        <v>18264</v>
      </c>
      <c r="D5364" s="2">
        <v>37</v>
      </c>
      <c r="E5364" s="2">
        <v>37</v>
      </c>
      <c r="F5364" s="2" t="s">
        <v>18265</v>
      </c>
      <c r="H5364" s="2" t="s">
        <v>17</v>
      </c>
      <c r="K5364" s="4" t="s">
        <v>18266</v>
      </c>
      <c r="L5364" s="4">
        <v>24469</v>
      </c>
      <c r="M5364" s="2" t="s">
        <v>85</v>
      </c>
      <c r="N5364" s="2" t="s">
        <v>4721</v>
      </c>
    </row>
    <row r="5365" spans="1:14">
      <c r="A5365" s="2">
        <v>5364</v>
      </c>
      <c r="B5365" s="3" t="s">
        <v>18267</v>
      </c>
      <c r="C5365" s="2" t="s">
        <v>18268</v>
      </c>
      <c r="D5365" s="2">
        <v>36</v>
      </c>
      <c r="E5365" s="2">
        <v>37</v>
      </c>
      <c r="F5365" s="2" t="s">
        <v>18269</v>
      </c>
      <c r="H5365" s="2" t="s">
        <v>17</v>
      </c>
      <c r="K5365" s="4" t="s">
        <v>18270</v>
      </c>
      <c r="L5365" s="4">
        <v>21517</v>
      </c>
      <c r="M5365" s="2" t="s">
        <v>198</v>
      </c>
      <c r="N5365" s="2" t="s">
        <v>199</v>
      </c>
    </row>
    <row r="5366" spans="1:14">
      <c r="A5366" s="2">
        <v>5365</v>
      </c>
      <c r="B5366" s="3" t="s">
        <v>18271</v>
      </c>
      <c r="C5366" s="2" t="s">
        <v>18272</v>
      </c>
      <c r="D5366" s="2">
        <v>37</v>
      </c>
      <c r="E5366" s="2">
        <v>37</v>
      </c>
      <c r="F5366" s="2" t="s">
        <v>18273</v>
      </c>
      <c r="H5366" s="2" t="s">
        <v>17</v>
      </c>
    </row>
    <row r="5367" spans="1:14">
      <c r="A5367" s="2">
        <v>5366</v>
      </c>
      <c r="B5367" s="3" t="s">
        <v>18274</v>
      </c>
      <c r="C5367" s="2" t="s">
        <v>18275</v>
      </c>
      <c r="D5367" s="2">
        <v>37</v>
      </c>
      <c r="E5367" s="2">
        <v>37</v>
      </c>
      <c r="F5367" s="2" t="s">
        <v>18276</v>
      </c>
      <c r="H5367" s="2" t="s">
        <v>17</v>
      </c>
      <c r="K5367" s="4" t="s">
        <v>18277</v>
      </c>
      <c r="L5367" s="4">
        <v>19610</v>
      </c>
      <c r="M5367" s="2" t="s">
        <v>146</v>
      </c>
      <c r="N5367" s="2" t="s">
        <v>147</v>
      </c>
    </row>
    <row r="5368" spans="1:14">
      <c r="A5368" s="2">
        <v>5367</v>
      </c>
      <c r="B5368" s="3" t="s">
        <v>18278</v>
      </c>
      <c r="C5368" s="2" t="s">
        <v>18279</v>
      </c>
      <c r="D5368" s="2">
        <v>37</v>
      </c>
      <c r="E5368" s="2">
        <v>37</v>
      </c>
      <c r="F5368" s="2" t="s">
        <v>18280</v>
      </c>
      <c r="H5368" s="2" t="s">
        <v>17</v>
      </c>
      <c r="K5368" s="4">
        <v>21</v>
      </c>
      <c r="L5368" s="4">
        <v>28485</v>
      </c>
      <c r="M5368" s="2" t="s">
        <v>66</v>
      </c>
      <c r="N5368" s="2" t="s">
        <v>6076</v>
      </c>
    </row>
    <row r="5369" spans="1:14">
      <c r="A5369" s="2">
        <v>5368</v>
      </c>
      <c r="B5369" s="3" t="s">
        <v>18281</v>
      </c>
      <c r="C5369" s="2" t="s">
        <v>18282</v>
      </c>
      <c r="D5369" s="2">
        <v>37</v>
      </c>
      <c r="E5369" s="2">
        <v>37</v>
      </c>
      <c r="F5369" s="2" t="s">
        <v>18283</v>
      </c>
      <c r="H5369" s="2" t="s">
        <v>17</v>
      </c>
      <c r="K5369" s="4" t="s">
        <v>18284</v>
      </c>
      <c r="L5369" s="4">
        <v>24457</v>
      </c>
      <c r="M5369" s="2" t="s">
        <v>66</v>
      </c>
      <c r="N5369" s="2" t="s">
        <v>9911</v>
      </c>
    </row>
    <row r="5370" spans="1:14">
      <c r="A5370" s="2">
        <v>5369</v>
      </c>
      <c r="B5370" s="3" t="s">
        <v>18285</v>
      </c>
      <c r="C5370" s="2" t="s">
        <v>18286</v>
      </c>
      <c r="D5370" s="2">
        <v>37</v>
      </c>
      <c r="E5370" s="2">
        <v>37</v>
      </c>
      <c r="F5370" s="2" t="s">
        <v>18287</v>
      </c>
      <c r="H5370" s="2" t="s">
        <v>17</v>
      </c>
      <c r="K5370" s="4">
        <v>429</v>
      </c>
      <c r="L5370" s="4">
        <v>30390</v>
      </c>
      <c r="M5370" s="2" t="s">
        <v>66</v>
      </c>
    </row>
    <row r="5371" spans="1:14">
      <c r="A5371" s="2">
        <v>5370</v>
      </c>
      <c r="B5371" s="3" t="s">
        <v>18288</v>
      </c>
      <c r="C5371" s="2" t="s">
        <v>18289</v>
      </c>
      <c r="D5371" s="2">
        <v>37</v>
      </c>
      <c r="E5371" s="2">
        <v>37</v>
      </c>
      <c r="F5371" s="2" t="s">
        <v>18290</v>
      </c>
      <c r="H5371" s="2" t="s">
        <v>17</v>
      </c>
      <c r="K5371" s="4" t="s">
        <v>18291</v>
      </c>
      <c r="L5371" s="4">
        <v>21594</v>
      </c>
      <c r="M5371" s="2" t="s">
        <v>47</v>
      </c>
      <c r="N5371" s="2" t="s">
        <v>6363</v>
      </c>
    </row>
    <row r="5372" spans="1:14">
      <c r="A5372" s="2">
        <v>5371</v>
      </c>
      <c r="B5372" s="3" t="s">
        <v>18292</v>
      </c>
      <c r="C5372" s="2" t="s">
        <v>18293</v>
      </c>
      <c r="D5372" s="2">
        <v>37</v>
      </c>
      <c r="E5372" s="2">
        <v>37</v>
      </c>
      <c r="F5372" s="2" t="s">
        <v>18294</v>
      </c>
      <c r="H5372" s="2" t="s">
        <v>17</v>
      </c>
      <c r="K5372" s="4" t="s">
        <v>18295</v>
      </c>
      <c r="L5372" s="4">
        <v>29928</v>
      </c>
      <c r="M5372" s="2" t="s">
        <v>85</v>
      </c>
      <c r="N5372" s="2" t="s">
        <v>86</v>
      </c>
    </row>
    <row r="5373" spans="1:14">
      <c r="A5373" s="2">
        <v>5372</v>
      </c>
      <c r="B5373" s="3" t="s">
        <v>18296</v>
      </c>
      <c r="C5373" s="2" t="s">
        <v>18297</v>
      </c>
      <c r="D5373" s="2">
        <v>37</v>
      </c>
      <c r="E5373" s="2">
        <v>37</v>
      </c>
      <c r="F5373" s="2" t="s">
        <v>18298</v>
      </c>
      <c r="H5373" s="2" t="s">
        <v>17</v>
      </c>
      <c r="K5373" s="4">
        <v>1088</v>
      </c>
      <c r="L5373" s="4">
        <v>31215</v>
      </c>
      <c r="M5373" s="2" t="s">
        <v>40</v>
      </c>
      <c r="N5373" s="2" t="s">
        <v>592</v>
      </c>
    </row>
    <row r="5374" spans="1:14">
      <c r="A5374" s="2">
        <v>5373</v>
      </c>
      <c r="B5374" s="3" t="s">
        <v>18299</v>
      </c>
      <c r="C5374" s="2" t="s">
        <v>18300</v>
      </c>
      <c r="D5374" s="2">
        <v>37</v>
      </c>
      <c r="E5374" s="2">
        <v>37</v>
      </c>
      <c r="F5374" s="2" t="s">
        <v>18301</v>
      </c>
      <c r="H5374" s="2" t="s">
        <v>17</v>
      </c>
      <c r="K5374" s="4">
        <v>414</v>
      </c>
      <c r="L5374" s="4">
        <v>23895</v>
      </c>
      <c r="M5374" s="2" t="s">
        <v>85</v>
      </c>
    </row>
    <row r="5375" spans="1:14">
      <c r="A5375" s="2">
        <v>5374</v>
      </c>
      <c r="B5375" s="3" t="s">
        <v>18302</v>
      </c>
      <c r="C5375" s="2" t="s">
        <v>18303</v>
      </c>
      <c r="D5375" s="2">
        <v>37</v>
      </c>
      <c r="E5375" s="2">
        <v>37</v>
      </c>
      <c r="F5375" s="2" t="s">
        <v>18304</v>
      </c>
      <c r="H5375" s="2" t="s">
        <v>17</v>
      </c>
    </row>
    <row r="5376" spans="1:14">
      <c r="A5376" s="2">
        <v>5375</v>
      </c>
      <c r="B5376" s="3" t="s">
        <v>18305</v>
      </c>
      <c r="C5376" s="2" t="s">
        <v>18306</v>
      </c>
      <c r="D5376" s="2">
        <v>27</v>
      </c>
      <c r="E5376" s="2">
        <v>37</v>
      </c>
      <c r="F5376" s="2" t="s">
        <v>18307</v>
      </c>
      <c r="H5376" s="2" t="s">
        <v>17</v>
      </c>
      <c r="K5376" s="4" t="s">
        <v>18308</v>
      </c>
      <c r="L5376" s="4">
        <v>21267</v>
      </c>
      <c r="M5376" s="2" t="s">
        <v>40</v>
      </c>
      <c r="N5376" s="2" t="s">
        <v>9352</v>
      </c>
    </row>
    <row r="5377" spans="1:14">
      <c r="A5377" s="2">
        <v>5376</v>
      </c>
      <c r="B5377" s="3" t="s">
        <v>18309</v>
      </c>
      <c r="C5377" s="2" t="s">
        <v>18310</v>
      </c>
      <c r="D5377" s="2">
        <v>36</v>
      </c>
      <c r="E5377" s="2">
        <v>37</v>
      </c>
      <c r="F5377" s="2" t="s">
        <v>18311</v>
      </c>
      <c r="H5377" s="2" t="s">
        <v>17</v>
      </c>
      <c r="K5377" s="4" t="s">
        <v>18312</v>
      </c>
      <c r="L5377" s="4">
        <v>21860</v>
      </c>
      <c r="M5377" s="2" t="s">
        <v>66</v>
      </c>
      <c r="N5377" s="2" t="s">
        <v>17431</v>
      </c>
    </row>
    <row r="5378" spans="1:14">
      <c r="A5378" s="2">
        <v>5377</v>
      </c>
      <c r="B5378" s="3" t="s">
        <v>18313</v>
      </c>
      <c r="C5378" s="2" t="s">
        <v>18314</v>
      </c>
      <c r="D5378" s="2">
        <v>37</v>
      </c>
      <c r="E5378" s="2">
        <v>37</v>
      </c>
      <c r="F5378" s="2" t="s">
        <v>18315</v>
      </c>
      <c r="H5378" s="2" t="s">
        <v>17</v>
      </c>
      <c r="K5378" s="4">
        <v>91</v>
      </c>
      <c r="L5378" s="4">
        <v>28439</v>
      </c>
      <c r="M5378" s="2" t="s">
        <v>47</v>
      </c>
      <c r="N5378" s="2" t="s">
        <v>442</v>
      </c>
    </row>
    <row r="5379" spans="1:14">
      <c r="A5379" s="2">
        <v>5378</v>
      </c>
      <c r="B5379" s="3" t="s">
        <v>18316</v>
      </c>
      <c r="C5379" s="2" t="s">
        <v>18317</v>
      </c>
      <c r="D5379" s="2">
        <v>36</v>
      </c>
      <c r="E5379" s="2">
        <v>37</v>
      </c>
      <c r="F5379" s="2" t="s">
        <v>18318</v>
      </c>
      <c r="H5379" s="2" t="s">
        <v>17</v>
      </c>
      <c r="K5379" s="4" t="s">
        <v>18319</v>
      </c>
      <c r="L5379" s="4">
        <v>19745</v>
      </c>
      <c r="M5379" s="2" t="s">
        <v>198</v>
      </c>
      <c r="N5379" s="2" t="s">
        <v>10323</v>
      </c>
    </row>
    <row r="5380" spans="1:14">
      <c r="A5380" s="2">
        <v>5379</v>
      </c>
      <c r="B5380" s="3" t="s">
        <v>18320</v>
      </c>
      <c r="C5380" s="2" t="s">
        <v>18321</v>
      </c>
      <c r="D5380" s="2">
        <v>36</v>
      </c>
      <c r="E5380" s="2">
        <v>37</v>
      </c>
      <c r="F5380" s="2" t="s">
        <v>18322</v>
      </c>
      <c r="H5380" s="2" t="s">
        <v>17</v>
      </c>
      <c r="K5380" s="4" t="s">
        <v>18323</v>
      </c>
      <c r="L5380" s="4">
        <v>31198</v>
      </c>
      <c r="M5380" s="2" t="s">
        <v>76</v>
      </c>
      <c r="N5380" s="2" t="s">
        <v>906</v>
      </c>
    </row>
    <row r="5381" spans="1:14">
      <c r="A5381" s="2">
        <v>5380</v>
      </c>
      <c r="B5381" s="3" t="s">
        <v>18324</v>
      </c>
      <c r="C5381" s="2" t="s">
        <v>14018</v>
      </c>
      <c r="D5381" s="2">
        <v>37</v>
      </c>
      <c r="E5381" s="2">
        <v>37</v>
      </c>
      <c r="F5381" s="2" t="s">
        <v>18325</v>
      </c>
      <c r="H5381" s="2" t="s">
        <v>17</v>
      </c>
      <c r="K5381" s="4" t="s">
        <v>18326</v>
      </c>
      <c r="L5381" s="4">
        <v>22789</v>
      </c>
      <c r="M5381" s="2" t="s">
        <v>35</v>
      </c>
      <c r="N5381" s="2" t="s">
        <v>6880</v>
      </c>
    </row>
    <row r="5382" spans="1:14">
      <c r="A5382" s="2">
        <v>5381</v>
      </c>
      <c r="B5382" s="3" t="s">
        <v>18327</v>
      </c>
      <c r="C5382" s="2" t="s">
        <v>18328</v>
      </c>
      <c r="D5382" s="2">
        <v>26</v>
      </c>
      <c r="E5382" s="2">
        <v>37</v>
      </c>
      <c r="F5382" s="2" t="s">
        <v>18329</v>
      </c>
      <c r="H5382" s="2" t="s">
        <v>17</v>
      </c>
      <c r="K5382" s="4" t="s">
        <v>18330</v>
      </c>
      <c r="L5382" s="4">
        <v>14679</v>
      </c>
      <c r="M5382" s="2" t="s">
        <v>40</v>
      </c>
    </row>
    <row r="5383" spans="1:14">
      <c r="A5383" s="2">
        <v>5382</v>
      </c>
      <c r="B5383" s="3" t="s">
        <v>18331</v>
      </c>
      <c r="C5383" s="2" t="s">
        <v>18332</v>
      </c>
      <c r="D5383" s="2">
        <v>36</v>
      </c>
      <c r="E5383" s="2">
        <v>37</v>
      </c>
      <c r="F5383" s="2" t="s">
        <v>18333</v>
      </c>
      <c r="H5383" s="2" t="s">
        <v>17</v>
      </c>
      <c r="K5383" s="4">
        <v>671</v>
      </c>
      <c r="L5383" s="4">
        <v>25068</v>
      </c>
      <c r="M5383" s="2" t="s">
        <v>969</v>
      </c>
      <c r="N5383" s="2" t="s">
        <v>323</v>
      </c>
    </row>
    <row r="5384" spans="1:14">
      <c r="A5384" s="2">
        <v>5383</v>
      </c>
      <c r="B5384" s="3" t="s">
        <v>18334</v>
      </c>
      <c r="C5384" s="2" t="s">
        <v>18335</v>
      </c>
      <c r="D5384" s="2">
        <v>37</v>
      </c>
      <c r="E5384" s="2">
        <v>37</v>
      </c>
      <c r="F5384" s="2" t="s">
        <v>18336</v>
      </c>
      <c r="H5384" s="2" t="s">
        <v>17</v>
      </c>
      <c r="K5384" s="4" t="s">
        <v>17209</v>
      </c>
      <c r="L5384" s="4">
        <v>34451</v>
      </c>
      <c r="M5384" s="2" t="s">
        <v>85</v>
      </c>
      <c r="N5384" s="2" t="s">
        <v>1868</v>
      </c>
    </row>
    <row r="5385" spans="1:14">
      <c r="A5385" s="2">
        <v>5384</v>
      </c>
      <c r="B5385" s="3" t="s">
        <v>18337</v>
      </c>
      <c r="C5385" s="2" t="s">
        <v>18338</v>
      </c>
      <c r="D5385" s="2">
        <v>36</v>
      </c>
      <c r="E5385" s="2">
        <v>37</v>
      </c>
      <c r="F5385" s="2" t="s">
        <v>18339</v>
      </c>
      <c r="H5385" s="2" t="s">
        <v>17</v>
      </c>
      <c r="K5385" s="4" t="s">
        <v>18340</v>
      </c>
      <c r="L5385" s="4">
        <v>18504</v>
      </c>
      <c r="M5385" s="2" t="s">
        <v>154</v>
      </c>
      <c r="N5385" s="2" t="s">
        <v>208</v>
      </c>
    </row>
    <row r="5386" spans="1:14">
      <c r="A5386" s="2">
        <v>5385</v>
      </c>
      <c r="B5386" s="3" t="s">
        <v>18341</v>
      </c>
      <c r="C5386" s="2" t="s">
        <v>18342</v>
      </c>
      <c r="D5386" s="2">
        <v>36</v>
      </c>
      <c r="E5386" s="2">
        <v>37</v>
      </c>
      <c r="F5386" s="2" t="s">
        <v>18343</v>
      </c>
      <c r="H5386" s="2" t="s">
        <v>17</v>
      </c>
      <c r="K5386" s="4" t="s">
        <v>18344</v>
      </c>
      <c r="L5386" s="4">
        <v>27399</v>
      </c>
      <c r="M5386" s="2" t="s">
        <v>35</v>
      </c>
      <c r="N5386" s="2" t="s">
        <v>14781</v>
      </c>
    </row>
    <row r="5387" spans="1:14">
      <c r="A5387" s="2">
        <v>5386</v>
      </c>
      <c r="B5387" s="3" t="s">
        <v>18345</v>
      </c>
      <c r="C5387" s="2" t="s">
        <v>18346</v>
      </c>
      <c r="D5387" s="2">
        <v>26</v>
      </c>
      <c r="E5387" s="2">
        <v>37</v>
      </c>
      <c r="F5387" s="2" t="s">
        <v>18347</v>
      </c>
      <c r="H5387" s="2" t="s">
        <v>17</v>
      </c>
      <c r="K5387" s="4" t="s">
        <v>18348</v>
      </c>
      <c r="L5387" s="4">
        <v>17149</v>
      </c>
      <c r="M5387" s="2" t="s">
        <v>40</v>
      </c>
      <c r="N5387" s="2" t="s">
        <v>1528</v>
      </c>
    </row>
    <row r="5388" spans="1:14">
      <c r="A5388" s="2">
        <v>5387</v>
      </c>
      <c r="B5388" s="3" t="s">
        <v>18349</v>
      </c>
      <c r="C5388" s="2" t="s">
        <v>18350</v>
      </c>
      <c r="D5388" s="2">
        <v>37</v>
      </c>
      <c r="E5388" s="2">
        <v>37</v>
      </c>
      <c r="F5388" s="2" t="s">
        <v>18351</v>
      </c>
      <c r="H5388" s="2" t="s">
        <v>17</v>
      </c>
    </row>
    <row r="5389" spans="1:14">
      <c r="A5389" s="2">
        <v>5388</v>
      </c>
      <c r="B5389" s="3" t="s">
        <v>18352</v>
      </c>
      <c r="C5389" s="2" t="s">
        <v>18353</v>
      </c>
      <c r="D5389" s="2">
        <v>36</v>
      </c>
      <c r="E5389" s="2">
        <v>37</v>
      </c>
      <c r="F5389" s="2" t="s">
        <v>18354</v>
      </c>
      <c r="H5389" s="2" t="s">
        <v>17</v>
      </c>
      <c r="K5389" s="4">
        <v>733</v>
      </c>
      <c r="L5389" s="4">
        <v>31126</v>
      </c>
      <c r="M5389" s="2" t="s">
        <v>66</v>
      </c>
      <c r="N5389" s="2" t="s">
        <v>71</v>
      </c>
    </row>
    <row r="5390" spans="1:14">
      <c r="A5390" s="2">
        <v>5389</v>
      </c>
      <c r="B5390" s="3" t="s">
        <v>18355</v>
      </c>
      <c r="C5390" s="2" t="s">
        <v>18356</v>
      </c>
      <c r="D5390" s="2">
        <v>28</v>
      </c>
      <c r="E5390" s="2">
        <v>37</v>
      </c>
      <c r="F5390" s="2" t="s">
        <v>18357</v>
      </c>
      <c r="H5390" s="2" t="s">
        <v>17</v>
      </c>
      <c r="K5390" s="4" t="s">
        <v>18358</v>
      </c>
      <c r="L5390" s="4">
        <v>24843</v>
      </c>
      <c r="M5390" s="2" t="s">
        <v>170</v>
      </c>
      <c r="N5390" s="2" t="s">
        <v>2157</v>
      </c>
    </row>
    <row r="5391" spans="1:14">
      <c r="A5391" s="2">
        <v>5390</v>
      </c>
      <c r="B5391" s="3" t="s">
        <v>18359</v>
      </c>
      <c r="C5391" s="2" t="s">
        <v>18360</v>
      </c>
      <c r="D5391" s="2">
        <v>33</v>
      </c>
      <c r="E5391" s="2">
        <v>37</v>
      </c>
      <c r="F5391" s="2" t="s">
        <v>18361</v>
      </c>
      <c r="H5391" s="2" t="s">
        <v>17</v>
      </c>
      <c r="K5391" s="4" t="s">
        <v>18362</v>
      </c>
      <c r="L5391" s="4">
        <v>17096</v>
      </c>
      <c r="M5391" s="2" t="s">
        <v>198</v>
      </c>
      <c r="N5391" s="2" t="s">
        <v>13473</v>
      </c>
    </row>
    <row r="5392" spans="1:14">
      <c r="A5392" s="2">
        <v>5391</v>
      </c>
      <c r="B5392" s="3" t="s">
        <v>18363</v>
      </c>
      <c r="C5392" s="2" t="s">
        <v>18364</v>
      </c>
      <c r="D5392" s="2">
        <v>36</v>
      </c>
      <c r="E5392" s="2">
        <v>37</v>
      </c>
      <c r="F5392" s="2" t="s">
        <v>18365</v>
      </c>
      <c r="H5392" s="2" t="s">
        <v>17</v>
      </c>
      <c r="K5392" s="4" t="s">
        <v>18366</v>
      </c>
      <c r="L5392" s="4">
        <v>24105</v>
      </c>
      <c r="M5392" s="2" t="s">
        <v>66</v>
      </c>
      <c r="N5392" s="2" t="s">
        <v>17431</v>
      </c>
    </row>
    <row r="5393" spans="1:14">
      <c r="A5393" s="2">
        <v>5392</v>
      </c>
      <c r="B5393" s="3" t="s">
        <v>18367</v>
      </c>
      <c r="C5393" s="2" t="s">
        <v>18368</v>
      </c>
      <c r="D5393" s="2">
        <v>37</v>
      </c>
      <c r="E5393" s="2">
        <v>37</v>
      </c>
      <c r="F5393" s="2" t="s">
        <v>18369</v>
      </c>
      <c r="H5393" s="2" t="s">
        <v>17</v>
      </c>
      <c r="K5393" s="4" t="s">
        <v>18370</v>
      </c>
      <c r="L5393" s="4">
        <v>18177</v>
      </c>
      <c r="M5393" s="2" t="s">
        <v>35</v>
      </c>
      <c r="N5393" s="2" t="s">
        <v>1462</v>
      </c>
    </row>
    <row r="5394" spans="1:14">
      <c r="A5394" s="2">
        <v>5393</v>
      </c>
      <c r="B5394" s="3" t="s">
        <v>18371</v>
      </c>
      <c r="C5394" s="2" t="s">
        <v>18372</v>
      </c>
      <c r="D5394" s="2">
        <v>37</v>
      </c>
      <c r="E5394" s="2">
        <v>37</v>
      </c>
      <c r="F5394" s="2" t="s">
        <v>18373</v>
      </c>
      <c r="H5394" s="2" t="s">
        <v>17</v>
      </c>
      <c r="K5394" s="4" t="s">
        <v>18374</v>
      </c>
      <c r="L5394" s="4">
        <v>14060</v>
      </c>
    </row>
    <row r="5395" spans="1:14">
      <c r="A5395" s="2">
        <v>5394</v>
      </c>
      <c r="B5395" s="3" t="s">
        <v>18375</v>
      </c>
      <c r="C5395" s="2" t="s">
        <v>18376</v>
      </c>
      <c r="D5395" s="2">
        <v>37</v>
      </c>
      <c r="E5395" s="2">
        <v>37</v>
      </c>
      <c r="F5395" s="2" t="s">
        <v>18377</v>
      </c>
      <c r="H5395" s="2" t="s">
        <v>17</v>
      </c>
    </row>
    <row r="5396" spans="1:14">
      <c r="A5396" s="2">
        <v>5395</v>
      </c>
      <c r="B5396" s="3" t="s">
        <v>18378</v>
      </c>
      <c r="C5396" s="2" t="s">
        <v>18379</v>
      </c>
      <c r="D5396" s="2">
        <v>37</v>
      </c>
      <c r="E5396" s="2">
        <v>37</v>
      </c>
      <c r="F5396" s="2" t="s">
        <v>18380</v>
      </c>
      <c r="H5396" s="2" t="s">
        <v>17</v>
      </c>
      <c r="K5396" s="4" t="s">
        <v>18381</v>
      </c>
      <c r="L5396" s="4">
        <v>20320</v>
      </c>
      <c r="M5396" s="2" t="s">
        <v>336</v>
      </c>
      <c r="N5396" s="2" t="s">
        <v>1883</v>
      </c>
    </row>
    <row r="5397" spans="1:14">
      <c r="A5397" s="2">
        <v>5396</v>
      </c>
      <c r="B5397" s="3" t="s">
        <v>18382</v>
      </c>
      <c r="C5397" s="2" t="s">
        <v>18383</v>
      </c>
      <c r="D5397" s="2">
        <v>36</v>
      </c>
      <c r="E5397" s="2">
        <v>37</v>
      </c>
      <c r="F5397" s="2" t="s">
        <v>18384</v>
      </c>
      <c r="H5397" s="2" t="s">
        <v>17</v>
      </c>
      <c r="K5397" s="4" t="s">
        <v>18385</v>
      </c>
      <c r="L5397" s="4">
        <v>20093</v>
      </c>
      <c r="M5397" s="2" t="s">
        <v>66</v>
      </c>
      <c r="N5397" s="2" t="s">
        <v>71</v>
      </c>
    </row>
    <row r="5398" spans="1:14">
      <c r="A5398" s="2">
        <v>5397</v>
      </c>
      <c r="B5398" s="3" t="s">
        <v>18386</v>
      </c>
      <c r="C5398" s="2" t="s">
        <v>18387</v>
      </c>
      <c r="D5398" s="2">
        <v>34</v>
      </c>
      <c r="E5398" s="2">
        <v>37</v>
      </c>
      <c r="F5398" s="2" t="s">
        <v>18388</v>
      </c>
      <c r="H5398" s="2" t="s">
        <v>17</v>
      </c>
      <c r="K5398" s="4" t="s">
        <v>18389</v>
      </c>
      <c r="L5398" s="4">
        <v>23616</v>
      </c>
      <c r="M5398" s="2" t="s">
        <v>47</v>
      </c>
      <c r="N5398" s="2" t="s">
        <v>9881</v>
      </c>
    </row>
    <row r="5399" spans="1:14">
      <c r="A5399" s="2">
        <v>5398</v>
      </c>
      <c r="B5399" s="3" t="s">
        <v>18390</v>
      </c>
      <c r="C5399" s="2" t="s">
        <v>18391</v>
      </c>
      <c r="D5399" s="2">
        <v>36</v>
      </c>
      <c r="E5399" s="2">
        <v>37</v>
      </c>
      <c r="F5399" s="2" t="s">
        <v>18392</v>
      </c>
      <c r="H5399" s="2" t="s">
        <v>17</v>
      </c>
      <c r="K5399" s="4" t="s">
        <v>18393</v>
      </c>
      <c r="L5399" s="4">
        <v>17678</v>
      </c>
      <c r="M5399" s="2" t="s">
        <v>47</v>
      </c>
      <c r="N5399" s="2" t="s">
        <v>691</v>
      </c>
    </row>
    <row r="5400" spans="1:14">
      <c r="A5400" s="2">
        <v>5399</v>
      </c>
      <c r="B5400" s="3" t="s">
        <v>18394</v>
      </c>
      <c r="C5400" s="2" t="s">
        <v>18395</v>
      </c>
      <c r="D5400" s="2">
        <v>37</v>
      </c>
      <c r="E5400" s="2">
        <v>37</v>
      </c>
      <c r="F5400" s="2" t="s">
        <v>2329</v>
      </c>
      <c r="H5400" s="2" t="s">
        <v>17</v>
      </c>
      <c r="K5400" s="4">
        <v>2424</v>
      </c>
      <c r="L5400" s="4">
        <v>28326</v>
      </c>
      <c r="M5400" s="2" t="s">
        <v>76</v>
      </c>
      <c r="N5400" s="2" t="s">
        <v>6628</v>
      </c>
    </row>
    <row r="5401" spans="1:14">
      <c r="A5401" s="2">
        <v>5400</v>
      </c>
      <c r="B5401" s="3" t="s">
        <v>18396</v>
      </c>
      <c r="C5401" s="2" t="s">
        <v>18397</v>
      </c>
      <c r="D5401" s="2">
        <v>37</v>
      </c>
      <c r="E5401" s="2">
        <v>37</v>
      </c>
      <c r="F5401" s="2" t="s">
        <v>18398</v>
      </c>
      <c r="H5401" s="2" t="s">
        <v>17</v>
      </c>
      <c r="K5401" s="4" t="s">
        <v>18399</v>
      </c>
      <c r="L5401" s="4">
        <v>21722</v>
      </c>
      <c r="M5401" s="2" t="s">
        <v>423</v>
      </c>
      <c r="N5401" s="2" t="s">
        <v>7880</v>
      </c>
    </row>
    <row r="5402" spans="1:14">
      <c r="A5402" s="2">
        <v>5401</v>
      </c>
      <c r="B5402" s="3" t="s">
        <v>18400</v>
      </c>
      <c r="C5402" s="2" t="s">
        <v>18401</v>
      </c>
      <c r="D5402" s="2">
        <v>31</v>
      </c>
      <c r="E5402" s="2">
        <v>37</v>
      </c>
      <c r="F5402" s="2" t="s">
        <v>18402</v>
      </c>
      <c r="H5402" s="2" t="s">
        <v>17</v>
      </c>
      <c r="K5402" s="4" t="s">
        <v>18403</v>
      </c>
      <c r="M5402" s="2" t="s">
        <v>170</v>
      </c>
      <c r="N5402" s="2" t="s">
        <v>323</v>
      </c>
    </row>
    <row r="5403" spans="1:14">
      <c r="A5403" s="2">
        <v>5402</v>
      </c>
      <c r="B5403" s="3" t="s">
        <v>18404</v>
      </c>
      <c r="C5403" s="2" t="s">
        <v>18405</v>
      </c>
      <c r="D5403" s="2">
        <v>37</v>
      </c>
      <c r="E5403" s="2">
        <v>37</v>
      </c>
      <c r="F5403" s="2" t="s">
        <v>18406</v>
      </c>
      <c r="H5403" s="2" t="s">
        <v>17</v>
      </c>
      <c r="K5403" s="4" t="s">
        <v>17787</v>
      </c>
      <c r="L5403" s="4">
        <v>18474</v>
      </c>
      <c r="M5403" s="2" t="s">
        <v>66</v>
      </c>
      <c r="N5403" s="2" t="s">
        <v>71</v>
      </c>
    </row>
    <row r="5404" spans="1:14">
      <c r="A5404" s="2">
        <v>5403</v>
      </c>
      <c r="B5404" s="3" t="s">
        <v>18407</v>
      </c>
      <c r="C5404" s="2" t="s">
        <v>18408</v>
      </c>
      <c r="D5404" s="2">
        <v>31</v>
      </c>
      <c r="E5404" s="2">
        <v>37</v>
      </c>
      <c r="F5404" s="2" t="s">
        <v>18409</v>
      </c>
      <c r="H5404" s="2" t="s">
        <v>17</v>
      </c>
      <c r="K5404" s="4" t="s">
        <v>18410</v>
      </c>
      <c r="L5404" s="4">
        <v>15662</v>
      </c>
      <c r="M5404" s="2" t="s">
        <v>170</v>
      </c>
      <c r="N5404" s="2" t="s">
        <v>171</v>
      </c>
    </row>
    <row r="5405" spans="1:14">
      <c r="A5405" s="2">
        <v>5404</v>
      </c>
      <c r="B5405" s="3" t="s">
        <v>18411</v>
      </c>
      <c r="C5405" s="2" t="s">
        <v>18412</v>
      </c>
      <c r="D5405" s="2">
        <v>36</v>
      </c>
      <c r="E5405" s="2">
        <v>37</v>
      </c>
      <c r="F5405" s="2" t="s">
        <v>18413</v>
      </c>
      <c r="H5405" s="2" t="s">
        <v>17</v>
      </c>
      <c r="K5405" s="4" t="s">
        <v>18414</v>
      </c>
      <c r="L5405" s="4">
        <v>26249</v>
      </c>
      <c r="M5405" s="2" t="s">
        <v>146</v>
      </c>
      <c r="N5405" s="2" t="s">
        <v>147</v>
      </c>
    </row>
    <row r="5406" spans="1:14">
      <c r="A5406" s="2">
        <v>5405</v>
      </c>
      <c r="B5406" s="3" t="s">
        <v>18415</v>
      </c>
      <c r="C5406" s="2" t="s">
        <v>8124</v>
      </c>
      <c r="D5406" s="2">
        <v>37</v>
      </c>
      <c r="E5406" s="2">
        <v>37</v>
      </c>
      <c r="F5406" s="2" t="s">
        <v>18416</v>
      </c>
      <c r="H5406" s="2" t="s">
        <v>17</v>
      </c>
      <c r="K5406" s="4" t="s">
        <v>18417</v>
      </c>
      <c r="L5406" s="4">
        <v>24453</v>
      </c>
      <c r="M5406" s="2" t="s">
        <v>47</v>
      </c>
      <c r="N5406" s="2" t="s">
        <v>180</v>
      </c>
    </row>
    <row r="5407" spans="1:14">
      <c r="A5407" s="2">
        <v>5406</v>
      </c>
      <c r="B5407" s="3" t="s">
        <v>18418</v>
      </c>
      <c r="C5407" s="2" t="s">
        <v>18419</v>
      </c>
      <c r="D5407" s="2">
        <v>37</v>
      </c>
      <c r="E5407" s="2">
        <v>37</v>
      </c>
      <c r="F5407" s="2" t="s">
        <v>18420</v>
      </c>
      <c r="H5407" s="2" t="s">
        <v>17</v>
      </c>
    </row>
    <row r="5408" spans="1:14">
      <c r="A5408" s="2">
        <v>5407</v>
      </c>
      <c r="B5408" s="3" t="s">
        <v>18421</v>
      </c>
      <c r="C5408" s="2" t="s">
        <v>18422</v>
      </c>
      <c r="D5408" s="2">
        <v>37</v>
      </c>
      <c r="E5408" s="2">
        <v>37</v>
      </c>
      <c r="F5408" s="2" t="s">
        <v>18423</v>
      </c>
      <c r="H5408" s="2" t="s">
        <v>17</v>
      </c>
    </row>
    <row r="5409" spans="1:14">
      <c r="A5409" s="2">
        <v>5408</v>
      </c>
      <c r="B5409" s="3" t="s">
        <v>18424</v>
      </c>
      <c r="C5409" s="2" t="s">
        <v>18425</v>
      </c>
      <c r="D5409" s="2">
        <v>37</v>
      </c>
      <c r="E5409" s="2">
        <v>37</v>
      </c>
      <c r="F5409" s="2" t="s">
        <v>18426</v>
      </c>
      <c r="H5409" s="2" t="s">
        <v>17</v>
      </c>
      <c r="L5409" s="4">
        <v>30040</v>
      </c>
    </row>
    <row r="5410" spans="1:14">
      <c r="A5410" s="2">
        <v>5409</v>
      </c>
      <c r="B5410" s="3" t="s">
        <v>18427</v>
      </c>
      <c r="C5410" s="2" t="s">
        <v>14093</v>
      </c>
      <c r="D5410" s="2">
        <v>36</v>
      </c>
      <c r="E5410" s="2">
        <v>37</v>
      </c>
      <c r="F5410" s="2" t="s">
        <v>18428</v>
      </c>
      <c r="H5410" s="2" t="s">
        <v>17</v>
      </c>
      <c r="K5410" s="4" t="s">
        <v>18429</v>
      </c>
      <c r="L5410" s="4">
        <v>23090</v>
      </c>
      <c r="M5410" s="2" t="s">
        <v>35</v>
      </c>
      <c r="N5410" s="2" t="s">
        <v>18430</v>
      </c>
    </row>
    <row r="5411" spans="1:14">
      <c r="A5411" s="2">
        <v>5410</v>
      </c>
      <c r="B5411" s="3" t="s">
        <v>18431</v>
      </c>
      <c r="C5411" s="2" t="s">
        <v>18432</v>
      </c>
      <c r="D5411" s="2">
        <v>28</v>
      </c>
      <c r="E5411" s="2">
        <v>37</v>
      </c>
      <c r="F5411" s="2" t="s">
        <v>18433</v>
      </c>
      <c r="H5411" s="2" t="s">
        <v>17</v>
      </c>
      <c r="K5411" s="4" t="s">
        <v>18434</v>
      </c>
      <c r="L5411" s="4">
        <v>18337</v>
      </c>
      <c r="M5411" s="2" t="s">
        <v>198</v>
      </c>
    </row>
    <row r="5412" spans="1:14">
      <c r="A5412" s="2">
        <v>5411</v>
      </c>
      <c r="B5412" s="3" t="s">
        <v>18435</v>
      </c>
      <c r="C5412" s="2" t="s">
        <v>18436</v>
      </c>
      <c r="D5412" s="2">
        <v>36</v>
      </c>
      <c r="E5412" s="2">
        <v>37</v>
      </c>
      <c r="F5412" s="2" t="s">
        <v>18437</v>
      </c>
      <c r="H5412" s="2" t="s">
        <v>17</v>
      </c>
      <c r="K5412" s="4" t="s">
        <v>18438</v>
      </c>
      <c r="L5412" s="4">
        <v>30518</v>
      </c>
      <c r="M5412" s="2" t="s">
        <v>170</v>
      </c>
      <c r="N5412" s="2" t="s">
        <v>5034</v>
      </c>
    </row>
    <row r="5413" spans="1:14">
      <c r="A5413" s="2">
        <v>5412</v>
      </c>
      <c r="B5413" s="3" t="s">
        <v>18439</v>
      </c>
      <c r="C5413" s="2" t="s">
        <v>18440</v>
      </c>
      <c r="D5413" s="2">
        <v>37</v>
      </c>
      <c r="E5413" s="2">
        <v>37</v>
      </c>
      <c r="F5413" s="2" t="s">
        <v>18441</v>
      </c>
      <c r="H5413" s="2" t="s">
        <v>17</v>
      </c>
    </row>
    <row r="5414" spans="1:14">
      <c r="A5414" s="2">
        <v>5413</v>
      </c>
      <c r="B5414" s="3" t="s">
        <v>18442</v>
      </c>
      <c r="C5414" s="2" t="s">
        <v>18443</v>
      </c>
      <c r="D5414" s="2">
        <v>32</v>
      </c>
      <c r="E5414" s="2">
        <v>37</v>
      </c>
      <c r="F5414" s="2" t="s">
        <v>18444</v>
      </c>
      <c r="H5414" s="2" t="s">
        <v>17</v>
      </c>
      <c r="K5414" s="4" t="s">
        <v>18445</v>
      </c>
      <c r="L5414" s="4">
        <v>13446</v>
      </c>
      <c r="M5414" s="2" t="s">
        <v>35</v>
      </c>
      <c r="N5414" s="2" t="s">
        <v>3602</v>
      </c>
    </row>
    <row r="5415" spans="1:14">
      <c r="A5415" s="2">
        <v>5414</v>
      </c>
      <c r="B5415" s="3" t="s">
        <v>18446</v>
      </c>
      <c r="C5415" s="2" t="s">
        <v>18447</v>
      </c>
      <c r="D5415" s="2">
        <v>37</v>
      </c>
      <c r="E5415" s="2">
        <v>37</v>
      </c>
      <c r="F5415" s="2" t="s">
        <v>18448</v>
      </c>
      <c r="H5415" s="2" t="s">
        <v>17</v>
      </c>
      <c r="L5415" s="4">
        <v>27894</v>
      </c>
      <c r="M5415" s="2" t="s">
        <v>66</v>
      </c>
    </row>
    <row r="5416" spans="1:14">
      <c r="A5416" s="2">
        <v>5415</v>
      </c>
      <c r="B5416" s="3" t="s">
        <v>18449</v>
      </c>
      <c r="C5416" s="2" t="s">
        <v>18450</v>
      </c>
      <c r="D5416" s="2">
        <v>37</v>
      </c>
      <c r="E5416" s="2">
        <v>37</v>
      </c>
      <c r="F5416" s="2" t="s">
        <v>18451</v>
      </c>
      <c r="H5416" s="2" t="s">
        <v>17</v>
      </c>
      <c r="K5416" s="4" t="s">
        <v>18452</v>
      </c>
      <c r="M5416" s="2" t="s">
        <v>18</v>
      </c>
      <c r="N5416" s="2" t="s">
        <v>19</v>
      </c>
    </row>
    <row r="5417" spans="1:14">
      <c r="A5417" s="2">
        <v>5416</v>
      </c>
      <c r="B5417" s="3" t="s">
        <v>18453</v>
      </c>
      <c r="C5417" s="2" t="s">
        <v>18454</v>
      </c>
      <c r="D5417" s="2">
        <v>31</v>
      </c>
      <c r="E5417" s="2">
        <v>37</v>
      </c>
      <c r="F5417" s="2" t="s">
        <v>18455</v>
      </c>
      <c r="H5417" s="2" t="s">
        <v>17</v>
      </c>
      <c r="K5417" s="4" t="s">
        <v>18144</v>
      </c>
      <c r="L5417" s="4">
        <v>18432</v>
      </c>
      <c r="M5417" s="2" t="s">
        <v>192</v>
      </c>
      <c r="N5417" s="2" t="s">
        <v>18456</v>
      </c>
    </row>
    <row r="5418" spans="1:14">
      <c r="A5418" s="2">
        <v>5417</v>
      </c>
      <c r="B5418" s="3" t="s">
        <v>18457</v>
      </c>
      <c r="C5418" s="2" t="s">
        <v>18458</v>
      </c>
      <c r="D5418" s="2">
        <v>36</v>
      </c>
      <c r="E5418" s="2">
        <v>37</v>
      </c>
      <c r="F5418" s="2" t="s">
        <v>18459</v>
      </c>
      <c r="H5418" s="2" t="s">
        <v>17</v>
      </c>
      <c r="K5418" s="4" t="s">
        <v>18460</v>
      </c>
      <c r="L5418" s="4">
        <v>17077</v>
      </c>
      <c r="M5418" s="2" t="s">
        <v>85</v>
      </c>
      <c r="N5418" s="2" t="s">
        <v>10262</v>
      </c>
    </row>
    <row r="5419" spans="1:14">
      <c r="A5419" s="2">
        <v>5418</v>
      </c>
      <c r="B5419" s="3" t="s">
        <v>18461</v>
      </c>
      <c r="C5419" s="2" t="s">
        <v>18462</v>
      </c>
      <c r="D5419" s="2">
        <v>36</v>
      </c>
      <c r="E5419" s="2">
        <v>37</v>
      </c>
      <c r="F5419" s="2" t="s">
        <v>18463</v>
      </c>
      <c r="H5419" s="2" t="s">
        <v>17</v>
      </c>
      <c r="L5419" s="4">
        <v>21367</v>
      </c>
      <c r="M5419" s="2" t="s">
        <v>146</v>
      </c>
      <c r="N5419" s="2" t="s">
        <v>18464</v>
      </c>
    </row>
    <row r="5420" spans="1:14">
      <c r="A5420" s="2">
        <v>5419</v>
      </c>
      <c r="B5420" s="3" t="s">
        <v>18465</v>
      </c>
      <c r="C5420" s="2" t="s">
        <v>18466</v>
      </c>
      <c r="D5420" s="2">
        <v>36</v>
      </c>
      <c r="E5420" s="2">
        <v>37</v>
      </c>
      <c r="F5420" s="2" t="s">
        <v>18467</v>
      </c>
      <c r="H5420" s="2" t="s">
        <v>17</v>
      </c>
      <c r="K5420" s="4" t="s">
        <v>18468</v>
      </c>
      <c r="L5420" s="4">
        <v>18110</v>
      </c>
      <c r="M5420" s="2" t="s">
        <v>47</v>
      </c>
      <c r="N5420" s="2" t="s">
        <v>5319</v>
      </c>
    </row>
    <row r="5421" spans="1:14">
      <c r="A5421" s="2">
        <v>5420</v>
      </c>
      <c r="B5421" s="3" t="s">
        <v>18469</v>
      </c>
      <c r="C5421" s="2" t="s">
        <v>18470</v>
      </c>
      <c r="D5421" s="2">
        <v>28</v>
      </c>
      <c r="E5421" s="2">
        <v>37</v>
      </c>
      <c r="F5421" s="2" t="s">
        <v>18471</v>
      </c>
      <c r="H5421" s="2" t="s">
        <v>17</v>
      </c>
      <c r="K5421" s="4" t="s">
        <v>18472</v>
      </c>
      <c r="L5421" s="4">
        <v>16575</v>
      </c>
      <c r="M5421" s="2" t="s">
        <v>66</v>
      </c>
      <c r="N5421" s="2" t="s">
        <v>71</v>
      </c>
    </row>
    <row r="5422" spans="1:14">
      <c r="A5422" s="2">
        <v>5421</v>
      </c>
      <c r="B5422" s="3" t="s">
        <v>18473</v>
      </c>
      <c r="C5422" s="2" t="s">
        <v>18474</v>
      </c>
      <c r="D5422" s="2">
        <v>37</v>
      </c>
      <c r="E5422" s="2">
        <v>37</v>
      </c>
      <c r="F5422" s="2" t="s">
        <v>18475</v>
      </c>
      <c r="H5422" s="2" t="s">
        <v>17</v>
      </c>
      <c r="K5422" s="4">
        <v>1161</v>
      </c>
      <c r="L5422" s="4">
        <v>32203</v>
      </c>
      <c r="M5422" s="2" t="s">
        <v>170</v>
      </c>
      <c r="N5422" s="2" t="s">
        <v>1624</v>
      </c>
    </row>
    <row r="5423" spans="1:14">
      <c r="A5423" s="2">
        <v>5422</v>
      </c>
      <c r="B5423" s="3" t="s">
        <v>18476</v>
      </c>
      <c r="C5423" s="2" t="s">
        <v>18477</v>
      </c>
      <c r="D5423" s="2">
        <v>37</v>
      </c>
      <c r="E5423" s="2">
        <v>37</v>
      </c>
      <c r="F5423" s="2" t="s">
        <v>18478</v>
      </c>
      <c r="H5423" s="2" t="s">
        <v>17</v>
      </c>
      <c r="L5423" s="4">
        <v>28299</v>
      </c>
      <c r="M5423" s="2" t="s">
        <v>198</v>
      </c>
      <c r="N5423" s="2" t="s">
        <v>18479</v>
      </c>
    </row>
    <row r="5424" spans="1:14">
      <c r="A5424" s="2">
        <v>5423</v>
      </c>
      <c r="B5424" s="3" t="s">
        <v>18480</v>
      </c>
      <c r="C5424" s="2" t="s">
        <v>18481</v>
      </c>
      <c r="D5424" s="2">
        <v>37</v>
      </c>
      <c r="E5424" s="2">
        <v>37</v>
      </c>
      <c r="F5424" s="2" t="s">
        <v>18482</v>
      </c>
      <c r="H5424" s="2" t="s">
        <v>17</v>
      </c>
    </row>
    <row r="5425" spans="1:14">
      <c r="A5425" s="2">
        <v>5424</v>
      </c>
      <c r="B5425" s="3" t="s">
        <v>18483</v>
      </c>
      <c r="C5425" s="2" t="s">
        <v>18484</v>
      </c>
      <c r="D5425" s="2">
        <v>37</v>
      </c>
      <c r="E5425" s="2">
        <v>37</v>
      </c>
      <c r="F5425" s="2" t="s">
        <v>18485</v>
      </c>
      <c r="H5425" s="2" t="s">
        <v>17</v>
      </c>
      <c r="K5425" s="4" t="s">
        <v>18486</v>
      </c>
      <c r="L5425" s="4">
        <v>24976</v>
      </c>
      <c r="M5425" s="2" t="s">
        <v>66</v>
      </c>
      <c r="N5425" s="2" t="s">
        <v>18487</v>
      </c>
    </row>
    <row r="5426" spans="1:14">
      <c r="A5426" s="2">
        <v>5425</v>
      </c>
      <c r="B5426" s="3" t="s">
        <v>18488</v>
      </c>
      <c r="C5426" s="2" t="s">
        <v>18489</v>
      </c>
      <c r="D5426" s="2">
        <v>36</v>
      </c>
      <c r="E5426" s="2">
        <v>37</v>
      </c>
      <c r="F5426" s="2" t="s">
        <v>18490</v>
      </c>
      <c r="H5426" s="2" t="s">
        <v>17</v>
      </c>
      <c r="K5426" s="4" t="s">
        <v>18491</v>
      </c>
      <c r="L5426" s="4">
        <v>16912</v>
      </c>
      <c r="M5426" s="2" t="s">
        <v>35</v>
      </c>
      <c r="N5426" s="2" t="s">
        <v>8212</v>
      </c>
    </row>
    <row r="5427" spans="1:14">
      <c r="A5427" s="2">
        <v>5426</v>
      </c>
      <c r="B5427" s="3" t="s">
        <v>18492</v>
      </c>
      <c r="C5427" s="2" t="s">
        <v>18493</v>
      </c>
      <c r="D5427" s="2">
        <v>36</v>
      </c>
      <c r="E5427" s="2">
        <v>37</v>
      </c>
      <c r="F5427" s="2" t="s">
        <v>18494</v>
      </c>
      <c r="H5427" s="2" t="s">
        <v>17</v>
      </c>
      <c r="K5427" s="4" t="s">
        <v>18495</v>
      </c>
      <c r="L5427" s="4">
        <v>13778</v>
      </c>
      <c r="M5427" s="2" t="s">
        <v>66</v>
      </c>
      <c r="N5427" s="2" t="s">
        <v>3640</v>
      </c>
    </row>
    <row r="5428" spans="1:14">
      <c r="A5428" s="2">
        <v>5427</v>
      </c>
      <c r="B5428" s="3" t="s">
        <v>18496</v>
      </c>
      <c r="C5428" s="2" t="s">
        <v>18497</v>
      </c>
      <c r="D5428" s="2">
        <v>33</v>
      </c>
      <c r="E5428" s="2">
        <v>37</v>
      </c>
      <c r="F5428" s="2" t="s">
        <v>18498</v>
      </c>
      <c r="H5428" s="2" t="s">
        <v>17</v>
      </c>
      <c r="K5428" s="4" t="s">
        <v>18499</v>
      </c>
      <c r="L5428" s="4">
        <v>24753</v>
      </c>
      <c r="M5428" s="2" t="s">
        <v>40</v>
      </c>
      <c r="N5428" s="2" t="s">
        <v>9352</v>
      </c>
    </row>
    <row r="5429" spans="1:14">
      <c r="A5429" s="2">
        <v>5428</v>
      </c>
      <c r="B5429" s="3" t="s">
        <v>18500</v>
      </c>
      <c r="C5429" s="2" t="s">
        <v>18501</v>
      </c>
      <c r="D5429" s="2">
        <v>35</v>
      </c>
      <c r="E5429" s="2">
        <v>37</v>
      </c>
      <c r="F5429" s="2" t="s">
        <v>18502</v>
      </c>
      <c r="H5429" s="2" t="s">
        <v>17</v>
      </c>
      <c r="K5429" s="4" t="s">
        <v>17815</v>
      </c>
      <c r="L5429" s="4">
        <v>25895</v>
      </c>
      <c r="M5429" s="2" t="s">
        <v>35</v>
      </c>
      <c r="N5429" s="2" t="s">
        <v>10655</v>
      </c>
    </row>
    <row r="5430" spans="1:14">
      <c r="A5430" s="2">
        <v>5429</v>
      </c>
      <c r="B5430" s="3" t="s">
        <v>18503</v>
      </c>
      <c r="C5430" s="2" t="s">
        <v>17585</v>
      </c>
      <c r="D5430" s="2">
        <v>36</v>
      </c>
      <c r="E5430" s="2">
        <v>37</v>
      </c>
      <c r="F5430" s="2" t="s">
        <v>18504</v>
      </c>
      <c r="H5430" s="2" t="s">
        <v>17</v>
      </c>
      <c r="K5430" s="4" t="s">
        <v>18505</v>
      </c>
      <c r="L5430" s="4">
        <v>19396</v>
      </c>
      <c r="M5430" s="2" t="s">
        <v>85</v>
      </c>
      <c r="N5430" s="2" t="s">
        <v>2563</v>
      </c>
    </row>
    <row r="5431" spans="1:14">
      <c r="A5431" s="2">
        <v>5430</v>
      </c>
      <c r="B5431" s="3" t="s">
        <v>18506</v>
      </c>
      <c r="C5431" s="2" t="s">
        <v>18507</v>
      </c>
      <c r="D5431" s="2">
        <v>31</v>
      </c>
      <c r="E5431" s="2">
        <v>36</v>
      </c>
      <c r="F5431" s="2" t="s">
        <v>18508</v>
      </c>
      <c r="H5431" s="2" t="s">
        <v>17</v>
      </c>
      <c r="K5431" s="4" t="s">
        <v>18509</v>
      </c>
      <c r="L5431" s="4">
        <v>22908</v>
      </c>
      <c r="M5431" s="2" t="s">
        <v>164</v>
      </c>
      <c r="N5431" s="2" t="s">
        <v>165</v>
      </c>
    </row>
    <row r="5432" spans="1:14">
      <c r="A5432" s="2">
        <v>5431</v>
      </c>
      <c r="B5432" s="3" t="s">
        <v>18510</v>
      </c>
      <c r="C5432" s="2" t="s">
        <v>18511</v>
      </c>
      <c r="D5432" s="2">
        <v>36</v>
      </c>
      <c r="E5432" s="2">
        <v>36</v>
      </c>
      <c r="F5432" s="2" t="s">
        <v>18512</v>
      </c>
      <c r="H5432" s="2" t="s">
        <v>17</v>
      </c>
      <c r="K5432" s="4">
        <v>45</v>
      </c>
      <c r="M5432" s="2" t="s">
        <v>170</v>
      </c>
      <c r="N5432" s="2" t="s">
        <v>1873</v>
      </c>
    </row>
    <row r="5433" spans="1:14">
      <c r="A5433" s="2">
        <v>5432</v>
      </c>
      <c r="B5433" s="3" t="s">
        <v>18513</v>
      </c>
      <c r="C5433" s="2" t="s">
        <v>18514</v>
      </c>
      <c r="D5433" s="2">
        <v>33</v>
      </c>
      <c r="E5433" s="2">
        <v>36</v>
      </c>
      <c r="F5433" s="2" t="s">
        <v>18515</v>
      </c>
      <c r="H5433" s="2" t="s">
        <v>17</v>
      </c>
      <c r="K5433" s="4" t="s">
        <v>18516</v>
      </c>
      <c r="L5433" s="4">
        <v>16444</v>
      </c>
      <c r="M5433" s="2" t="s">
        <v>35</v>
      </c>
      <c r="N5433" s="2" t="s">
        <v>8588</v>
      </c>
    </row>
    <row r="5434" spans="1:14">
      <c r="A5434" s="2">
        <v>5433</v>
      </c>
      <c r="B5434" s="3" t="s">
        <v>18517</v>
      </c>
      <c r="C5434" s="2" t="s">
        <v>18518</v>
      </c>
      <c r="D5434" s="2">
        <v>32</v>
      </c>
      <c r="E5434" s="2">
        <v>36</v>
      </c>
      <c r="F5434" s="2" t="s">
        <v>18519</v>
      </c>
      <c r="H5434" s="2" t="s">
        <v>17</v>
      </c>
      <c r="K5434" s="4" t="s">
        <v>18520</v>
      </c>
      <c r="L5434" s="4">
        <v>20722</v>
      </c>
      <c r="M5434" s="2" t="s">
        <v>423</v>
      </c>
      <c r="N5434" s="2" t="s">
        <v>3942</v>
      </c>
    </row>
    <row r="5435" spans="1:14">
      <c r="A5435" s="2">
        <v>5434</v>
      </c>
      <c r="B5435" s="3" t="s">
        <v>18521</v>
      </c>
      <c r="C5435" s="2" t="s">
        <v>18522</v>
      </c>
      <c r="D5435" s="2">
        <v>36</v>
      </c>
      <c r="E5435" s="2">
        <v>36</v>
      </c>
      <c r="F5435" s="2" t="s">
        <v>18523</v>
      </c>
      <c r="H5435" s="2" t="s">
        <v>17</v>
      </c>
      <c r="K5435" s="4" t="s">
        <v>18524</v>
      </c>
      <c r="L5435" s="4">
        <v>24600</v>
      </c>
      <c r="M5435" s="2" t="s">
        <v>76</v>
      </c>
      <c r="N5435" s="2" t="s">
        <v>906</v>
      </c>
    </row>
    <row r="5436" spans="1:14">
      <c r="A5436" s="2">
        <v>5435</v>
      </c>
      <c r="B5436" s="3" t="s">
        <v>18525</v>
      </c>
      <c r="C5436" s="2" t="s">
        <v>18526</v>
      </c>
      <c r="D5436" s="2">
        <v>36</v>
      </c>
      <c r="E5436" s="2">
        <v>36</v>
      </c>
      <c r="F5436" s="2" t="s">
        <v>18527</v>
      </c>
      <c r="H5436" s="2" t="s">
        <v>17</v>
      </c>
      <c r="K5436" s="4" t="s">
        <v>17965</v>
      </c>
      <c r="L5436" s="4">
        <v>15067</v>
      </c>
      <c r="M5436" s="2" t="s">
        <v>47</v>
      </c>
      <c r="N5436" s="2" t="s">
        <v>3765</v>
      </c>
    </row>
    <row r="5437" spans="1:14">
      <c r="A5437" s="2">
        <v>5436</v>
      </c>
      <c r="B5437" s="3" t="s">
        <v>18528</v>
      </c>
      <c r="C5437" s="2" t="s">
        <v>18529</v>
      </c>
      <c r="D5437" s="2">
        <v>36</v>
      </c>
      <c r="E5437" s="2">
        <v>36</v>
      </c>
      <c r="F5437" s="2" t="s">
        <v>18530</v>
      </c>
      <c r="H5437" s="2" t="s">
        <v>17</v>
      </c>
      <c r="K5437" s="4" t="s">
        <v>18531</v>
      </c>
      <c r="L5437" s="4">
        <v>23398</v>
      </c>
      <c r="M5437" s="2" t="s">
        <v>35</v>
      </c>
      <c r="N5437" s="2" t="s">
        <v>8451</v>
      </c>
    </row>
    <row r="5438" spans="1:14">
      <c r="A5438" s="2">
        <v>5437</v>
      </c>
      <c r="B5438" s="3" t="s">
        <v>18532</v>
      </c>
      <c r="C5438" s="2" t="s">
        <v>18533</v>
      </c>
      <c r="D5438" s="2">
        <v>36</v>
      </c>
      <c r="E5438" s="2">
        <v>36</v>
      </c>
      <c r="F5438" s="2" t="s">
        <v>18534</v>
      </c>
      <c r="H5438" s="2" t="s">
        <v>17</v>
      </c>
      <c r="K5438" s="4" t="s">
        <v>18535</v>
      </c>
      <c r="L5438" s="4">
        <v>23200</v>
      </c>
      <c r="M5438" s="2" t="s">
        <v>47</v>
      </c>
      <c r="N5438" s="2" t="s">
        <v>3765</v>
      </c>
    </row>
    <row r="5439" spans="1:14">
      <c r="A5439" s="2">
        <v>5438</v>
      </c>
      <c r="B5439" s="3" t="s">
        <v>18536</v>
      </c>
      <c r="C5439" s="2" t="s">
        <v>18537</v>
      </c>
      <c r="D5439" s="2">
        <v>36</v>
      </c>
      <c r="E5439" s="2">
        <v>36</v>
      </c>
      <c r="F5439" s="2" t="s">
        <v>18538</v>
      </c>
      <c r="H5439" s="2" t="s">
        <v>17</v>
      </c>
      <c r="K5439" s="4" t="s">
        <v>18539</v>
      </c>
      <c r="L5439" s="4">
        <v>19786</v>
      </c>
      <c r="M5439" s="2" t="s">
        <v>40</v>
      </c>
      <c r="N5439" s="2" t="s">
        <v>41</v>
      </c>
    </row>
    <row r="5440" spans="1:14">
      <c r="A5440" s="2">
        <v>5439</v>
      </c>
      <c r="B5440" s="3" t="s">
        <v>18540</v>
      </c>
      <c r="C5440" s="2" t="s">
        <v>18541</v>
      </c>
      <c r="D5440" s="2">
        <v>36</v>
      </c>
      <c r="E5440" s="2">
        <v>36</v>
      </c>
      <c r="F5440" s="2" t="s">
        <v>18542</v>
      </c>
      <c r="H5440" s="2" t="s">
        <v>17</v>
      </c>
      <c r="K5440" s="4" t="s">
        <v>18543</v>
      </c>
      <c r="M5440" s="2" t="s">
        <v>18</v>
      </c>
      <c r="N5440" s="2" t="s">
        <v>19</v>
      </c>
    </row>
    <row r="5441" spans="1:14">
      <c r="A5441" s="2">
        <v>5440</v>
      </c>
      <c r="B5441" s="3" t="s">
        <v>18544</v>
      </c>
      <c r="C5441" s="2" t="s">
        <v>18545</v>
      </c>
      <c r="D5441" s="2">
        <v>36</v>
      </c>
      <c r="E5441" s="2">
        <v>36</v>
      </c>
      <c r="F5441" s="2" t="s">
        <v>18546</v>
      </c>
      <c r="H5441" s="2" t="s">
        <v>17</v>
      </c>
      <c r="K5441" s="4">
        <v>1370</v>
      </c>
      <c r="L5441" s="4">
        <v>13616</v>
      </c>
      <c r="M5441" s="2" t="s">
        <v>47</v>
      </c>
      <c r="N5441" s="2" t="s">
        <v>17525</v>
      </c>
    </row>
    <row r="5442" spans="1:14">
      <c r="A5442" s="2">
        <v>5441</v>
      </c>
      <c r="B5442" s="3" t="s">
        <v>18547</v>
      </c>
      <c r="C5442" s="2" t="s">
        <v>18548</v>
      </c>
      <c r="D5442" s="2">
        <v>36</v>
      </c>
      <c r="E5442" s="2">
        <v>36</v>
      </c>
      <c r="F5442" s="2" t="s">
        <v>18549</v>
      </c>
      <c r="H5442" s="2" t="s">
        <v>17</v>
      </c>
      <c r="K5442" s="4">
        <v>428</v>
      </c>
      <c r="L5442" s="4">
        <v>25627</v>
      </c>
      <c r="M5442" s="2" t="s">
        <v>40</v>
      </c>
      <c r="N5442" s="2" t="s">
        <v>41</v>
      </c>
    </row>
    <row r="5443" spans="1:14">
      <c r="A5443" s="2">
        <v>5442</v>
      </c>
      <c r="B5443" s="3" t="s">
        <v>18550</v>
      </c>
      <c r="C5443" s="2" t="s">
        <v>18551</v>
      </c>
      <c r="D5443" s="2">
        <v>36</v>
      </c>
      <c r="E5443" s="2">
        <v>36</v>
      </c>
      <c r="F5443" s="2" t="s">
        <v>18552</v>
      </c>
      <c r="H5443" s="2" t="s">
        <v>17</v>
      </c>
      <c r="K5443" s="4" t="s">
        <v>18553</v>
      </c>
      <c r="L5443" s="4">
        <v>25327</v>
      </c>
      <c r="M5443" s="2" t="s">
        <v>30</v>
      </c>
      <c r="N5443" s="2" t="s">
        <v>4896</v>
      </c>
    </row>
    <row r="5444" spans="1:14">
      <c r="A5444" s="2">
        <v>5443</v>
      </c>
      <c r="B5444" s="3" t="s">
        <v>18554</v>
      </c>
      <c r="C5444" s="2" t="s">
        <v>18555</v>
      </c>
      <c r="D5444" s="2">
        <v>36</v>
      </c>
      <c r="E5444" s="2">
        <v>36</v>
      </c>
      <c r="F5444" s="2" t="s">
        <v>18556</v>
      </c>
      <c r="H5444" s="2" t="s">
        <v>17</v>
      </c>
      <c r="K5444" s="4" t="s">
        <v>18557</v>
      </c>
      <c r="L5444" s="4">
        <v>32699</v>
      </c>
      <c r="M5444" s="2" t="s">
        <v>423</v>
      </c>
      <c r="N5444" s="2" t="s">
        <v>6168</v>
      </c>
    </row>
    <row r="5445" spans="1:14">
      <c r="A5445" s="2">
        <v>5444</v>
      </c>
      <c r="B5445" s="3" t="s">
        <v>18558</v>
      </c>
      <c r="C5445" s="2" t="s">
        <v>18559</v>
      </c>
      <c r="D5445" s="2">
        <v>36</v>
      </c>
      <c r="E5445" s="2">
        <v>36</v>
      </c>
      <c r="F5445" s="2" t="s">
        <v>18560</v>
      </c>
      <c r="H5445" s="2" t="s">
        <v>17</v>
      </c>
      <c r="K5445" s="4" t="s">
        <v>18561</v>
      </c>
      <c r="L5445" s="4">
        <v>15668</v>
      </c>
      <c r="M5445" s="2" t="s">
        <v>47</v>
      </c>
      <c r="N5445" s="2" t="s">
        <v>9901</v>
      </c>
    </row>
    <row r="5446" spans="1:14">
      <c r="A5446" s="2">
        <v>5445</v>
      </c>
      <c r="B5446" s="3" t="s">
        <v>18562</v>
      </c>
      <c r="C5446" s="2" t="s">
        <v>7532</v>
      </c>
      <c r="D5446" s="2">
        <v>36</v>
      </c>
      <c r="E5446" s="2">
        <v>36</v>
      </c>
      <c r="F5446" s="2" t="s">
        <v>18563</v>
      </c>
      <c r="H5446" s="2" t="s">
        <v>17</v>
      </c>
      <c r="K5446" s="4" t="s">
        <v>18564</v>
      </c>
      <c r="L5446" s="4">
        <v>22044</v>
      </c>
      <c r="M5446" s="2" t="s">
        <v>154</v>
      </c>
      <c r="N5446" s="2" t="s">
        <v>155</v>
      </c>
    </row>
    <row r="5447" spans="1:14">
      <c r="A5447" s="2">
        <v>5446</v>
      </c>
      <c r="B5447" s="3" t="s">
        <v>18565</v>
      </c>
      <c r="C5447" s="2" t="s">
        <v>18566</v>
      </c>
      <c r="D5447" s="2">
        <v>36</v>
      </c>
      <c r="E5447" s="2">
        <v>36</v>
      </c>
      <c r="F5447" s="2" t="s">
        <v>18567</v>
      </c>
      <c r="H5447" s="2" t="s">
        <v>17</v>
      </c>
      <c r="L5447" s="4">
        <v>12658</v>
      </c>
    </row>
    <row r="5448" spans="1:14">
      <c r="A5448" s="2">
        <v>5447</v>
      </c>
      <c r="B5448" s="3" t="s">
        <v>18568</v>
      </c>
      <c r="C5448" s="2" t="s">
        <v>18569</v>
      </c>
      <c r="D5448" s="2">
        <v>36</v>
      </c>
      <c r="E5448" s="2">
        <v>36</v>
      </c>
      <c r="F5448" s="2" t="s">
        <v>18570</v>
      </c>
      <c r="H5448" s="2" t="s">
        <v>17</v>
      </c>
      <c r="K5448" s="4">
        <v>882</v>
      </c>
      <c r="M5448" s="2" t="s">
        <v>170</v>
      </c>
      <c r="N5448" s="2" t="s">
        <v>3274</v>
      </c>
    </row>
    <row r="5449" spans="1:14">
      <c r="A5449" s="2">
        <v>5448</v>
      </c>
      <c r="B5449" s="3" t="s">
        <v>18571</v>
      </c>
      <c r="C5449" s="2" t="s">
        <v>18572</v>
      </c>
      <c r="D5449" s="2">
        <v>36</v>
      </c>
      <c r="E5449" s="2">
        <v>36</v>
      </c>
      <c r="F5449" s="2" t="s">
        <v>18573</v>
      </c>
      <c r="H5449" s="2" t="s">
        <v>17</v>
      </c>
      <c r="K5449" s="4" t="s">
        <v>18574</v>
      </c>
      <c r="L5449" s="4">
        <v>16762</v>
      </c>
      <c r="M5449" s="2" t="s">
        <v>66</v>
      </c>
      <c r="N5449" s="2" t="s">
        <v>16980</v>
      </c>
    </row>
    <row r="5450" spans="1:14">
      <c r="A5450" s="2">
        <v>5449</v>
      </c>
      <c r="B5450" s="3" t="s">
        <v>18575</v>
      </c>
      <c r="C5450" s="2" t="s">
        <v>18576</v>
      </c>
      <c r="D5450" s="2">
        <v>36</v>
      </c>
      <c r="E5450" s="2">
        <v>36</v>
      </c>
      <c r="F5450" s="2" t="s">
        <v>18576</v>
      </c>
      <c r="H5450" s="2" t="s">
        <v>17</v>
      </c>
    </row>
    <row r="5451" spans="1:14">
      <c r="A5451" s="2">
        <v>5450</v>
      </c>
      <c r="B5451" s="3" t="s">
        <v>18577</v>
      </c>
      <c r="C5451" s="2" t="s">
        <v>18578</v>
      </c>
      <c r="D5451" s="2">
        <v>36</v>
      </c>
      <c r="E5451" s="2">
        <v>36</v>
      </c>
      <c r="F5451" s="2" t="s">
        <v>18579</v>
      </c>
      <c r="H5451" s="2" t="s">
        <v>17</v>
      </c>
      <c r="K5451" s="4">
        <v>2847</v>
      </c>
      <c r="M5451" s="2" t="s">
        <v>66</v>
      </c>
      <c r="N5451" s="2" t="s">
        <v>1069</v>
      </c>
    </row>
    <row r="5452" spans="1:14">
      <c r="A5452" s="2">
        <v>5451</v>
      </c>
      <c r="B5452" s="3" t="s">
        <v>18580</v>
      </c>
      <c r="C5452" s="2" t="s">
        <v>18581</v>
      </c>
      <c r="D5452" s="2">
        <v>36</v>
      </c>
      <c r="E5452" s="2">
        <v>36</v>
      </c>
      <c r="F5452" s="2" t="s">
        <v>18582</v>
      </c>
      <c r="H5452" s="2" t="s">
        <v>17</v>
      </c>
      <c r="K5452" s="4" t="s">
        <v>18583</v>
      </c>
      <c r="L5452" s="4">
        <v>18506</v>
      </c>
      <c r="M5452" s="2" t="s">
        <v>198</v>
      </c>
      <c r="N5452" s="2" t="s">
        <v>13473</v>
      </c>
    </row>
    <row r="5453" spans="1:14">
      <c r="A5453" s="2">
        <v>5452</v>
      </c>
      <c r="B5453" s="3" t="s">
        <v>18584</v>
      </c>
      <c r="C5453" s="2" t="s">
        <v>18585</v>
      </c>
      <c r="D5453" s="2">
        <v>22</v>
      </c>
      <c r="E5453" s="2">
        <v>36</v>
      </c>
      <c r="F5453" s="2" t="s">
        <v>18586</v>
      </c>
      <c r="H5453" s="2" t="s">
        <v>17</v>
      </c>
      <c r="K5453" s="4" t="s">
        <v>18587</v>
      </c>
      <c r="L5453" s="4">
        <v>14238</v>
      </c>
      <c r="M5453" s="2" t="s">
        <v>66</v>
      </c>
      <c r="N5453" s="2" t="s">
        <v>18588</v>
      </c>
    </row>
    <row r="5454" spans="1:14">
      <c r="A5454" s="2">
        <v>5453</v>
      </c>
      <c r="B5454" s="3" t="s">
        <v>18589</v>
      </c>
      <c r="C5454" s="2" t="s">
        <v>18590</v>
      </c>
      <c r="D5454" s="2">
        <v>36</v>
      </c>
      <c r="E5454" s="2">
        <v>36</v>
      </c>
      <c r="F5454" s="2" t="s">
        <v>18591</v>
      </c>
      <c r="H5454" s="2" t="s">
        <v>17</v>
      </c>
      <c r="K5454" s="4" t="s">
        <v>18592</v>
      </c>
      <c r="L5454" s="4">
        <v>12995</v>
      </c>
      <c r="M5454" s="2" t="s">
        <v>198</v>
      </c>
      <c r="N5454" s="2" t="s">
        <v>1284</v>
      </c>
    </row>
    <row r="5455" spans="1:14">
      <c r="A5455" s="2">
        <v>5454</v>
      </c>
      <c r="B5455" s="3" t="s">
        <v>18593</v>
      </c>
      <c r="C5455" s="2" t="s">
        <v>18594</v>
      </c>
      <c r="D5455" s="2">
        <v>28</v>
      </c>
      <c r="E5455" s="2">
        <v>36</v>
      </c>
      <c r="F5455" s="2" t="s">
        <v>18595</v>
      </c>
      <c r="H5455" s="2" t="s">
        <v>17</v>
      </c>
      <c r="K5455" s="4" t="s">
        <v>18596</v>
      </c>
      <c r="L5455" s="4">
        <v>12531</v>
      </c>
      <c r="M5455" s="2" t="s">
        <v>35</v>
      </c>
      <c r="N5455" s="2" t="s">
        <v>5778</v>
      </c>
    </row>
    <row r="5456" spans="1:14">
      <c r="A5456" s="2">
        <v>5455</v>
      </c>
      <c r="B5456" s="3" t="s">
        <v>18597</v>
      </c>
      <c r="C5456" s="2" t="s">
        <v>18598</v>
      </c>
      <c r="D5456" s="2">
        <v>36</v>
      </c>
      <c r="E5456" s="2">
        <v>36</v>
      </c>
      <c r="F5456" s="2" t="s">
        <v>18599</v>
      </c>
      <c r="H5456" s="2" t="s">
        <v>17</v>
      </c>
      <c r="K5456" s="4" t="s">
        <v>18600</v>
      </c>
      <c r="L5456" s="4">
        <v>28530</v>
      </c>
      <c r="M5456" s="2" t="s">
        <v>91</v>
      </c>
      <c r="N5456" s="2" t="s">
        <v>5141</v>
      </c>
    </row>
    <row r="5457" spans="1:14">
      <c r="A5457" s="2">
        <v>5456</v>
      </c>
      <c r="B5457" s="3" t="s">
        <v>18601</v>
      </c>
      <c r="C5457" s="2" t="s">
        <v>18602</v>
      </c>
      <c r="D5457" s="2">
        <v>36</v>
      </c>
      <c r="E5457" s="2">
        <v>36</v>
      </c>
      <c r="F5457" s="2" t="s">
        <v>18603</v>
      </c>
      <c r="H5457" s="2" t="s">
        <v>17</v>
      </c>
      <c r="K5457" s="4" t="s">
        <v>18604</v>
      </c>
      <c r="M5457" s="2" t="s">
        <v>198</v>
      </c>
      <c r="N5457" s="2" t="s">
        <v>199</v>
      </c>
    </row>
    <row r="5458" spans="1:14">
      <c r="A5458" s="2">
        <v>5457</v>
      </c>
      <c r="B5458" s="3" t="s">
        <v>18605</v>
      </c>
      <c r="C5458" s="2" t="s">
        <v>18606</v>
      </c>
      <c r="D5458" s="2">
        <v>31</v>
      </c>
      <c r="E5458" s="2">
        <v>36</v>
      </c>
      <c r="F5458" s="2" t="s">
        <v>18607</v>
      </c>
      <c r="H5458" s="2" t="s">
        <v>17</v>
      </c>
      <c r="K5458" s="4" t="s">
        <v>18608</v>
      </c>
      <c r="L5458" s="4">
        <v>13833</v>
      </c>
      <c r="M5458" s="2" t="s">
        <v>198</v>
      </c>
      <c r="N5458" s="2" t="s">
        <v>5291</v>
      </c>
    </row>
    <row r="5459" spans="1:14">
      <c r="A5459" s="2">
        <v>5458</v>
      </c>
      <c r="B5459" s="3" t="s">
        <v>18609</v>
      </c>
      <c r="C5459" s="2" t="s">
        <v>18610</v>
      </c>
      <c r="D5459" s="2">
        <v>36</v>
      </c>
      <c r="E5459" s="2">
        <v>36</v>
      </c>
      <c r="F5459" s="2" t="s">
        <v>18611</v>
      </c>
      <c r="H5459" s="2" t="s">
        <v>17</v>
      </c>
      <c r="K5459" s="4" t="s">
        <v>18612</v>
      </c>
      <c r="L5459" s="4">
        <v>18000</v>
      </c>
      <c r="M5459" s="2" t="s">
        <v>35</v>
      </c>
      <c r="N5459" s="2" t="s">
        <v>18613</v>
      </c>
    </row>
    <row r="5460" spans="1:14">
      <c r="A5460" s="2">
        <v>5459</v>
      </c>
      <c r="B5460" s="3" t="s">
        <v>18614</v>
      </c>
      <c r="C5460" s="2" t="s">
        <v>15699</v>
      </c>
      <c r="D5460" s="2">
        <v>36</v>
      </c>
      <c r="E5460" s="2">
        <v>36</v>
      </c>
      <c r="F5460" s="2" t="s">
        <v>18615</v>
      </c>
      <c r="H5460" s="2" t="s">
        <v>17</v>
      </c>
      <c r="K5460" s="4" t="s">
        <v>18616</v>
      </c>
      <c r="L5460" s="4">
        <v>25096</v>
      </c>
      <c r="M5460" s="2" t="s">
        <v>170</v>
      </c>
    </row>
    <row r="5461" spans="1:14">
      <c r="A5461" s="2">
        <v>5460</v>
      </c>
      <c r="B5461" s="3" t="s">
        <v>18617</v>
      </c>
      <c r="C5461" s="2" t="s">
        <v>18618</v>
      </c>
      <c r="D5461" s="2">
        <v>28</v>
      </c>
      <c r="E5461" s="2">
        <v>36</v>
      </c>
      <c r="F5461" s="2" t="s">
        <v>18619</v>
      </c>
      <c r="H5461" s="2" t="s">
        <v>17</v>
      </c>
      <c r="K5461" s="4" t="s">
        <v>18620</v>
      </c>
      <c r="L5461" s="4">
        <v>21917</v>
      </c>
      <c r="M5461" s="2" t="s">
        <v>66</v>
      </c>
      <c r="N5461" s="2" t="s">
        <v>18621</v>
      </c>
    </row>
    <row r="5462" spans="1:14">
      <c r="A5462" s="2">
        <v>5461</v>
      </c>
      <c r="B5462" s="3" t="s">
        <v>18622</v>
      </c>
      <c r="C5462" s="2" t="s">
        <v>18623</v>
      </c>
      <c r="D5462" s="2">
        <v>34</v>
      </c>
      <c r="E5462" s="2">
        <v>36</v>
      </c>
      <c r="F5462" s="2" t="s">
        <v>18624</v>
      </c>
      <c r="H5462" s="2" t="s">
        <v>17</v>
      </c>
      <c r="K5462" s="4" t="s">
        <v>18625</v>
      </c>
      <c r="L5462" s="4">
        <v>16155</v>
      </c>
      <c r="M5462" s="2" t="s">
        <v>185</v>
      </c>
      <c r="N5462" s="2" t="s">
        <v>15830</v>
      </c>
    </row>
    <row r="5463" spans="1:14">
      <c r="A5463" s="2">
        <v>5462</v>
      </c>
      <c r="B5463" s="3" t="s">
        <v>18626</v>
      </c>
      <c r="C5463" s="2" t="s">
        <v>18627</v>
      </c>
      <c r="D5463" s="2">
        <v>36</v>
      </c>
      <c r="E5463" s="2">
        <v>36</v>
      </c>
      <c r="F5463" s="2" t="s">
        <v>18628</v>
      </c>
      <c r="H5463" s="2" t="s">
        <v>17</v>
      </c>
      <c r="K5463" s="4" t="s">
        <v>17489</v>
      </c>
    </row>
    <row r="5464" spans="1:14">
      <c r="A5464" s="2">
        <v>5463</v>
      </c>
      <c r="B5464" s="3" t="s">
        <v>18629</v>
      </c>
      <c r="C5464" s="2" t="s">
        <v>18630</v>
      </c>
      <c r="D5464" s="2">
        <v>36</v>
      </c>
      <c r="E5464" s="2">
        <v>36</v>
      </c>
      <c r="F5464" s="2" t="s">
        <v>18630</v>
      </c>
      <c r="H5464" s="2" t="s">
        <v>17</v>
      </c>
    </row>
    <row r="5465" spans="1:14">
      <c r="A5465" s="2">
        <v>5464</v>
      </c>
      <c r="B5465" s="3" t="s">
        <v>18631</v>
      </c>
      <c r="C5465" s="2" t="s">
        <v>18632</v>
      </c>
      <c r="D5465" s="2">
        <v>36</v>
      </c>
      <c r="E5465" s="2">
        <v>36</v>
      </c>
      <c r="F5465" s="2" t="s">
        <v>18633</v>
      </c>
      <c r="H5465" s="2" t="s">
        <v>17</v>
      </c>
      <c r="K5465" s="4" t="s">
        <v>18634</v>
      </c>
      <c r="M5465" s="2" t="s">
        <v>170</v>
      </c>
    </row>
    <row r="5466" spans="1:14">
      <c r="A5466" s="2">
        <v>5465</v>
      </c>
      <c r="B5466" s="3" t="s">
        <v>18635</v>
      </c>
      <c r="C5466" s="2" t="s">
        <v>18636</v>
      </c>
      <c r="D5466" s="2">
        <v>36</v>
      </c>
      <c r="E5466" s="2">
        <v>36</v>
      </c>
      <c r="F5466" s="2" t="s">
        <v>18637</v>
      </c>
      <c r="H5466" s="2" t="s">
        <v>17</v>
      </c>
      <c r="K5466" s="4" t="s">
        <v>18638</v>
      </c>
      <c r="L5466" s="4">
        <v>22664</v>
      </c>
      <c r="M5466" s="2" t="s">
        <v>198</v>
      </c>
    </row>
    <row r="5467" spans="1:14">
      <c r="A5467" s="2">
        <v>5466</v>
      </c>
      <c r="B5467" s="3" t="s">
        <v>18639</v>
      </c>
      <c r="C5467" s="2" t="s">
        <v>18640</v>
      </c>
      <c r="D5467" s="2">
        <v>36</v>
      </c>
      <c r="E5467" s="2">
        <v>36</v>
      </c>
      <c r="F5467" s="2" t="s">
        <v>18641</v>
      </c>
      <c r="H5467" s="2" t="s">
        <v>17</v>
      </c>
      <c r="K5467" s="4" t="s">
        <v>18642</v>
      </c>
      <c r="M5467" s="2" t="s">
        <v>170</v>
      </c>
      <c r="N5467" s="2" t="s">
        <v>323</v>
      </c>
    </row>
    <row r="5468" spans="1:14">
      <c r="A5468" s="2">
        <v>5467</v>
      </c>
      <c r="B5468" s="3" t="s">
        <v>18643</v>
      </c>
      <c r="C5468" s="2" t="s">
        <v>18644</v>
      </c>
      <c r="D5468" s="2">
        <v>36</v>
      </c>
      <c r="E5468" s="2">
        <v>36</v>
      </c>
      <c r="F5468" s="2" t="s">
        <v>18645</v>
      </c>
      <c r="H5468" s="2" t="s">
        <v>17</v>
      </c>
      <c r="K5468" s="4" t="s">
        <v>18646</v>
      </c>
      <c r="M5468" s="2" t="s">
        <v>969</v>
      </c>
      <c r="N5468" s="2" t="s">
        <v>323</v>
      </c>
    </row>
    <row r="5469" spans="1:14">
      <c r="A5469" s="2">
        <v>5468</v>
      </c>
      <c r="B5469" s="3" t="s">
        <v>18647</v>
      </c>
      <c r="C5469" s="2" t="s">
        <v>18648</v>
      </c>
      <c r="D5469" s="2">
        <v>36</v>
      </c>
      <c r="E5469" s="2">
        <v>36</v>
      </c>
      <c r="F5469" s="2" t="s">
        <v>18649</v>
      </c>
      <c r="H5469" s="2" t="s">
        <v>17</v>
      </c>
      <c r="K5469" s="4" t="s">
        <v>18650</v>
      </c>
      <c r="L5469" s="4">
        <v>21425</v>
      </c>
      <c r="M5469" s="2" t="s">
        <v>969</v>
      </c>
      <c r="N5469" s="2" t="s">
        <v>18651</v>
      </c>
    </row>
    <row r="5470" spans="1:14">
      <c r="A5470" s="2">
        <v>5469</v>
      </c>
      <c r="B5470" s="3" t="s">
        <v>18652</v>
      </c>
      <c r="C5470" s="2" t="s">
        <v>18653</v>
      </c>
      <c r="D5470" s="2">
        <v>36</v>
      </c>
      <c r="E5470" s="2">
        <v>36</v>
      </c>
      <c r="F5470" s="2" t="s">
        <v>18654</v>
      </c>
      <c r="H5470" s="2" t="s">
        <v>17</v>
      </c>
      <c r="K5470" s="4" t="s">
        <v>18655</v>
      </c>
      <c r="L5470" s="4">
        <v>17784</v>
      </c>
      <c r="M5470" s="2" t="s">
        <v>35</v>
      </c>
      <c r="N5470" s="2" t="s">
        <v>12651</v>
      </c>
    </row>
    <row r="5471" spans="1:14">
      <c r="A5471" s="2">
        <v>5470</v>
      </c>
      <c r="B5471" s="3" t="s">
        <v>18656</v>
      </c>
      <c r="C5471" s="2" t="s">
        <v>18657</v>
      </c>
      <c r="D5471" s="2">
        <v>36</v>
      </c>
      <c r="E5471" s="2">
        <v>36</v>
      </c>
      <c r="F5471" s="2" t="s">
        <v>18658</v>
      </c>
      <c r="H5471" s="2" t="s">
        <v>17</v>
      </c>
      <c r="K5471" s="4" t="s">
        <v>18659</v>
      </c>
      <c r="M5471" s="2" t="s">
        <v>198</v>
      </c>
      <c r="N5471" s="2" t="s">
        <v>199</v>
      </c>
    </row>
    <row r="5472" spans="1:14">
      <c r="A5472" s="2">
        <v>5471</v>
      </c>
      <c r="B5472" s="3" t="s">
        <v>18660</v>
      </c>
      <c r="C5472" s="2" t="s">
        <v>18661</v>
      </c>
      <c r="D5472" s="2">
        <v>36</v>
      </c>
      <c r="E5472" s="2">
        <v>36</v>
      </c>
      <c r="F5472" s="2" t="s">
        <v>18661</v>
      </c>
      <c r="H5472" s="2" t="s">
        <v>17</v>
      </c>
    </row>
    <row r="5473" spans="1:14">
      <c r="A5473" s="2">
        <v>5472</v>
      </c>
      <c r="B5473" s="3" t="s">
        <v>18662</v>
      </c>
      <c r="C5473" s="2" t="s">
        <v>18663</v>
      </c>
      <c r="D5473" s="2">
        <v>31</v>
      </c>
      <c r="E5473" s="2">
        <v>36</v>
      </c>
      <c r="F5473" s="2" t="s">
        <v>18664</v>
      </c>
      <c r="H5473" s="2" t="s">
        <v>17</v>
      </c>
      <c r="K5473" s="4" t="s">
        <v>18665</v>
      </c>
      <c r="L5473" s="4">
        <v>17089</v>
      </c>
      <c r="M5473" s="2" t="s">
        <v>47</v>
      </c>
      <c r="N5473" s="2" t="s">
        <v>4066</v>
      </c>
    </row>
    <row r="5474" spans="1:14">
      <c r="A5474" s="2">
        <v>5473</v>
      </c>
      <c r="B5474" s="3" t="s">
        <v>18666</v>
      </c>
      <c r="C5474" s="2" t="s">
        <v>18667</v>
      </c>
      <c r="D5474" s="2">
        <v>36</v>
      </c>
      <c r="E5474" s="2">
        <v>36</v>
      </c>
      <c r="F5474" s="2" t="s">
        <v>18668</v>
      </c>
      <c r="H5474" s="2" t="s">
        <v>17</v>
      </c>
      <c r="K5474" s="4" t="s">
        <v>18669</v>
      </c>
      <c r="M5474" s="2" t="s">
        <v>18</v>
      </c>
    </row>
    <row r="5475" spans="1:14">
      <c r="A5475" s="2">
        <v>5474</v>
      </c>
      <c r="B5475" s="3" t="s">
        <v>18670</v>
      </c>
      <c r="C5475" s="2" t="s">
        <v>18671</v>
      </c>
      <c r="D5475" s="2">
        <v>36</v>
      </c>
      <c r="E5475" s="2">
        <v>36</v>
      </c>
      <c r="F5475" s="2" t="s">
        <v>18672</v>
      </c>
      <c r="H5475" s="2" t="s">
        <v>17</v>
      </c>
      <c r="K5475" s="4" t="s">
        <v>18673</v>
      </c>
      <c r="L5475" s="4">
        <v>22860</v>
      </c>
      <c r="M5475" s="2" t="s">
        <v>66</v>
      </c>
      <c r="N5475" s="2" t="s">
        <v>18674</v>
      </c>
    </row>
    <row r="5476" spans="1:14">
      <c r="A5476" s="2">
        <v>5475</v>
      </c>
      <c r="B5476" s="3" t="s">
        <v>18675</v>
      </c>
      <c r="C5476" s="2" t="s">
        <v>18676</v>
      </c>
      <c r="D5476" s="2">
        <v>36</v>
      </c>
      <c r="E5476" s="2">
        <v>36</v>
      </c>
      <c r="F5476" s="2" t="s">
        <v>18677</v>
      </c>
      <c r="H5476" s="2" t="s">
        <v>17</v>
      </c>
      <c r="M5476" s="2" t="s">
        <v>192</v>
      </c>
      <c r="N5476" s="2" t="s">
        <v>193</v>
      </c>
    </row>
    <row r="5477" spans="1:14">
      <c r="A5477" s="2">
        <v>5476</v>
      </c>
      <c r="B5477" s="3" t="s">
        <v>18678</v>
      </c>
      <c r="C5477" s="2" t="s">
        <v>18679</v>
      </c>
      <c r="D5477" s="2">
        <v>36</v>
      </c>
      <c r="E5477" s="2">
        <v>36</v>
      </c>
      <c r="F5477" s="2" t="s">
        <v>18680</v>
      </c>
      <c r="H5477" s="2" t="s">
        <v>17</v>
      </c>
      <c r="K5477" s="4" t="s">
        <v>18681</v>
      </c>
      <c r="L5477" s="4">
        <v>19735</v>
      </c>
      <c r="M5477" s="2" t="s">
        <v>192</v>
      </c>
      <c r="N5477" s="2" t="s">
        <v>18682</v>
      </c>
    </row>
    <row r="5478" spans="1:14">
      <c r="A5478" s="2">
        <v>5477</v>
      </c>
      <c r="B5478" s="3" t="s">
        <v>18683</v>
      </c>
      <c r="C5478" s="2" t="s">
        <v>18684</v>
      </c>
      <c r="D5478" s="2">
        <v>36</v>
      </c>
      <c r="E5478" s="2">
        <v>36</v>
      </c>
      <c r="F5478" s="2" t="s">
        <v>18685</v>
      </c>
      <c r="H5478" s="2" t="s">
        <v>17</v>
      </c>
      <c r="K5478" s="4" t="s">
        <v>18686</v>
      </c>
      <c r="L5478" s="4">
        <v>23244</v>
      </c>
      <c r="M5478" s="2" t="s">
        <v>146</v>
      </c>
    </row>
    <row r="5479" spans="1:14">
      <c r="A5479" s="2">
        <v>5478</v>
      </c>
      <c r="B5479" s="3" t="s">
        <v>18687</v>
      </c>
      <c r="C5479" s="2" t="s">
        <v>18688</v>
      </c>
      <c r="D5479" s="2">
        <v>36</v>
      </c>
      <c r="E5479" s="2">
        <v>36</v>
      </c>
      <c r="F5479" s="2" t="s">
        <v>18689</v>
      </c>
      <c r="H5479" s="2" t="s">
        <v>17</v>
      </c>
    </row>
    <row r="5480" spans="1:14">
      <c r="A5480" s="2">
        <v>5479</v>
      </c>
      <c r="B5480" s="3" t="s">
        <v>18690</v>
      </c>
      <c r="C5480" s="2" t="s">
        <v>18691</v>
      </c>
      <c r="D5480" s="2">
        <v>36</v>
      </c>
      <c r="E5480" s="2">
        <v>36</v>
      </c>
      <c r="F5480" s="2" t="s">
        <v>18692</v>
      </c>
      <c r="H5480" s="2" t="s">
        <v>17</v>
      </c>
      <c r="K5480" s="4" t="s">
        <v>18693</v>
      </c>
      <c r="L5480" s="4">
        <v>18914</v>
      </c>
      <c r="M5480" s="2" t="s">
        <v>146</v>
      </c>
      <c r="N5480" s="2" t="s">
        <v>16761</v>
      </c>
    </row>
    <row r="5481" spans="1:14">
      <c r="A5481" s="2">
        <v>5480</v>
      </c>
      <c r="B5481" s="3" t="s">
        <v>18694</v>
      </c>
      <c r="C5481" s="2" t="s">
        <v>18695</v>
      </c>
      <c r="D5481" s="2">
        <v>36</v>
      </c>
      <c r="E5481" s="2">
        <v>36</v>
      </c>
      <c r="F5481" s="2" t="s">
        <v>18696</v>
      </c>
      <c r="H5481" s="2" t="s">
        <v>17</v>
      </c>
      <c r="K5481" s="4" t="s">
        <v>18697</v>
      </c>
    </row>
    <row r="5482" spans="1:14">
      <c r="A5482" s="2">
        <v>5481</v>
      </c>
      <c r="B5482" s="3" t="s">
        <v>18698</v>
      </c>
      <c r="C5482" s="2" t="s">
        <v>18699</v>
      </c>
      <c r="D5482" s="2">
        <v>36</v>
      </c>
      <c r="E5482" s="2">
        <v>36</v>
      </c>
      <c r="F5482" s="2" t="s">
        <v>18700</v>
      </c>
      <c r="H5482" s="2" t="s">
        <v>17</v>
      </c>
      <c r="K5482" s="4" t="s">
        <v>18701</v>
      </c>
      <c r="L5482" s="4">
        <v>25575</v>
      </c>
      <c r="M5482" s="2" t="s">
        <v>170</v>
      </c>
      <c r="N5482" s="2" t="s">
        <v>4494</v>
      </c>
    </row>
    <row r="5483" spans="1:14">
      <c r="A5483" s="2">
        <v>5482</v>
      </c>
      <c r="B5483" s="3" t="s">
        <v>18702</v>
      </c>
      <c r="C5483" s="2" t="s">
        <v>18703</v>
      </c>
      <c r="D5483" s="2">
        <v>36</v>
      </c>
      <c r="E5483" s="2">
        <v>36</v>
      </c>
      <c r="F5483" s="2" t="s">
        <v>18704</v>
      </c>
      <c r="H5483" s="2" t="s">
        <v>17</v>
      </c>
      <c r="K5483" s="4" t="s">
        <v>18705</v>
      </c>
      <c r="L5483" s="4">
        <v>27208</v>
      </c>
      <c r="M5483" s="2" t="s">
        <v>47</v>
      </c>
      <c r="N5483" s="2" t="s">
        <v>16751</v>
      </c>
    </row>
    <row r="5484" spans="1:14">
      <c r="A5484" s="2">
        <v>5483</v>
      </c>
      <c r="B5484" s="3" t="s">
        <v>18706</v>
      </c>
      <c r="C5484" s="2" t="s">
        <v>18707</v>
      </c>
      <c r="D5484" s="2">
        <v>36</v>
      </c>
      <c r="E5484" s="2">
        <v>36</v>
      </c>
      <c r="F5484" s="2" t="s">
        <v>18708</v>
      </c>
      <c r="H5484" s="2" t="s">
        <v>17</v>
      </c>
      <c r="K5484" s="4">
        <v>2300</v>
      </c>
      <c r="L5484" s="4">
        <v>31928</v>
      </c>
      <c r="M5484" s="2" t="s">
        <v>66</v>
      </c>
      <c r="N5484" s="2" t="s">
        <v>71</v>
      </c>
    </row>
    <row r="5485" spans="1:14">
      <c r="A5485" s="2">
        <v>5484</v>
      </c>
      <c r="B5485" s="3" t="s">
        <v>18709</v>
      </c>
      <c r="C5485" s="2" t="s">
        <v>18710</v>
      </c>
      <c r="D5485" s="2">
        <v>36</v>
      </c>
      <c r="E5485" s="2">
        <v>36</v>
      </c>
      <c r="F5485" s="2" t="s">
        <v>18711</v>
      </c>
      <c r="H5485" s="2" t="s">
        <v>17</v>
      </c>
      <c r="K5485" s="4" t="s">
        <v>18712</v>
      </c>
      <c r="M5485" s="2" t="s">
        <v>76</v>
      </c>
      <c r="N5485" s="2" t="s">
        <v>1878</v>
      </c>
    </row>
    <row r="5486" spans="1:14">
      <c r="A5486" s="2">
        <v>5485</v>
      </c>
      <c r="B5486" s="3" t="s">
        <v>18713</v>
      </c>
      <c r="C5486" s="2" t="s">
        <v>8590</v>
      </c>
      <c r="D5486" s="2">
        <v>36</v>
      </c>
      <c r="E5486" s="2">
        <v>36</v>
      </c>
      <c r="F5486" s="2" t="s">
        <v>18714</v>
      </c>
      <c r="H5486" s="2" t="s">
        <v>17</v>
      </c>
      <c r="K5486" s="4" t="s">
        <v>18715</v>
      </c>
      <c r="L5486" s="4">
        <v>20115</v>
      </c>
      <c r="M5486" s="2" t="s">
        <v>198</v>
      </c>
      <c r="N5486" s="2" t="s">
        <v>199</v>
      </c>
    </row>
    <row r="5487" spans="1:14">
      <c r="A5487" s="2">
        <v>5486</v>
      </c>
      <c r="B5487" s="3" t="s">
        <v>18716</v>
      </c>
      <c r="C5487" s="2" t="s">
        <v>9434</v>
      </c>
      <c r="D5487" s="2">
        <v>36</v>
      </c>
      <c r="E5487" s="2">
        <v>36</v>
      </c>
      <c r="F5487" s="2" t="s">
        <v>18717</v>
      </c>
      <c r="H5487" s="2" t="s">
        <v>17</v>
      </c>
      <c r="K5487" s="4" t="s">
        <v>18718</v>
      </c>
      <c r="L5487" s="4">
        <v>12727</v>
      </c>
      <c r="M5487" s="2" t="s">
        <v>35</v>
      </c>
      <c r="N5487" s="2" t="s">
        <v>10783</v>
      </c>
    </row>
    <row r="5488" spans="1:14">
      <c r="A5488" s="2">
        <v>5487</v>
      </c>
      <c r="B5488" s="3" t="s">
        <v>18719</v>
      </c>
      <c r="C5488" s="2" t="s">
        <v>18720</v>
      </c>
      <c r="D5488" s="2">
        <v>36</v>
      </c>
      <c r="E5488" s="2">
        <v>36</v>
      </c>
      <c r="F5488" s="2" t="s">
        <v>18721</v>
      </c>
      <c r="H5488" s="2" t="s">
        <v>17</v>
      </c>
      <c r="K5488" s="4">
        <v>1018</v>
      </c>
      <c r="L5488" s="4">
        <v>20646</v>
      </c>
      <c r="M5488" s="2" t="s">
        <v>35</v>
      </c>
      <c r="N5488" s="2" t="s">
        <v>15901</v>
      </c>
    </row>
    <row r="5489" spans="1:14">
      <c r="A5489" s="2">
        <v>5488</v>
      </c>
      <c r="B5489" s="3" t="s">
        <v>18722</v>
      </c>
      <c r="C5489" s="2" t="s">
        <v>7809</v>
      </c>
      <c r="D5489" s="2">
        <v>35</v>
      </c>
      <c r="E5489" s="2">
        <v>36</v>
      </c>
      <c r="F5489" s="2" t="s">
        <v>18723</v>
      </c>
      <c r="H5489" s="2" t="s">
        <v>17</v>
      </c>
      <c r="K5489" s="4" t="s">
        <v>18724</v>
      </c>
      <c r="L5489" s="4">
        <v>25526</v>
      </c>
      <c r="M5489" s="2" t="s">
        <v>47</v>
      </c>
      <c r="N5489" s="2" t="s">
        <v>9901</v>
      </c>
    </row>
    <row r="5490" spans="1:14">
      <c r="A5490" s="2">
        <v>5489</v>
      </c>
      <c r="B5490" s="3" t="s">
        <v>18725</v>
      </c>
      <c r="C5490" s="2" t="s">
        <v>18726</v>
      </c>
      <c r="D5490" s="2">
        <v>34</v>
      </c>
      <c r="E5490" s="2">
        <v>36</v>
      </c>
      <c r="F5490" s="2" t="s">
        <v>18727</v>
      </c>
      <c r="H5490" s="2" t="s">
        <v>17</v>
      </c>
      <c r="K5490" s="4" t="s">
        <v>18728</v>
      </c>
      <c r="L5490" s="4">
        <v>31170</v>
      </c>
      <c r="M5490" s="2" t="s">
        <v>18</v>
      </c>
      <c r="N5490" s="2" t="s">
        <v>11201</v>
      </c>
    </row>
    <row r="5491" spans="1:14">
      <c r="A5491" s="2">
        <v>5490</v>
      </c>
      <c r="B5491" s="3" t="s">
        <v>18729</v>
      </c>
      <c r="C5491" s="2" t="s">
        <v>18730</v>
      </c>
      <c r="D5491" s="2">
        <v>36</v>
      </c>
      <c r="E5491" s="2">
        <v>36</v>
      </c>
      <c r="F5491" s="2" t="s">
        <v>18731</v>
      </c>
      <c r="H5491" s="2" t="s">
        <v>17</v>
      </c>
      <c r="K5491" s="4">
        <v>273</v>
      </c>
      <c r="M5491" s="2" t="s">
        <v>66</v>
      </c>
      <c r="N5491" s="2" t="s">
        <v>10199</v>
      </c>
    </row>
    <row r="5492" spans="1:14">
      <c r="A5492" s="2">
        <v>5491</v>
      </c>
      <c r="B5492" s="3" t="s">
        <v>18732</v>
      </c>
      <c r="C5492" s="2" t="s">
        <v>18733</v>
      </c>
      <c r="D5492" s="2">
        <v>36</v>
      </c>
      <c r="E5492" s="2">
        <v>36</v>
      </c>
      <c r="F5492" s="2" t="s">
        <v>18734</v>
      </c>
      <c r="H5492" s="2" t="s">
        <v>17</v>
      </c>
      <c r="K5492" s="4" t="s">
        <v>18735</v>
      </c>
    </row>
    <row r="5493" spans="1:14">
      <c r="A5493" s="2">
        <v>5492</v>
      </c>
      <c r="B5493" s="3" t="s">
        <v>18736</v>
      </c>
      <c r="C5493" s="2" t="s">
        <v>18737</v>
      </c>
      <c r="D5493" s="2">
        <v>36</v>
      </c>
      <c r="E5493" s="2">
        <v>36</v>
      </c>
      <c r="F5493" s="2" t="s">
        <v>18738</v>
      </c>
      <c r="H5493" s="2" t="s">
        <v>17</v>
      </c>
      <c r="K5493" s="4" t="s">
        <v>18739</v>
      </c>
      <c r="L5493" s="4">
        <v>18542</v>
      </c>
      <c r="M5493" s="2" t="s">
        <v>198</v>
      </c>
      <c r="N5493" s="2" t="s">
        <v>199</v>
      </c>
    </row>
    <row r="5494" spans="1:14">
      <c r="A5494" s="2">
        <v>5493</v>
      </c>
      <c r="B5494" s="3" t="s">
        <v>18740</v>
      </c>
      <c r="C5494" s="2" t="s">
        <v>18741</v>
      </c>
      <c r="D5494" s="2">
        <v>36</v>
      </c>
      <c r="E5494" s="2">
        <v>36</v>
      </c>
      <c r="F5494" s="2" t="s">
        <v>18742</v>
      </c>
      <c r="H5494" s="2" t="s">
        <v>17</v>
      </c>
      <c r="K5494" s="4" t="s">
        <v>18743</v>
      </c>
      <c r="L5494" s="4">
        <v>25209</v>
      </c>
      <c r="M5494" s="2" t="s">
        <v>47</v>
      </c>
      <c r="N5494" s="2" t="s">
        <v>48</v>
      </c>
    </row>
    <row r="5495" spans="1:14">
      <c r="A5495" s="2">
        <v>5494</v>
      </c>
      <c r="B5495" s="3" t="s">
        <v>18744</v>
      </c>
      <c r="C5495" s="2" t="s">
        <v>18745</v>
      </c>
      <c r="D5495" s="2">
        <v>36</v>
      </c>
      <c r="E5495" s="2">
        <v>36</v>
      </c>
      <c r="F5495" s="2" t="s">
        <v>18746</v>
      </c>
      <c r="H5495" s="2" t="s">
        <v>17</v>
      </c>
      <c r="K5495" s="4" t="s">
        <v>18747</v>
      </c>
      <c r="L5495" s="4">
        <v>24865</v>
      </c>
      <c r="M5495" s="2" t="s">
        <v>47</v>
      </c>
      <c r="N5495" s="2" t="s">
        <v>48</v>
      </c>
    </row>
    <row r="5496" spans="1:14">
      <c r="A5496" s="2">
        <v>5495</v>
      </c>
      <c r="B5496" s="3" t="s">
        <v>18748</v>
      </c>
      <c r="C5496" s="2" t="s">
        <v>18749</v>
      </c>
      <c r="D5496" s="2">
        <v>36</v>
      </c>
      <c r="E5496" s="2">
        <v>36</v>
      </c>
      <c r="F5496" s="2" t="s">
        <v>18750</v>
      </c>
      <c r="H5496" s="2" t="s">
        <v>17</v>
      </c>
      <c r="K5496" s="4" t="s">
        <v>18751</v>
      </c>
      <c r="L5496" s="4">
        <v>17633</v>
      </c>
      <c r="M5496" s="2" t="s">
        <v>35</v>
      </c>
      <c r="N5496" s="2" t="s">
        <v>18752</v>
      </c>
    </row>
    <row r="5497" spans="1:14">
      <c r="A5497" s="2">
        <v>5496</v>
      </c>
      <c r="B5497" s="3" t="s">
        <v>18753</v>
      </c>
      <c r="C5497" s="2" t="s">
        <v>18754</v>
      </c>
      <c r="D5497" s="2">
        <v>36</v>
      </c>
      <c r="E5497" s="2">
        <v>36</v>
      </c>
      <c r="F5497" s="2" t="s">
        <v>18755</v>
      </c>
      <c r="H5497" s="2" t="s">
        <v>17</v>
      </c>
      <c r="K5497" s="4" t="s">
        <v>18756</v>
      </c>
      <c r="L5497" s="4">
        <v>27977</v>
      </c>
      <c r="M5497" s="2" t="s">
        <v>198</v>
      </c>
      <c r="N5497" s="2" t="s">
        <v>7814</v>
      </c>
    </row>
    <row r="5498" spans="1:14">
      <c r="A5498" s="2">
        <v>5497</v>
      </c>
      <c r="B5498" s="3" t="s">
        <v>18757</v>
      </c>
      <c r="C5498" s="2" t="s">
        <v>18758</v>
      </c>
      <c r="D5498" s="2">
        <v>36</v>
      </c>
      <c r="E5498" s="2">
        <v>36</v>
      </c>
      <c r="F5498" s="2" t="s">
        <v>18759</v>
      </c>
      <c r="H5498" s="2" t="s">
        <v>17</v>
      </c>
      <c r="K5498" s="4" t="s">
        <v>18760</v>
      </c>
      <c r="L5498" s="4">
        <v>19052</v>
      </c>
      <c r="M5498" s="2" t="s">
        <v>53</v>
      </c>
      <c r="N5498" s="2" t="s">
        <v>847</v>
      </c>
    </row>
    <row r="5499" spans="1:14">
      <c r="A5499" s="2">
        <v>5498</v>
      </c>
      <c r="B5499" s="3" t="s">
        <v>18761</v>
      </c>
      <c r="C5499" s="2" t="s">
        <v>18762</v>
      </c>
      <c r="D5499" s="2">
        <v>36</v>
      </c>
      <c r="E5499" s="2">
        <v>36</v>
      </c>
      <c r="F5499" s="2" t="s">
        <v>18763</v>
      </c>
      <c r="H5499" s="2" t="s">
        <v>17</v>
      </c>
      <c r="K5499" s="4" t="s">
        <v>18764</v>
      </c>
      <c r="L5499" s="4">
        <v>30949</v>
      </c>
      <c r="M5499" s="2" t="s">
        <v>336</v>
      </c>
      <c r="N5499" s="2" t="s">
        <v>1883</v>
      </c>
    </row>
    <row r="5500" spans="1:14">
      <c r="A5500" s="2">
        <v>5499</v>
      </c>
      <c r="B5500" s="3" t="s">
        <v>18765</v>
      </c>
      <c r="C5500" s="2" t="s">
        <v>18766</v>
      </c>
      <c r="D5500" s="2">
        <v>36</v>
      </c>
      <c r="E5500" s="2">
        <v>36</v>
      </c>
      <c r="F5500" s="2" t="s">
        <v>18767</v>
      </c>
      <c r="H5500" s="2" t="s">
        <v>17</v>
      </c>
      <c r="K5500" s="4" t="s">
        <v>18768</v>
      </c>
      <c r="L5500" s="4">
        <v>27075</v>
      </c>
      <c r="M5500" s="2" t="s">
        <v>154</v>
      </c>
      <c r="N5500" s="2" t="s">
        <v>10100</v>
      </c>
    </row>
    <row r="5501" spans="1:14">
      <c r="A5501" s="2">
        <v>5500</v>
      </c>
      <c r="B5501" s="3" t="s">
        <v>18769</v>
      </c>
      <c r="C5501" s="2" t="s">
        <v>16555</v>
      </c>
      <c r="D5501" s="2">
        <v>36</v>
      </c>
      <c r="E5501" s="2">
        <v>36</v>
      </c>
      <c r="F5501" s="2" t="s">
        <v>18770</v>
      </c>
      <c r="H5501" s="2" t="s">
        <v>17</v>
      </c>
      <c r="K5501" s="4" t="s">
        <v>18771</v>
      </c>
      <c r="L5501" s="4">
        <v>22245</v>
      </c>
      <c r="M5501" s="2" t="s">
        <v>154</v>
      </c>
      <c r="N5501" s="2" t="s">
        <v>2265</v>
      </c>
    </row>
    <row r="5502" spans="1:14">
      <c r="A5502" s="2">
        <v>5501</v>
      </c>
      <c r="B5502" s="3" t="s">
        <v>18772</v>
      </c>
      <c r="C5502" s="2" t="s">
        <v>18773</v>
      </c>
      <c r="D5502" s="2">
        <v>36</v>
      </c>
      <c r="E5502" s="2">
        <v>36</v>
      </c>
      <c r="F5502" s="2" t="s">
        <v>18774</v>
      </c>
      <c r="H5502" s="2" t="s">
        <v>17</v>
      </c>
      <c r="K5502" s="4" t="s">
        <v>17064</v>
      </c>
      <c r="L5502" s="4">
        <v>15634</v>
      </c>
      <c r="M5502" s="2" t="s">
        <v>192</v>
      </c>
      <c r="N5502" s="2" t="s">
        <v>3969</v>
      </c>
    </row>
    <row r="5503" spans="1:14">
      <c r="A5503" s="2">
        <v>5502</v>
      </c>
      <c r="B5503" s="3" t="s">
        <v>18775</v>
      </c>
      <c r="C5503" s="2" t="s">
        <v>18776</v>
      </c>
      <c r="D5503" s="2">
        <v>36</v>
      </c>
      <c r="E5503" s="2">
        <v>36</v>
      </c>
      <c r="F5503" s="2" t="s">
        <v>18777</v>
      </c>
      <c r="H5503" s="2" t="s">
        <v>17</v>
      </c>
      <c r="K5503" s="4" t="s">
        <v>18778</v>
      </c>
      <c r="L5503" s="4">
        <v>23070</v>
      </c>
      <c r="M5503" s="2" t="s">
        <v>164</v>
      </c>
      <c r="N5503" s="2" t="s">
        <v>18779</v>
      </c>
    </row>
    <row r="5504" spans="1:14">
      <c r="A5504" s="2">
        <v>5503</v>
      </c>
      <c r="B5504" s="3" t="s">
        <v>18780</v>
      </c>
      <c r="C5504" s="2" t="s">
        <v>18781</v>
      </c>
      <c r="D5504" s="2">
        <v>36</v>
      </c>
      <c r="E5504" s="2">
        <v>36</v>
      </c>
      <c r="F5504" s="2" t="s">
        <v>18782</v>
      </c>
      <c r="H5504" s="2" t="s">
        <v>17</v>
      </c>
      <c r="K5504" s="4" t="s">
        <v>18783</v>
      </c>
      <c r="L5504" s="4">
        <v>17230</v>
      </c>
      <c r="M5504" s="2" t="s">
        <v>969</v>
      </c>
    </row>
    <row r="5505" spans="1:14">
      <c r="A5505" s="2">
        <v>5504</v>
      </c>
      <c r="B5505" s="3" t="s">
        <v>18784</v>
      </c>
      <c r="C5505" s="2" t="s">
        <v>18785</v>
      </c>
      <c r="D5505" s="2">
        <v>36</v>
      </c>
      <c r="E5505" s="2">
        <v>36</v>
      </c>
      <c r="F5505" s="2" t="s">
        <v>18786</v>
      </c>
      <c r="H5505" s="2" t="s">
        <v>17</v>
      </c>
      <c r="K5505" s="4" t="s">
        <v>18491</v>
      </c>
      <c r="M5505" s="2" t="s">
        <v>35</v>
      </c>
      <c r="N5505" s="2" t="s">
        <v>2152</v>
      </c>
    </row>
    <row r="5506" spans="1:14">
      <c r="A5506" s="2">
        <v>5505</v>
      </c>
      <c r="B5506" s="3" t="s">
        <v>18787</v>
      </c>
      <c r="C5506" s="2" t="s">
        <v>18788</v>
      </c>
      <c r="D5506" s="2">
        <v>32</v>
      </c>
      <c r="E5506" s="2">
        <v>36</v>
      </c>
      <c r="F5506" s="2" t="s">
        <v>18789</v>
      </c>
      <c r="H5506" s="2" t="s">
        <v>17</v>
      </c>
      <c r="K5506" s="4" t="s">
        <v>18790</v>
      </c>
      <c r="L5506" s="4">
        <v>25422</v>
      </c>
      <c r="M5506" s="2" t="s">
        <v>198</v>
      </c>
    </row>
    <row r="5507" spans="1:14">
      <c r="A5507" s="2">
        <v>5506</v>
      </c>
      <c r="B5507" s="3" t="s">
        <v>18791</v>
      </c>
      <c r="C5507" s="2" t="s">
        <v>18792</v>
      </c>
      <c r="D5507" s="2">
        <v>30</v>
      </c>
      <c r="E5507" s="2">
        <v>36</v>
      </c>
      <c r="F5507" s="2" t="s">
        <v>18793</v>
      </c>
      <c r="H5507" s="2" t="s">
        <v>17</v>
      </c>
      <c r="K5507" s="4" t="s">
        <v>18794</v>
      </c>
      <c r="L5507" s="4">
        <v>24603</v>
      </c>
      <c r="M5507" s="2" t="s">
        <v>170</v>
      </c>
      <c r="N5507" s="2" t="s">
        <v>2533</v>
      </c>
    </row>
    <row r="5508" spans="1:14">
      <c r="A5508" s="2">
        <v>5507</v>
      </c>
      <c r="B5508" s="3" t="s">
        <v>18795</v>
      </c>
      <c r="C5508" s="2" t="s">
        <v>18796</v>
      </c>
      <c r="D5508" s="2">
        <v>29</v>
      </c>
      <c r="E5508" s="2">
        <v>36</v>
      </c>
      <c r="F5508" s="2" t="s">
        <v>18797</v>
      </c>
      <c r="H5508" s="2" t="s">
        <v>17</v>
      </c>
      <c r="K5508" s="4" t="s">
        <v>18798</v>
      </c>
      <c r="M5508" s="2" t="s">
        <v>170</v>
      </c>
      <c r="N5508" s="2" t="s">
        <v>784</v>
      </c>
    </row>
    <row r="5509" spans="1:14">
      <c r="A5509" s="2">
        <v>5508</v>
      </c>
      <c r="B5509" s="3" t="s">
        <v>18799</v>
      </c>
      <c r="C5509" s="2" t="s">
        <v>18800</v>
      </c>
      <c r="D5509" s="2">
        <v>36</v>
      </c>
      <c r="E5509" s="2">
        <v>36</v>
      </c>
      <c r="F5509" s="2" t="s">
        <v>18801</v>
      </c>
      <c r="H5509" s="2" t="s">
        <v>17</v>
      </c>
      <c r="K5509" s="4" t="s">
        <v>18802</v>
      </c>
      <c r="L5509" s="4">
        <v>17539</v>
      </c>
      <c r="M5509" s="2" t="s">
        <v>53</v>
      </c>
    </row>
    <row r="5510" spans="1:14">
      <c r="A5510" s="2">
        <v>5509</v>
      </c>
      <c r="B5510" s="3" t="s">
        <v>18803</v>
      </c>
      <c r="C5510" s="2" t="s">
        <v>18804</v>
      </c>
      <c r="D5510" s="2">
        <v>36</v>
      </c>
      <c r="E5510" s="2">
        <v>36</v>
      </c>
      <c r="F5510" s="2" t="s">
        <v>18805</v>
      </c>
      <c r="H5510" s="2" t="s">
        <v>17</v>
      </c>
      <c r="K5510" s="4" t="s">
        <v>17980</v>
      </c>
      <c r="M5510" s="2" t="s">
        <v>170</v>
      </c>
    </row>
    <row r="5511" spans="1:14">
      <c r="A5511" s="2">
        <v>5510</v>
      </c>
      <c r="B5511" s="3" t="s">
        <v>18806</v>
      </c>
      <c r="C5511" s="2" t="s">
        <v>18807</v>
      </c>
      <c r="D5511" s="2">
        <v>36</v>
      </c>
      <c r="E5511" s="2">
        <v>36</v>
      </c>
      <c r="F5511" s="2" t="s">
        <v>18808</v>
      </c>
      <c r="H5511" s="2" t="s">
        <v>17</v>
      </c>
      <c r="K5511" s="4" t="s">
        <v>18809</v>
      </c>
      <c r="L5511" s="4">
        <v>18933</v>
      </c>
      <c r="M5511" s="2" t="s">
        <v>170</v>
      </c>
      <c r="N5511" s="2" t="s">
        <v>323</v>
      </c>
    </row>
    <row r="5512" spans="1:14">
      <c r="A5512" s="2">
        <v>5511</v>
      </c>
      <c r="B5512" s="3" t="s">
        <v>18810</v>
      </c>
      <c r="C5512" s="2" t="s">
        <v>18811</v>
      </c>
      <c r="D5512" s="2">
        <v>36</v>
      </c>
      <c r="E5512" s="2">
        <v>36</v>
      </c>
      <c r="F5512" s="2" t="s">
        <v>18812</v>
      </c>
      <c r="H5512" s="2" t="s">
        <v>17</v>
      </c>
      <c r="K5512" s="4" t="s">
        <v>18813</v>
      </c>
      <c r="L5512" s="4">
        <v>15876</v>
      </c>
      <c r="M5512" s="2" t="s">
        <v>47</v>
      </c>
      <c r="N5512" s="2" t="s">
        <v>48</v>
      </c>
    </row>
    <row r="5513" spans="1:14">
      <c r="A5513" s="2">
        <v>5512</v>
      </c>
      <c r="B5513" s="3" t="s">
        <v>18814</v>
      </c>
      <c r="C5513" s="2" t="s">
        <v>18815</v>
      </c>
      <c r="D5513" s="2">
        <v>36</v>
      </c>
      <c r="E5513" s="2">
        <v>36</v>
      </c>
      <c r="F5513" s="2" t="s">
        <v>18816</v>
      </c>
      <c r="H5513" s="2" t="s">
        <v>17</v>
      </c>
      <c r="K5513" s="4" t="s">
        <v>18817</v>
      </c>
      <c r="L5513" s="4">
        <v>18368</v>
      </c>
      <c r="M5513" s="2" t="s">
        <v>40</v>
      </c>
      <c r="N5513" s="2" t="s">
        <v>41</v>
      </c>
    </row>
    <row r="5514" spans="1:14">
      <c r="A5514" s="2">
        <v>5513</v>
      </c>
      <c r="B5514" s="3" t="s">
        <v>18818</v>
      </c>
      <c r="C5514" s="2" t="s">
        <v>18819</v>
      </c>
      <c r="D5514" s="2">
        <v>36</v>
      </c>
      <c r="E5514" s="2">
        <v>36</v>
      </c>
      <c r="F5514" s="2" t="s">
        <v>18820</v>
      </c>
      <c r="H5514" s="2" t="s">
        <v>17</v>
      </c>
      <c r="K5514" s="4" t="s">
        <v>18821</v>
      </c>
      <c r="L5514" s="4">
        <v>14022</v>
      </c>
      <c r="M5514" s="2" t="s">
        <v>66</v>
      </c>
      <c r="N5514" s="2" t="s">
        <v>1147</v>
      </c>
    </row>
    <row r="5515" spans="1:14">
      <c r="A5515" s="2">
        <v>5514</v>
      </c>
      <c r="B5515" s="3" t="s">
        <v>18822</v>
      </c>
      <c r="C5515" s="2" t="s">
        <v>18823</v>
      </c>
      <c r="D5515" s="2">
        <v>36</v>
      </c>
      <c r="E5515" s="2">
        <v>36</v>
      </c>
      <c r="F5515" s="2" t="s">
        <v>18824</v>
      </c>
      <c r="H5515" s="2" t="s">
        <v>17</v>
      </c>
      <c r="K5515" s="4" t="s">
        <v>18825</v>
      </c>
      <c r="L5515" s="4">
        <v>22575</v>
      </c>
    </row>
    <row r="5516" spans="1:14">
      <c r="A5516" s="2">
        <v>5515</v>
      </c>
      <c r="B5516" s="3" t="s">
        <v>18826</v>
      </c>
      <c r="C5516" s="2" t="s">
        <v>18827</v>
      </c>
      <c r="D5516" s="2">
        <v>36</v>
      </c>
      <c r="E5516" s="2">
        <v>36</v>
      </c>
      <c r="F5516" s="2" t="s">
        <v>18828</v>
      </c>
      <c r="H5516" s="2" t="s">
        <v>17</v>
      </c>
      <c r="K5516" s="4" t="s">
        <v>18829</v>
      </c>
      <c r="M5516" s="2" t="s">
        <v>40</v>
      </c>
      <c r="N5516" s="2" t="s">
        <v>17482</v>
      </c>
    </row>
    <row r="5517" spans="1:14">
      <c r="A5517" s="2">
        <v>5516</v>
      </c>
      <c r="B5517" s="3" t="s">
        <v>18830</v>
      </c>
      <c r="C5517" s="2" t="s">
        <v>13910</v>
      </c>
      <c r="D5517" s="2">
        <v>36</v>
      </c>
      <c r="E5517" s="2">
        <v>36</v>
      </c>
      <c r="F5517" s="2" t="s">
        <v>18831</v>
      </c>
      <c r="H5517" s="2" t="s">
        <v>17</v>
      </c>
      <c r="K5517" s="4" t="s">
        <v>18832</v>
      </c>
      <c r="L5517" s="4">
        <v>12576</v>
      </c>
      <c r="M5517" s="2" t="s">
        <v>170</v>
      </c>
      <c r="N5517" s="2" t="s">
        <v>323</v>
      </c>
    </row>
    <row r="5518" spans="1:14">
      <c r="A5518" s="2">
        <v>5517</v>
      </c>
      <c r="B5518" s="3" t="s">
        <v>18833</v>
      </c>
      <c r="C5518" s="2" t="s">
        <v>18834</v>
      </c>
      <c r="D5518" s="2">
        <v>36</v>
      </c>
      <c r="E5518" s="2">
        <v>36</v>
      </c>
      <c r="F5518" s="2" t="s">
        <v>18835</v>
      </c>
      <c r="H5518" s="2" t="s">
        <v>17</v>
      </c>
      <c r="K5518" s="4" t="s">
        <v>18836</v>
      </c>
      <c r="M5518" s="2" t="s">
        <v>85</v>
      </c>
      <c r="N5518" s="2" t="s">
        <v>18837</v>
      </c>
    </row>
    <row r="5519" spans="1:14">
      <c r="A5519" s="2">
        <v>5518</v>
      </c>
      <c r="B5519" s="3" t="s">
        <v>18838</v>
      </c>
      <c r="C5519" s="2" t="s">
        <v>18839</v>
      </c>
      <c r="D5519" s="2">
        <v>36</v>
      </c>
      <c r="E5519" s="2">
        <v>36</v>
      </c>
      <c r="F5519" s="2" t="s">
        <v>18840</v>
      </c>
      <c r="H5519" s="2" t="s">
        <v>17</v>
      </c>
      <c r="K5519" s="4" t="s">
        <v>18841</v>
      </c>
      <c r="L5519" s="4">
        <v>24001</v>
      </c>
      <c r="M5519" s="2" t="s">
        <v>66</v>
      </c>
      <c r="N5519" s="2" t="s">
        <v>3640</v>
      </c>
    </row>
    <row r="5520" spans="1:14">
      <c r="A5520" s="2">
        <v>5519</v>
      </c>
      <c r="B5520" s="3" t="s">
        <v>18842</v>
      </c>
      <c r="C5520" s="2" t="s">
        <v>18843</v>
      </c>
      <c r="D5520" s="2">
        <v>36</v>
      </c>
      <c r="E5520" s="2">
        <v>36</v>
      </c>
      <c r="F5520" s="2" t="s">
        <v>18844</v>
      </c>
      <c r="H5520" s="2" t="s">
        <v>17</v>
      </c>
      <c r="K5520" s="4" t="s">
        <v>18845</v>
      </c>
      <c r="M5520" s="2" t="s">
        <v>47</v>
      </c>
      <c r="N5520" s="2" t="s">
        <v>625</v>
      </c>
    </row>
    <row r="5521" spans="1:14">
      <c r="A5521" s="2">
        <v>5520</v>
      </c>
      <c r="B5521" s="3" t="s">
        <v>18846</v>
      </c>
      <c r="C5521" s="2" t="s">
        <v>18847</v>
      </c>
      <c r="D5521" s="2">
        <v>35</v>
      </c>
      <c r="E5521" s="2">
        <v>36</v>
      </c>
      <c r="F5521" s="2" t="s">
        <v>18848</v>
      </c>
      <c r="H5521" s="2" t="s">
        <v>17</v>
      </c>
      <c r="K5521" s="4" t="s">
        <v>18849</v>
      </c>
      <c r="M5521" s="2" t="s">
        <v>170</v>
      </c>
      <c r="N5521" s="2" t="s">
        <v>1154</v>
      </c>
    </row>
    <row r="5522" spans="1:14">
      <c r="A5522" s="2">
        <v>5521</v>
      </c>
      <c r="B5522" s="3" t="s">
        <v>18850</v>
      </c>
      <c r="C5522" s="2" t="s">
        <v>18851</v>
      </c>
      <c r="D5522" s="2">
        <v>36</v>
      </c>
      <c r="E5522" s="2">
        <v>36</v>
      </c>
      <c r="F5522" s="2" t="s">
        <v>18852</v>
      </c>
      <c r="H5522" s="2" t="s">
        <v>17</v>
      </c>
    </row>
    <row r="5523" spans="1:14">
      <c r="A5523" s="2">
        <v>5522</v>
      </c>
      <c r="B5523" s="3" t="s">
        <v>18853</v>
      </c>
      <c r="C5523" s="2" t="s">
        <v>18854</v>
      </c>
      <c r="D5523" s="2">
        <v>36</v>
      </c>
      <c r="E5523" s="2">
        <v>36</v>
      </c>
      <c r="F5523" s="2" t="s">
        <v>18855</v>
      </c>
      <c r="H5523" s="2" t="s">
        <v>17</v>
      </c>
      <c r="L5523" s="4">
        <v>22543</v>
      </c>
    </row>
    <row r="5524" spans="1:14">
      <c r="A5524" s="2">
        <v>5523</v>
      </c>
      <c r="B5524" s="3" t="s">
        <v>18856</v>
      </c>
      <c r="C5524" s="2" t="s">
        <v>18857</v>
      </c>
      <c r="D5524" s="2">
        <v>36</v>
      </c>
      <c r="E5524" s="2">
        <v>36</v>
      </c>
      <c r="F5524" s="2" t="s">
        <v>18858</v>
      </c>
      <c r="H5524" s="2" t="s">
        <v>17</v>
      </c>
      <c r="K5524" s="4" t="s">
        <v>18859</v>
      </c>
      <c r="L5524" s="4">
        <v>21128</v>
      </c>
      <c r="M5524" s="2" t="s">
        <v>35</v>
      </c>
      <c r="N5524" s="2" t="s">
        <v>10655</v>
      </c>
    </row>
    <row r="5525" spans="1:14">
      <c r="A5525" s="2">
        <v>5524</v>
      </c>
      <c r="B5525" s="3" t="s">
        <v>18860</v>
      </c>
      <c r="C5525" s="2" t="s">
        <v>18861</v>
      </c>
      <c r="D5525" s="2">
        <v>36</v>
      </c>
      <c r="E5525" s="2">
        <v>36</v>
      </c>
      <c r="F5525" s="2" t="s">
        <v>18862</v>
      </c>
      <c r="H5525" s="2" t="s">
        <v>17</v>
      </c>
    </row>
    <row r="5526" spans="1:14">
      <c r="A5526" s="2">
        <v>5525</v>
      </c>
      <c r="B5526" s="3" t="s">
        <v>18863</v>
      </c>
      <c r="C5526" s="2" t="s">
        <v>18864</v>
      </c>
      <c r="D5526" s="2">
        <v>36</v>
      </c>
      <c r="E5526" s="2">
        <v>36</v>
      </c>
      <c r="F5526" s="2" t="s">
        <v>18865</v>
      </c>
      <c r="H5526" s="2" t="s">
        <v>17</v>
      </c>
      <c r="K5526" s="4" t="s">
        <v>18866</v>
      </c>
      <c r="L5526" s="4">
        <v>21186</v>
      </c>
      <c r="M5526" s="2" t="s">
        <v>170</v>
      </c>
      <c r="N5526" s="2" t="s">
        <v>323</v>
      </c>
    </row>
    <row r="5527" spans="1:14">
      <c r="A5527" s="2">
        <v>5526</v>
      </c>
      <c r="B5527" s="3" t="s">
        <v>18867</v>
      </c>
      <c r="C5527" s="2" t="s">
        <v>18868</v>
      </c>
      <c r="D5527" s="2">
        <v>36</v>
      </c>
      <c r="E5527" s="2">
        <v>36</v>
      </c>
      <c r="F5527" s="2" t="s">
        <v>18869</v>
      </c>
      <c r="H5527" s="2" t="s">
        <v>17</v>
      </c>
      <c r="K5527" s="4" t="s">
        <v>18870</v>
      </c>
      <c r="L5527" s="4">
        <v>18190</v>
      </c>
      <c r="M5527" s="2" t="s">
        <v>170</v>
      </c>
      <c r="N5527" s="2" t="s">
        <v>171</v>
      </c>
    </row>
    <row r="5528" spans="1:14">
      <c r="A5528" s="2">
        <v>5527</v>
      </c>
      <c r="B5528" s="3" t="s">
        <v>18871</v>
      </c>
      <c r="C5528" s="2" t="s">
        <v>18872</v>
      </c>
      <c r="D5528" s="2">
        <v>36</v>
      </c>
      <c r="E5528" s="2">
        <v>36</v>
      </c>
      <c r="F5528" s="2" t="s">
        <v>18873</v>
      </c>
      <c r="H5528" s="2" t="s">
        <v>17</v>
      </c>
      <c r="K5528" s="4" t="s">
        <v>18874</v>
      </c>
      <c r="L5528" s="4">
        <v>32290</v>
      </c>
      <c r="M5528" s="2" t="s">
        <v>47</v>
      </c>
      <c r="N5528" s="2" t="s">
        <v>48</v>
      </c>
    </row>
    <row r="5529" spans="1:14">
      <c r="A5529" s="2">
        <v>5528</v>
      </c>
      <c r="B5529" s="3" t="s">
        <v>18875</v>
      </c>
      <c r="C5529" s="2" t="s">
        <v>18876</v>
      </c>
      <c r="D5529" s="2">
        <v>24</v>
      </c>
      <c r="E5529" s="2">
        <v>36</v>
      </c>
      <c r="F5529" s="2" t="s">
        <v>18877</v>
      </c>
      <c r="H5529" s="2" t="s">
        <v>17</v>
      </c>
      <c r="K5529" s="4" t="s">
        <v>18878</v>
      </c>
      <c r="L5529" s="4">
        <v>12530</v>
      </c>
      <c r="M5529" s="2" t="s">
        <v>170</v>
      </c>
      <c r="N5529" s="2" t="s">
        <v>323</v>
      </c>
    </row>
    <row r="5530" spans="1:14">
      <c r="A5530" s="2">
        <v>5529</v>
      </c>
      <c r="B5530" s="3" t="s">
        <v>18879</v>
      </c>
      <c r="C5530" s="2" t="s">
        <v>18880</v>
      </c>
      <c r="D5530" s="2">
        <v>36</v>
      </c>
      <c r="E5530" s="2">
        <v>36</v>
      </c>
      <c r="F5530" s="2" t="s">
        <v>18881</v>
      </c>
      <c r="H5530" s="2" t="s">
        <v>17</v>
      </c>
      <c r="K5530" s="4" t="s">
        <v>18882</v>
      </c>
      <c r="L5530" s="4">
        <v>25277</v>
      </c>
      <c r="M5530" s="2" t="s">
        <v>40</v>
      </c>
      <c r="N5530" s="2" t="s">
        <v>1528</v>
      </c>
    </row>
    <row r="5531" spans="1:14">
      <c r="A5531" s="2">
        <v>5530</v>
      </c>
      <c r="B5531" s="3" t="s">
        <v>18883</v>
      </c>
      <c r="C5531" s="2" t="s">
        <v>18884</v>
      </c>
      <c r="D5531" s="2">
        <v>36</v>
      </c>
      <c r="E5531" s="2">
        <v>36</v>
      </c>
      <c r="F5531" s="2" t="s">
        <v>18885</v>
      </c>
      <c r="H5531" s="2" t="s">
        <v>17</v>
      </c>
      <c r="K5531" s="4" t="s">
        <v>18886</v>
      </c>
      <c r="L5531" s="4">
        <v>19688</v>
      </c>
      <c r="M5531" s="2" t="s">
        <v>47</v>
      </c>
      <c r="N5531" s="2" t="s">
        <v>18887</v>
      </c>
    </row>
    <row r="5532" spans="1:14">
      <c r="A5532" s="2">
        <v>5531</v>
      </c>
      <c r="B5532" s="3" t="s">
        <v>18888</v>
      </c>
      <c r="C5532" s="2" t="s">
        <v>18889</v>
      </c>
      <c r="D5532" s="2">
        <v>36</v>
      </c>
      <c r="E5532" s="2">
        <v>36</v>
      </c>
      <c r="F5532" s="2" t="s">
        <v>18890</v>
      </c>
      <c r="H5532" s="2" t="s">
        <v>17</v>
      </c>
      <c r="K5532" s="4">
        <v>3270</v>
      </c>
      <c r="L5532" s="4">
        <v>34975</v>
      </c>
      <c r="M5532" s="2" t="s">
        <v>47</v>
      </c>
      <c r="N5532" s="2" t="s">
        <v>1656</v>
      </c>
    </row>
    <row r="5533" spans="1:14">
      <c r="A5533" s="2">
        <v>5532</v>
      </c>
      <c r="B5533" s="3" t="s">
        <v>18891</v>
      </c>
      <c r="C5533" s="2" t="s">
        <v>16128</v>
      </c>
      <c r="D5533" s="2">
        <v>36</v>
      </c>
      <c r="E5533" s="2">
        <v>36</v>
      </c>
      <c r="F5533" s="2" t="s">
        <v>18892</v>
      </c>
      <c r="H5533" s="2" t="s">
        <v>17</v>
      </c>
      <c r="K5533" s="4" t="s">
        <v>18893</v>
      </c>
      <c r="L5533" s="4">
        <v>16279</v>
      </c>
      <c r="M5533" s="2" t="s">
        <v>85</v>
      </c>
      <c r="N5533" s="2" t="s">
        <v>9578</v>
      </c>
    </row>
    <row r="5534" spans="1:14">
      <c r="A5534" s="2">
        <v>5533</v>
      </c>
      <c r="B5534" s="3" t="s">
        <v>18894</v>
      </c>
      <c r="C5534" s="2" t="s">
        <v>18895</v>
      </c>
      <c r="D5534" s="2">
        <v>31</v>
      </c>
      <c r="E5534" s="2">
        <v>36</v>
      </c>
      <c r="F5534" s="2" t="s">
        <v>18896</v>
      </c>
      <c r="H5534" s="2" t="s">
        <v>17</v>
      </c>
      <c r="K5534" s="4" t="s">
        <v>18897</v>
      </c>
      <c r="L5534" s="4">
        <v>19723</v>
      </c>
      <c r="M5534" s="2" t="s">
        <v>35</v>
      </c>
    </row>
    <row r="5535" spans="1:14">
      <c r="A5535" s="2">
        <v>5534</v>
      </c>
      <c r="B5535" s="3" t="s">
        <v>18898</v>
      </c>
      <c r="C5535" s="2" t="s">
        <v>18899</v>
      </c>
      <c r="D5535" s="2">
        <v>26</v>
      </c>
      <c r="E5535" s="2">
        <v>36</v>
      </c>
      <c r="F5535" s="2" t="s">
        <v>18900</v>
      </c>
      <c r="H5535" s="2" t="s">
        <v>17</v>
      </c>
      <c r="K5535" s="4" t="s">
        <v>18901</v>
      </c>
      <c r="L5535" s="4">
        <v>16936</v>
      </c>
      <c r="M5535" s="2" t="s">
        <v>35</v>
      </c>
      <c r="N5535" s="2" t="s">
        <v>14804</v>
      </c>
    </row>
    <row r="5536" spans="1:14">
      <c r="A5536" s="2">
        <v>5535</v>
      </c>
      <c r="B5536" s="3" t="s">
        <v>18902</v>
      </c>
      <c r="C5536" s="2" t="s">
        <v>18903</v>
      </c>
      <c r="D5536" s="2">
        <v>36</v>
      </c>
      <c r="E5536" s="2">
        <v>36</v>
      </c>
      <c r="F5536" s="2" t="s">
        <v>18904</v>
      </c>
      <c r="H5536" s="2" t="s">
        <v>17</v>
      </c>
      <c r="K5536" s="4" t="s">
        <v>18905</v>
      </c>
      <c r="L5536" s="4">
        <v>21607</v>
      </c>
      <c r="M5536" s="2" t="s">
        <v>170</v>
      </c>
      <c r="N5536" s="2" t="s">
        <v>323</v>
      </c>
    </row>
    <row r="5537" spans="1:14">
      <c r="A5537" s="2">
        <v>5536</v>
      </c>
      <c r="B5537" s="3" t="s">
        <v>18906</v>
      </c>
      <c r="C5537" s="2" t="s">
        <v>18907</v>
      </c>
      <c r="D5537" s="2">
        <v>36</v>
      </c>
      <c r="E5537" s="2">
        <v>36</v>
      </c>
      <c r="F5537" s="2" t="s">
        <v>18908</v>
      </c>
      <c r="H5537" s="2" t="s">
        <v>17</v>
      </c>
      <c r="K5537" s="4" t="s">
        <v>18909</v>
      </c>
      <c r="L5537" s="4">
        <v>18848</v>
      </c>
      <c r="M5537" s="2" t="s">
        <v>47</v>
      </c>
      <c r="N5537" s="2" t="s">
        <v>4050</v>
      </c>
    </row>
    <row r="5538" spans="1:14">
      <c r="A5538" s="2">
        <v>5537</v>
      </c>
      <c r="B5538" s="3" t="s">
        <v>18910</v>
      </c>
      <c r="C5538" s="2" t="s">
        <v>18911</v>
      </c>
      <c r="D5538" s="2">
        <v>24</v>
      </c>
      <c r="E5538" s="2">
        <v>36</v>
      </c>
      <c r="F5538" s="2" t="s">
        <v>18912</v>
      </c>
      <c r="H5538" s="2" t="s">
        <v>17</v>
      </c>
      <c r="K5538" s="4" t="s">
        <v>18913</v>
      </c>
      <c r="L5538" s="4">
        <v>13925</v>
      </c>
      <c r="M5538" s="2" t="s">
        <v>91</v>
      </c>
      <c r="N5538" s="2" t="s">
        <v>3224</v>
      </c>
    </row>
    <row r="5539" spans="1:14">
      <c r="A5539" s="2">
        <v>5538</v>
      </c>
      <c r="B5539" s="3" t="s">
        <v>18914</v>
      </c>
      <c r="C5539" s="2" t="s">
        <v>18915</v>
      </c>
      <c r="D5539" s="2">
        <v>36</v>
      </c>
      <c r="E5539" s="2">
        <v>36</v>
      </c>
      <c r="F5539" s="2" t="s">
        <v>18916</v>
      </c>
      <c r="H5539" s="2" t="s">
        <v>17</v>
      </c>
      <c r="K5539" s="4" t="s">
        <v>18917</v>
      </c>
      <c r="L5539" s="4">
        <v>26209</v>
      </c>
      <c r="M5539" s="2" t="s">
        <v>185</v>
      </c>
      <c r="N5539" s="2" t="s">
        <v>16052</v>
      </c>
    </row>
    <row r="5540" spans="1:14">
      <c r="A5540" s="2">
        <v>5539</v>
      </c>
      <c r="B5540" s="3" t="s">
        <v>18918</v>
      </c>
      <c r="C5540" s="2" t="s">
        <v>18919</v>
      </c>
      <c r="D5540" s="2">
        <v>36</v>
      </c>
      <c r="E5540" s="2">
        <v>36</v>
      </c>
      <c r="F5540" s="2" t="s">
        <v>18920</v>
      </c>
      <c r="H5540" s="2" t="s">
        <v>17</v>
      </c>
      <c r="K5540" s="4" t="s">
        <v>18921</v>
      </c>
      <c r="M5540" s="2" t="s">
        <v>40</v>
      </c>
      <c r="N5540" s="2" t="s">
        <v>18922</v>
      </c>
    </row>
    <row r="5541" spans="1:14">
      <c r="A5541" s="2">
        <v>5540</v>
      </c>
      <c r="B5541" s="3" t="s">
        <v>18923</v>
      </c>
      <c r="C5541" s="2" t="s">
        <v>17507</v>
      </c>
      <c r="D5541" s="2">
        <v>31</v>
      </c>
      <c r="E5541" s="2">
        <v>36</v>
      </c>
      <c r="F5541" s="2" t="s">
        <v>18924</v>
      </c>
      <c r="H5541" s="2" t="s">
        <v>17</v>
      </c>
      <c r="K5541" s="4" t="s">
        <v>18925</v>
      </c>
      <c r="L5541" s="4">
        <v>15170</v>
      </c>
      <c r="M5541" s="2" t="s">
        <v>47</v>
      </c>
      <c r="N5541" s="2" t="s">
        <v>442</v>
      </c>
    </row>
    <row r="5542" spans="1:14">
      <c r="A5542" s="2">
        <v>5541</v>
      </c>
      <c r="B5542" s="3" t="s">
        <v>18926</v>
      </c>
      <c r="C5542" s="2" t="s">
        <v>18927</v>
      </c>
      <c r="D5542" s="2">
        <v>36</v>
      </c>
      <c r="E5542" s="2">
        <v>36</v>
      </c>
      <c r="F5542" s="2" t="s">
        <v>18928</v>
      </c>
      <c r="H5542" s="2" t="s">
        <v>17</v>
      </c>
      <c r="K5542" s="4" t="s">
        <v>18929</v>
      </c>
      <c r="M5542" s="2" t="s">
        <v>35</v>
      </c>
      <c r="N5542" s="2" t="s">
        <v>6014</v>
      </c>
    </row>
    <row r="5543" spans="1:14">
      <c r="A5543" s="2">
        <v>5542</v>
      </c>
      <c r="B5543" s="3" t="s">
        <v>18930</v>
      </c>
      <c r="C5543" s="2" t="s">
        <v>18931</v>
      </c>
      <c r="D5543" s="2">
        <v>36</v>
      </c>
      <c r="E5543" s="2">
        <v>36</v>
      </c>
      <c r="F5543" s="2" t="s">
        <v>18932</v>
      </c>
      <c r="H5543" s="2" t="s">
        <v>17</v>
      </c>
      <c r="K5543" s="4" t="s">
        <v>18933</v>
      </c>
      <c r="L5543" s="4">
        <v>15264</v>
      </c>
      <c r="M5543" s="2" t="s">
        <v>66</v>
      </c>
      <c r="N5543" s="2" t="s">
        <v>3640</v>
      </c>
    </row>
    <row r="5544" spans="1:14">
      <c r="A5544" s="2">
        <v>5543</v>
      </c>
      <c r="B5544" s="3" t="s">
        <v>18934</v>
      </c>
      <c r="C5544" s="2" t="s">
        <v>18935</v>
      </c>
      <c r="D5544" s="2">
        <v>33</v>
      </c>
      <c r="E5544" s="2">
        <v>36</v>
      </c>
      <c r="F5544" s="2" t="s">
        <v>18936</v>
      </c>
      <c r="H5544" s="2" t="s">
        <v>17</v>
      </c>
      <c r="K5544" s="4" t="s">
        <v>18937</v>
      </c>
      <c r="L5544" s="4">
        <v>23090</v>
      </c>
      <c r="M5544" s="2" t="s">
        <v>198</v>
      </c>
      <c r="N5544" s="2" t="s">
        <v>3823</v>
      </c>
    </row>
    <row r="5545" spans="1:14">
      <c r="A5545" s="2">
        <v>5544</v>
      </c>
      <c r="B5545" s="3" t="s">
        <v>18938</v>
      </c>
      <c r="C5545" s="2" t="s">
        <v>18939</v>
      </c>
      <c r="D5545" s="2">
        <v>35</v>
      </c>
      <c r="E5545" s="2">
        <v>36</v>
      </c>
      <c r="F5545" s="2" t="s">
        <v>18940</v>
      </c>
      <c r="H5545" s="2" t="s">
        <v>17</v>
      </c>
      <c r="K5545" s="4" t="s">
        <v>18941</v>
      </c>
      <c r="L5545" s="4">
        <v>13685</v>
      </c>
      <c r="M5545" s="2" t="s">
        <v>198</v>
      </c>
      <c r="N5545" s="2" t="s">
        <v>1040</v>
      </c>
    </row>
    <row r="5546" spans="1:14">
      <c r="A5546" s="2">
        <v>5545</v>
      </c>
      <c r="B5546" s="3" t="s">
        <v>18942</v>
      </c>
      <c r="C5546" s="2" t="s">
        <v>18943</v>
      </c>
      <c r="D5546" s="2">
        <v>36</v>
      </c>
      <c r="E5546" s="2">
        <v>36</v>
      </c>
      <c r="F5546" s="2" t="s">
        <v>18944</v>
      </c>
      <c r="H5546" s="2" t="s">
        <v>17</v>
      </c>
      <c r="K5546" s="4" t="s">
        <v>18945</v>
      </c>
      <c r="L5546" s="4">
        <v>17963</v>
      </c>
      <c r="M5546" s="2" t="s">
        <v>170</v>
      </c>
      <c r="N5546" s="2" t="s">
        <v>7249</v>
      </c>
    </row>
    <row r="5547" spans="1:14">
      <c r="A5547" s="2">
        <v>5546</v>
      </c>
      <c r="B5547" s="3" t="s">
        <v>18946</v>
      </c>
      <c r="C5547" s="2" t="s">
        <v>18947</v>
      </c>
      <c r="D5547" s="2">
        <v>36</v>
      </c>
      <c r="E5547" s="2">
        <v>36</v>
      </c>
      <c r="F5547" s="2" t="s">
        <v>18948</v>
      </c>
      <c r="H5547" s="2" t="s">
        <v>17</v>
      </c>
      <c r="K5547" s="4" t="s">
        <v>18949</v>
      </c>
      <c r="L5547" s="4">
        <v>27056</v>
      </c>
      <c r="M5547" s="2" t="s">
        <v>198</v>
      </c>
      <c r="N5547" s="2" t="s">
        <v>199</v>
      </c>
    </row>
    <row r="5548" spans="1:14">
      <c r="A5548" s="2">
        <v>5547</v>
      </c>
      <c r="B5548" s="3" t="s">
        <v>18950</v>
      </c>
      <c r="C5548" s="2" t="s">
        <v>18951</v>
      </c>
      <c r="D5548" s="2">
        <v>36</v>
      </c>
      <c r="E5548" s="2">
        <v>36</v>
      </c>
      <c r="F5548" s="2" t="s">
        <v>18952</v>
      </c>
      <c r="H5548" s="2" t="s">
        <v>17</v>
      </c>
      <c r="K5548" s="4" t="s">
        <v>18953</v>
      </c>
      <c r="L5548" s="4">
        <v>20910</v>
      </c>
      <c r="M5548" s="2" t="s">
        <v>47</v>
      </c>
      <c r="N5548" s="2" t="s">
        <v>7150</v>
      </c>
    </row>
    <row r="5549" spans="1:14">
      <c r="A5549" s="2">
        <v>5548</v>
      </c>
      <c r="B5549" s="3" t="s">
        <v>18954</v>
      </c>
      <c r="C5549" s="2" t="s">
        <v>18955</v>
      </c>
      <c r="D5549" s="2">
        <v>30</v>
      </c>
      <c r="E5549" s="2">
        <v>36</v>
      </c>
      <c r="F5549" s="2" t="s">
        <v>18956</v>
      </c>
      <c r="H5549" s="2" t="s">
        <v>17</v>
      </c>
      <c r="K5549" s="4" t="s">
        <v>18957</v>
      </c>
      <c r="L5549" s="4">
        <v>16085</v>
      </c>
      <c r="M5549" s="2" t="s">
        <v>35</v>
      </c>
      <c r="N5549" s="2" t="s">
        <v>6651</v>
      </c>
    </row>
    <row r="5550" spans="1:14">
      <c r="A5550" s="2">
        <v>5549</v>
      </c>
      <c r="B5550" s="3" t="s">
        <v>18958</v>
      </c>
      <c r="C5550" s="2" t="s">
        <v>18959</v>
      </c>
      <c r="D5550" s="2">
        <v>36</v>
      </c>
      <c r="E5550" s="2">
        <v>36</v>
      </c>
      <c r="F5550" s="2" t="s">
        <v>18960</v>
      </c>
      <c r="H5550" s="2" t="s">
        <v>17</v>
      </c>
      <c r="K5550" s="4">
        <v>665</v>
      </c>
      <c r="M5550" s="2" t="s">
        <v>76</v>
      </c>
      <c r="N5550" s="2" t="s">
        <v>9787</v>
      </c>
    </row>
    <row r="5551" spans="1:14">
      <c r="A5551" s="2">
        <v>5550</v>
      </c>
      <c r="B5551" s="3" t="s">
        <v>18961</v>
      </c>
      <c r="C5551" s="2" t="s">
        <v>18962</v>
      </c>
      <c r="D5551" s="2">
        <v>36</v>
      </c>
      <c r="E5551" s="2">
        <v>36</v>
      </c>
      <c r="F5551" s="2" t="s">
        <v>18963</v>
      </c>
      <c r="H5551" s="2" t="s">
        <v>17</v>
      </c>
      <c r="K5551" s="4" t="s">
        <v>18181</v>
      </c>
      <c r="L5551" s="4">
        <v>22296</v>
      </c>
      <c r="M5551" s="2" t="s">
        <v>164</v>
      </c>
      <c r="N5551" s="2" t="s">
        <v>165</v>
      </c>
    </row>
    <row r="5552" spans="1:14">
      <c r="A5552" s="2">
        <v>5551</v>
      </c>
      <c r="B5552" s="3" t="s">
        <v>18964</v>
      </c>
      <c r="C5552" s="2" t="s">
        <v>18965</v>
      </c>
      <c r="D5552" s="2">
        <v>36</v>
      </c>
      <c r="E5552" s="2">
        <v>36</v>
      </c>
      <c r="F5552" s="2" t="s">
        <v>18966</v>
      </c>
      <c r="H5552" s="2" t="s">
        <v>17</v>
      </c>
      <c r="K5552" s="4" t="s">
        <v>18967</v>
      </c>
      <c r="L5552" s="4">
        <v>21670</v>
      </c>
    </row>
    <row r="5553" spans="1:14">
      <c r="A5553" s="2">
        <v>5552</v>
      </c>
      <c r="B5553" s="3" t="s">
        <v>18968</v>
      </c>
      <c r="C5553" s="2" t="s">
        <v>18969</v>
      </c>
      <c r="D5553" s="2">
        <v>36</v>
      </c>
      <c r="E5553" s="2">
        <v>36</v>
      </c>
      <c r="F5553" s="2" t="s">
        <v>18970</v>
      </c>
      <c r="H5553" s="2" t="s">
        <v>17</v>
      </c>
      <c r="K5553" s="4" t="s">
        <v>18971</v>
      </c>
      <c r="L5553" s="4">
        <v>20541</v>
      </c>
      <c r="M5553" s="2" t="s">
        <v>969</v>
      </c>
    </row>
    <row r="5554" spans="1:14">
      <c r="A5554" s="2">
        <v>5553</v>
      </c>
      <c r="B5554" s="3" t="s">
        <v>18972</v>
      </c>
      <c r="C5554" s="2" t="s">
        <v>18973</v>
      </c>
      <c r="D5554" s="2">
        <v>36</v>
      </c>
      <c r="E5554" s="2">
        <v>36</v>
      </c>
      <c r="F5554" s="2" t="s">
        <v>18974</v>
      </c>
      <c r="H5554" s="2" t="s">
        <v>17</v>
      </c>
      <c r="K5554" s="4" t="s">
        <v>18975</v>
      </c>
      <c r="M5554" s="2" t="s">
        <v>154</v>
      </c>
      <c r="N5554" s="2" t="s">
        <v>208</v>
      </c>
    </row>
    <row r="5555" spans="1:14">
      <c r="A5555" s="2">
        <v>5554</v>
      </c>
      <c r="B5555" s="3" t="s">
        <v>18976</v>
      </c>
      <c r="C5555" s="2" t="s">
        <v>18977</v>
      </c>
      <c r="D5555" s="2">
        <v>36</v>
      </c>
      <c r="E5555" s="2">
        <v>36</v>
      </c>
      <c r="F5555" s="2" t="s">
        <v>18978</v>
      </c>
      <c r="H5555" s="2" t="s">
        <v>17</v>
      </c>
      <c r="K5555" s="4" t="s">
        <v>18979</v>
      </c>
      <c r="M5555" s="2" t="s">
        <v>35</v>
      </c>
      <c r="N5555" s="2" t="s">
        <v>11552</v>
      </c>
    </row>
    <row r="5556" spans="1:14">
      <c r="A5556" s="2">
        <v>5555</v>
      </c>
      <c r="B5556" s="3" t="s">
        <v>18980</v>
      </c>
      <c r="C5556" s="2" t="s">
        <v>18981</v>
      </c>
      <c r="D5556" s="2">
        <v>36</v>
      </c>
      <c r="E5556" s="2">
        <v>36</v>
      </c>
      <c r="F5556" s="2" t="s">
        <v>18982</v>
      </c>
      <c r="H5556" s="2" t="s">
        <v>17</v>
      </c>
      <c r="K5556" s="4" t="s">
        <v>18983</v>
      </c>
      <c r="M5556" s="2" t="s">
        <v>40</v>
      </c>
      <c r="N5556" s="2" t="s">
        <v>10240</v>
      </c>
    </row>
    <row r="5557" spans="1:14">
      <c r="A5557" s="2">
        <v>5556</v>
      </c>
      <c r="B5557" s="3" t="s">
        <v>18984</v>
      </c>
      <c r="C5557" s="2" t="s">
        <v>18985</v>
      </c>
      <c r="D5557" s="2">
        <v>28</v>
      </c>
      <c r="E5557" s="2">
        <v>35</v>
      </c>
      <c r="F5557" s="2" t="s">
        <v>18986</v>
      </c>
      <c r="H5557" s="2" t="s">
        <v>17</v>
      </c>
      <c r="K5557" s="4" t="s">
        <v>18987</v>
      </c>
      <c r="L5557" s="4">
        <v>13251</v>
      </c>
      <c r="M5557" s="2" t="s">
        <v>164</v>
      </c>
      <c r="N5557" s="2" t="s">
        <v>165</v>
      </c>
    </row>
    <row r="5558" spans="1:14">
      <c r="A5558" s="2">
        <v>5557</v>
      </c>
      <c r="B5558" s="3" t="s">
        <v>18988</v>
      </c>
      <c r="C5558" s="2" t="s">
        <v>18989</v>
      </c>
      <c r="D5558" s="2">
        <v>34</v>
      </c>
      <c r="E5558" s="2">
        <v>35</v>
      </c>
      <c r="F5558" s="2" t="s">
        <v>18990</v>
      </c>
      <c r="H5558" s="2" t="s">
        <v>17</v>
      </c>
      <c r="K5558" s="4" t="s">
        <v>18991</v>
      </c>
      <c r="L5558" s="4">
        <v>21151</v>
      </c>
      <c r="M5558" s="2" t="s">
        <v>192</v>
      </c>
      <c r="N5558" s="2" t="s">
        <v>11468</v>
      </c>
    </row>
    <row r="5559" spans="1:14">
      <c r="A5559" s="2">
        <v>5558</v>
      </c>
      <c r="B5559" s="3" t="s">
        <v>18992</v>
      </c>
      <c r="C5559" s="2" t="s">
        <v>18993</v>
      </c>
      <c r="D5559" s="2">
        <v>35</v>
      </c>
      <c r="E5559" s="2">
        <v>35</v>
      </c>
      <c r="F5559" s="2" t="s">
        <v>18994</v>
      </c>
      <c r="H5559" s="2" t="s">
        <v>17</v>
      </c>
    </row>
    <row r="5560" spans="1:14">
      <c r="A5560" s="2">
        <v>5559</v>
      </c>
      <c r="B5560" s="3" t="s">
        <v>18995</v>
      </c>
      <c r="C5560" s="2" t="s">
        <v>18996</v>
      </c>
      <c r="D5560" s="2">
        <v>35</v>
      </c>
      <c r="E5560" s="2">
        <v>35</v>
      </c>
      <c r="F5560" s="2" t="s">
        <v>18997</v>
      </c>
      <c r="H5560" s="2" t="s">
        <v>17</v>
      </c>
      <c r="L5560" s="4">
        <v>20014</v>
      </c>
    </row>
    <row r="5561" spans="1:14">
      <c r="A5561" s="2">
        <v>5560</v>
      </c>
      <c r="B5561" s="3" t="s">
        <v>18998</v>
      </c>
      <c r="C5561" s="2" t="s">
        <v>18999</v>
      </c>
      <c r="D5561" s="2">
        <v>34</v>
      </c>
      <c r="E5561" s="2">
        <v>35</v>
      </c>
      <c r="F5561" s="2" t="s">
        <v>19000</v>
      </c>
      <c r="H5561" s="2" t="s">
        <v>17</v>
      </c>
      <c r="K5561" s="4" t="s">
        <v>19001</v>
      </c>
      <c r="L5561" s="4">
        <v>14090</v>
      </c>
      <c r="M5561" s="2" t="s">
        <v>40</v>
      </c>
      <c r="N5561" s="2" t="s">
        <v>41</v>
      </c>
    </row>
    <row r="5562" spans="1:14">
      <c r="A5562" s="2">
        <v>5561</v>
      </c>
      <c r="B5562" s="3" t="s">
        <v>19002</v>
      </c>
      <c r="C5562" s="2" t="s">
        <v>19003</v>
      </c>
      <c r="D5562" s="2">
        <v>33</v>
      </c>
      <c r="E5562" s="2">
        <v>35</v>
      </c>
      <c r="F5562" s="2" t="s">
        <v>19004</v>
      </c>
      <c r="H5562" s="2" t="s">
        <v>17</v>
      </c>
      <c r="K5562" s="4" t="s">
        <v>19005</v>
      </c>
      <c r="L5562" s="4">
        <v>17179</v>
      </c>
      <c r="M5562" s="2" t="s">
        <v>40</v>
      </c>
      <c r="N5562" s="2" t="s">
        <v>11356</v>
      </c>
    </row>
    <row r="5563" spans="1:14">
      <c r="A5563" s="2">
        <v>5562</v>
      </c>
      <c r="B5563" s="3" t="s">
        <v>19006</v>
      </c>
      <c r="C5563" s="2" t="s">
        <v>19007</v>
      </c>
      <c r="D5563" s="2">
        <v>35</v>
      </c>
      <c r="E5563" s="2">
        <v>35</v>
      </c>
      <c r="F5563" s="2" t="s">
        <v>19008</v>
      </c>
      <c r="H5563" s="2" t="s">
        <v>17</v>
      </c>
      <c r="K5563" s="4" t="s">
        <v>19009</v>
      </c>
      <c r="L5563" s="4">
        <v>22322</v>
      </c>
      <c r="M5563" s="2" t="s">
        <v>35</v>
      </c>
      <c r="N5563" s="2" t="s">
        <v>19010</v>
      </c>
    </row>
    <row r="5564" spans="1:14">
      <c r="A5564" s="2">
        <v>5563</v>
      </c>
      <c r="B5564" s="3" t="s">
        <v>19011</v>
      </c>
      <c r="C5564" s="2" t="s">
        <v>19012</v>
      </c>
      <c r="D5564" s="2">
        <v>35</v>
      </c>
      <c r="E5564" s="2">
        <v>35</v>
      </c>
      <c r="F5564" s="2" t="s">
        <v>19013</v>
      </c>
      <c r="H5564" s="2" t="s">
        <v>17</v>
      </c>
      <c r="K5564" s="4" t="s">
        <v>19014</v>
      </c>
      <c r="L5564" s="4">
        <v>22785</v>
      </c>
      <c r="M5564" s="2" t="s">
        <v>35</v>
      </c>
      <c r="N5564" s="2" t="s">
        <v>18430</v>
      </c>
    </row>
    <row r="5565" spans="1:14">
      <c r="A5565" s="2">
        <v>5564</v>
      </c>
      <c r="B5565" s="3" t="s">
        <v>19015</v>
      </c>
      <c r="C5565" s="2" t="s">
        <v>19016</v>
      </c>
      <c r="D5565" s="2">
        <v>27</v>
      </c>
      <c r="E5565" s="2">
        <v>35</v>
      </c>
      <c r="F5565" s="2" t="s">
        <v>19017</v>
      </c>
      <c r="H5565" s="2" t="s">
        <v>17</v>
      </c>
      <c r="K5565" s="4" t="s">
        <v>19018</v>
      </c>
      <c r="L5565" s="4">
        <v>15465</v>
      </c>
      <c r="M5565" s="2" t="s">
        <v>185</v>
      </c>
      <c r="N5565" s="2" t="s">
        <v>838</v>
      </c>
    </row>
    <row r="5566" spans="1:14">
      <c r="A5566" s="2">
        <v>5565</v>
      </c>
      <c r="B5566" s="3" t="s">
        <v>19019</v>
      </c>
      <c r="C5566" s="2" t="s">
        <v>19020</v>
      </c>
      <c r="D5566" s="2">
        <v>29</v>
      </c>
      <c r="E5566" s="2">
        <v>35</v>
      </c>
      <c r="F5566" s="2" t="s">
        <v>19021</v>
      </c>
      <c r="H5566" s="2" t="s">
        <v>17</v>
      </c>
      <c r="K5566" s="4" t="s">
        <v>19022</v>
      </c>
      <c r="L5566" s="4">
        <v>20964</v>
      </c>
      <c r="M5566" s="2" t="s">
        <v>122</v>
      </c>
      <c r="N5566" s="2" t="s">
        <v>253</v>
      </c>
    </row>
    <row r="5567" spans="1:14">
      <c r="A5567" s="2">
        <v>5566</v>
      </c>
      <c r="B5567" s="3" t="s">
        <v>19023</v>
      </c>
      <c r="C5567" s="2" t="s">
        <v>19024</v>
      </c>
      <c r="D5567" s="2">
        <v>28</v>
      </c>
      <c r="E5567" s="2">
        <v>35</v>
      </c>
      <c r="F5567" s="2" t="s">
        <v>19025</v>
      </c>
      <c r="H5567" s="2" t="s">
        <v>17</v>
      </c>
      <c r="K5567" s="4" t="s">
        <v>19026</v>
      </c>
      <c r="L5567" s="4">
        <v>23639</v>
      </c>
      <c r="M5567" s="2" t="s">
        <v>35</v>
      </c>
      <c r="N5567" s="2" t="s">
        <v>2466</v>
      </c>
    </row>
    <row r="5568" spans="1:14">
      <c r="A5568" s="2">
        <v>5567</v>
      </c>
      <c r="B5568" s="3" t="s">
        <v>19027</v>
      </c>
      <c r="C5568" s="2" t="s">
        <v>19028</v>
      </c>
      <c r="D5568" s="2">
        <v>28</v>
      </c>
      <c r="E5568" s="2">
        <v>35</v>
      </c>
      <c r="F5568" s="2" t="s">
        <v>19029</v>
      </c>
      <c r="H5568" s="2" t="s">
        <v>17</v>
      </c>
      <c r="K5568" s="4" t="s">
        <v>19030</v>
      </c>
      <c r="L5568" s="4">
        <v>14405</v>
      </c>
    </row>
    <row r="5569" spans="1:14">
      <c r="A5569" s="2">
        <v>5568</v>
      </c>
      <c r="B5569" s="3" t="s">
        <v>19031</v>
      </c>
      <c r="C5569" s="2" t="s">
        <v>19032</v>
      </c>
      <c r="D5569" s="2">
        <v>23</v>
      </c>
      <c r="E5569" s="2">
        <v>35</v>
      </c>
      <c r="F5569" s="2" t="s">
        <v>19033</v>
      </c>
      <c r="H5569" s="2" t="s">
        <v>17</v>
      </c>
      <c r="K5569" s="4" t="s">
        <v>19034</v>
      </c>
      <c r="L5569" s="4">
        <v>12169</v>
      </c>
      <c r="M5569" s="2" t="s">
        <v>47</v>
      </c>
      <c r="N5569" s="2" t="s">
        <v>3765</v>
      </c>
    </row>
    <row r="5570" spans="1:14">
      <c r="A5570" s="2">
        <v>5569</v>
      </c>
      <c r="B5570" s="3" t="s">
        <v>19035</v>
      </c>
      <c r="C5570" s="2" t="s">
        <v>19036</v>
      </c>
      <c r="D5570" s="2">
        <v>30</v>
      </c>
      <c r="E5570" s="2">
        <v>35</v>
      </c>
      <c r="F5570" s="2" t="s">
        <v>19037</v>
      </c>
      <c r="H5570" s="2" t="s">
        <v>17</v>
      </c>
      <c r="K5570" s="4" t="s">
        <v>19038</v>
      </c>
      <c r="L5570" s="4">
        <v>19367</v>
      </c>
      <c r="M5570" s="2" t="s">
        <v>85</v>
      </c>
      <c r="N5570" s="2" t="s">
        <v>1360</v>
      </c>
    </row>
    <row r="5571" spans="1:14">
      <c r="A5571" s="2">
        <v>5570</v>
      </c>
      <c r="B5571" s="3" t="s">
        <v>19039</v>
      </c>
      <c r="C5571" s="2" t="s">
        <v>19040</v>
      </c>
      <c r="D5571" s="2">
        <v>34</v>
      </c>
      <c r="E5571" s="2">
        <v>35</v>
      </c>
      <c r="F5571" s="2" t="s">
        <v>19041</v>
      </c>
      <c r="H5571" s="2" t="s">
        <v>17</v>
      </c>
      <c r="K5571" s="4" t="s">
        <v>19042</v>
      </c>
      <c r="L5571" s="4">
        <v>21449</v>
      </c>
      <c r="M5571" s="2" t="s">
        <v>35</v>
      </c>
    </row>
    <row r="5572" spans="1:14">
      <c r="A5572" s="2">
        <v>5571</v>
      </c>
      <c r="B5572" s="3" t="s">
        <v>19043</v>
      </c>
      <c r="C5572" s="2" t="s">
        <v>19044</v>
      </c>
      <c r="D5572" s="2">
        <v>34</v>
      </c>
      <c r="E5572" s="2">
        <v>35</v>
      </c>
      <c r="F5572" s="2" t="s">
        <v>19045</v>
      </c>
      <c r="H5572" s="2" t="s">
        <v>17</v>
      </c>
    </row>
    <row r="5573" spans="1:14">
      <c r="A5573" s="2">
        <v>5572</v>
      </c>
      <c r="B5573" s="3" t="s">
        <v>19046</v>
      </c>
      <c r="C5573" s="2" t="s">
        <v>19047</v>
      </c>
      <c r="D5573" s="2">
        <v>34</v>
      </c>
      <c r="E5573" s="2">
        <v>35</v>
      </c>
      <c r="F5573" s="2" t="s">
        <v>19048</v>
      </c>
      <c r="H5573" s="2" t="s">
        <v>17</v>
      </c>
      <c r="K5573" s="4" t="s">
        <v>19049</v>
      </c>
      <c r="L5573" s="4">
        <v>20651</v>
      </c>
      <c r="M5573" s="2" t="s">
        <v>40</v>
      </c>
      <c r="N5573" s="2" t="s">
        <v>11356</v>
      </c>
    </row>
    <row r="5574" spans="1:14">
      <c r="A5574" s="2">
        <v>5573</v>
      </c>
      <c r="B5574" s="3" t="s">
        <v>19050</v>
      </c>
      <c r="C5574" s="2" t="s">
        <v>19051</v>
      </c>
      <c r="D5574" s="2">
        <v>33</v>
      </c>
      <c r="E5574" s="2">
        <v>35</v>
      </c>
      <c r="F5574" s="2" t="s">
        <v>19052</v>
      </c>
      <c r="H5574" s="2" t="s">
        <v>17</v>
      </c>
      <c r="K5574" s="4" t="s">
        <v>19053</v>
      </c>
      <c r="L5574" s="4">
        <v>13023</v>
      </c>
      <c r="M5574" s="2" t="s">
        <v>170</v>
      </c>
      <c r="N5574" s="2" t="s">
        <v>759</v>
      </c>
    </row>
    <row r="5575" spans="1:14">
      <c r="A5575" s="2">
        <v>5574</v>
      </c>
      <c r="B5575" s="3" t="s">
        <v>19054</v>
      </c>
      <c r="C5575" s="2" t="s">
        <v>19055</v>
      </c>
      <c r="D5575" s="2">
        <v>28</v>
      </c>
      <c r="E5575" s="2">
        <v>35</v>
      </c>
      <c r="F5575" s="2" t="s">
        <v>19056</v>
      </c>
      <c r="H5575" s="2" t="s">
        <v>17</v>
      </c>
      <c r="K5575" s="4" t="s">
        <v>19057</v>
      </c>
      <c r="L5575" s="4">
        <v>25863</v>
      </c>
      <c r="M5575" s="2" t="s">
        <v>91</v>
      </c>
      <c r="N5575" s="2" t="s">
        <v>984</v>
      </c>
    </row>
    <row r="5576" spans="1:14">
      <c r="A5576" s="2">
        <v>5575</v>
      </c>
      <c r="B5576" s="3" t="s">
        <v>19058</v>
      </c>
      <c r="C5576" s="2" t="s">
        <v>19059</v>
      </c>
      <c r="D5576" s="2">
        <v>28</v>
      </c>
      <c r="E5576" s="2">
        <v>35</v>
      </c>
      <c r="F5576" s="2" t="s">
        <v>19060</v>
      </c>
      <c r="H5576" s="2" t="s">
        <v>17</v>
      </c>
      <c r="K5576" s="4" t="s">
        <v>19061</v>
      </c>
      <c r="L5576" s="4">
        <v>11593</v>
      </c>
    </row>
    <row r="5577" spans="1:14">
      <c r="A5577" s="2">
        <v>5576</v>
      </c>
      <c r="B5577" s="3" t="s">
        <v>19062</v>
      </c>
      <c r="C5577" s="2" t="s">
        <v>19063</v>
      </c>
      <c r="D5577" s="2">
        <v>30</v>
      </c>
      <c r="E5577" s="2">
        <v>35</v>
      </c>
      <c r="F5577" s="2" t="s">
        <v>19064</v>
      </c>
      <c r="H5577" s="2" t="s">
        <v>17</v>
      </c>
      <c r="K5577" s="4" t="s">
        <v>19065</v>
      </c>
      <c r="L5577" s="4">
        <v>24412</v>
      </c>
      <c r="M5577" s="2" t="s">
        <v>66</v>
      </c>
      <c r="N5577" s="2" t="s">
        <v>3640</v>
      </c>
    </row>
    <row r="5578" spans="1:14">
      <c r="A5578" s="2">
        <v>5577</v>
      </c>
      <c r="B5578" s="3" t="s">
        <v>19066</v>
      </c>
      <c r="C5578" s="2" t="s">
        <v>19067</v>
      </c>
      <c r="D5578" s="2">
        <v>35</v>
      </c>
      <c r="E5578" s="2">
        <v>35</v>
      </c>
      <c r="F5578" s="2" t="s">
        <v>19068</v>
      </c>
      <c r="H5578" s="2" t="s">
        <v>17</v>
      </c>
      <c r="K5578" s="4" t="s">
        <v>17464</v>
      </c>
      <c r="L5578" s="4">
        <v>18372</v>
      </c>
      <c r="M5578" s="2" t="s">
        <v>66</v>
      </c>
      <c r="N5578" s="2" t="s">
        <v>131</v>
      </c>
    </row>
    <row r="5579" spans="1:14">
      <c r="A5579" s="2">
        <v>5578</v>
      </c>
      <c r="B5579" s="3" t="s">
        <v>19069</v>
      </c>
      <c r="C5579" s="2" t="s">
        <v>19070</v>
      </c>
      <c r="D5579" s="2">
        <v>23</v>
      </c>
      <c r="E5579" s="2">
        <v>35</v>
      </c>
      <c r="F5579" s="2" t="s">
        <v>19071</v>
      </c>
      <c r="H5579" s="2" t="s">
        <v>17</v>
      </c>
      <c r="K5579" s="4" t="s">
        <v>19072</v>
      </c>
      <c r="L5579" s="4">
        <v>14500</v>
      </c>
      <c r="M5579" s="2" t="s">
        <v>40</v>
      </c>
    </row>
    <row r="5580" spans="1:14">
      <c r="A5580" s="2">
        <v>5579</v>
      </c>
      <c r="B5580" s="3" t="s">
        <v>19073</v>
      </c>
      <c r="C5580" s="2" t="s">
        <v>19074</v>
      </c>
      <c r="D5580" s="2">
        <v>35</v>
      </c>
      <c r="E5580" s="2">
        <v>35</v>
      </c>
      <c r="F5580" s="2" t="s">
        <v>19075</v>
      </c>
      <c r="H5580" s="2" t="s">
        <v>17</v>
      </c>
      <c r="K5580" s="4" t="s">
        <v>19076</v>
      </c>
      <c r="L5580" s="4">
        <v>16599</v>
      </c>
      <c r="M5580" s="2" t="s">
        <v>164</v>
      </c>
      <c r="N5580" s="2" t="s">
        <v>11087</v>
      </c>
    </row>
    <row r="5581" spans="1:14">
      <c r="A5581" s="2">
        <v>5580</v>
      </c>
      <c r="B5581" s="3" t="s">
        <v>19077</v>
      </c>
      <c r="C5581" s="2" t="s">
        <v>19078</v>
      </c>
      <c r="D5581" s="2">
        <v>34</v>
      </c>
      <c r="E5581" s="2">
        <v>35</v>
      </c>
      <c r="F5581" s="2" t="s">
        <v>19079</v>
      </c>
      <c r="H5581" s="2" t="s">
        <v>17</v>
      </c>
      <c r="L5581" s="4">
        <v>25165</v>
      </c>
    </row>
    <row r="5582" spans="1:14">
      <c r="A5582" s="2">
        <v>5581</v>
      </c>
      <c r="B5582" s="3" t="s">
        <v>19080</v>
      </c>
      <c r="C5582" s="2" t="s">
        <v>19081</v>
      </c>
      <c r="D5582" s="2">
        <v>35</v>
      </c>
      <c r="E5582" s="2">
        <v>35</v>
      </c>
      <c r="F5582" s="2" t="s">
        <v>19082</v>
      </c>
      <c r="H5582" s="2" t="s">
        <v>17</v>
      </c>
      <c r="K5582" s="4" t="s">
        <v>19083</v>
      </c>
      <c r="L5582" s="4">
        <v>20793</v>
      </c>
      <c r="M5582" s="2" t="s">
        <v>47</v>
      </c>
      <c r="N5582" s="2" t="s">
        <v>48</v>
      </c>
    </row>
    <row r="5583" spans="1:14">
      <c r="A5583" s="2">
        <v>5582</v>
      </c>
      <c r="B5583" s="3" t="s">
        <v>19084</v>
      </c>
      <c r="C5583" s="2" t="s">
        <v>19085</v>
      </c>
      <c r="D5583" s="2">
        <v>34</v>
      </c>
      <c r="E5583" s="2">
        <v>35</v>
      </c>
      <c r="F5583" s="2" t="s">
        <v>19086</v>
      </c>
      <c r="H5583" s="2" t="s">
        <v>17</v>
      </c>
      <c r="K5583" s="4" t="s">
        <v>19087</v>
      </c>
      <c r="L5583" s="4">
        <v>19864</v>
      </c>
      <c r="M5583" s="2" t="s">
        <v>170</v>
      </c>
      <c r="N5583" s="2" t="s">
        <v>323</v>
      </c>
    </row>
    <row r="5584" spans="1:14">
      <c r="A5584" s="2">
        <v>5583</v>
      </c>
      <c r="B5584" s="3" t="s">
        <v>19088</v>
      </c>
      <c r="C5584" s="2" t="s">
        <v>19089</v>
      </c>
      <c r="D5584" s="2">
        <v>35</v>
      </c>
      <c r="E5584" s="2">
        <v>35</v>
      </c>
      <c r="F5584" s="2" t="s">
        <v>19090</v>
      </c>
      <c r="H5584" s="2" t="s">
        <v>17</v>
      </c>
      <c r="K5584" s="4" t="s">
        <v>19091</v>
      </c>
      <c r="L5584" s="4">
        <v>15211</v>
      </c>
      <c r="M5584" s="2" t="s">
        <v>198</v>
      </c>
    </row>
    <row r="5585" spans="1:14">
      <c r="A5585" s="2">
        <v>5584</v>
      </c>
      <c r="B5585" s="3" t="s">
        <v>19092</v>
      </c>
      <c r="C5585" s="2" t="s">
        <v>19093</v>
      </c>
      <c r="D5585" s="2">
        <v>35</v>
      </c>
      <c r="E5585" s="2">
        <v>35</v>
      </c>
      <c r="F5585" s="2" t="s">
        <v>19094</v>
      </c>
      <c r="H5585" s="2" t="s">
        <v>17</v>
      </c>
    </row>
    <row r="5586" spans="1:14">
      <c r="A5586" s="2">
        <v>5585</v>
      </c>
      <c r="B5586" s="3" t="s">
        <v>19095</v>
      </c>
      <c r="C5586" s="2" t="s">
        <v>19096</v>
      </c>
      <c r="D5586" s="2">
        <v>25</v>
      </c>
      <c r="E5586" s="2">
        <v>35</v>
      </c>
      <c r="F5586" s="2" t="s">
        <v>19097</v>
      </c>
      <c r="H5586" s="2" t="s">
        <v>17</v>
      </c>
      <c r="K5586" s="4" t="s">
        <v>19098</v>
      </c>
      <c r="L5586" s="4">
        <v>16441</v>
      </c>
      <c r="M5586" s="2" t="s">
        <v>185</v>
      </c>
    </row>
    <row r="5587" spans="1:14">
      <c r="A5587" s="2">
        <v>5586</v>
      </c>
      <c r="B5587" s="3" t="s">
        <v>19099</v>
      </c>
      <c r="C5587" s="2" t="s">
        <v>19100</v>
      </c>
      <c r="D5587" s="2">
        <v>33</v>
      </c>
      <c r="E5587" s="2">
        <v>35</v>
      </c>
      <c r="F5587" s="2" t="s">
        <v>19101</v>
      </c>
      <c r="H5587" s="2" t="s">
        <v>17</v>
      </c>
      <c r="K5587" s="4" t="s">
        <v>19102</v>
      </c>
      <c r="L5587" s="4">
        <v>14527</v>
      </c>
      <c r="M5587" s="2" t="s">
        <v>47</v>
      </c>
      <c r="N5587" s="2" t="s">
        <v>11282</v>
      </c>
    </row>
    <row r="5588" spans="1:14">
      <c r="A5588" s="2">
        <v>5587</v>
      </c>
      <c r="B5588" s="3" t="s">
        <v>19103</v>
      </c>
      <c r="C5588" s="2" t="s">
        <v>19104</v>
      </c>
      <c r="D5588" s="2">
        <v>30</v>
      </c>
      <c r="E5588" s="2">
        <v>35</v>
      </c>
      <c r="F5588" s="2" t="s">
        <v>9164</v>
      </c>
      <c r="H5588" s="2" t="s">
        <v>17</v>
      </c>
      <c r="K5588" s="4" t="s">
        <v>19105</v>
      </c>
      <c r="L5588" s="4">
        <v>12568</v>
      </c>
      <c r="M5588" s="2" t="s">
        <v>170</v>
      </c>
      <c r="N5588" s="2" t="s">
        <v>323</v>
      </c>
    </row>
    <row r="5589" spans="1:14">
      <c r="A5589" s="2">
        <v>5588</v>
      </c>
      <c r="B5589" s="3" t="s">
        <v>19106</v>
      </c>
      <c r="C5589" s="2" t="s">
        <v>19107</v>
      </c>
      <c r="D5589" s="2">
        <v>34</v>
      </c>
      <c r="E5589" s="2">
        <v>35</v>
      </c>
      <c r="F5589" s="2" t="s">
        <v>19108</v>
      </c>
      <c r="H5589" s="2" t="s">
        <v>17</v>
      </c>
      <c r="K5589" s="4" t="s">
        <v>19109</v>
      </c>
      <c r="L5589" s="4">
        <v>14324</v>
      </c>
      <c r="M5589" s="2" t="s">
        <v>40</v>
      </c>
      <c r="N5589" s="2" t="s">
        <v>41</v>
      </c>
    </row>
    <row r="5590" spans="1:14">
      <c r="A5590" s="2">
        <v>5589</v>
      </c>
      <c r="B5590" s="3" t="s">
        <v>19110</v>
      </c>
      <c r="C5590" s="2" t="s">
        <v>19111</v>
      </c>
      <c r="D5590" s="2">
        <v>31</v>
      </c>
      <c r="E5590" s="2">
        <v>35</v>
      </c>
      <c r="F5590" s="2" t="s">
        <v>19112</v>
      </c>
      <c r="H5590" s="2" t="s">
        <v>17</v>
      </c>
      <c r="K5590" s="4" t="s">
        <v>19113</v>
      </c>
      <c r="L5590" s="4">
        <v>22273</v>
      </c>
      <c r="M5590" s="2" t="s">
        <v>198</v>
      </c>
      <c r="N5590" s="2" t="s">
        <v>199</v>
      </c>
    </row>
    <row r="5591" spans="1:14">
      <c r="A5591" s="2">
        <v>5590</v>
      </c>
      <c r="B5591" s="3" t="s">
        <v>19114</v>
      </c>
      <c r="C5591" s="2" t="s">
        <v>19115</v>
      </c>
      <c r="D5591" s="2">
        <v>32</v>
      </c>
      <c r="E5591" s="2">
        <v>35</v>
      </c>
      <c r="F5591" s="2" t="s">
        <v>19116</v>
      </c>
      <c r="H5591" s="2" t="s">
        <v>17</v>
      </c>
      <c r="K5591" s="4" t="s">
        <v>19117</v>
      </c>
      <c r="L5591" s="4">
        <v>23170</v>
      </c>
      <c r="M5591" s="2" t="s">
        <v>170</v>
      </c>
      <c r="N5591" s="2" t="s">
        <v>323</v>
      </c>
    </row>
    <row r="5592" spans="1:14">
      <c r="A5592" s="2">
        <v>5591</v>
      </c>
      <c r="B5592" s="3" t="s">
        <v>19118</v>
      </c>
      <c r="C5592" s="2" t="s">
        <v>19119</v>
      </c>
      <c r="D5592" s="2">
        <v>30</v>
      </c>
      <c r="E5592" s="2">
        <v>35</v>
      </c>
      <c r="F5592" s="2" t="s">
        <v>19120</v>
      </c>
      <c r="H5592" s="2" t="s">
        <v>17</v>
      </c>
    </row>
    <row r="5593" spans="1:14">
      <c r="A5593" s="2">
        <v>5592</v>
      </c>
      <c r="B5593" s="3" t="s">
        <v>19121</v>
      </c>
      <c r="C5593" s="2" t="s">
        <v>19122</v>
      </c>
      <c r="D5593" s="2">
        <v>22</v>
      </c>
      <c r="E5593" s="2">
        <v>35</v>
      </c>
      <c r="F5593" s="2" t="s">
        <v>19123</v>
      </c>
      <c r="H5593" s="2" t="s">
        <v>17</v>
      </c>
      <c r="K5593" s="4" t="s">
        <v>19124</v>
      </c>
      <c r="L5593" s="4">
        <v>11332</v>
      </c>
      <c r="M5593" s="2" t="s">
        <v>198</v>
      </c>
      <c r="N5593" s="2" t="s">
        <v>199</v>
      </c>
    </row>
    <row r="5594" spans="1:14">
      <c r="A5594" s="2">
        <v>5593</v>
      </c>
      <c r="B5594" s="3" t="s">
        <v>19125</v>
      </c>
      <c r="C5594" s="2" t="s">
        <v>19126</v>
      </c>
      <c r="D5594" s="2">
        <v>34</v>
      </c>
      <c r="E5594" s="2">
        <v>35</v>
      </c>
      <c r="F5594" s="2" t="s">
        <v>19127</v>
      </c>
      <c r="H5594" s="2" t="s">
        <v>17</v>
      </c>
      <c r="K5594" s="4" t="s">
        <v>19128</v>
      </c>
      <c r="L5594" s="4">
        <v>17165</v>
      </c>
      <c r="M5594" s="2" t="s">
        <v>170</v>
      </c>
      <c r="N5594" s="2" t="s">
        <v>171</v>
      </c>
    </row>
    <row r="5595" spans="1:14">
      <c r="A5595" s="2">
        <v>5594</v>
      </c>
      <c r="B5595" s="3" t="s">
        <v>19129</v>
      </c>
      <c r="C5595" s="2" t="s">
        <v>19130</v>
      </c>
      <c r="D5595" s="2">
        <v>35</v>
      </c>
      <c r="E5595" s="2">
        <v>35</v>
      </c>
      <c r="F5595" s="2" t="s">
        <v>19131</v>
      </c>
      <c r="H5595" s="2" t="s">
        <v>17</v>
      </c>
      <c r="K5595" s="4">
        <v>110</v>
      </c>
      <c r="L5595" s="4">
        <v>23667</v>
      </c>
      <c r="M5595" s="2" t="s">
        <v>336</v>
      </c>
      <c r="N5595" s="2" t="s">
        <v>1883</v>
      </c>
    </row>
    <row r="5596" spans="1:14">
      <c r="A5596" s="2">
        <v>5595</v>
      </c>
      <c r="B5596" s="3" t="s">
        <v>19132</v>
      </c>
      <c r="C5596" s="2" t="s">
        <v>19133</v>
      </c>
      <c r="D5596" s="2">
        <v>33</v>
      </c>
      <c r="E5596" s="2">
        <v>35</v>
      </c>
      <c r="F5596" s="2" t="s">
        <v>19134</v>
      </c>
      <c r="H5596" s="2" t="s">
        <v>17</v>
      </c>
      <c r="K5596" s="4" t="s">
        <v>19135</v>
      </c>
      <c r="L5596" s="4">
        <v>12250</v>
      </c>
      <c r="M5596" s="2" t="s">
        <v>198</v>
      </c>
      <c r="N5596" s="2" t="s">
        <v>199</v>
      </c>
    </row>
    <row r="5597" spans="1:14">
      <c r="A5597" s="2">
        <v>5596</v>
      </c>
      <c r="B5597" s="3" t="s">
        <v>19136</v>
      </c>
      <c r="C5597" s="2" t="s">
        <v>19137</v>
      </c>
      <c r="D5597" s="2">
        <v>33</v>
      </c>
      <c r="E5597" s="2">
        <v>35</v>
      </c>
      <c r="F5597" s="2" t="s">
        <v>19138</v>
      </c>
      <c r="H5597" s="2" t="s">
        <v>17</v>
      </c>
      <c r="K5597" s="4" t="s">
        <v>19139</v>
      </c>
      <c r="L5597" s="4">
        <v>27875</v>
      </c>
      <c r="M5597" s="2" t="s">
        <v>170</v>
      </c>
      <c r="N5597" s="2" t="s">
        <v>385</v>
      </c>
    </row>
    <row r="5598" spans="1:14">
      <c r="A5598" s="2">
        <v>5597</v>
      </c>
      <c r="B5598" s="3" t="s">
        <v>19140</v>
      </c>
      <c r="C5598" s="2" t="s">
        <v>19141</v>
      </c>
      <c r="D5598" s="2">
        <v>33</v>
      </c>
      <c r="E5598" s="2">
        <v>35</v>
      </c>
      <c r="F5598" s="2" t="s">
        <v>19142</v>
      </c>
      <c r="H5598" s="2" t="s">
        <v>17</v>
      </c>
    </row>
    <row r="5599" spans="1:14">
      <c r="A5599" s="2">
        <v>5598</v>
      </c>
      <c r="B5599" s="3" t="s">
        <v>19143</v>
      </c>
      <c r="C5599" s="2" t="s">
        <v>19144</v>
      </c>
      <c r="D5599" s="2">
        <v>34</v>
      </c>
      <c r="E5599" s="2">
        <v>35</v>
      </c>
      <c r="F5599" s="2" t="s">
        <v>19145</v>
      </c>
      <c r="H5599" s="2" t="s">
        <v>17</v>
      </c>
    </row>
    <row r="5600" spans="1:14">
      <c r="A5600" s="2">
        <v>5599</v>
      </c>
      <c r="B5600" s="3" t="s">
        <v>19146</v>
      </c>
      <c r="C5600" s="2" t="s">
        <v>19147</v>
      </c>
      <c r="D5600" s="2">
        <v>26</v>
      </c>
      <c r="E5600" s="2">
        <v>35</v>
      </c>
      <c r="F5600" s="2" t="s">
        <v>19147</v>
      </c>
      <c r="H5600" s="2" t="s">
        <v>17</v>
      </c>
      <c r="K5600" s="4" t="s">
        <v>19148</v>
      </c>
      <c r="L5600" s="4">
        <v>14958</v>
      </c>
      <c r="M5600" s="2" t="s">
        <v>35</v>
      </c>
    </row>
    <row r="5601" spans="1:14">
      <c r="A5601" s="2">
        <v>5600</v>
      </c>
      <c r="B5601" s="3" t="s">
        <v>19149</v>
      </c>
      <c r="C5601" s="2" t="s">
        <v>12093</v>
      </c>
      <c r="D5601" s="2">
        <v>27</v>
      </c>
      <c r="E5601" s="2">
        <v>35</v>
      </c>
      <c r="F5601" s="2" t="s">
        <v>19150</v>
      </c>
      <c r="H5601" s="2" t="s">
        <v>17</v>
      </c>
      <c r="K5601" s="4" t="s">
        <v>19151</v>
      </c>
      <c r="L5601" s="4">
        <v>11601</v>
      </c>
      <c r="M5601" s="2" t="s">
        <v>47</v>
      </c>
      <c r="N5601" s="2" t="s">
        <v>1315</v>
      </c>
    </row>
    <row r="5602" spans="1:14">
      <c r="A5602" s="2">
        <v>5601</v>
      </c>
      <c r="B5602" s="3" t="s">
        <v>19152</v>
      </c>
      <c r="C5602" s="2" t="s">
        <v>19153</v>
      </c>
      <c r="D5602" s="2">
        <v>35</v>
      </c>
      <c r="E5602" s="2">
        <v>35</v>
      </c>
      <c r="F5602" s="2" t="s">
        <v>19154</v>
      </c>
      <c r="H5602" s="2" t="s">
        <v>17</v>
      </c>
      <c r="K5602" s="4" t="s">
        <v>19155</v>
      </c>
    </row>
    <row r="5603" spans="1:14">
      <c r="A5603" s="2">
        <v>5602</v>
      </c>
      <c r="B5603" s="3" t="s">
        <v>19156</v>
      </c>
      <c r="C5603" s="2" t="s">
        <v>19157</v>
      </c>
      <c r="D5603" s="2">
        <v>31</v>
      </c>
      <c r="E5603" s="2">
        <v>35</v>
      </c>
      <c r="F5603" s="2" t="s">
        <v>19158</v>
      </c>
      <c r="H5603" s="2" t="s">
        <v>17</v>
      </c>
      <c r="K5603" s="4" t="s">
        <v>19159</v>
      </c>
      <c r="L5603" s="4">
        <v>22096</v>
      </c>
    </row>
    <row r="5604" spans="1:14">
      <c r="A5604" s="2">
        <v>5603</v>
      </c>
      <c r="B5604" s="3" t="s">
        <v>19160</v>
      </c>
      <c r="C5604" s="2" t="s">
        <v>19161</v>
      </c>
      <c r="D5604" s="2">
        <v>34</v>
      </c>
      <c r="E5604" s="2">
        <v>35</v>
      </c>
      <c r="F5604" s="2" t="s">
        <v>19162</v>
      </c>
      <c r="H5604" s="2" t="s">
        <v>17</v>
      </c>
      <c r="K5604" s="4" t="s">
        <v>19163</v>
      </c>
      <c r="L5604" s="4">
        <v>20341</v>
      </c>
      <c r="M5604" s="2" t="s">
        <v>47</v>
      </c>
      <c r="N5604" s="2" t="s">
        <v>691</v>
      </c>
    </row>
    <row r="5605" spans="1:14">
      <c r="A5605" s="2">
        <v>5604</v>
      </c>
      <c r="B5605" s="3" t="s">
        <v>19164</v>
      </c>
      <c r="C5605" s="2" t="s">
        <v>17030</v>
      </c>
      <c r="D5605" s="2">
        <v>30</v>
      </c>
      <c r="E5605" s="2">
        <v>35</v>
      </c>
      <c r="F5605" s="2" t="s">
        <v>19165</v>
      </c>
      <c r="H5605" s="2" t="s">
        <v>17</v>
      </c>
      <c r="K5605" s="4" t="s">
        <v>19166</v>
      </c>
      <c r="L5605" s="4">
        <v>19314</v>
      </c>
      <c r="M5605" s="2" t="s">
        <v>140</v>
      </c>
      <c r="N5605" s="2" t="s">
        <v>294</v>
      </c>
    </row>
    <row r="5606" spans="1:14">
      <c r="A5606" s="2">
        <v>5605</v>
      </c>
      <c r="B5606" s="3" t="s">
        <v>19167</v>
      </c>
      <c r="C5606" s="2" t="s">
        <v>19168</v>
      </c>
      <c r="D5606" s="2">
        <v>35</v>
      </c>
      <c r="E5606" s="2">
        <v>35</v>
      </c>
      <c r="F5606" s="2" t="s">
        <v>19169</v>
      </c>
      <c r="H5606" s="2" t="s">
        <v>17</v>
      </c>
      <c r="K5606" s="4" t="s">
        <v>19170</v>
      </c>
      <c r="L5606" s="4">
        <v>20275</v>
      </c>
      <c r="M5606" s="2" t="s">
        <v>146</v>
      </c>
      <c r="N5606" s="2" t="s">
        <v>19171</v>
      </c>
    </row>
    <row r="5607" spans="1:14">
      <c r="A5607" s="2">
        <v>5606</v>
      </c>
      <c r="B5607" s="3" t="s">
        <v>19172</v>
      </c>
      <c r="C5607" s="2" t="s">
        <v>19173</v>
      </c>
      <c r="D5607" s="2">
        <v>34</v>
      </c>
      <c r="E5607" s="2">
        <v>35</v>
      </c>
      <c r="F5607" s="2" t="s">
        <v>19174</v>
      </c>
      <c r="H5607" s="2" t="s">
        <v>17</v>
      </c>
      <c r="K5607" s="4" t="s">
        <v>19175</v>
      </c>
      <c r="L5607" s="4">
        <v>25348</v>
      </c>
      <c r="M5607" s="2" t="s">
        <v>40</v>
      </c>
      <c r="N5607" s="2" t="s">
        <v>19176</v>
      </c>
    </row>
    <row r="5608" spans="1:14">
      <c r="A5608" s="2">
        <v>5607</v>
      </c>
      <c r="B5608" s="3" t="s">
        <v>19177</v>
      </c>
      <c r="C5608" s="2" t="s">
        <v>19178</v>
      </c>
      <c r="D5608" s="2">
        <v>29</v>
      </c>
      <c r="E5608" s="2">
        <v>35</v>
      </c>
      <c r="F5608" s="2" t="s">
        <v>19179</v>
      </c>
      <c r="H5608" s="2" t="s">
        <v>17</v>
      </c>
      <c r="K5608" s="4" t="s">
        <v>19180</v>
      </c>
      <c r="L5608" s="4">
        <v>20851</v>
      </c>
    </row>
    <row r="5609" spans="1:14">
      <c r="A5609" s="2">
        <v>5608</v>
      </c>
      <c r="B5609" s="3" t="s">
        <v>19181</v>
      </c>
      <c r="C5609" s="2" t="s">
        <v>19182</v>
      </c>
      <c r="D5609" s="2">
        <v>33</v>
      </c>
      <c r="E5609" s="2">
        <v>35</v>
      </c>
      <c r="F5609" s="2" t="s">
        <v>19183</v>
      </c>
      <c r="H5609" s="2" t="s">
        <v>17</v>
      </c>
      <c r="K5609" s="4" t="s">
        <v>19184</v>
      </c>
      <c r="L5609" s="4">
        <v>19356</v>
      </c>
      <c r="M5609" s="2" t="s">
        <v>198</v>
      </c>
      <c r="N5609" s="2" t="s">
        <v>199</v>
      </c>
    </row>
    <row r="5610" spans="1:14">
      <c r="A5610" s="2">
        <v>5609</v>
      </c>
      <c r="B5610" s="3" t="s">
        <v>19185</v>
      </c>
      <c r="C5610" s="2" t="s">
        <v>19186</v>
      </c>
      <c r="D5610" s="2">
        <v>31</v>
      </c>
      <c r="E5610" s="2">
        <v>35</v>
      </c>
      <c r="F5610" s="2" t="s">
        <v>19187</v>
      </c>
      <c r="H5610" s="2" t="s">
        <v>17</v>
      </c>
      <c r="K5610" s="4" t="s">
        <v>19188</v>
      </c>
      <c r="L5610" s="4">
        <v>20129</v>
      </c>
    </row>
    <row r="5611" spans="1:14">
      <c r="A5611" s="2">
        <v>5610</v>
      </c>
      <c r="B5611" s="3" t="s">
        <v>19189</v>
      </c>
      <c r="C5611" s="2" t="s">
        <v>19190</v>
      </c>
      <c r="D5611" s="2">
        <v>35</v>
      </c>
      <c r="E5611" s="2">
        <v>35</v>
      </c>
      <c r="F5611" s="2" t="s">
        <v>19191</v>
      </c>
      <c r="H5611" s="2" t="s">
        <v>17</v>
      </c>
      <c r="K5611" s="4" t="s">
        <v>19192</v>
      </c>
      <c r="L5611" s="4">
        <v>17816</v>
      </c>
    </row>
    <row r="5612" spans="1:14">
      <c r="A5612" s="2">
        <v>5611</v>
      </c>
      <c r="B5612" s="3" t="s">
        <v>19193</v>
      </c>
      <c r="C5612" s="2" t="s">
        <v>19194</v>
      </c>
      <c r="D5612" s="2">
        <v>33</v>
      </c>
      <c r="E5612" s="2">
        <v>35</v>
      </c>
      <c r="F5612" s="2" t="s">
        <v>19195</v>
      </c>
      <c r="H5612" s="2" t="s">
        <v>17</v>
      </c>
      <c r="K5612" s="4" t="s">
        <v>19196</v>
      </c>
      <c r="L5612" s="4">
        <v>19571</v>
      </c>
      <c r="M5612" s="2" t="s">
        <v>185</v>
      </c>
      <c r="N5612" s="2" t="s">
        <v>838</v>
      </c>
    </row>
    <row r="5613" spans="1:14">
      <c r="A5613" s="2">
        <v>5612</v>
      </c>
      <c r="B5613" s="3" t="s">
        <v>19197</v>
      </c>
      <c r="C5613" s="2" t="s">
        <v>17054</v>
      </c>
      <c r="D5613" s="2">
        <v>35</v>
      </c>
      <c r="E5613" s="2">
        <v>35</v>
      </c>
      <c r="F5613" s="2" t="s">
        <v>19198</v>
      </c>
      <c r="H5613" s="2" t="s">
        <v>17</v>
      </c>
    </row>
    <row r="5614" spans="1:14">
      <c r="A5614" s="2">
        <v>5613</v>
      </c>
      <c r="B5614" s="3" t="s">
        <v>19199</v>
      </c>
      <c r="C5614" s="2" t="s">
        <v>19200</v>
      </c>
      <c r="D5614" s="2">
        <v>29</v>
      </c>
      <c r="E5614" s="2">
        <v>35</v>
      </c>
      <c r="F5614" s="2" t="s">
        <v>19201</v>
      </c>
      <c r="H5614" s="2" t="s">
        <v>17</v>
      </c>
      <c r="K5614" s="4" t="s">
        <v>19202</v>
      </c>
      <c r="M5614" s="2" t="s">
        <v>198</v>
      </c>
    </row>
    <row r="5615" spans="1:14">
      <c r="A5615" s="2">
        <v>5614</v>
      </c>
      <c r="B5615" s="3" t="s">
        <v>19203</v>
      </c>
      <c r="C5615" s="2" t="s">
        <v>19204</v>
      </c>
      <c r="D5615" s="2">
        <v>35</v>
      </c>
      <c r="E5615" s="2">
        <v>35</v>
      </c>
      <c r="F5615" s="2" t="s">
        <v>19205</v>
      </c>
      <c r="H5615" s="2" t="s">
        <v>17</v>
      </c>
      <c r="L5615" s="4">
        <v>23691</v>
      </c>
    </row>
    <row r="5616" spans="1:14">
      <c r="A5616" s="2">
        <v>5615</v>
      </c>
      <c r="B5616" s="3" t="s">
        <v>19206</v>
      </c>
      <c r="C5616" s="2" t="s">
        <v>19207</v>
      </c>
      <c r="D5616" s="2">
        <v>32</v>
      </c>
      <c r="E5616" s="2">
        <v>35</v>
      </c>
      <c r="F5616" s="2" t="s">
        <v>19208</v>
      </c>
      <c r="H5616" s="2" t="s">
        <v>17</v>
      </c>
      <c r="K5616" s="4" t="s">
        <v>19209</v>
      </c>
      <c r="L5616" s="4">
        <v>17162</v>
      </c>
      <c r="M5616" s="2" t="s">
        <v>185</v>
      </c>
      <c r="N5616" s="2" t="s">
        <v>7309</v>
      </c>
    </row>
    <row r="5617" spans="1:14">
      <c r="A5617" s="2">
        <v>5616</v>
      </c>
      <c r="B5617" s="3" t="s">
        <v>19210</v>
      </c>
      <c r="C5617" s="2" t="s">
        <v>19211</v>
      </c>
      <c r="D5617" s="2">
        <v>26</v>
      </c>
      <c r="E5617" s="2">
        <v>35</v>
      </c>
      <c r="F5617" s="2" t="s">
        <v>19212</v>
      </c>
      <c r="H5617" s="2" t="s">
        <v>17</v>
      </c>
      <c r="K5617" s="4" t="s">
        <v>19213</v>
      </c>
      <c r="L5617" s="4">
        <v>14752</v>
      </c>
    </row>
    <row r="5618" spans="1:14">
      <c r="A5618" s="2">
        <v>5617</v>
      </c>
      <c r="B5618" s="3" t="s">
        <v>19214</v>
      </c>
      <c r="C5618" s="2" t="s">
        <v>19215</v>
      </c>
      <c r="D5618" s="2">
        <v>34</v>
      </c>
      <c r="E5618" s="2">
        <v>35</v>
      </c>
      <c r="F5618" s="2" t="s">
        <v>19216</v>
      </c>
      <c r="H5618" s="2" t="s">
        <v>17</v>
      </c>
      <c r="K5618" s="4" t="s">
        <v>19217</v>
      </c>
      <c r="L5618" s="4">
        <v>17734</v>
      </c>
      <c r="M5618" s="2" t="s">
        <v>170</v>
      </c>
      <c r="N5618" s="2" t="s">
        <v>19218</v>
      </c>
    </row>
    <row r="5619" spans="1:14">
      <c r="A5619" s="2">
        <v>5618</v>
      </c>
      <c r="B5619" s="3" t="s">
        <v>19219</v>
      </c>
      <c r="C5619" s="2" t="s">
        <v>19220</v>
      </c>
      <c r="D5619" s="2">
        <v>35</v>
      </c>
      <c r="E5619" s="2">
        <v>35</v>
      </c>
      <c r="F5619" s="2" t="s">
        <v>19221</v>
      </c>
      <c r="H5619" s="2" t="s">
        <v>17</v>
      </c>
      <c r="K5619" s="4" t="s">
        <v>19222</v>
      </c>
      <c r="L5619" s="4">
        <v>22640</v>
      </c>
      <c r="M5619" s="2" t="s">
        <v>85</v>
      </c>
      <c r="N5619" s="2" t="s">
        <v>6086</v>
      </c>
    </row>
    <row r="5620" spans="1:14">
      <c r="A5620" s="2">
        <v>5619</v>
      </c>
      <c r="B5620" s="3" t="s">
        <v>19223</v>
      </c>
      <c r="C5620" s="2" t="s">
        <v>19224</v>
      </c>
      <c r="D5620" s="2">
        <v>26</v>
      </c>
      <c r="E5620" s="2">
        <v>35</v>
      </c>
      <c r="F5620" s="2" t="s">
        <v>19225</v>
      </c>
      <c r="H5620" s="2" t="s">
        <v>17</v>
      </c>
      <c r="K5620" s="4" t="s">
        <v>19226</v>
      </c>
      <c r="L5620" s="4">
        <v>23485</v>
      </c>
      <c r="M5620" s="2" t="s">
        <v>47</v>
      </c>
      <c r="N5620" s="2" t="s">
        <v>4066</v>
      </c>
    </row>
    <row r="5621" spans="1:14">
      <c r="A5621" s="2">
        <v>5620</v>
      </c>
      <c r="B5621" s="3" t="s">
        <v>19227</v>
      </c>
      <c r="C5621" s="2" t="s">
        <v>19228</v>
      </c>
      <c r="D5621" s="2">
        <v>24</v>
      </c>
      <c r="E5621" s="2">
        <v>35</v>
      </c>
      <c r="F5621" s="2" t="s">
        <v>19229</v>
      </c>
      <c r="H5621" s="2" t="s">
        <v>17</v>
      </c>
      <c r="K5621" s="4" t="s">
        <v>19230</v>
      </c>
      <c r="L5621" s="4">
        <v>21830</v>
      </c>
      <c r="M5621" s="2" t="s">
        <v>198</v>
      </c>
    </row>
    <row r="5622" spans="1:14">
      <c r="A5622" s="2">
        <v>5621</v>
      </c>
      <c r="B5622" s="3" t="s">
        <v>19231</v>
      </c>
      <c r="C5622" s="2" t="s">
        <v>19232</v>
      </c>
      <c r="D5622" s="2">
        <v>34</v>
      </c>
      <c r="E5622" s="2">
        <v>35</v>
      </c>
      <c r="F5622" s="2" t="s">
        <v>19233</v>
      </c>
      <c r="H5622" s="2" t="s">
        <v>17</v>
      </c>
      <c r="L5622" s="4">
        <v>13162</v>
      </c>
      <c r="M5622" s="2" t="s">
        <v>35</v>
      </c>
      <c r="N5622" s="2" t="s">
        <v>19234</v>
      </c>
    </row>
    <row r="5623" spans="1:14">
      <c r="A5623" s="2">
        <v>5622</v>
      </c>
      <c r="B5623" s="3" t="s">
        <v>19235</v>
      </c>
      <c r="C5623" s="2" t="s">
        <v>19236</v>
      </c>
      <c r="D5623" s="2">
        <v>35</v>
      </c>
      <c r="E5623" s="2">
        <v>35</v>
      </c>
      <c r="F5623" s="2" t="s">
        <v>19237</v>
      </c>
      <c r="H5623" s="2" t="s">
        <v>17</v>
      </c>
      <c r="K5623" s="4" t="s">
        <v>19238</v>
      </c>
      <c r="L5623" s="4">
        <v>25390</v>
      </c>
      <c r="M5623" s="2" t="s">
        <v>140</v>
      </c>
      <c r="N5623" s="2" t="s">
        <v>1065</v>
      </c>
    </row>
    <row r="5624" spans="1:14">
      <c r="A5624" s="2">
        <v>5623</v>
      </c>
      <c r="B5624" s="3" t="s">
        <v>19239</v>
      </c>
      <c r="C5624" s="2" t="s">
        <v>19240</v>
      </c>
      <c r="D5624" s="2">
        <v>35</v>
      </c>
      <c r="E5624" s="2">
        <v>35</v>
      </c>
      <c r="F5624" s="2" t="s">
        <v>19241</v>
      </c>
      <c r="H5624" s="2" t="s">
        <v>17</v>
      </c>
      <c r="K5624" s="4" t="s">
        <v>19242</v>
      </c>
      <c r="L5624" s="4">
        <v>20457</v>
      </c>
      <c r="M5624" s="2" t="s">
        <v>35</v>
      </c>
      <c r="N5624" s="2" t="s">
        <v>11401</v>
      </c>
    </row>
    <row r="5625" spans="1:14">
      <c r="A5625" s="2">
        <v>5624</v>
      </c>
      <c r="B5625" s="3" t="s">
        <v>19243</v>
      </c>
      <c r="C5625" s="2" t="s">
        <v>19244</v>
      </c>
      <c r="D5625" s="2">
        <v>28</v>
      </c>
      <c r="E5625" s="2">
        <v>35</v>
      </c>
      <c r="F5625" s="2" t="s">
        <v>19245</v>
      </c>
      <c r="H5625" s="2" t="s">
        <v>17</v>
      </c>
      <c r="K5625" s="4" t="s">
        <v>19246</v>
      </c>
      <c r="L5625" s="4">
        <v>16669</v>
      </c>
    </row>
    <row r="5626" spans="1:14">
      <c r="A5626" s="2">
        <v>5625</v>
      </c>
      <c r="B5626" s="3" t="s">
        <v>19247</v>
      </c>
      <c r="C5626" s="2" t="s">
        <v>19248</v>
      </c>
      <c r="D5626" s="2">
        <v>26</v>
      </c>
      <c r="E5626" s="2">
        <v>35</v>
      </c>
      <c r="F5626" s="2" t="s">
        <v>19249</v>
      </c>
      <c r="H5626" s="2" t="s">
        <v>17</v>
      </c>
      <c r="K5626" s="4" t="s">
        <v>19250</v>
      </c>
      <c r="L5626" s="4">
        <v>10458</v>
      </c>
      <c r="M5626" s="2" t="s">
        <v>47</v>
      </c>
      <c r="N5626" s="2" t="s">
        <v>1181</v>
      </c>
    </row>
    <row r="5627" spans="1:14">
      <c r="A5627" s="2">
        <v>5626</v>
      </c>
      <c r="B5627" s="3" t="s">
        <v>19251</v>
      </c>
      <c r="C5627" s="2" t="s">
        <v>19252</v>
      </c>
      <c r="D5627" s="2">
        <v>32</v>
      </c>
      <c r="E5627" s="2">
        <v>35</v>
      </c>
      <c r="F5627" s="2" t="s">
        <v>19253</v>
      </c>
      <c r="H5627" s="2" t="s">
        <v>17</v>
      </c>
      <c r="K5627" s="4" t="s">
        <v>19254</v>
      </c>
      <c r="L5627" s="4">
        <v>22734</v>
      </c>
      <c r="M5627" s="2" t="s">
        <v>35</v>
      </c>
      <c r="N5627" s="2" t="s">
        <v>2466</v>
      </c>
    </row>
    <row r="5628" spans="1:14">
      <c r="A5628" s="2">
        <v>5627</v>
      </c>
      <c r="B5628" s="3" t="s">
        <v>19255</v>
      </c>
      <c r="C5628" s="2" t="s">
        <v>19256</v>
      </c>
      <c r="D5628" s="2">
        <v>33</v>
      </c>
      <c r="E5628" s="2">
        <v>35</v>
      </c>
      <c r="F5628" s="2" t="s">
        <v>19257</v>
      </c>
      <c r="H5628" s="2" t="s">
        <v>17</v>
      </c>
      <c r="K5628" s="4" t="s">
        <v>19258</v>
      </c>
      <c r="L5628" s="4">
        <v>26786</v>
      </c>
      <c r="M5628" s="2" t="s">
        <v>40</v>
      </c>
      <c r="N5628" s="2" t="s">
        <v>41</v>
      </c>
    </row>
    <row r="5629" spans="1:14">
      <c r="A5629" s="2">
        <v>5628</v>
      </c>
      <c r="B5629" s="3" t="s">
        <v>19259</v>
      </c>
      <c r="C5629" s="2" t="s">
        <v>19260</v>
      </c>
      <c r="D5629" s="2">
        <v>25</v>
      </c>
      <c r="E5629" s="2">
        <v>35</v>
      </c>
      <c r="F5629" s="2" t="s">
        <v>19261</v>
      </c>
      <c r="H5629" s="2" t="s">
        <v>17</v>
      </c>
      <c r="K5629" s="4" t="s">
        <v>19262</v>
      </c>
      <c r="L5629" s="4">
        <v>13919</v>
      </c>
      <c r="M5629" s="2" t="s">
        <v>47</v>
      </c>
      <c r="N5629" s="2" t="s">
        <v>1863</v>
      </c>
    </row>
    <row r="5630" spans="1:14">
      <c r="A5630" s="2">
        <v>5629</v>
      </c>
      <c r="B5630" s="3" t="s">
        <v>19263</v>
      </c>
      <c r="C5630" s="2" t="s">
        <v>19264</v>
      </c>
      <c r="D5630" s="2">
        <v>35</v>
      </c>
      <c r="E5630" s="2">
        <v>35</v>
      </c>
      <c r="F5630" s="2" t="s">
        <v>19265</v>
      </c>
      <c r="H5630" s="2" t="s">
        <v>17</v>
      </c>
      <c r="K5630" s="4" t="s">
        <v>19266</v>
      </c>
      <c r="L5630" s="4">
        <v>23157</v>
      </c>
      <c r="M5630" s="2" t="s">
        <v>76</v>
      </c>
      <c r="N5630" s="2" t="s">
        <v>7497</v>
      </c>
    </row>
    <row r="5631" spans="1:14">
      <c r="A5631" s="2">
        <v>5630</v>
      </c>
      <c r="B5631" s="3" t="s">
        <v>19267</v>
      </c>
      <c r="C5631" s="2" t="s">
        <v>15234</v>
      </c>
      <c r="D5631" s="2">
        <v>35</v>
      </c>
      <c r="E5631" s="2">
        <v>35</v>
      </c>
      <c r="F5631" s="2" t="s">
        <v>19268</v>
      </c>
      <c r="H5631" s="2" t="s">
        <v>17</v>
      </c>
      <c r="K5631" s="4" t="s">
        <v>19269</v>
      </c>
      <c r="L5631" s="4">
        <v>23508</v>
      </c>
      <c r="M5631" s="2" t="s">
        <v>66</v>
      </c>
      <c r="N5631" s="2" t="s">
        <v>9055</v>
      </c>
    </row>
    <row r="5632" spans="1:14">
      <c r="A5632" s="2">
        <v>5631</v>
      </c>
      <c r="B5632" s="3" t="s">
        <v>19270</v>
      </c>
      <c r="C5632" s="2" t="s">
        <v>19271</v>
      </c>
      <c r="D5632" s="2">
        <v>35</v>
      </c>
      <c r="E5632" s="2">
        <v>35</v>
      </c>
      <c r="F5632" s="2" t="s">
        <v>19272</v>
      </c>
      <c r="H5632" s="2" t="s">
        <v>17</v>
      </c>
      <c r="K5632" s="4" t="s">
        <v>19273</v>
      </c>
      <c r="L5632" s="4">
        <v>14320</v>
      </c>
      <c r="M5632" s="2" t="s">
        <v>47</v>
      </c>
      <c r="N5632" s="2" t="s">
        <v>691</v>
      </c>
    </row>
    <row r="5633" spans="1:14">
      <c r="A5633" s="2">
        <v>5632</v>
      </c>
      <c r="B5633" s="3" t="s">
        <v>19274</v>
      </c>
      <c r="C5633" s="2" t="s">
        <v>19275</v>
      </c>
      <c r="D5633" s="2">
        <v>32</v>
      </c>
      <c r="E5633" s="2">
        <v>35</v>
      </c>
      <c r="F5633" s="2" t="s">
        <v>19276</v>
      </c>
      <c r="H5633" s="2" t="s">
        <v>17</v>
      </c>
      <c r="K5633" s="4" t="s">
        <v>19277</v>
      </c>
      <c r="L5633" s="4">
        <v>20226</v>
      </c>
      <c r="M5633" s="2" t="s">
        <v>35</v>
      </c>
      <c r="N5633" s="2" t="s">
        <v>5201</v>
      </c>
    </row>
    <row r="5634" spans="1:14">
      <c r="A5634" s="2">
        <v>5633</v>
      </c>
      <c r="B5634" s="3" t="s">
        <v>19278</v>
      </c>
      <c r="C5634" s="2" t="s">
        <v>19279</v>
      </c>
      <c r="D5634" s="2">
        <v>31</v>
      </c>
      <c r="E5634" s="2">
        <v>35</v>
      </c>
      <c r="F5634" s="2" t="s">
        <v>19280</v>
      </c>
      <c r="H5634" s="2" t="s">
        <v>17</v>
      </c>
      <c r="L5634" s="4">
        <v>12372</v>
      </c>
    </row>
    <row r="5635" spans="1:14">
      <c r="A5635" s="2">
        <v>5634</v>
      </c>
      <c r="B5635" s="3" t="s">
        <v>19281</v>
      </c>
      <c r="C5635" s="2" t="s">
        <v>19282</v>
      </c>
      <c r="D5635" s="2">
        <v>35</v>
      </c>
      <c r="E5635" s="2">
        <v>35</v>
      </c>
      <c r="F5635" s="2" t="s">
        <v>19283</v>
      </c>
      <c r="H5635" s="2" t="s">
        <v>17</v>
      </c>
      <c r="K5635" s="4" t="s">
        <v>19284</v>
      </c>
      <c r="L5635" s="4">
        <v>25766</v>
      </c>
      <c r="M5635" s="2" t="s">
        <v>35</v>
      </c>
      <c r="N5635" s="2" t="s">
        <v>6289</v>
      </c>
    </row>
    <row r="5636" spans="1:14">
      <c r="A5636" s="2">
        <v>5635</v>
      </c>
      <c r="B5636" s="3" t="s">
        <v>19285</v>
      </c>
      <c r="C5636" s="2" t="s">
        <v>19286</v>
      </c>
      <c r="D5636" s="2">
        <v>34</v>
      </c>
      <c r="E5636" s="2">
        <v>35</v>
      </c>
      <c r="F5636" s="2" t="s">
        <v>19287</v>
      </c>
      <c r="H5636" s="2" t="s">
        <v>17</v>
      </c>
      <c r="K5636" s="4" t="s">
        <v>18886</v>
      </c>
      <c r="L5636" s="4">
        <v>20309</v>
      </c>
      <c r="M5636" s="2" t="s">
        <v>423</v>
      </c>
      <c r="N5636" s="2" t="s">
        <v>3005</v>
      </c>
    </row>
    <row r="5637" spans="1:14">
      <c r="A5637" s="2">
        <v>5636</v>
      </c>
      <c r="B5637" s="3" t="s">
        <v>19288</v>
      </c>
      <c r="C5637" s="2" t="s">
        <v>19289</v>
      </c>
      <c r="D5637" s="2">
        <v>35</v>
      </c>
      <c r="E5637" s="2">
        <v>35</v>
      </c>
      <c r="F5637" s="2" t="s">
        <v>19290</v>
      </c>
      <c r="H5637" s="2" t="s">
        <v>17</v>
      </c>
      <c r="K5637" s="4" t="s">
        <v>19291</v>
      </c>
      <c r="L5637" s="4">
        <v>18046</v>
      </c>
      <c r="M5637" s="2" t="s">
        <v>198</v>
      </c>
      <c r="N5637" s="2" t="s">
        <v>199</v>
      </c>
    </row>
    <row r="5638" spans="1:14">
      <c r="A5638" s="2">
        <v>5637</v>
      </c>
      <c r="B5638" s="3" t="s">
        <v>19292</v>
      </c>
      <c r="C5638" s="2" t="s">
        <v>19293</v>
      </c>
      <c r="D5638" s="2">
        <v>35</v>
      </c>
      <c r="E5638" s="2">
        <v>35</v>
      </c>
      <c r="F5638" s="2" t="s">
        <v>19294</v>
      </c>
      <c r="H5638" s="2" t="s">
        <v>17</v>
      </c>
      <c r="K5638" s="4" t="s">
        <v>19295</v>
      </c>
      <c r="L5638" s="4">
        <v>24783</v>
      </c>
      <c r="M5638" s="2" t="s">
        <v>91</v>
      </c>
    </row>
    <row r="5639" spans="1:14">
      <c r="A5639" s="2">
        <v>5638</v>
      </c>
      <c r="B5639" s="3" t="s">
        <v>19296</v>
      </c>
      <c r="C5639" s="2" t="s">
        <v>19297</v>
      </c>
      <c r="D5639" s="2">
        <v>32</v>
      </c>
      <c r="E5639" s="2">
        <v>35</v>
      </c>
      <c r="F5639" s="2" t="s">
        <v>19298</v>
      </c>
      <c r="H5639" s="2" t="s">
        <v>17</v>
      </c>
      <c r="K5639" s="4" t="s">
        <v>19299</v>
      </c>
      <c r="L5639" s="4">
        <v>22349</v>
      </c>
      <c r="M5639" s="2" t="s">
        <v>85</v>
      </c>
      <c r="N5639" s="2" t="s">
        <v>1254</v>
      </c>
    </row>
    <row r="5640" spans="1:14">
      <c r="A5640" s="2">
        <v>5639</v>
      </c>
      <c r="B5640" s="3" t="s">
        <v>19300</v>
      </c>
      <c r="C5640" s="2" t="s">
        <v>19301</v>
      </c>
      <c r="D5640" s="2">
        <v>35</v>
      </c>
      <c r="E5640" s="2">
        <v>35</v>
      </c>
      <c r="F5640" s="2" t="s">
        <v>19302</v>
      </c>
      <c r="H5640" s="2" t="s">
        <v>17</v>
      </c>
    </row>
    <row r="5641" spans="1:14">
      <c r="A5641" s="2">
        <v>5640</v>
      </c>
      <c r="B5641" s="3" t="s">
        <v>19303</v>
      </c>
      <c r="C5641" s="2" t="s">
        <v>19304</v>
      </c>
      <c r="D5641" s="2">
        <v>34</v>
      </c>
      <c r="E5641" s="2">
        <v>35</v>
      </c>
      <c r="F5641" s="2" t="s">
        <v>19305</v>
      </c>
      <c r="H5641" s="2" t="s">
        <v>17</v>
      </c>
      <c r="K5641" s="4" t="s">
        <v>19306</v>
      </c>
      <c r="L5641" s="4">
        <v>12758</v>
      </c>
      <c r="M5641" s="2" t="s">
        <v>185</v>
      </c>
      <c r="N5641" s="2" t="s">
        <v>19305</v>
      </c>
    </row>
    <row r="5642" spans="1:14">
      <c r="A5642" s="2">
        <v>5641</v>
      </c>
      <c r="B5642" s="3" t="s">
        <v>19307</v>
      </c>
      <c r="C5642" s="2" t="s">
        <v>19308</v>
      </c>
      <c r="D5642" s="2">
        <v>35</v>
      </c>
      <c r="E5642" s="2">
        <v>35</v>
      </c>
      <c r="F5642" s="2" t="s">
        <v>19309</v>
      </c>
      <c r="H5642" s="2" t="s">
        <v>17</v>
      </c>
      <c r="K5642" s="4" t="s">
        <v>19310</v>
      </c>
      <c r="L5642" s="4">
        <v>11495</v>
      </c>
      <c r="M5642" s="2" t="s">
        <v>198</v>
      </c>
      <c r="N5642" s="2" t="s">
        <v>10323</v>
      </c>
    </row>
    <row r="5643" spans="1:14">
      <c r="A5643" s="2">
        <v>5642</v>
      </c>
      <c r="B5643" s="3" t="s">
        <v>19311</v>
      </c>
      <c r="C5643" s="2" t="s">
        <v>19312</v>
      </c>
      <c r="D5643" s="2">
        <v>35</v>
      </c>
      <c r="E5643" s="2">
        <v>35</v>
      </c>
      <c r="F5643" s="2" t="s">
        <v>19313</v>
      </c>
      <c r="H5643" s="2" t="s">
        <v>17</v>
      </c>
      <c r="K5643" s="4" t="s">
        <v>19314</v>
      </c>
      <c r="L5643" s="4">
        <v>15720</v>
      </c>
      <c r="M5643" s="2" t="s">
        <v>35</v>
      </c>
      <c r="N5643" s="2" t="s">
        <v>10316</v>
      </c>
    </row>
    <row r="5644" spans="1:14">
      <c r="A5644" s="2">
        <v>5643</v>
      </c>
      <c r="B5644" s="3" t="s">
        <v>19315</v>
      </c>
      <c r="C5644" s="2" t="s">
        <v>19316</v>
      </c>
      <c r="D5644" s="2">
        <v>32</v>
      </c>
      <c r="E5644" s="2">
        <v>35</v>
      </c>
      <c r="F5644" s="2" t="s">
        <v>19317</v>
      </c>
      <c r="H5644" s="2" t="s">
        <v>17</v>
      </c>
      <c r="K5644" s="4" t="s">
        <v>19318</v>
      </c>
      <c r="L5644" s="4">
        <v>21462</v>
      </c>
      <c r="M5644" s="2" t="s">
        <v>18</v>
      </c>
      <c r="N5644" s="2" t="s">
        <v>19</v>
      </c>
    </row>
    <row r="5645" spans="1:14">
      <c r="A5645" s="2">
        <v>5644</v>
      </c>
      <c r="B5645" s="3" t="s">
        <v>19319</v>
      </c>
      <c r="C5645" s="2" t="s">
        <v>19320</v>
      </c>
      <c r="D5645" s="2">
        <v>23</v>
      </c>
      <c r="E5645" s="2">
        <v>35</v>
      </c>
      <c r="F5645" s="2" t="s">
        <v>19321</v>
      </c>
      <c r="H5645" s="2" t="s">
        <v>17</v>
      </c>
      <c r="K5645" s="4" t="s">
        <v>19322</v>
      </c>
      <c r="L5645" s="4">
        <v>11798</v>
      </c>
      <c r="M5645" s="2" t="s">
        <v>47</v>
      </c>
    </row>
    <row r="5646" spans="1:14">
      <c r="A5646" s="2">
        <v>5645</v>
      </c>
      <c r="B5646" s="3" t="s">
        <v>19323</v>
      </c>
      <c r="C5646" s="2" t="s">
        <v>19324</v>
      </c>
      <c r="D5646" s="2">
        <v>30</v>
      </c>
      <c r="E5646" s="2">
        <v>35</v>
      </c>
      <c r="F5646" s="2" t="s">
        <v>19325</v>
      </c>
      <c r="H5646" s="2" t="s">
        <v>17</v>
      </c>
      <c r="K5646" s="4" t="s">
        <v>19326</v>
      </c>
      <c r="L5646" s="4">
        <v>11226</v>
      </c>
      <c r="M5646" s="2" t="s">
        <v>423</v>
      </c>
      <c r="N5646" s="2" t="s">
        <v>6168</v>
      </c>
    </row>
    <row r="5647" spans="1:14">
      <c r="A5647" s="2">
        <v>5646</v>
      </c>
      <c r="B5647" s="3" t="s">
        <v>19327</v>
      </c>
      <c r="C5647" s="2" t="s">
        <v>19328</v>
      </c>
      <c r="D5647" s="2">
        <v>27</v>
      </c>
      <c r="E5647" s="2">
        <v>35</v>
      </c>
      <c r="F5647" s="2" t="s">
        <v>19329</v>
      </c>
      <c r="H5647" s="2" t="s">
        <v>17</v>
      </c>
      <c r="K5647" s="4" t="s">
        <v>19330</v>
      </c>
      <c r="L5647" s="4">
        <v>16830</v>
      </c>
      <c r="M5647" s="2" t="s">
        <v>40</v>
      </c>
      <c r="N5647" s="2" t="s">
        <v>41</v>
      </c>
    </row>
    <row r="5648" spans="1:14">
      <c r="A5648" s="2">
        <v>5647</v>
      </c>
      <c r="B5648" s="3" t="s">
        <v>19331</v>
      </c>
      <c r="C5648" s="2" t="s">
        <v>19332</v>
      </c>
      <c r="D5648" s="2">
        <v>32</v>
      </c>
      <c r="E5648" s="2">
        <v>35</v>
      </c>
      <c r="F5648" s="2" t="s">
        <v>19333</v>
      </c>
      <c r="H5648" s="2" t="s">
        <v>17</v>
      </c>
      <c r="K5648" s="4" t="s">
        <v>19334</v>
      </c>
      <c r="L5648" s="4">
        <v>11240</v>
      </c>
      <c r="M5648" s="2" t="s">
        <v>76</v>
      </c>
      <c r="N5648" s="2" t="s">
        <v>19335</v>
      </c>
    </row>
    <row r="5649" spans="1:14">
      <c r="A5649" s="2">
        <v>5648</v>
      </c>
      <c r="B5649" s="3" t="s">
        <v>19336</v>
      </c>
      <c r="C5649" s="2" t="s">
        <v>19337</v>
      </c>
      <c r="D5649" s="2">
        <v>32</v>
      </c>
      <c r="E5649" s="2">
        <v>35</v>
      </c>
      <c r="F5649" s="2" t="s">
        <v>19338</v>
      </c>
      <c r="H5649" s="2" t="s">
        <v>17</v>
      </c>
      <c r="L5649" s="4">
        <v>21976</v>
      </c>
    </row>
    <row r="5650" spans="1:14">
      <c r="A5650" s="2">
        <v>5649</v>
      </c>
      <c r="B5650" s="3" t="s">
        <v>19339</v>
      </c>
      <c r="C5650" s="2" t="s">
        <v>19340</v>
      </c>
      <c r="D5650" s="2">
        <v>30</v>
      </c>
      <c r="E5650" s="2">
        <v>35</v>
      </c>
      <c r="F5650" s="2" t="s">
        <v>19341</v>
      </c>
      <c r="H5650" s="2" t="s">
        <v>17</v>
      </c>
      <c r="K5650" s="4" t="s">
        <v>19342</v>
      </c>
      <c r="L5650" s="4">
        <v>22982</v>
      </c>
      <c r="M5650" s="2" t="s">
        <v>35</v>
      </c>
      <c r="N5650" s="2" t="s">
        <v>11401</v>
      </c>
    </row>
    <row r="5651" spans="1:14">
      <c r="A5651" s="2">
        <v>5650</v>
      </c>
      <c r="B5651" s="3" t="s">
        <v>19343</v>
      </c>
      <c r="C5651" s="2" t="s">
        <v>19344</v>
      </c>
      <c r="D5651" s="2">
        <v>26</v>
      </c>
      <c r="E5651" s="2">
        <v>35</v>
      </c>
      <c r="F5651" s="2" t="s">
        <v>19345</v>
      </c>
      <c r="H5651" s="2" t="s">
        <v>17</v>
      </c>
      <c r="K5651" s="4" t="s">
        <v>19346</v>
      </c>
      <c r="L5651" s="4">
        <v>17229</v>
      </c>
      <c r="M5651" s="2" t="s">
        <v>30</v>
      </c>
      <c r="N5651" s="2" t="s">
        <v>31</v>
      </c>
    </row>
    <row r="5652" spans="1:14">
      <c r="A5652" s="2">
        <v>5651</v>
      </c>
      <c r="B5652" s="3" t="s">
        <v>19347</v>
      </c>
      <c r="C5652" s="2" t="s">
        <v>19348</v>
      </c>
      <c r="D5652" s="2">
        <v>32</v>
      </c>
      <c r="E5652" s="2">
        <v>35</v>
      </c>
      <c r="F5652" s="2" t="s">
        <v>19349</v>
      </c>
      <c r="H5652" s="2" t="s">
        <v>17</v>
      </c>
      <c r="K5652" s="4" t="s">
        <v>19350</v>
      </c>
      <c r="L5652" s="4">
        <v>18515</v>
      </c>
      <c r="M5652" s="2" t="s">
        <v>85</v>
      </c>
      <c r="N5652" s="2" t="s">
        <v>86</v>
      </c>
    </row>
    <row r="5653" spans="1:14">
      <c r="A5653" s="2">
        <v>5652</v>
      </c>
      <c r="B5653" s="3" t="s">
        <v>19351</v>
      </c>
      <c r="C5653" s="2" t="s">
        <v>12792</v>
      </c>
      <c r="D5653" s="2">
        <v>24</v>
      </c>
      <c r="E5653" s="2">
        <v>35</v>
      </c>
      <c r="F5653" s="2" t="s">
        <v>19352</v>
      </c>
      <c r="H5653" s="2" t="s">
        <v>17</v>
      </c>
      <c r="K5653" s="4" t="s">
        <v>19353</v>
      </c>
      <c r="L5653" s="4">
        <v>19779</v>
      </c>
      <c r="M5653" s="2" t="s">
        <v>35</v>
      </c>
      <c r="N5653" s="2" t="s">
        <v>672</v>
      </c>
    </row>
    <row r="5654" spans="1:14">
      <c r="A5654" s="2">
        <v>5653</v>
      </c>
      <c r="B5654" s="3" t="s">
        <v>19354</v>
      </c>
      <c r="C5654" s="2" t="s">
        <v>19355</v>
      </c>
      <c r="D5654" s="2">
        <v>31</v>
      </c>
      <c r="E5654" s="2">
        <v>35</v>
      </c>
      <c r="F5654" s="2" t="s">
        <v>19356</v>
      </c>
      <c r="H5654" s="2" t="s">
        <v>17</v>
      </c>
      <c r="M5654" s="2" t="s">
        <v>170</v>
      </c>
    </row>
    <row r="5655" spans="1:14">
      <c r="A5655" s="2">
        <v>5654</v>
      </c>
      <c r="B5655" s="3" t="s">
        <v>19357</v>
      </c>
      <c r="C5655" s="2" t="s">
        <v>19358</v>
      </c>
      <c r="D5655" s="2">
        <v>30</v>
      </c>
      <c r="E5655" s="2">
        <v>35</v>
      </c>
      <c r="F5655" s="2" t="s">
        <v>19359</v>
      </c>
      <c r="H5655" s="2" t="s">
        <v>17</v>
      </c>
      <c r="K5655" s="4" t="s">
        <v>19360</v>
      </c>
      <c r="L5655" s="4">
        <v>20889</v>
      </c>
      <c r="M5655" s="2" t="s">
        <v>146</v>
      </c>
      <c r="N5655" s="2" t="s">
        <v>19361</v>
      </c>
    </row>
    <row r="5656" spans="1:14">
      <c r="A5656" s="2">
        <v>5655</v>
      </c>
      <c r="B5656" s="3" t="s">
        <v>19362</v>
      </c>
      <c r="C5656" s="2" t="s">
        <v>19363</v>
      </c>
      <c r="D5656" s="2">
        <v>35</v>
      </c>
      <c r="E5656" s="2">
        <v>35</v>
      </c>
      <c r="F5656" s="2" t="s">
        <v>19364</v>
      </c>
      <c r="H5656" s="2" t="s">
        <v>17</v>
      </c>
      <c r="K5656" s="4" t="s">
        <v>19365</v>
      </c>
      <c r="L5656" s="4">
        <v>32848</v>
      </c>
      <c r="M5656" s="2" t="s">
        <v>192</v>
      </c>
      <c r="N5656" s="2" t="s">
        <v>14677</v>
      </c>
    </row>
    <row r="5657" spans="1:14">
      <c r="A5657" s="2">
        <v>5656</v>
      </c>
      <c r="B5657" s="3" t="s">
        <v>19366</v>
      </c>
      <c r="C5657" s="2" t="s">
        <v>19367</v>
      </c>
      <c r="D5657" s="2">
        <v>32</v>
      </c>
      <c r="E5657" s="2">
        <v>35</v>
      </c>
      <c r="F5657" s="2" t="s">
        <v>19368</v>
      </c>
      <c r="H5657" s="2" t="s">
        <v>17</v>
      </c>
      <c r="K5657" s="4" t="s">
        <v>19369</v>
      </c>
      <c r="L5657" s="4">
        <v>12997</v>
      </c>
      <c r="M5657" s="2" t="s">
        <v>53</v>
      </c>
      <c r="N5657" s="2" t="s">
        <v>54</v>
      </c>
    </row>
    <row r="5658" spans="1:14">
      <c r="A5658" s="2">
        <v>5657</v>
      </c>
      <c r="B5658" s="3" t="s">
        <v>19370</v>
      </c>
      <c r="C5658" s="2" t="s">
        <v>19371</v>
      </c>
      <c r="D5658" s="2">
        <v>35</v>
      </c>
      <c r="E5658" s="2">
        <v>35</v>
      </c>
      <c r="F5658" s="2" t="s">
        <v>19372</v>
      </c>
      <c r="H5658" s="2" t="s">
        <v>17</v>
      </c>
      <c r="K5658" s="4" t="s">
        <v>19373</v>
      </c>
      <c r="L5658" s="4">
        <v>23003</v>
      </c>
      <c r="M5658" s="2" t="s">
        <v>35</v>
      </c>
      <c r="N5658" s="2" t="s">
        <v>6516</v>
      </c>
    </row>
    <row r="5659" spans="1:14">
      <c r="A5659" s="2">
        <v>5658</v>
      </c>
      <c r="B5659" s="3" t="s">
        <v>19374</v>
      </c>
      <c r="C5659" s="2" t="s">
        <v>19375</v>
      </c>
      <c r="D5659" s="2">
        <v>35</v>
      </c>
      <c r="E5659" s="2">
        <v>35</v>
      </c>
      <c r="F5659" s="2" t="s">
        <v>19376</v>
      </c>
      <c r="H5659" s="2" t="s">
        <v>17</v>
      </c>
      <c r="L5659" s="4">
        <v>21605</v>
      </c>
    </row>
    <row r="5660" spans="1:14">
      <c r="A5660" s="2">
        <v>5659</v>
      </c>
      <c r="B5660" s="3" t="s">
        <v>19377</v>
      </c>
      <c r="C5660" s="2" t="s">
        <v>19378</v>
      </c>
      <c r="D5660" s="2">
        <v>32</v>
      </c>
      <c r="E5660" s="2">
        <v>35</v>
      </c>
      <c r="F5660" s="2" t="s">
        <v>19379</v>
      </c>
      <c r="H5660" s="2" t="s">
        <v>17</v>
      </c>
      <c r="K5660" s="4" t="s">
        <v>19380</v>
      </c>
      <c r="L5660" s="4">
        <v>15605</v>
      </c>
      <c r="M5660" s="2" t="s">
        <v>66</v>
      </c>
      <c r="N5660" s="2" t="s">
        <v>1665</v>
      </c>
    </row>
    <row r="5661" spans="1:14">
      <c r="A5661" s="2">
        <v>5660</v>
      </c>
      <c r="B5661" s="3" t="s">
        <v>19381</v>
      </c>
      <c r="C5661" s="2" t="s">
        <v>19382</v>
      </c>
      <c r="D5661" s="2">
        <v>32</v>
      </c>
      <c r="E5661" s="2">
        <v>35</v>
      </c>
      <c r="F5661" s="2" t="s">
        <v>19383</v>
      </c>
      <c r="H5661" s="2" t="s">
        <v>17</v>
      </c>
      <c r="K5661" s="4" t="s">
        <v>19384</v>
      </c>
      <c r="L5661" s="4">
        <v>14801</v>
      </c>
      <c r="M5661" s="2" t="s">
        <v>76</v>
      </c>
      <c r="N5661" s="2" t="s">
        <v>9787</v>
      </c>
    </row>
    <row r="5662" spans="1:14">
      <c r="A5662" s="2">
        <v>5661</v>
      </c>
      <c r="B5662" s="3" t="s">
        <v>19385</v>
      </c>
      <c r="C5662" s="2" t="s">
        <v>19386</v>
      </c>
      <c r="D5662" s="2">
        <v>34</v>
      </c>
      <c r="E5662" s="2">
        <v>35</v>
      </c>
      <c r="F5662" s="2" t="s">
        <v>19387</v>
      </c>
      <c r="H5662" s="2" t="s">
        <v>17</v>
      </c>
      <c r="K5662" s="4" t="s">
        <v>19388</v>
      </c>
      <c r="L5662" s="4">
        <v>23207</v>
      </c>
      <c r="M5662" s="2" t="s">
        <v>969</v>
      </c>
      <c r="N5662" s="2" t="s">
        <v>323</v>
      </c>
    </row>
    <row r="5663" spans="1:14">
      <c r="A5663" s="2">
        <v>5662</v>
      </c>
      <c r="B5663" s="3" t="s">
        <v>19389</v>
      </c>
      <c r="C5663" s="2" t="s">
        <v>19390</v>
      </c>
      <c r="D5663" s="2">
        <v>34</v>
      </c>
      <c r="E5663" s="2">
        <v>35</v>
      </c>
      <c r="F5663" s="2" t="s">
        <v>19391</v>
      </c>
      <c r="H5663" s="2" t="s">
        <v>17</v>
      </c>
      <c r="K5663" s="4" t="s">
        <v>19392</v>
      </c>
      <c r="M5663" s="2" t="s">
        <v>85</v>
      </c>
      <c r="N5663" s="2" t="s">
        <v>86</v>
      </c>
    </row>
    <row r="5664" spans="1:14">
      <c r="A5664" s="2">
        <v>5663</v>
      </c>
      <c r="B5664" s="3" t="s">
        <v>19393</v>
      </c>
      <c r="C5664" s="2" t="s">
        <v>19394</v>
      </c>
      <c r="D5664" s="2">
        <v>29</v>
      </c>
      <c r="E5664" s="2">
        <v>35</v>
      </c>
      <c r="F5664" s="2" t="s">
        <v>19395</v>
      </c>
      <c r="H5664" s="2" t="s">
        <v>17</v>
      </c>
      <c r="K5664" s="4" t="s">
        <v>19396</v>
      </c>
      <c r="L5664" s="4">
        <v>11942</v>
      </c>
      <c r="M5664" s="2" t="s">
        <v>47</v>
      </c>
      <c r="N5664" s="2" t="s">
        <v>4457</v>
      </c>
    </row>
    <row r="5665" spans="1:14">
      <c r="A5665" s="2">
        <v>5664</v>
      </c>
      <c r="B5665" s="3" t="s">
        <v>19397</v>
      </c>
      <c r="C5665" s="2" t="s">
        <v>19398</v>
      </c>
      <c r="D5665" s="2">
        <v>34</v>
      </c>
      <c r="E5665" s="2">
        <v>35</v>
      </c>
      <c r="F5665" s="2" t="s">
        <v>19399</v>
      </c>
      <c r="H5665" s="2" t="s">
        <v>17</v>
      </c>
      <c r="K5665" s="4" t="s">
        <v>19400</v>
      </c>
      <c r="L5665" s="4">
        <v>27318</v>
      </c>
      <c r="M5665" s="2" t="s">
        <v>47</v>
      </c>
      <c r="N5665" s="2" t="s">
        <v>48</v>
      </c>
    </row>
    <row r="5666" spans="1:14">
      <c r="A5666" s="2">
        <v>5665</v>
      </c>
      <c r="B5666" s="3" t="s">
        <v>19401</v>
      </c>
      <c r="C5666" s="2" t="s">
        <v>19402</v>
      </c>
      <c r="D5666" s="2">
        <v>35</v>
      </c>
      <c r="E5666" s="2">
        <v>35</v>
      </c>
      <c r="F5666" s="2" t="s">
        <v>19403</v>
      </c>
      <c r="H5666" s="2" t="s">
        <v>17</v>
      </c>
    </row>
    <row r="5667" spans="1:14">
      <c r="A5667" s="2">
        <v>5666</v>
      </c>
      <c r="B5667" s="3" t="s">
        <v>19404</v>
      </c>
      <c r="C5667" s="2" t="s">
        <v>19405</v>
      </c>
      <c r="D5667" s="2">
        <v>34</v>
      </c>
      <c r="E5667" s="2">
        <v>35</v>
      </c>
      <c r="F5667" s="2" t="s">
        <v>19406</v>
      </c>
      <c r="H5667" s="2" t="s">
        <v>17</v>
      </c>
      <c r="K5667" s="4" t="s">
        <v>19407</v>
      </c>
      <c r="L5667" s="4">
        <v>24469</v>
      </c>
    </row>
    <row r="5668" spans="1:14">
      <c r="A5668" s="2">
        <v>5667</v>
      </c>
      <c r="B5668" s="3" t="s">
        <v>19408</v>
      </c>
      <c r="C5668" s="2" t="s">
        <v>19409</v>
      </c>
      <c r="D5668" s="2">
        <v>32</v>
      </c>
      <c r="E5668" s="2">
        <v>35</v>
      </c>
      <c r="F5668" s="2" t="s">
        <v>19410</v>
      </c>
      <c r="H5668" s="2" t="s">
        <v>17</v>
      </c>
      <c r="K5668" s="4" t="s">
        <v>19411</v>
      </c>
      <c r="L5668" s="4">
        <v>28983</v>
      </c>
      <c r="M5668" s="2" t="s">
        <v>154</v>
      </c>
      <c r="N5668" s="2" t="s">
        <v>15684</v>
      </c>
    </row>
    <row r="5669" spans="1:14">
      <c r="A5669" s="2">
        <v>5668</v>
      </c>
      <c r="B5669" s="3" t="s">
        <v>19412</v>
      </c>
      <c r="C5669" s="2" t="s">
        <v>19413</v>
      </c>
      <c r="D5669" s="2">
        <v>29</v>
      </c>
      <c r="E5669" s="2">
        <v>35</v>
      </c>
      <c r="F5669" s="2" t="s">
        <v>19414</v>
      </c>
      <c r="H5669" s="2" t="s">
        <v>17</v>
      </c>
      <c r="K5669" s="4" t="s">
        <v>19415</v>
      </c>
      <c r="L5669" s="4">
        <v>21877</v>
      </c>
      <c r="M5669" s="2" t="s">
        <v>170</v>
      </c>
      <c r="N5669" s="2" t="s">
        <v>802</v>
      </c>
    </row>
    <row r="5670" spans="1:14">
      <c r="A5670" s="2">
        <v>5669</v>
      </c>
      <c r="B5670" s="3" t="s">
        <v>19416</v>
      </c>
      <c r="C5670" s="2" t="s">
        <v>19417</v>
      </c>
      <c r="D5670" s="2">
        <v>32</v>
      </c>
      <c r="E5670" s="2">
        <v>35</v>
      </c>
      <c r="F5670" s="2" t="s">
        <v>19418</v>
      </c>
      <c r="H5670" s="2" t="s">
        <v>17</v>
      </c>
      <c r="K5670" s="4" t="s">
        <v>19419</v>
      </c>
      <c r="L5670" s="4">
        <v>24281</v>
      </c>
      <c r="M5670" s="2" t="s">
        <v>170</v>
      </c>
      <c r="N5670" s="2" t="s">
        <v>323</v>
      </c>
    </row>
    <row r="5671" spans="1:14">
      <c r="A5671" s="2">
        <v>5670</v>
      </c>
      <c r="B5671" s="3" t="s">
        <v>19420</v>
      </c>
      <c r="C5671" s="2" t="s">
        <v>19421</v>
      </c>
      <c r="D5671" s="2">
        <v>33</v>
      </c>
      <c r="E5671" s="2">
        <v>35</v>
      </c>
      <c r="F5671" s="2" t="s">
        <v>19422</v>
      </c>
      <c r="H5671" s="2" t="s">
        <v>17</v>
      </c>
    </row>
    <row r="5672" spans="1:14">
      <c r="A5672" s="2">
        <v>5671</v>
      </c>
      <c r="B5672" s="3" t="s">
        <v>19423</v>
      </c>
      <c r="C5672" s="2" t="s">
        <v>19424</v>
      </c>
      <c r="D5672" s="2">
        <v>28</v>
      </c>
      <c r="E5672" s="2">
        <v>35</v>
      </c>
      <c r="F5672" s="2" t="s">
        <v>19425</v>
      </c>
      <c r="H5672" s="2" t="s">
        <v>17</v>
      </c>
      <c r="K5672" s="4" t="s">
        <v>19426</v>
      </c>
      <c r="L5672" s="4">
        <v>13302</v>
      </c>
      <c r="M5672" s="2" t="s">
        <v>30</v>
      </c>
      <c r="N5672" s="2" t="s">
        <v>31</v>
      </c>
    </row>
    <row r="5673" spans="1:14">
      <c r="A5673" s="2">
        <v>5672</v>
      </c>
      <c r="B5673" s="3" t="s">
        <v>19427</v>
      </c>
      <c r="C5673" s="2" t="s">
        <v>14758</v>
      </c>
      <c r="D5673" s="2">
        <v>29</v>
      </c>
      <c r="E5673" s="2">
        <v>35</v>
      </c>
      <c r="F5673" s="2" t="s">
        <v>19428</v>
      </c>
      <c r="H5673" s="2" t="s">
        <v>17</v>
      </c>
      <c r="K5673" s="4" t="s">
        <v>19429</v>
      </c>
      <c r="L5673" s="4">
        <v>12851</v>
      </c>
      <c r="M5673" s="2" t="s">
        <v>85</v>
      </c>
      <c r="N5673" s="2" t="s">
        <v>2800</v>
      </c>
    </row>
    <row r="5674" spans="1:14">
      <c r="A5674" s="2">
        <v>5673</v>
      </c>
      <c r="B5674" s="3" t="s">
        <v>19430</v>
      </c>
      <c r="C5674" s="2" t="s">
        <v>19431</v>
      </c>
      <c r="D5674" s="2">
        <v>34</v>
      </c>
      <c r="E5674" s="2">
        <v>35</v>
      </c>
      <c r="F5674" s="2" t="s">
        <v>19432</v>
      </c>
      <c r="H5674" s="2" t="s">
        <v>17</v>
      </c>
      <c r="K5674" s="4" t="s">
        <v>19433</v>
      </c>
      <c r="L5674" s="4">
        <v>20898</v>
      </c>
      <c r="M5674" s="2" t="s">
        <v>154</v>
      </c>
      <c r="N5674" s="2" t="s">
        <v>208</v>
      </c>
    </row>
    <row r="5675" spans="1:14">
      <c r="A5675" s="2">
        <v>5674</v>
      </c>
      <c r="B5675" s="3" t="s">
        <v>19434</v>
      </c>
      <c r="C5675" s="2" t="s">
        <v>19435</v>
      </c>
      <c r="D5675" s="2">
        <v>35</v>
      </c>
      <c r="E5675" s="2">
        <v>35</v>
      </c>
      <c r="F5675" s="2" t="s">
        <v>19436</v>
      </c>
      <c r="H5675" s="2" t="s">
        <v>17</v>
      </c>
      <c r="K5675" s="4" t="s">
        <v>19437</v>
      </c>
      <c r="L5675" s="4">
        <v>16314</v>
      </c>
      <c r="M5675" s="2" t="s">
        <v>35</v>
      </c>
      <c r="N5675" s="2" t="s">
        <v>6880</v>
      </c>
    </row>
    <row r="5676" spans="1:14">
      <c r="A5676" s="2">
        <v>5675</v>
      </c>
      <c r="B5676" s="3" t="s">
        <v>19438</v>
      </c>
      <c r="C5676" s="2" t="s">
        <v>19439</v>
      </c>
      <c r="D5676" s="2">
        <v>29</v>
      </c>
      <c r="E5676" s="2">
        <v>35</v>
      </c>
      <c r="F5676" s="2" t="s">
        <v>19440</v>
      </c>
      <c r="H5676" s="2" t="s">
        <v>17</v>
      </c>
      <c r="K5676" s="4" t="s">
        <v>19441</v>
      </c>
      <c r="L5676" s="4">
        <v>14771</v>
      </c>
      <c r="M5676" s="2" t="s">
        <v>40</v>
      </c>
      <c r="N5676" s="2" t="s">
        <v>41</v>
      </c>
    </row>
    <row r="5677" spans="1:14">
      <c r="A5677" s="2">
        <v>5676</v>
      </c>
      <c r="B5677" s="3" t="s">
        <v>19442</v>
      </c>
      <c r="C5677" s="2" t="s">
        <v>19443</v>
      </c>
      <c r="D5677" s="2">
        <v>33</v>
      </c>
      <c r="E5677" s="2">
        <v>35</v>
      </c>
      <c r="F5677" s="2" t="s">
        <v>19444</v>
      </c>
      <c r="H5677" s="2" t="s">
        <v>17</v>
      </c>
    </row>
    <row r="5678" spans="1:14">
      <c r="A5678" s="2">
        <v>5677</v>
      </c>
      <c r="B5678" s="3" t="s">
        <v>19445</v>
      </c>
      <c r="C5678" s="2" t="s">
        <v>19446</v>
      </c>
      <c r="D5678" s="2">
        <v>31</v>
      </c>
      <c r="E5678" s="2">
        <v>35</v>
      </c>
      <c r="F5678" s="2" t="s">
        <v>19447</v>
      </c>
      <c r="H5678" s="2" t="s">
        <v>17</v>
      </c>
    </row>
    <row r="5679" spans="1:14">
      <c r="A5679" s="2">
        <v>5678</v>
      </c>
      <c r="B5679" s="3" t="s">
        <v>19448</v>
      </c>
      <c r="C5679" s="2" t="s">
        <v>19449</v>
      </c>
      <c r="D5679" s="2">
        <v>35</v>
      </c>
      <c r="E5679" s="2">
        <v>35</v>
      </c>
      <c r="F5679" s="2" t="s">
        <v>19450</v>
      </c>
      <c r="H5679" s="2" t="s">
        <v>17</v>
      </c>
      <c r="K5679" s="4" t="s">
        <v>19451</v>
      </c>
      <c r="L5679" s="4">
        <v>18551</v>
      </c>
      <c r="M5679" s="2" t="s">
        <v>170</v>
      </c>
      <c r="N5679" s="2" t="s">
        <v>7249</v>
      </c>
    </row>
    <row r="5680" spans="1:14">
      <c r="A5680" s="2">
        <v>5679</v>
      </c>
      <c r="B5680" s="3" t="s">
        <v>19452</v>
      </c>
      <c r="C5680" s="2" t="s">
        <v>19453</v>
      </c>
      <c r="D5680" s="2">
        <v>34</v>
      </c>
      <c r="E5680" s="2">
        <v>35</v>
      </c>
      <c r="F5680" s="2" t="s">
        <v>19454</v>
      </c>
      <c r="H5680" s="2" t="s">
        <v>17</v>
      </c>
    </row>
    <row r="5681" spans="1:14">
      <c r="A5681" s="2">
        <v>5680</v>
      </c>
      <c r="B5681" s="3" t="s">
        <v>19455</v>
      </c>
      <c r="C5681" s="2" t="s">
        <v>19456</v>
      </c>
      <c r="D5681" s="2">
        <v>31</v>
      </c>
      <c r="E5681" s="2">
        <v>35</v>
      </c>
      <c r="F5681" s="2" t="s">
        <v>19457</v>
      </c>
      <c r="H5681" s="2" t="s">
        <v>17</v>
      </c>
    </row>
    <row r="5682" spans="1:14">
      <c r="A5682" s="2">
        <v>5681</v>
      </c>
      <c r="B5682" s="3" t="s">
        <v>19458</v>
      </c>
      <c r="C5682" s="2" t="s">
        <v>19459</v>
      </c>
      <c r="D5682" s="2">
        <v>31</v>
      </c>
      <c r="E5682" s="2">
        <v>35</v>
      </c>
      <c r="F5682" s="2" t="s">
        <v>19460</v>
      </c>
      <c r="H5682" s="2" t="s">
        <v>17</v>
      </c>
      <c r="K5682" s="4" t="s">
        <v>19461</v>
      </c>
      <c r="L5682" s="4">
        <v>15280</v>
      </c>
      <c r="M5682" s="2" t="s">
        <v>85</v>
      </c>
      <c r="N5682" s="2" t="s">
        <v>1356</v>
      </c>
    </row>
    <row r="5683" spans="1:14">
      <c r="A5683" s="2">
        <v>5682</v>
      </c>
      <c r="B5683" s="3" t="s">
        <v>19462</v>
      </c>
      <c r="C5683" s="2" t="s">
        <v>19463</v>
      </c>
      <c r="D5683" s="2">
        <v>34</v>
      </c>
      <c r="E5683" s="2">
        <v>35</v>
      </c>
      <c r="F5683" s="2" t="s">
        <v>19464</v>
      </c>
      <c r="H5683" s="2" t="s">
        <v>17</v>
      </c>
      <c r="K5683" s="4" t="s">
        <v>19465</v>
      </c>
      <c r="L5683" s="4">
        <v>18388</v>
      </c>
      <c r="M5683" s="2" t="s">
        <v>18</v>
      </c>
      <c r="N5683" s="2" t="s">
        <v>11201</v>
      </c>
    </row>
    <row r="5684" spans="1:14">
      <c r="A5684" s="2">
        <v>5683</v>
      </c>
      <c r="B5684" s="3" t="s">
        <v>19466</v>
      </c>
      <c r="C5684" s="2" t="s">
        <v>19467</v>
      </c>
      <c r="D5684" s="2">
        <v>35</v>
      </c>
      <c r="E5684" s="2">
        <v>35</v>
      </c>
      <c r="F5684" s="2" t="s">
        <v>19468</v>
      </c>
      <c r="H5684" s="2" t="s">
        <v>17</v>
      </c>
      <c r="K5684" s="4" t="s">
        <v>19469</v>
      </c>
      <c r="L5684" s="4">
        <v>18412</v>
      </c>
      <c r="M5684" s="2" t="s">
        <v>35</v>
      </c>
      <c r="N5684" s="2" t="s">
        <v>15810</v>
      </c>
    </row>
    <row r="5685" spans="1:14">
      <c r="A5685" s="2">
        <v>5684</v>
      </c>
      <c r="B5685" s="3" t="s">
        <v>19470</v>
      </c>
      <c r="C5685" s="2" t="s">
        <v>19471</v>
      </c>
      <c r="D5685" s="2">
        <v>34</v>
      </c>
      <c r="E5685" s="2">
        <v>35</v>
      </c>
      <c r="F5685" s="2" t="s">
        <v>19472</v>
      </c>
      <c r="H5685" s="2" t="s">
        <v>17</v>
      </c>
      <c r="K5685" s="4" t="s">
        <v>19473</v>
      </c>
      <c r="L5685" s="4">
        <v>22459</v>
      </c>
      <c r="M5685" s="2" t="s">
        <v>192</v>
      </c>
    </row>
    <row r="5686" spans="1:14">
      <c r="A5686" s="2">
        <v>5685</v>
      </c>
      <c r="B5686" s="3" t="s">
        <v>19474</v>
      </c>
      <c r="C5686" s="2" t="s">
        <v>19475</v>
      </c>
      <c r="D5686" s="2">
        <v>33</v>
      </c>
      <c r="E5686" s="2">
        <v>35</v>
      </c>
      <c r="F5686" s="2" t="s">
        <v>19476</v>
      </c>
      <c r="H5686" s="2" t="s">
        <v>17</v>
      </c>
      <c r="K5686" s="4" t="s">
        <v>19477</v>
      </c>
      <c r="L5686" s="4">
        <v>24446</v>
      </c>
    </row>
    <row r="5687" spans="1:14">
      <c r="A5687" s="2">
        <v>5686</v>
      </c>
      <c r="B5687" s="3" t="s">
        <v>19478</v>
      </c>
      <c r="C5687" s="2" t="s">
        <v>19479</v>
      </c>
      <c r="D5687" s="2">
        <v>32</v>
      </c>
      <c r="E5687" s="2">
        <v>35</v>
      </c>
      <c r="F5687" s="2" t="s">
        <v>19480</v>
      </c>
      <c r="H5687" s="2" t="s">
        <v>17</v>
      </c>
      <c r="K5687" s="4" t="s">
        <v>19481</v>
      </c>
      <c r="L5687" s="4">
        <v>29563</v>
      </c>
      <c r="M5687" s="2" t="s">
        <v>76</v>
      </c>
      <c r="N5687" s="2" t="s">
        <v>11022</v>
      </c>
    </row>
    <row r="5688" spans="1:14">
      <c r="A5688" s="2">
        <v>5687</v>
      </c>
      <c r="B5688" s="3" t="s">
        <v>19482</v>
      </c>
      <c r="C5688" s="2" t="s">
        <v>14018</v>
      </c>
      <c r="D5688" s="2">
        <v>35</v>
      </c>
      <c r="E5688" s="2">
        <v>35</v>
      </c>
      <c r="F5688" s="2" t="s">
        <v>19483</v>
      </c>
      <c r="H5688" s="2" t="s">
        <v>17</v>
      </c>
      <c r="K5688" s="4" t="s">
        <v>19484</v>
      </c>
      <c r="L5688" s="4">
        <v>11865</v>
      </c>
      <c r="M5688" s="2" t="s">
        <v>35</v>
      </c>
      <c r="N5688" s="2" t="s">
        <v>6880</v>
      </c>
    </row>
    <row r="5689" spans="1:14">
      <c r="A5689" s="2">
        <v>5688</v>
      </c>
      <c r="B5689" s="3" t="s">
        <v>19485</v>
      </c>
      <c r="C5689" s="2" t="s">
        <v>19486</v>
      </c>
      <c r="D5689" s="2">
        <v>24</v>
      </c>
      <c r="E5689" s="2">
        <v>35</v>
      </c>
      <c r="F5689" s="2" t="s">
        <v>19487</v>
      </c>
      <c r="H5689" s="2" t="s">
        <v>17</v>
      </c>
      <c r="K5689" s="4" t="s">
        <v>19488</v>
      </c>
      <c r="L5689" s="4">
        <v>13827</v>
      </c>
      <c r="M5689" s="2" t="s">
        <v>192</v>
      </c>
      <c r="N5689" s="2" t="s">
        <v>3675</v>
      </c>
    </row>
    <row r="5690" spans="1:14">
      <c r="A5690" s="2">
        <v>5689</v>
      </c>
      <c r="B5690" s="3" t="s">
        <v>19489</v>
      </c>
      <c r="C5690" s="2" t="s">
        <v>19490</v>
      </c>
      <c r="D5690" s="2">
        <v>35</v>
      </c>
      <c r="E5690" s="2">
        <v>35</v>
      </c>
      <c r="F5690" s="2" t="s">
        <v>19491</v>
      </c>
      <c r="H5690" s="2" t="s">
        <v>17</v>
      </c>
      <c r="K5690" s="4" t="s">
        <v>19492</v>
      </c>
      <c r="L5690" s="4">
        <v>27140</v>
      </c>
      <c r="M5690" s="2" t="s">
        <v>140</v>
      </c>
      <c r="N5690" s="2" t="s">
        <v>19493</v>
      </c>
    </row>
    <row r="5691" spans="1:14">
      <c r="A5691" s="2">
        <v>5690</v>
      </c>
      <c r="B5691" s="3" t="s">
        <v>19494</v>
      </c>
      <c r="C5691" s="2" t="s">
        <v>19495</v>
      </c>
      <c r="D5691" s="2">
        <v>24</v>
      </c>
      <c r="E5691" s="2">
        <v>35</v>
      </c>
      <c r="F5691" s="2" t="s">
        <v>19496</v>
      </c>
      <c r="H5691" s="2" t="s">
        <v>17</v>
      </c>
      <c r="K5691" s="4" t="s">
        <v>19497</v>
      </c>
      <c r="L5691" s="4">
        <v>23500</v>
      </c>
      <c r="M5691" s="2" t="s">
        <v>66</v>
      </c>
      <c r="N5691" s="2" t="s">
        <v>71</v>
      </c>
    </row>
    <row r="5692" spans="1:14">
      <c r="A5692" s="2">
        <v>5691</v>
      </c>
      <c r="B5692" s="3" t="s">
        <v>19498</v>
      </c>
      <c r="C5692" s="2" t="s">
        <v>19499</v>
      </c>
      <c r="D5692" s="2">
        <v>32</v>
      </c>
      <c r="E5692" s="2">
        <v>35</v>
      </c>
      <c r="F5692" s="2" t="s">
        <v>19500</v>
      </c>
      <c r="H5692" s="2" t="s">
        <v>17</v>
      </c>
      <c r="K5692" s="4" t="s">
        <v>19501</v>
      </c>
      <c r="L5692" s="4">
        <v>15367</v>
      </c>
      <c r="M5692" s="2" t="s">
        <v>154</v>
      </c>
      <c r="N5692" s="2" t="s">
        <v>13745</v>
      </c>
    </row>
    <row r="5693" spans="1:14">
      <c r="A5693" s="2">
        <v>5692</v>
      </c>
      <c r="B5693" s="3" t="s">
        <v>19502</v>
      </c>
      <c r="C5693" s="2" t="s">
        <v>19503</v>
      </c>
      <c r="D5693" s="2">
        <v>29</v>
      </c>
      <c r="E5693" s="2">
        <v>35</v>
      </c>
      <c r="F5693" s="2" t="s">
        <v>19504</v>
      </c>
      <c r="H5693" s="2" t="s">
        <v>17</v>
      </c>
      <c r="K5693" s="4" t="s">
        <v>19505</v>
      </c>
      <c r="L5693" s="4">
        <v>15015</v>
      </c>
      <c r="M5693" s="2" t="s">
        <v>164</v>
      </c>
      <c r="N5693" s="2" t="s">
        <v>19506</v>
      </c>
    </row>
    <row r="5694" spans="1:14">
      <c r="A5694" s="2">
        <v>5693</v>
      </c>
      <c r="B5694" s="3" t="s">
        <v>19507</v>
      </c>
      <c r="C5694" s="2" t="s">
        <v>19508</v>
      </c>
      <c r="D5694" s="2">
        <v>32</v>
      </c>
      <c r="E5694" s="2">
        <v>35</v>
      </c>
      <c r="F5694" s="2" t="s">
        <v>19509</v>
      </c>
      <c r="H5694" s="2" t="s">
        <v>17</v>
      </c>
      <c r="K5694" s="4" t="s">
        <v>19510</v>
      </c>
      <c r="L5694" s="4">
        <v>19156</v>
      </c>
      <c r="M5694" s="2" t="s">
        <v>336</v>
      </c>
      <c r="N5694" s="2" t="s">
        <v>11018</v>
      </c>
    </row>
    <row r="5695" spans="1:14">
      <c r="A5695" s="2">
        <v>5694</v>
      </c>
      <c r="B5695" s="3" t="s">
        <v>19511</v>
      </c>
      <c r="C5695" s="2" t="s">
        <v>19512</v>
      </c>
      <c r="D5695" s="2">
        <v>32</v>
      </c>
      <c r="E5695" s="2">
        <v>35</v>
      </c>
      <c r="F5695" s="2" t="s">
        <v>19513</v>
      </c>
      <c r="H5695" s="2" t="s">
        <v>17</v>
      </c>
      <c r="K5695" s="4" t="s">
        <v>16549</v>
      </c>
      <c r="L5695" s="4">
        <v>16310</v>
      </c>
      <c r="M5695" s="2" t="s">
        <v>35</v>
      </c>
      <c r="N5695" s="2" t="s">
        <v>10316</v>
      </c>
    </row>
    <row r="5696" spans="1:14">
      <c r="A5696" s="2">
        <v>5695</v>
      </c>
      <c r="B5696" s="3" t="s">
        <v>19514</v>
      </c>
      <c r="C5696" s="2" t="s">
        <v>19515</v>
      </c>
      <c r="D5696" s="2">
        <v>32</v>
      </c>
      <c r="E5696" s="2">
        <v>35</v>
      </c>
      <c r="F5696" s="2" t="s">
        <v>19516</v>
      </c>
      <c r="H5696" s="2" t="s">
        <v>17</v>
      </c>
      <c r="L5696" s="4">
        <v>17082</v>
      </c>
    </row>
    <row r="5697" spans="1:14">
      <c r="A5697" s="2">
        <v>5696</v>
      </c>
      <c r="B5697" s="3" t="s">
        <v>19517</v>
      </c>
      <c r="C5697" s="2" t="s">
        <v>19518</v>
      </c>
      <c r="D5697" s="2">
        <v>28</v>
      </c>
      <c r="E5697" s="2">
        <v>35</v>
      </c>
      <c r="F5697" s="2" t="s">
        <v>19519</v>
      </c>
      <c r="H5697" s="2" t="s">
        <v>17</v>
      </c>
      <c r="L5697" s="4">
        <v>17190</v>
      </c>
    </row>
    <row r="5698" spans="1:14">
      <c r="A5698" s="2">
        <v>5697</v>
      </c>
      <c r="B5698" s="3" t="s">
        <v>19520</v>
      </c>
      <c r="C5698" s="2" t="s">
        <v>19521</v>
      </c>
      <c r="D5698" s="2">
        <v>32</v>
      </c>
      <c r="E5698" s="2">
        <v>35</v>
      </c>
      <c r="F5698" s="2" t="s">
        <v>19522</v>
      </c>
      <c r="H5698" s="2" t="s">
        <v>17</v>
      </c>
      <c r="L5698" s="4">
        <v>15567</v>
      </c>
    </row>
    <row r="5699" spans="1:14">
      <c r="A5699" s="2">
        <v>5698</v>
      </c>
      <c r="B5699" s="3" t="s">
        <v>19523</v>
      </c>
      <c r="C5699" s="2" t="s">
        <v>19524</v>
      </c>
      <c r="D5699" s="2">
        <v>27</v>
      </c>
      <c r="E5699" s="2">
        <v>35</v>
      </c>
      <c r="F5699" s="2" t="s">
        <v>19525</v>
      </c>
      <c r="H5699" s="2" t="s">
        <v>17</v>
      </c>
      <c r="K5699" s="4" t="s">
        <v>19526</v>
      </c>
      <c r="L5699" s="4">
        <v>23361</v>
      </c>
      <c r="M5699" s="2" t="s">
        <v>47</v>
      </c>
      <c r="N5699" s="2" t="s">
        <v>4050</v>
      </c>
    </row>
    <row r="5700" spans="1:14">
      <c r="A5700" s="2">
        <v>5699</v>
      </c>
      <c r="B5700" s="3" t="s">
        <v>19527</v>
      </c>
      <c r="C5700" s="2" t="s">
        <v>19528</v>
      </c>
      <c r="D5700" s="2">
        <v>33</v>
      </c>
      <c r="E5700" s="2">
        <v>35</v>
      </c>
      <c r="F5700" s="2" t="s">
        <v>19529</v>
      </c>
      <c r="H5700" s="2" t="s">
        <v>17</v>
      </c>
      <c r="K5700" s="4" t="s">
        <v>19530</v>
      </c>
      <c r="M5700" s="2" t="s">
        <v>35</v>
      </c>
      <c r="N5700" s="2" t="s">
        <v>15810</v>
      </c>
    </row>
    <row r="5701" spans="1:14">
      <c r="A5701" s="2">
        <v>5700</v>
      </c>
      <c r="B5701" s="3" t="s">
        <v>19531</v>
      </c>
      <c r="C5701" s="2" t="s">
        <v>19532</v>
      </c>
      <c r="D5701" s="2">
        <v>33</v>
      </c>
      <c r="E5701" s="2">
        <v>35</v>
      </c>
      <c r="F5701" s="2" t="s">
        <v>19533</v>
      </c>
      <c r="H5701" s="2" t="s">
        <v>17</v>
      </c>
      <c r="K5701" s="4" t="s">
        <v>19534</v>
      </c>
      <c r="L5701" s="4">
        <v>19543</v>
      </c>
      <c r="M5701" s="2" t="s">
        <v>40</v>
      </c>
      <c r="N5701" s="2" t="s">
        <v>6442</v>
      </c>
    </row>
    <row r="5702" spans="1:14">
      <c r="A5702" s="2">
        <v>5701</v>
      </c>
      <c r="B5702" s="3" t="s">
        <v>19535</v>
      </c>
      <c r="C5702" s="2" t="s">
        <v>19536</v>
      </c>
      <c r="D5702" s="2">
        <v>34</v>
      </c>
      <c r="E5702" s="2">
        <v>35</v>
      </c>
      <c r="F5702" s="2" t="s">
        <v>19537</v>
      </c>
      <c r="H5702" s="2" t="s">
        <v>17</v>
      </c>
      <c r="K5702" s="4" t="s">
        <v>19538</v>
      </c>
      <c r="L5702" s="4">
        <v>22343</v>
      </c>
      <c r="M5702" s="2" t="s">
        <v>76</v>
      </c>
      <c r="N5702" s="2" t="s">
        <v>906</v>
      </c>
    </row>
    <row r="5703" spans="1:14">
      <c r="A5703" s="2">
        <v>5702</v>
      </c>
      <c r="B5703" s="3" t="s">
        <v>19539</v>
      </c>
      <c r="C5703" s="2" t="s">
        <v>19540</v>
      </c>
      <c r="D5703" s="2">
        <v>34</v>
      </c>
      <c r="E5703" s="2">
        <v>35</v>
      </c>
      <c r="F5703" s="2" t="s">
        <v>19541</v>
      </c>
      <c r="H5703" s="2" t="s">
        <v>17</v>
      </c>
      <c r="K5703" s="4" t="s">
        <v>19542</v>
      </c>
      <c r="L5703" s="4">
        <v>18452</v>
      </c>
    </row>
    <row r="5704" spans="1:14">
      <c r="A5704" s="2">
        <v>5703</v>
      </c>
      <c r="B5704" s="3" t="s">
        <v>19543</v>
      </c>
      <c r="C5704" s="2" t="s">
        <v>19544</v>
      </c>
      <c r="D5704" s="2">
        <v>31</v>
      </c>
      <c r="E5704" s="2">
        <v>35</v>
      </c>
      <c r="F5704" s="2" t="s">
        <v>19545</v>
      </c>
      <c r="H5704" s="2" t="s">
        <v>17</v>
      </c>
      <c r="K5704" s="4" t="s">
        <v>19350</v>
      </c>
      <c r="L5704" s="4">
        <v>20100</v>
      </c>
      <c r="M5704" s="2" t="s">
        <v>66</v>
      </c>
      <c r="N5704" s="2" t="s">
        <v>6963</v>
      </c>
    </row>
    <row r="5705" spans="1:14">
      <c r="A5705" s="2">
        <v>5704</v>
      </c>
      <c r="B5705" s="3" t="s">
        <v>19546</v>
      </c>
      <c r="C5705" s="2" t="s">
        <v>19547</v>
      </c>
      <c r="D5705" s="2">
        <v>34</v>
      </c>
      <c r="E5705" s="2">
        <v>35</v>
      </c>
      <c r="F5705" s="2" t="s">
        <v>19548</v>
      </c>
      <c r="H5705" s="2" t="s">
        <v>17</v>
      </c>
      <c r="K5705" s="4" t="s">
        <v>19549</v>
      </c>
      <c r="L5705" s="4">
        <v>13580</v>
      </c>
      <c r="M5705" s="2" t="s">
        <v>198</v>
      </c>
      <c r="N5705" s="2" t="s">
        <v>19550</v>
      </c>
    </row>
    <row r="5706" spans="1:14">
      <c r="A5706" s="2">
        <v>5705</v>
      </c>
      <c r="B5706" s="3" t="s">
        <v>19551</v>
      </c>
      <c r="C5706" s="2" t="s">
        <v>19552</v>
      </c>
      <c r="D5706" s="2">
        <v>35</v>
      </c>
      <c r="E5706" s="2">
        <v>35</v>
      </c>
      <c r="F5706" s="2" t="s">
        <v>19553</v>
      </c>
      <c r="H5706" s="2" t="s">
        <v>17</v>
      </c>
      <c r="L5706" s="4">
        <v>28989</v>
      </c>
    </row>
    <row r="5707" spans="1:14">
      <c r="A5707" s="2">
        <v>5706</v>
      </c>
      <c r="B5707" s="3" t="s">
        <v>19554</v>
      </c>
      <c r="C5707" s="2" t="s">
        <v>19555</v>
      </c>
      <c r="D5707" s="2">
        <v>33</v>
      </c>
      <c r="E5707" s="2">
        <v>35</v>
      </c>
      <c r="F5707" s="2" t="s">
        <v>19556</v>
      </c>
      <c r="H5707" s="2" t="s">
        <v>17</v>
      </c>
      <c r="K5707" s="4" t="s">
        <v>19557</v>
      </c>
      <c r="L5707" s="4">
        <v>21148</v>
      </c>
      <c r="M5707" s="2" t="s">
        <v>40</v>
      </c>
      <c r="N5707" s="2" t="s">
        <v>1528</v>
      </c>
    </row>
    <row r="5708" spans="1:14">
      <c r="A5708" s="2">
        <v>5707</v>
      </c>
      <c r="B5708" s="3" t="s">
        <v>19558</v>
      </c>
      <c r="C5708" s="2" t="s">
        <v>18931</v>
      </c>
      <c r="D5708" s="2">
        <v>27</v>
      </c>
      <c r="E5708" s="2">
        <v>35</v>
      </c>
      <c r="F5708" s="2" t="s">
        <v>19559</v>
      </c>
      <c r="H5708" s="2" t="s">
        <v>17</v>
      </c>
      <c r="K5708" s="4" t="s">
        <v>19560</v>
      </c>
      <c r="L5708" s="4">
        <v>16044</v>
      </c>
      <c r="M5708" s="2" t="s">
        <v>66</v>
      </c>
      <c r="N5708" s="2" t="s">
        <v>3640</v>
      </c>
    </row>
    <row r="5709" spans="1:14">
      <c r="A5709" s="2">
        <v>5708</v>
      </c>
      <c r="B5709" s="3" t="s">
        <v>19561</v>
      </c>
      <c r="C5709" s="2" t="s">
        <v>19562</v>
      </c>
      <c r="D5709" s="2">
        <v>33</v>
      </c>
      <c r="E5709" s="2">
        <v>35</v>
      </c>
      <c r="F5709" s="2" t="s">
        <v>19563</v>
      </c>
      <c r="H5709" s="2" t="s">
        <v>17</v>
      </c>
      <c r="L5709" s="4">
        <v>22689</v>
      </c>
    </row>
    <row r="5710" spans="1:14">
      <c r="A5710" s="2">
        <v>5709</v>
      </c>
      <c r="B5710" s="3" t="s">
        <v>19564</v>
      </c>
      <c r="C5710" s="2" t="s">
        <v>19565</v>
      </c>
      <c r="D5710" s="2">
        <v>25</v>
      </c>
      <c r="E5710" s="2">
        <v>35</v>
      </c>
      <c r="F5710" s="2" t="s">
        <v>19566</v>
      </c>
      <c r="H5710" s="2" t="s">
        <v>17</v>
      </c>
      <c r="K5710" s="4" t="s">
        <v>19567</v>
      </c>
      <c r="L5710" s="4">
        <v>14426</v>
      </c>
      <c r="M5710" s="2" t="s">
        <v>47</v>
      </c>
      <c r="N5710" s="2" t="s">
        <v>19568</v>
      </c>
    </row>
    <row r="5711" spans="1:14">
      <c r="A5711" s="2">
        <v>5710</v>
      </c>
      <c r="B5711" s="3" t="s">
        <v>19569</v>
      </c>
      <c r="C5711" s="2" t="s">
        <v>19570</v>
      </c>
      <c r="D5711" s="2">
        <v>35</v>
      </c>
      <c r="E5711" s="2">
        <v>35</v>
      </c>
      <c r="F5711" s="2" t="s">
        <v>19571</v>
      </c>
      <c r="H5711" s="2" t="s">
        <v>17</v>
      </c>
      <c r="K5711" s="4" t="s">
        <v>19530</v>
      </c>
      <c r="L5711" s="4">
        <v>20728</v>
      </c>
      <c r="M5711" s="2" t="s">
        <v>85</v>
      </c>
      <c r="N5711" s="2" t="s">
        <v>86</v>
      </c>
    </row>
    <row r="5712" spans="1:14">
      <c r="A5712" s="2">
        <v>5711</v>
      </c>
      <c r="B5712" s="3" t="s">
        <v>19572</v>
      </c>
      <c r="C5712" s="2" t="s">
        <v>19573</v>
      </c>
      <c r="D5712" s="2">
        <v>34</v>
      </c>
      <c r="E5712" s="2">
        <v>35</v>
      </c>
      <c r="F5712" s="2" t="s">
        <v>19574</v>
      </c>
      <c r="H5712" s="2" t="s">
        <v>17</v>
      </c>
      <c r="K5712" s="4" t="s">
        <v>19575</v>
      </c>
      <c r="L5712" s="4">
        <v>24572</v>
      </c>
      <c r="M5712" s="2" t="s">
        <v>185</v>
      </c>
      <c r="N5712" s="2" t="s">
        <v>19576</v>
      </c>
    </row>
    <row r="5713" spans="1:14">
      <c r="A5713" s="2">
        <v>5712</v>
      </c>
      <c r="B5713" s="3" t="s">
        <v>19577</v>
      </c>
      <c r="C5713" s="2" t="s">
        <v>19578</v>
      </c>
      <c r="D5713" s="2">
        <v>35</v>
      </c>
      <c r="E5713" s="2">
        <v>35</v>
      </c>
      <c r="F5713" s="2" t="s">
        <v>19579</v>
      </c>
      <c r="H5713" s="2" t="s">
        <v>17</v>
      </c>
      <c r="K5713" s="4" t="s">
        <v>19580</v>
      </c>
      <c r="L5713" s="4">
        <v>25890</v>
      </c>
      <c r="M5713" s="2" t="s">
        <v>192</v>
      </c>
      <c r="N5713" s="2" t="s">
        <v>15041</v>
      </c>
    </row>
    <row r="5714" spans="1:14">
      <c r="A5714" s="2">
        <v>5713</v>
      </c>
      <c r="B5714" s="3" t="s">
        <v>19581</v>
      </c>
      <c r="C5714" s="2" t="s">
        <v>19582</v>
      </c>
      <c r="D5714" s="2">
        <v>33</v>
      </c>
      <c r="E5714" s="2">
        <v>34</v>
      </c>
      <c r="F5714" s="2" t="s">
        <v>19583</v>
      </c>
      <c r="H5714" s="2" t="s">
        <v>17</v>
      </c>
      <c r="K5714" s="4" t="s">
        <v>19584</v>
      </c>
      <c r="M5714" s="2" t="s">
        <v>30</v>
      </c>
      <c r="N5714" s="2" t="s">
        <v>31</v>
      </c>
    </row>
    <row r="5715" spans="1:14">
      <c r="A5715" s="2">
        <v>5714</v>
      </c>
      <c r="B5715" s="3" t="s">
        <v>19585</v>
      </c>
      <c r="C5715" s="2" t="s">
        <v>19586</v>
      </c>
      <c r="D5715" s="2">
        <v>33</v>
      </c>
      <c r="E5715" s="2">
        <v>34</v>
      </c>
      <c r="F5715" s="2" t="s">
        <v>19587</v>
      </c>
      <c r="H5715" s="2" t="s">
        <v>17</v>
      </c>
    </row>
    <row r="5716" spans="1:14">
      <c r="A5716" s="2">
        <v>5715</v>
      </c>
      <c r="B5716" s="3" t="s">
        <v>19588</v>
      </c>
      <c r="C5716" s="2" t="s">
        <v>19589</v>
      </c>
      <c r="D5716" s="2">
        <v>31</v>
      </c>
      <c r="E5716" s="2">
        <v>34</v>
      </c>
      <c r="F5716" s="2" t="s">
        <v>19590</v>
      </c>
      <c r="H5716" s="2" t="s">
        <v>17</v>
      </c>
      <c r="L5716" s="4">
        <v>12875</v>
      </c>
    </row>
    <row r="5717" spans="1:14">
      <c r="A5717" s="2">
        <v>5716</v>
      </c>
      <c r="B5717" s="3" t="s">
        <v>19591</v>
      </c>
      <c r="C5717" s="2" t="s">
        <v>19592</v>
      </c>
      <c r="D5717" s="2">
        <v>26</v>
      </c>
      <c r="E5717" s="2">
        <v>34</v>
      </c>
      <c r="F5717" s="2" t="s">
        <v>19593</v>
      </c>
      <c r="H5717" s="2" t="s">
        <v>17</v>
      </c>
      <c r="K5717" s="4" t="s">
        <v>19594</v>
      </c>
      <c r="L5717" s="4">
        <v>16103</v>
      </c>
      <c r="M5717" s="2" t="s">
        <v>336</v>
      </c>
      <c r="N5717" s="2" t="s">
        <v>13729</v>
      </c>
    </row>
    <row r="5718" spans="1:14">
      <c r="A5718" s="2">
        <v>5717</v>
      </c>
      <c r="B5718" s="3" t="s">
        <v>19595</v>
      </c>
      <c r="C5718" s="2" t="s">
        <v>19596</v>
      </c>
      <c r="D5718" s="2">
        <v>34</v>
      </c>
      <c r="E5718" s="2">
        <v>34</v>
      </c>
      <c r="F5718" s="2" t="s">
        <v>19597</v>
      </c>
      <c r="H5718" s="2" t="s">
        <v>17</v>
      </c>
      <c r="K5718" s="4" t="s">
        <v>19598</v>
      </c>
      <c r="L5718" s="4">
        <v>19891</v>
      </c>
      <c r="M5718" s="2" t="s">
        <v>53</v>
      </c>
      <c r="N5718" s="2" t="s">
        <v>9689</v>
      </c>
    </row>
    <row r="5719" spans="1:14">
      <c r="A5719" s="2">
        <v>5718</v>
      </c>
      <c r="B5719" s="3" t="s">
        <v>19599</v>
      </c>
      <c r="C5719" s="2" t="s">
        <v>19600</v>
      </c>
      <c r="D5719" s="2">
        <v>30</v>
      </c>
      <c r="E5719" s="2">
        <v>34</v>
      </c>
      <c r="F5719" s="2" t="s">
        <v>19601</v>
      </c>
      <c r="H5719" s="2" t="s">
        <v>17</v>
      </c>
      <c r="K5719" s="4" t="s">
        <v>19602</v>
      </c>
      <c r="L5719" s="4">
        <v>12277</v>
      </c>
      <c r="M5719" s="2" t="s">
        <v>66</v>
      </c>
      <c r="N5719" s="2" t="s">
        <v>6179</v>
      </c>
    </row>
    <row r="5720" spans="1:14">
      <c r="A5720" s="2">
        <v>5719</v>
      </c>
      <c r="B5720" s="3" t="s">
        <v>19603</v>
      </c>
      <c r="C5720" s="2" t="s">
        <v>19604</v>
      </c>
      <c r="D5720" s="2">
        <v>34</v>
      </c>
      <c r="E5720" s="2">
        <v>34</v>
      </c>
      <c r="F5720" s="2" t="s">
        <v>19605</v>
      </c>
      <c r="H5720" s="2" t="s">
        <v>17</v>
      </c>
    </row>
    <row r="5721" spans="1:14">
      <c r="A5721" s="2">
        <v>5720</v>
      </c>
      <c r="B5721" s="3" t="s">
        <v>19606</v>
      </c>
      <c r="C5721" s="2" t="s">
        <v>19607</v>
      </c>
      <c r="D5721" s="2">
        <v>33</v>
      </c>
      <c r="E5721" s="2">
        <v>34</v>
      </c>
      <c r="F5721" s="2" t="s">
        <v>19608</v>
      </c>
      <c r="H5721" s="2" t="s">
        <v>17</v>
      </c>
      <c r="K5721" s="4" t="s">
        <v>19609</v>
      </c>
      <c r="L5721" s="4">
        <v>23650</v>
      </c>
      <c r="M5721" s="2" t="s">
        <v>170</v>
      </c>
      <c r="N5721" s="2" t="s">
        <v>2157</v>
      </c>
    </row>
    <row r="5722" spans="1:14">
      <c r="A5722" s="2">
        <v>5721</v>
      </c>
      <c r="B5722" s="3" t="s">
        <v>19610</v>
      </c>
      <c r="C5722" s="2" t="s">
        <v>19611</v>
      </c>
      <c r="D5722" s="2">
        <v>34</v>
      </c>
      <c r="E5722" s="2">
        <v>34</v>
      </c>
      <c r="F5722" s="2" t="s">
        <v>19612</v>
      </c>
      <c r="H5722" s="2" t="s">
        <v>17</v>
      </c>
      <c r="K5722" s="4" t="s">
        <v>19613</v>
      </c>
      <c r="L5722" s="4">
        <v>10565</v>
      </c>
      <c r="M5722" s="2" t="s">
        <v>198</v>
      </c>
      <c r="N5722" s="2" t="s">
        <v>199</v>
      </c>
    </row>
    <row r="5723" spans="1:14">
      <c r="A5723" s="2">
        <v>5722</v>
      </c>
      <c r="B5723" s="3" t="s">
        <v>19614</v>
      </c>
      <c r="C5723" s="2" t="s">
        <v>19615</v>
      </c>
      <c r="D5723" s="2">
        <v>29</v>
      </c>
      <c r="E5723" s="2">
        <v>34</v>
      </c>
      <c r="F5723" s="2" t="s">
        <v>19616</v>
      </c>
      <c r="H5723" s="2" t="s">
        <v>17</v>
      </c>
      <c r="K5723" s="4" t="s">
        <v>19617</v>
      </c>
      <c r="L5723" s="4">
        <v>22840</v>
      </c>
      <c r="M5723" s="2" t="s">
        <v>341</v>
      </c>
      <c r="N5723" s="2" t="s">
        <v>6605</v>
      </c>
    </row>
    <row r="5724" spans="1:14">
      <c r="A5724" s="2">
        <v>5723</v>
      </c>
      <c r="B5724" s="3" t="s">
        <v>19618</v>
      </c>
      <c r="C5724" s="2" t="s">
        <v>19619</v>
      </c>
      <c r="D5724" s="2">
        <v>29</v>
      </c>
      <c r="E5724" s="2">
        <v>34</v>
      </c>
      <c r="F5724" s="2" t="s">
        <v>19620</v>
      </c>
      <c r="H5724" s="2" t="s">
        <v>17</v>
      </c>
      <c r="K5724" s="4" t="s">
        <v>19621</v>
      </c>
      <c r="L5724" s="4">
        <v>10029</v>
      </c>
      <c r="M5724" s="2" t="s">
        <v>140</v>
      </c>
      <c r="N5724" s="2" t="s">
        <v>15720</v>
      </c>
    </row>
    <row r="5725" spans="1:14">
      <c r="A5725" s="2">
        <v>5724</v>
      </c>
      <c r="B5725" s="3" t="s">
        <v>19622</v>
      </c>
      <c r="C5725" s="2" t="s">
        <v>19623</v>
      </c>
      <c r="D5725" s="2">
        <v>31</v>
      </c>
      <c r="E5725" s="2">
        <v>34</v>
      </c>
      <c r="F5725" s="2" t="s">
        <v>19624</v>
      </c>
      <c r="H5725" s="2" t="s">
        <v>17</v>
      </c>
      <c r="K5725" s="4" t="s">
        <v>19625</v>
      </c>
      <c r="L5725" s="4">
        <v>10029</v>
      </c>
      <c r="M5725" s="2" t="s">
        <v>140</v>
      </c>
      <c r="N5725" s="2" t="s">
        <v>294</v>
      </c>
    </row>
    <row r="5726" spans="1:14">
      <c r="A5726" s="2">
        <v>5725</v>
      </c>
      <c r="B5726" s="3" t="s">
        <v>19626</v>
      </c>
      <c r="C5726" s="2" t="s">
        <v>19627</v>
      </c>
      <c r="D5726" s="2">
        <v>32</v>
      </c>
      <c r="E5726" s="2">
        <v>34</v>
      </c>
      <c r="F5726" s="2" t="s">
        <v>19628</v>
      </c>
      <c r="H5726" s="2" t="s">
        <v>17</v>
      </c>
    </row>
    <row r="5727" spans="1:14">
      <c r="A5727" s="2">
        <v>5726</v>
      </c>
      <c r="B5727" s="3" t="s">
        <v>19629</v>
      </c>
      <c r="C5727" s="2" t="s">
        <v>19630</v>
      </c>
      <c r="D5727" s="2">
        <v>34</v>
      </c>
      <c r="E5727" s="2">
        <v>34</v>
      </c>
      <c r="F5727" s="2" t="s">
        <v>19631</v>
      </c>
      <c r="H5727" s="2" t="s">
        <v>17</v>
      </c>
    </row>
    <row r="5728" spans="1:14">
      <c r="A5728" s="2">
        <v>5727</v>
      </c>
      <c r="B5728" s="3" t="s">
        <v>19632</v>
      </c>
      <c r="C5728" s="2" t="s">
        <v>14292</v>
      </c>
      <c r="D5728" s="2">
        <v>32</v>
      </c>
      <c r="E5728" s="2">
        <v>34</v>
      </c>
      <c r="F5728" s="2" t="s">
        <v>19633</v>
      </c>
      <c r="H5728" s="2" t="s">
        <v>17</v>
      </c>
    </row>
    <row r="5729" spans="1:14">
      <c r="A5729" s="2">
        <v>5728</v>
      </c>
      <c r="B5729" s="3" t="s">
        <v>19634</v>
      </c>
      <c r="C5729" s="2" t="s">
        <v>19635</v>
      </c>
      <c r="D5729" s="2">
        <v>33</v>
      </c>
      <c r="E5729" s="2">
        <v>34</v>
      </c>
      <c r="F5729" s="2" t="s">
        <v>19636</v>
      </c>
      <c r="H5729" s="2" t="s">
        <v>17</v>
      </c>
      <c r="K5729" s="4" t="s">
        <v>19637</v>
      </c>
      <c r="L5729" s="4">
        <v>21168</v>
      </c>
      <c r="M5729" s="2" t="s">
        <v>35</v>
      </c>
      <c r="N5729" s="2" t="s">
        <v>19638</v>
      </c>
    </row>
    <row r="5730" spans="1:14">
      <c r="A5730" s="2">
        <v>5729</v>
      </c>
      <c r="B5730" s="3" t="s">
        <v>19639</v>
      </c>
      <c r="C5730" s="2" t="s">
        <v>19640</v>
      </c>
      <c r="D5730" s="2">
        <v>33</v>
      </c>
      <c r="E5730" s="2">
        <v>34</v>
      </c>
      <c r="F5730" s="2" t="s">
        <v>19641</v>
      </c>
      <c r="H5730" s="2" t="s">
        <v>17</v>
      </c>
    </row>
    <row r="5731" spans="1:14">
      <c r="A5731" s="2">
        <v>5730</v>
      </c>
      <c r="B5731" s="3" t="s">
        <v>19642</v>
      </c>
      <c r="C5731" s="2" t="s">
        <v>19643</v>
      </c>
      <c r="D5731" s="2">
        <v>30</v>
      </c>
      <c r="E5731" s="2">
        <v>34</v>
      </c>
      <c r="F5731" s="2" t="s">
        <v>19644</v>
      </c>
      <c r="H5731" s="2" t="s">
        <v>17</v>
      </c>
      <c r="L5731" s="4">
        <v>10529</v>
      </c>
    </row>
    <row r="5732" spans="1:14">
      <c r="A5732" s="2">
        <v>5731</v>
      </c>
      <c r="B5732" s="3" t="s">
        <v>19645</v>
      </c>
      <c r="C5732" s="2" t="s">
        <v>19646</v>
      </c>
      <c r="D5732" s="2">
        <v>33</v>
      </c>
      <c r="E5732" s="2">
        <v>34</v>
      </c>
      <c r="F5732" s="2" t="s">
        <v>19647</v>
      </c>
      <c r="H5732" s="2" t="s">
        <v>17</v>
      </c>
      <c r="K5732" s="4" t="s">
        <v>19648</v>
      </c>
      <c r="L5732" s="4">
        <v>20670</v>
      </c>
    </row>
    <row r="5733" spans="1:14">
      <c r="A5733" s="2">
        <v>5732</v>
      </c>
      <c r="B5733" s="3" t="s">
        <v>19649</v>
      </c>
      <c r="C5733" s="2" t="s">
        <v>19650</v>
      </c>
      <c r="D5733" s="2">
        <v>33</v>
      </c>
      <c r="E5733" s="2">
        <v>34</v>
      </c>
      <c r="F5733" s="2" t="s">
        <v>19651</v>
      </c>
      <c r="H5733" s="2" t="s">
        <v>17</v>
      </c>
    </row>
    <row r="5734" spans="1:14">
      <c r="A5734" s="2">
        <v>5733</v>
      </c>
      <c r="B5734" s="3" t="s">
        <v>19652</v>
      </c>
      <c r="C5734" s="2" t="s">
        <v>19653</v>
      </c>
      <c r="D5734" s="2">
        <v>23</v>
      </c>
      <c r="E5734" s="2">
        <v>34</v>
      </c>
      <c r="F5734" s="2" t="s">
        <v>19654</v>
      </c>
      <c r="H5734" s="2" t="s">
        <v>17</v>
      </c>
      <c r="K5734" s="4" t="s">
        <v>19655</v>
      </c>
      <c r="L5734" s="4">
        <v>17599</v>
      </c>
      <c r="M5734" s="2" t="s">
        <v>146</v>
      </c>
      <c r="N5734" s="2" t="s">
        <v>8769</v>
      </c>
    </row>
    <row r="5735" spans="1:14">
      <c r="A5735" s="2">
        <v>5734</v>
      </c>
      <c r="B5735" s="3" t="s">
        <v>19656</v>
      </c>
      <c r="C5735" s="2" t="s">
        <v>14369</v>
      </c>
      <c r="D5735" s="2">
        <v>30</v>
      </c>
      <c r="E5735" s="2">
        <v>34</v>
      </c>
      <c r="F5735" s="2" t="s">
        <v>19657</v>
      </c>
      <c r="H5735" s="2" t="s">
        <v>17</v>
      </c>
      <c r="K5735" s="4" t="s">
        <v>19658</v>
      </c>
      <c r="L5735" s="4">
        <v>19911</v>
      </c>
      <c r="M5735" s="2" t="s">
        <v>146</v>
      </c>
      <c r="N5735" s="2" t="s">
        <v>7497</v>
      </c>
    </row>
    <row r="5736" spans="1:14">
      <c r="A5736" s="2">
        <v>5735</v>
      </c>
      <c r="B5736" s="3" t="s">
        <v>19659</v>
      </c>
      <c r="C5736" s="2" t="s">
        <v>19660</v>
      </c>
      <c r="D5736" s="2">
        <v>32</v>
      </c>
      <c r="E5736" s="2">
        <v>34</v>
      </c>
      <c r="F5736" s="2" t="s">
        <v>19661</v>
      </c>
      <c r="H5736" s="2" t="s">
        <v>17</v>
      </c>
    </row>
    <row r="5737" spans="1:14">
      <c r="A5737" s="2">
        <v>5736</v>
      </c>
      <c r="B5737" s="3" t="s">
        <v>19662</v>
      </c>
      <c r="C5737" s="2" t="s">
        <v>19663</v>
      </c>
      <c r="D5737" s="2">
        <v>31</v>
      </c>
      <c r="E5737" s="2">
        <v>34</v>
      </c>
      <c r="F5737" s="2" t="s">
        <v>19664</v>
      </c>
      <c r="H5737" s="2" t="s">
        <v>17</v>
      </c>
      <c r="K5737" s="4" t="s">
        <v>19665</v>
      </c>
      <c r="L5737" s="4">
        <v>19763</v>
      </c>
      <c r="M5737" s="2" t="s">
        <v>66</v>
      </c>
      <c r="N5737" s="2" t="s">
        <v>71</v>
      </c>
    </row>
    <row r="5738" spans="1:14">
      <c r="A5738" s="2">
        <v>5737</v>
      </c>
      <c r="B5738" s="3" t="s">
        <v>19666</v>
      </c>
      <c r="C5738" s="2" t="s">
        <v>19667</v>
      </c>
      <c r="D5738" s="2">
        <v>32</v>
      </c>
      <c r="E5738" s="2">
        <v>34</v>
      </c>
      <c r="F5738" s="2" t="s">
        <v>19668</v>
      </c>
      <c r="H5738" s="2" t="s">
        <v>17</v>
      </c>
      <c r="K5738" s="4" t="s">
        <v>19669</v>
      </c>
      <c r="L5738" s="4">
        <v>13901</v>
      </c>
      <c r="M5738" s="2" t="s">
        <v>35</v>
      </c>
      <c r="N5738" s="2" t="s">
        <v>2152</v>
      </c>
    </row>
    <row r="5739" spans="1:14">
      <c r="A5739" s="2">
        <v>5738</v>
      </c>
      <c r="B5739" s="3" t="s">
        <v>19670</v>
      </c>
      <c r="C5739" s="2" t="s">
        <v>19671</v>
      </c>
      <c r="D5739" s="2">
        <v>31</v>
      </c>
      <c r="E5739" s="2">
        <v>34</v>
      </c>
      <c r="F5739" s="2" t="s">
        <v>19672</v>
      </c>
      <c r="H5739" s="2" t="s">
        <v>17</v>
      </c>
      <c r="L5739" s="4">
        <v>17816</v>
      </c>
      <c r="M5739" s="2" t="s">
        <v>35</v>
      </c>
      <c r="N5739" s="2" t="s">
        <v>11458</v>
      </c>
    </row>
    <row r="5740" spans="1:14">
      <c r="A5740" s="2">
        <v>5739</v>
      </c>
      <c r="B5740" s="3" t="s">
        <v>19673</v>
      </c>
      <c r="C5740" s="2" t="s">
        <v>19674</v>
      </c>
      <c r="D5740" s="2">
        <v>33</v>
      </c>
      <c r="E5740" s="2">
        <v>34</v>
      </c>
      <c r="F5740" s="2" t="s">
        <v>19675</v>
      </c>
      <c r="H5740" s="2" t="s">
        <v>17</v>
      </c>
      <c r="K5740" s="4" t="s">
        <v>19676</v>
      </c>
      <c r="L5740" s="4">
        <v>11211</v>
      </c>
      <c r="M5740" s="2" t="s">
        <v>969</v>
      </c>
      <c r="N5740" s="2" t="s">
        <v>323</v>
      </c>
    </row>
    <row r="5741" spans="1:14">
      <c r="A5741" s="2">
        <v>5740</v>
      </c>
      <c r="B5741" s="3" t="s">
        <v>19677</v>
      </c>
      <c r="C5741" s="2" t="s">
        <v>19678</v>
      </c>
      <c r="D5741" s="2">
        <v>34</v>
      </c>
      <c r="E5741" s="2">
        <v>34</v>
      </c>
      <c r="F5741" s="2" t="s">
        <v>19679</v>
      </c>
      <c r="H5741" s="2" t="s">
        <v>17</v>
      </c>
      <c r="K5741" s="4" t="s">
        <v>17874</v>
      </c>
      <c r="L5741" s="4">
        <v>21375</v>
      </c>
      <c r="M5741" s="2" t="s">
        <v>198</v>
      </c>
      <c r="N5741" s="2" t="s">
        <v>199</v>
      </c>
    </row>
    <row r="5742" spans="1:14">
      <c r="A5742" s="2">
        <v>5741</v>
      </c>
      <c r="B5742" s="3" t="s">
        <v>19680</v>
      </c>
      <c r="C5742" s="2" t="s">
        <v>19681</v>
      </c>
      <c r="D5742" s="2">
        <v>33</v>
      </c>
      <c r="E5742" s="2">
        <v>34</v>
      </c>
      <c r="F5742" s="2" t="s">
        <v>19682</v>
      </c>
      <c r="H5742" s="2" t="s">
        <v>17</v>
      </c>
      <c r="K5742" s="4" t="s">
        <v>19683</v>
      </c>
      <c r="L5742" s="4">
        <v>20268</v>
      </c>
      <c r="M5742" s="2" t="s">
        <v>154</v>
      </c>
      <c r="N5742" s="2" t="s">
        <v>15684</v>
      </c>
    </row>
    <row r="5743" spans="1:14">
      <c r="A5743" s="2">
        <v>5742</v>
      </c>
      <c r="B5743" s="3" t="s">
        <v>19684</v>
      </c>
      <c r="C5743" s="2" t="s">
        <v>19685</v>
      </c>
      <c r="D5743" s="2">
        <v>33</v>
      </c>
      <c r="E5743" s="2">
        <v>34</v>
      </c>
      <c r="F5743" s="2" t="s">
        <v>19686</v>
      </c>
      <c r="H5743" s="2" t="s">
        <v>17</v>
      </c>
      <c r="K5743" s="4" t="s">
        <v>19687</v>
      </c>
      <c r="L5743" s="4">
        <v>17872</v>
      </c>
      <c r="M5743" s="2" t="s">
        <v>170</v>
      </c>
      <c r="N5743" s="2" t="s">
        <v>355</v>
      </c>
    </row>
    <row r="5744" spans="1:14">
      <c r="A5744" s="2">
        <v>5743</v>
      </c>
      <c r="B5744" s="3" t="s">
        <v>19688</v>
      </c>
      <c r="C5744" s="2" t="s">
        <v>19689</v>
      </c>
      <c r="D5744" s="2">
        <v>33</v>
      </c>
      <c r="E5744" s="2">
        <v>34</v>
      </c>
      <c r="F5744" s="2" t="s">
        <v>19690</v>
      </c>
      <c r="H5744" s="2" t="s">
        <v>17</v>
      </c>
      <c r="K5744" s="4" t="s">
        <v>19691</v>
      </c>
      <c r="L5744" s="4">
        <v>25975</v>
      </c>
      <c r="M5744" s="2" t="s">
        <v>66</v>
      </c>
      <c r="N5744" s="2" t="s">
        <v>16417</v>
      </c>
    </row>
    <row r="5745" spans="1:14">
      <c r="A5745" s="2">
        <v>5744</v>
      </c>
      <c r="B5745" s="3" t="s">
        <v>19692</v>
      </c>
      <c r="C5745" s="2" t="s">
        <v>19693</v>
      </c>
      <c r="D5745" s="2">
        <v>30</v>
      </c>
      <c r="E5745" s="2">
        <v>34</v>
      </c>
      <c r="F5745" s="2" t="s">
        <v>19694</v>
      </c>
      <c r="H5745" s="2" t="s">
        <v>17</v>
      </c>
    </row>
    <row r="5746" spans="1:14">
      <c r="A5746" s="2">
        <v>5745</v>
      </c>
      <c r="B5746" s="3" t="s">
        <v>19695</v>
      </c>
      <c r="C5746" s="2" t="s">
        <v>19696</v>
      </c>
      <c r="D5746" s="2">
        <v>34</v>
      </c>
      <c r="E5746" s="2">
        <v>34</v>
      </c>
      <c r="F5746" s="2" t="s">
        <v>19697</v>
      </c>
      <c r="H5746" s="2" t="s">
        <v>17</v>
      </c>
      <c r="K5746" s="4" t="s">
        <v>19698</v>
      </c>
      <c r="L5746" s="4">
        <v>17674</v>
      </c>
      <c r="M5746" s="2" t="s">
        <v>47</v>
      </c>
      <c r="N5746" s="2" t="s">
        <v>3765</v>
      </c>
    </row>
    <row r="5747" spans="1:14">
      <c r="A5747" s="2">
        <v>5746</v>
      </c>
      <c r="B5747" s="3" t="s">
        <v>19699</v>
      </c>
      <c r="C5747" s="2" t="s">
        <v>19700</v>
      </c>
      <c r="D5747" s="2">
        <v>33</v>
      </c>
      <c r="E5747" s="2">
        <v>34</v>
      </c>
      <c r="F5747" s="2" t="s">
        <v>19701</v>
      </c>
      <c r="H5747" s="2" t="s">
        <v>17</v>
      </c>
      <c r="K5747" s="4" t="s">
        <v>19702</v>
      </c>
      <c r="L5747" s="4">
        <v>21028</v>
      </c>
      <c r="M5747" s="2" t="s">
        <v>91</v>
      </c>
      <c r="N5747" s="2" t="s">
        <v>19703</v>
      </c>
    </row>
    <row r="5748" spans="1:14">
      <c r="A5748" s="2">
        <v>5747</v>
      </c>
      <c r="B5748" s="3" t="s">
        <v>19704</v>
      </c>
      <c r="C5748" s="2" t="s">
        <v>19705</v>
      </c>
      <c r="D5748" s="2">
        <v>32</v>
      </c>
      <c r="E5748" s="2">
        <v>34</v>
      </c>
      <c r="F5748" s="2" t="s">
        <v>19706</v>
      </c>
      <c r="H5748" s="2" t="s">
        <v>17</v>
      </c>
    </row>
    <row r="5749" spans="1:14">
      <c r="A5749" s="2">
        <v>5748</v>
      </c>
      <c r="B5749" s="3" t="s">
        <v>19707</v>
      </c>
      <c r="C5749" s="2" t="s">
        <v>19708</v>
      </c>
      <c r="D5749" s="2">
        <v>32</v>
      </c>
      <c r="E5749" s="2">
        <v>34</v>
      </c>
      <c r="F5749" s="2" t="s">
        <v>19709</v>
      </c>
      <c r="H5749" s="2" t="s">
        <v>17</v>
      </c>
      <c r="K5749" s="4" t="s">
        <v>19710</v>
      </c>
      <c r="L5749" s="4">
        <v>25828</v>
      </c>
      <c r="M5749" s="2" t="s">
        <v>47</v>
      </c>
      <c r="N5749" s="2" t="s">
        <v>48</v>
      </c>
    </row>
    <row r="5750" spans="1:14">
      <c r="A5750" s="2">
        <v>5749</v>
      </c>
      <c r="B5750" s="3" t="s">
        <v>19711</v>
      </c>
      <c r="C5750" s="2" t="s">
        <v>19712</v>
      </c>
      <c r="D5750" s="2">
        <v>32</v>
      </c>
      <c r="E5750" s="2">
        <v>34</v>
      </c>
      <c r="F5750" s="2" t="s">
        <v>19713</v>
      </c>
      <c r="H5750" s="2" t="s">
        <v>17</v>
      </c>
      <c r="K5750" s="4" t="s">
        <v>19714</v>
      </c>
      <c r="L5750" s="4">
        <v>22084</v>
      </c>
      <c r="M5750" s="2" t="s">
        <v>192</v>
      </c>
      <c r="N5750" s="2" t="s">
        <v>9746</v>
      </c>
    </row>
    <row r="5751" spans="1:14">
      <c r="A5751" s="2">
        <v>5750</v>
      </c>
      <c r="B5751" s="3" t="s">
        <v>19715</v>
      </c>
      <c r="C5751" s="2" t="s">
        <v>19716</v>
      </c>
      <c r="D5751" s="2">
        <v>18</v>
      </c>
      <c r="E5751" s="2">
        <v>34</v>
      </c>
      <c r="F5751" s="2" t="s">
        <v>19717</v>
      </c>
      <c r="H5751" s="2" t="s">
        <v>17</v>
      </c>
      <c r="K5751" s="4" t="s">
        <v>19718</v>
      </c>
      <c r="L5751" s="4">
        <v>11546</v>
      </c>
      <c r="M5751" s="2" t="s">
        <v>198</v>
      </c>
      <c r="N5751" s="2" t="s">
        <v>199</v>
      </c>
    </row>
    <row r="5752" spans="1:14">
      <c r="A5752" s="2">
        <v>5751</v>
      </c>
      <c r="B5752" s="3" t="s">
        <v>19719</v>
      </c>
      <c r="C5752" s="2" t="s">
        <v>19720</v>
      </c>
      <c r="D5752" s="2">
        <v>33</v>
      </c>
      <c r="E5752" s="2">
        <v>34</v>
      </c>
      <c r="F5752" s="2" t="s">
        <v>19721</v>
      </c>
      <c r="H5752" s="2" t="s">
        <v>17</v>
      </c>
      <c r="K5752" s="4" t="s">
        <v>19722</v>
      </c>
      <c r="L5752" s="4">
        <v>17295</v>
      </c>
      <c r="M5752" s="2" t="s">
        <v>47</v>
      </c>
      <c r="N5752" s="2" t="s">
        <v>442</v>
      </c>
    </row>
    <row r="5753" spans="1:14">
      <c r="A5753" s="2">
        <v>5752</v>
      </c>
      <c r="B5753" s="3" t="s">
        <v>19723</v>
      </c>
      <c r="C5753" s="2" t="s">
        <v>19724</v>
      </c>
      <c r="D5753" s="2">
        <v>27</v>
      </c>
      <c r="E5753" s="2">
        <v>34</v>
      </c>
      <c r="F5753" s="2" t="s">
        <v>19725</v>
      </c>
      <c r="H5753" s="2" t="s">
        <v>17</v>
      </c>
      <c r="L5753" s="4">
        <v>17621</v>
      </c>
    </row>
    <row r="5754" spans="1:14">
      <c r="A5754" s="2">
        <v>5753</v>
      </c>
      <c r="B5754" s="3" t="s">
        <v>19726</v>
      </c>
      <c r="C5754" s="2" t="s">
        <v>19727</v>
      </c>
      <c r="D5754" s="2">
        <v>30</v>
      </c>
      <c r="E5754" s="2">
        <v>34</v>
      </c>
      <c r="F5754" s="2" t="s">
        <v>19728</v>
      </c>
      <c r="H5754" s="2" t="s">
        <v>17</v>
      </c>
      <c r="K5754" s="4" t="s">
        <v>19729</v>
      </c>
      <c r="M5754" s="2" t="s">
        <v>35</v>
      </c>
      <c r="N5754" s="2" t="s">
        <v>9672</v>
      </c>
    </row>
    <row r="5755" spans="1:14">
      <c r="A5755" s="2">
        <v>5754</v>
      </c>
      <c r="B5755" s="3" t="s">
        <v>19730</v>
      </c>
      <c r="C5755" s="2" t="s">
        <v>14574</v>
      </c>
      <c r="D5755" s="2">
        <v>33</v>
      </c>
      <c r="E5755" s="2">
        <v>34</v>
      </c>
      <c r="F5755" s="2" t="s">
        <v>19731</v>
      </c>
      <c r="H5755" s="2" t="s">
        <v>17</v>
      </c>
    </row>
    <row r="5756" spans="1:14">
      <c r="A5756" s="2">
        <v>5755</v>
      </c>
      <c r="B5756" s="3" t="s">
        <v>19732</v>
      </c>
      <c r="C5756" s="2" t="s">
        <v>19733</v>
      </c>
      <c r="D5756" s="2">
        <v>33</v>
      </c>
      <c r="E5756" s="2">
        <v>34</v>
      </c>
      <c r="F5756" s="2" t="s">
        <v>19734</v>
      </c>
      <c r="H5756" s="2" t="s">
        <v>17</v>
      </c>
    </row>
    <row r="5757" spans="1:14">
      <c r="A5757" s="2">
        <v>5756</v>
      </c>
      <c r="B5757" s="3" t="s">
        <v>19735</v>
      </c>
      <c r="C5757" s="2" t="s">
        <v>19736</v>
      </c>
      <c r="D5757" s="2">
        <v>29</v>
      </c>
      <c r="E5757" s="2">
        <v>34</v>
      </c>
      <c r="F5757" s="2" t="s">
        <v>19737</v>
      </c>
      <c r="H5757" s="2" t="s">
        <v>17</v>
      </c>
      <c r="K5757" s="4" t="s">
        <v>19738</v>
      </c>
      <c r="L5757" s="4">
        <v>18181</v>
      </c>
      <c r="M5757" s="2" t="s">
        <v>66</v>
      </c>
      <c r="N5757" s="2" t="s">
        <v>3640</v>
      </c>
    </row>
    <row r="5758" spans="1:14">
      <c r="A5758" s="2">
        <v>5757</v>
      </c>
      <c r="B5758" s="3" t="s">
        <v>19739</v>
      </c>
      <c r="C5758" s="2" t="s">
        <v>19740</v>
      </c>
      <c r="D5758" s="2">
        <v>23</v>
      </c>
      <c r="E5758" s="2">
        <v>34</v>
      </c>
      <c r="F5758" s="2" t="s">
        <v>19741</v>
      </c>
      <c r="H5758" s="2" t="s">
        <v>17</v>
      </c>
      <c r="K5758" s="4" t="s">
        <v>19742</v>
      </c>
      <c r="L5758" s="4">
        <v>21542</v>
      </c>
      <c r="M5758" s="2" t="s">
        <v>140</v>
      </c>
      <c r="N5758" s="2" t="s">
        <v>13624</v>
      </c>
    </row>
    <row r="5759" spans="1:14">
      <c r="A5759" s="2">
        <v>5758</v>
      </c>
      <c r="B5759" s="3" t="s">
        <v>19743</v>
      </c>
      <c r="C5759" s="2" t="s">
        <v>19744</v>
      </c>
      <c r="D5759" s="2">
        <v>34</v>
      </c>
      <c r="E5759" s="2">
        <v>34</v>
      </c>
      <c r="F5759" s="2" t="s">
        <v>19745</v>
      </c>
      <c r="H5759" s="2" t="s">
        <v>17</v>
      </c>
      <c r="K5759" s="4" t="s">
        <v>19746</v>
      </c>
      <c r="L5759" s="4">
        <v>21787</v>
      </c>
      <c r="M5759" s="2" t="s">
        <v>198</v>
      </c>
      <c r="N5759" s="2" t="s">
        <v>199</v>
      </c>
    </row>
    <row r="5760" spans="1:14">
      <c r="A5760" s="2">
        <v>5759</v>
      </c>
      <c r="B5760" s="3" t="s">
        <v>19747</v>
      </c>
      <c r="C5760" s="2" t="s">
        <v>19748</v>
      </c>
      <c r="D5760" s="2">
        <v>34</v>
      </c>
      <c r="E5760" s="2">
        <v>34</v>
      </c>
      <c r="F5760" s="2" t="s">
        <v>19749</v>
      </c>
      <c r="H5760" s="2" t="s">
        <v>17</v>
      </c>
      <c r="K5760" s="4" t="s">
        <v>19750</v>
      </c>
      <c r="L5760" s="4">
        <v>12653</v>
      </c>
      <c r="M5760" s="2" t="s">
        <v>85</v>
      </c>
      <c r="N5760" s="2" t="s">
        <v>1868</v>
      </c>
    </row>
    <row r="5761" spans="1:14">
      <c r="A5761" s="2">
        <v>5760</v>
      </c>
      <c r="B5761" s="3" t="s">
        <v>19751</v>
      </c>
      <c r="C5761" s="2" t="s">
        <v>19752</v>
      </c>
      <c r="D5761" s="2">
        <v>33</v>
      </c>
      <c r="E5761" s="2">
        <v>34</v>
      </c>
      <c r="F5761" s="2" t="s">
        <v>19753</v>
      </c>
      <c r="H5761" s="2" t="s">
        <v>17</v>
      </c>
      <c r="K5761" s="4" t="s">
        <v>19754</v>
      </c>
      <c r="L5761" s="4">
        <v>16842</v>
      </c>
      <c r="M5761" s="2" t="s">
        <v>47</v>
      </c>
      <c r="N5761" s="2" t="s">
        <v>11282</v>
      </c>
    </row>
    <row r="5762" spans="1:14">
      <c r="A5762" s="2">
        <v>5761</v>
      </c>
      <c r="B5762" s="3" t="s">
        <v>19755</v>
      </c>
      <c r="C5762" s="2" t="s">
        <v>19756</v>
      </c>
      <c r="D5762" s="2">
        <v>23</v>
      </c>
      <c r="E5762" s="2">
        <v>34</v>
      </c>
      <c r="F5762" s="2" t="s">
        <v>19757</v>
      </c>
      <c r="H5762" s="2" t="s">
        <v>17</v>
      </c>
      <c r="K5762" s="4" t="s">
        <v>19758</v>
      </c>
      <c r="L5762" s="4">
        <v>12207</v>
      </c>
      <c r="M5762" s="2" t="s">
        <v>170</v>
      </c>
      <c r="N5762" s="2" t="s">
        <v>12454</v>
      </c>
    </row>
    <row r="5763" spans="1:14">
      <c r="A5763" s="2">
        <v>5762</v>
      </c>
      <c r="B5763" s="3" t="s">
        <v>19759</v>
      </c>
      <c r="C5763" s="2" t="s">
        <v>19760</v>
      </c>
      <c r="D5763" s="2">
        <v>34</v>
      </c>
      <c r="E5763" s="2">
        <v>34</v>
      </c>
      <c r="F5763" s="2" t="s">
        <v>19761</v>
      </c>
      <c r="H5763" s="2" t="s">
        <v>17</v>
      </c>
      <c r="K5763" s="4" t="s">
        <v>19762</v>
      </c>
      <c r="L5763" s="4">
        <v>13442</v>
      </c>
      <c r="M5763" s="2" t="s">
        <v>35</v>
      </c>
      <c r="N5763" s="2" t="s">
        <v>15810</v>
      </c>
    </row>
    <row r="5764" spans="1:14">
      <c r="A5764" s="2">
        <v>5763</v>
      </c>
      <c r="B5764" s="3" t="s">
        <v>19763</v>
      </c>
      <c r="C5764" s="2" t="s">
        <v>19764</v>
      </c>
      <c r="D5764" s="2">
        <v>33</v>
      </c>
      <c r="E5764" s="2">
        <v>34</v>
      </c>
      <c r="F5764" s="2" t="s">
        <v>19765</v>
      </c>
      <c r="H5764" s="2" t="s">
        <v>17</v>
      </c>
    </row>
    <row r="5765" spans="1:14">
      <c r="A5765" s="2">
        <v>5764</v>
      </c>
      <c r="B5765" s="3" t="s">
        <v>19766</v>
      </c>
      <c r="C5765" s="2" t="s">
        <v>19767</v>
      </c>
      <c r="D5765" s="2">
        <v>34</v>
      </c>
      <c r="E5765" s="2">
        <v>34</v>
      </c>
      <c r="F5765" s="2" t="s">
        <v>19768</v>
      </c>
      <c r="H5765" s="2" t="s">
        <v>17</v>
      </c>
      <c r="L5765" s="4">
        <v>31482</v>
      </c>
    </row>
    <row r="5766" spans="1:14">
      <c r="A5766" s="2">
        <v>5765</v>
      </c>
      <c r="B5766" s="3" t="s">
        <v>19769</v>
      </c>
      <c r="C5766" s="2" t="s">
        <v>19770</v>
      </c>
      <c r="D5766" s="2">
        <v>22</v>
      </c>
      <c r="E5766" s="2">
        <v>34</v>
      </c>
      <c r="F5766" s="2" t="s">
        <v>19771</v>
      </c>
      <c r="H5766" s="2" t="s">
        <v>17</v>
      </c>
      <c r="K5766" s="4" t="s">
        <v>19772</v>
      </c>
      <c r="L5766" s="4">
        <v>10488</v>
      </c>
      <c r="M5766" s="2" t="s">
        <v>35</v>
      </c>
    </row>
    <row r="5767" spans="1:14">
      <c r="A5767" s="2">
        <v>5766</v>
      </c>
      <c r="B5767" s="3" t="s">
        <v>19773</v>
      </c>
      <c r="C5767" s="2" t="s">
        <v>19774</v>
      </c>
      <c r="D5767" s="2">
        <v>33</v>
      </c>
      <c r="E5767" s="2">
        <v>34</v>
      </c>
      <c r="F5767" s="2" t="s">
        <v>19775</v>
      </c>
      <c r="H5767" s="2" t="s">
        <v>17</v>
      </c>
      <c r="K5767" s="4" t="s">
        <v>19776</v>
      </c>
      <c r="L5767" s="4">
        <v>16488</v>
      </c>
      <c r="M5767" s="2" t="s">
        <v>85</v>
      </c>
      <c r="N5767" s="2" t="s">
        <v>7960</v>
      </c>
    </row>
    <row r="5768" spans="1:14">
      <c r="A5768" s="2">
        <v>5767</v>
      </c>
      <c r="B5768" s="3" t="s">
        <v>19777</v>
      </c>
      <c r="C5768" s="2" t="s">
        <v>19778</v>
      </c>
      <c r="D5768" s="2">
        <v>34</v>
      </c>
      <c r="E5768" s="2">
        <v>34</v>
      </c>
      <c r="F5768" s="2" t="s">
        <v>19779</v>
      </c>
      <c r="H5768" s="2" t="s">
        <v>17</v>
      </c>
      <c r="K5768" s="4" t="s">
        <v>19780</v>
      </c>
      <c r="L5768" s="4">
        <v>14992</v>
      </c>
      <c r="M5768" s="2" t="s">
        <v>85</v>
      </c>
      <c r="N5768" s="2" t="s">
        <v>86</v>
      </c>
    </row>
    <row r="5769" spans="1:14">
      <c r="A5769" s="2">
        <v>5768</v>
      </c>
      <c r="B5769" s="3" t="s">
        <v>19781</v>
      </c>
      <c r="C5769" s="2" t="s">
        <v>19782</v>
      </c>
      <c r="D5769" s="2">
        <v>30</v>
      </c>
      <c r="E5769" s="2">
        <v>34</v>
      </c>
      <c r="F5769" s="2" t="s">
        <v>19783</v>
      </c>
      <c r="H5769" s="2" t="s">
        <v>17</v>
      </c>
      <c r="K5769" s="4" t="s">
        <v>19784</v>
      </c>
      <c r="L5769" s="4">
        <v>13769</v>
      </c>
      <c r="M5769" s="2" t="s">
        <v>40</v>
      </c>
      <c r="N5769" s="2" t="s">
        <v>1528</v>
      </c>
    </row>
    <row r="5770" spans="1:14">
      <c r="A5770" s="2">
        <v>5769</v>
      </c>
      <c r="B5770" s="3" t="s">
        <v>19785</v>
      </c>
      <c r="C5770" s="2" t="s">
        <v>19786</v>
      </c>
      <c r="D5770" s="2">
        <v>34</v>
      </c>
      <c r="E5770" s="2">
        <v>34</v>
      </c>
      <c r="F5770" s="2" t="s">
        <v>19787</v>
      </c>
      <c r="H5770" s="2" t="s">
        <v>17</v>
      </c>
      <c r="K5770" s="4" t="s">
        <v>19788</v>
      </c>
      <c r="L5770" s="4">
        <v>22748</v>
      </c>
      <c r="M5770" s="2" t="s">
        <v>154</v>
      </c>
      <c r="N5770" s="2" t="s">
        <v>2265</v>
      </c>
    </row>
    <row r="5771" spans="1:14">
      <c r="A5771" s="2">
        <v>5770</v>
      </c>
      <c r="B5771" s="3" t="s">
        <v>19789</v>
      </c>
      <c r="C5771" s="2" t="s">
        <v>19790</v>
      </c>
      <c r="D5771" s="2">
        <v>34</v>
      </c>
      <c r="E5771" s="2">
        <v>34</v>
      </c>
      <c r="F5771" s="2" t="s">
        <v>19791</v>
      </c>
      <c r="H5771" s="2" t="s">
        <v>17</v>
      </c>
      <c r="K5771" s="4" t="s">
        <v>19792</v>
      </c>
      <c r="L5771" s="4">
        <v>27796</v>
      </c>
      <c r="M5771" s="2" t="s">
        <v>85</v>
      </c>
      <c r="N5771" s="2" t="s">
        <v>4522</v>
      </c>
    </row>
    <row r="5772" spans="1:14">
      <c r="A5772" s="2">
        <v>5771</v>
      </c>
      <c r="B5772" s="3" t="s">
        <v>19793</v>
      </c>
      <c r="C5772" s="2" t="s">
        <v>18217</v>
      </c>
      <c r="D5772" s="2">
        <v>27</v>
      </c>
      <c r="E5772" s="2">
        <v>34</v>
      </c>
      <c r="F5772" s="2" t="s">
        <v>19794</v>
      </c>
      <c r="H5772" s="2" t="s">
        <v>17</v>
      </c>
      <c r="K5772" s="4" t="s">
        <v>19795</v>
      </c>
      <c r="L5772" s="4">
        <v>15707</v>
      </c>
      <c r="M5772" s="2" t="s">
        <v>35</v>
      </c>
      <c r="N5772" s="2" t="s">
        <v>11458</v>
      </c>
    </row>
    <row r="5773" spans="1:14">
      <c r="A5773" s="2">
        <v>5772</v>
      </c>
      <c r="B5773" s="3" t="s">
        <v>19796</v>
      </c>
      <c r="C5773" s="2" t="s">
        <v>19797</v>
      </c>
      <c r="D5773" s="2">
        <v>28</v>
      </c>
      <c r="E5773" s="2">
        <v>34</v>
      </c>
      <c r="F5773" s="2" t="s">
        <v>19798</v>
      </c>
      <c r="H5773" s="2" t="s">
        <v>17</v>
      </c>
      <c r="K5773" s="4" t="s">
        <v>19799</v>
      </c>
      <c r="L5773" s="4">
        <v>14961</v>
      </c>
      <c r="M5773" s="2" t="s">
        <v>47</v>
      </c>
      <c r="N5773" s="2" t="s">
        <v>3765</v>
      </c>
    </row>
    <row r="5774" spans="1:14">
      <c r="A5774" s="2">
        <v>5773</v>
      </c>
      <c r="B5774" s="3" t="s">
        <v>19800</v>
      </c>
      <c r="C5774" s="2" t="s">
        <v>19801</v>
      </c>
      <c r="D5774" s="2">
        <v>32</v>
      </c>
      <c r="E5774" s="2">
        <v>34</v>
      </c>
      <c r="F5774" s="2" t="s">
        <v>19802</v>
      </c>
      <c r="H5774" s="2" t="s">
        <v>17</v>
      </c>
      <c r="K5774" s="4" t="s">
        <v>19803</v>
      </c>
      <c r="L5774" s="4">
        <v>19147</v>
      </c>
      <c r="M5774" s="2" t="s">
        <v>35</v>
      </c>
      <c r="N5774" s="2" t="s">
        <v>11401</v>
      </c>
    </row>
    <row r="5775" spans="1:14">
      <c r="A5775" s="2">
        <v>5774</v>
      </c>
      <c r="B5775" s="3" t="s">
        <v>19804</v>
      </c>
      <c r="C5775" s="2" t="s">
        <v>19805</v>
      </c>
      <c r="D5775" s="2">
        <v>26</v>
      </c>
      <c r="E5775" s="2">
        <v>34</v>
      </c>
      <c r="F5775" s="2" t="s">
        <v>19806</v>
      </c>
      <c r="H5775" s="2" t="s">
        <v>17</v>
      </c>
      <c r="K5775" s="4" t="s">
        <v>19807</v>
      </c>
      <c r="L5775" s="4">
        <v>15860</v>
      </c>
      <c r="N5775" s="2" t="s">
        <v>19808</v>
      </c>
    </row>
    <row r="5776" spans="1:14">
      <c r="A5776" s="2">
        <v>5775</v>
      </c>
      <c r="B5776" s="3" t="s">
        <v>19809</v>
      </c>
      <c r="C5776" s="2" t="s">
        <v>19810</v>
      </c>
      <c r="D5776" s="2">
        <v>34</v>
      </c>
      <c r="E5776" s="2">
        <v>34</v>
      </c>
      <c r="F5776" s="2" t="s">
        <v>19811</v>
      </c>
      <c r="H5776" s="2" t="s">
        <v>17</v>
      </c>
      <c r="K5776" s="4" t="s">
        <v>19812</v>
      </c>
      <c r="L5776" s="4">
        <v>21942</v>
      </c>
      <c r="M5776" s="2" t="s">
        <v>66</v>
      </c>
      <c r="N5776" s="2" t="s">
        <v>1021</v>
      </c>
    </row>
    <row r="5777" spans="1:14">
      <c r="A5777" s="2">
        <v>5776</v>
      </c>
      <c r="B5777" s="3" t="s">
        <v>19813</v>
      </c>
      <c r="C5777" s="2" t="s">
        <v>19814</v>
      </c>
      <c r="D5777" s="2">
        <v>33</v>
      </c>
      <c r="E5777" s="2">
        <v>34</v>
      </c>
      <c r="F5777" s="2" t="s">
        <v>19815</v>
      </c>
      <c r="H5777" s="2" t="s">
        <v>17</v>
      </c>
      <c r="K5777" s="4" t="s">
        <v>19816</v>
      </c>
      <c r="L5777" s="4">
        <v>15259</v>
      </c>
      <c r="M5777" s="2" t="s">
        <v>198</v>
      </c>
    </row>
    <row r="5778" spans="1:14">
      <c r="A5778" s="2">
        <v>5777</v>
      </c>
      <c r="B5778" s="3" t="s">
        <v>19817</v>
      </c>
      <c r="C5778" s="2" t="s">
        <v>19818</v>
      </c>
      <c r="D5778" s="2">
        <v>23</v>
      </c>
      <c r="E5778" s="2">
        <v>34</v>
      </c>
      <c r="F5778" s="2" t="s">
        <v>19819</v>
      </c>
      <c r="H5778" s="2" t="s">
        <v>17</v>
      </c>
      <c r="K5778" s="4" t="s">
        <v>19820</v>
      </c>
      <c r="L5778" s="4">
        <v>4717</v>
      </c>
      <c r="M5778" s="2" t="s">
        <v>170</v>
      </c>
      <c r="N5778" s="2" t="s">
        <v>323</v>
      </c>
    </row>
    <row r="5779" spans="1:14">
      <c r="A5779" s="2">
        <v>5778</v>
      </c>
      <c r="B5779" s="3" t="s">
        <v>19821</v>
      </c>
      <c r="C5779" s="2" t="s">
        <v>19822</v>
      </c>
      <c r="D5779" s="2">
        <v>33</v>
      </c>
      <c r="E5779" s="2">
        <v>34</v>
      </c>
      <c r="F5779" s="2" t="s">
        <v>19823</v>
      </c>
      <c r="H5779" s="2" t="s">
        <v>17</v>
      </c>
      <c r="K5779" s="4" t="s">
        <v>19824</v>
      </c>
      <c r="L5779" s="4">
        <v>22376</v>
      </c>
      <c r="M5779" s="2" t="s">
        <v>140</v>
      </c>
      <c r="N5779" s="2" t="s">
        <v>3352</v>
      </c>
    </row>
    <row r="5780" spans="1:14">
      <c r="A5780" s="2">
        <v>5779</v>
      </c>
      <c r="B5780" s="3" t="s">
        <v>19825</v>
      </c>
      <c r="C5780" s="2" t="s">
        <v>19826</v>
      </c>
      <c r="D5780" s="2">
        <v>34</v>
      </c>
      <c r="E5780" s="2">
        <v>34</v>
      </c>
      <c r="F5780" s="2" t="s">
        <v>19827</v>
      </c>
      <c r="H5780" s="2" t="s">
        <v>17</v>
      </c>
      <c r="K5780" s="4" t="s">
        <v>19828</v>
      </c>
      <c r="L5780" s="4">
        <v>19272</v>
      </c>
      <c r="M5780" s="2" t="s">
        <v>76</v>
      </c>
      <c r="N5780" s="2" t="s">
        <v>7284</v>
      </c>
    </row>
    <row r="5781" spans="1:14">
      <c r="A5781" s="2">
        <v>5780</v>
      </c>
      <c r="B5781" s="3" t="s">
        <v>19829</v>
      </c>
      <c r="C5781" s="2" t="s">
        <v>19830</v>
      </c>
      <c r="D5781" s="2">
        <v>32</v>
      </c>
      <c r="E5781" s="2">
        <v>34</v>
      </c>
      <c r="F5781" s="2" t="s">
        <v>19831</v>
      </c>
      <c r="H5781" s="2" t="s">
        <v>17</v>
      </c>
      <c r="L5781" s="4">
        <v>10495</v>
      </c>
      <c r="M5781" s="2" t="s">
        <v>140</v>
      </c>
    </row>
    <row r="5782" spans="1:14">
      <c r="A5782" s="2">
        <v>5781</v>
      </c>
      <c r="B5782" s="3" t="s">
        <v>19832</v>
      </c>
      <c r="C5782" s="2" t="s">
        <v>19833</v>
      </c>
      <c r="D5782" s="2">
        <v>30</v>
      </c>
      <c r="E5782" s="2">
        <v>34</v>
      </c>
      <c r="F5782" s="2" t="s">
        <v>19834</v>
      </c>
      <c r="H5782" s="2" t="s">
        <v>17</v>
      </c>
      <c r="K5782" s="4" t="s">
        <v>19835</v>
      </c>
      <c r="L5782" s="4">
        <v>20381</v>
      </c>
    </row>
    <row r="5783" spans="1:14">
      <c r="A5783" s="2">
        <v>5782</v>
      </c>
      <c r="B5783" s="3" t="s">
        <v>19836</v>
      </c>
      <c r="C5783" s="2" t="s">
        <v>19837</v>
      </c>
      <c r="D5783" s="2">
        <v>32</v>
      </c>
      <c r="E5783" s="2">
        <v>34</v>
      </c>
      <c r="F5783" s="2" t="s">
        <v>19838</v>
      </c>
      <c r="H5783" s="2" t="s">
        <v>17</v>
      </c>
      <c r="K5783" s="4" t="s">
        <v>19839</v>
      </c>
      <c r="L5783" s="4">
        <v>10953</v>
      </c>
      <c r="M5783" s="2" t="s">
        <v>198</v>
      </c>
      <c r="N5783" s="2" t="s">
        <v>9329</v>
      </c>
    </row>
    <row r="5784" spans="1:14">
      <c r="A5784" s="2">
        <v>5783</v>
      </c>
      <c r="B5784" s="3" t="s">
        <v>19840</v>
      </c>
      <c r="C5784" s="2" t="s">
        <v>19841</v>
      </c>
      <c r="D5784" s="2">
        <v>28</v>
      </c>
      <c r="E5784" s="2">
        <v>34</v>
      </c>
      <c r="F5784" s="2" t="s">
        <v>19842</v>
      </c>
      <c r="H5784" s="2" t="s">
        <v>17</v>
      </c>
      <c r="K5784" s="4" t="s">
        <v>19843</v>
      </c>
      <c r="M5784" s="2" t="s">
        <v>76</v>
      </c>
      <c r="N5784" s="2" t="s">
        <v>14001</v>
      </c>
    </row>
    <row r="5785" spans="1:14">
      <c r="A5785" s="2">
        <v>5784</v>
      </c>
      <c r="B5785" s="3" t="s">
        <v>19844</v>
      </c>
      <c r="C5785" s="2" t="s">
        <v>19845</v>
      </c>
      <c r="D5785" s="2">
        <v>34</v>
      </c>
      <c r="E5785" s="2">
        <v>34</v>
      </c>
      <c r="F5785" s="2" t="s">
        <v>19846</v>
      </c>
      <c r="H5785" s="2" t="s">
        <v>17</v>
      </c>
      <c r="K5785" s="4" t="s">
        <v>19847</v>
      </c>
      <c r="L5785" s="4">
        <v>13799</v>
      </c>
      <c r="M5785" s="2" t="s">
        <v>40</v>
      </c>
      <c r="N5785" s="2" t="s">
        <v>9352</v>
      </c>
    </row>
    <row r="5786" spans="1:14">
      <c r="A5786" s="2">
        <v>5785</v>
      </c>
      <c r="B5786" s="3" t="s">
        <v>19848</v>
      </c>
      <c r="C5786" s="2" t="s">
        <v>19849</v>
      </c>
      <c r="D5786" s="2">
        <v>33</v>
      </c>
      <c r="E5786" s="2">
        <v>34</v>
      </c>
      <c r="F5786" s="2" t="s">
        <v>19850</v>
      </c>
      <c r="H5786" s="2" t="s">
        <v>17</v>
      </c>
      <c r="K5786" s="4" t="s">
        <v>19851</v>
      </c>
      <c r="L5786" s="4">
        <v>21093</v>
      </c>
      <c r="M5786" s="2" t="s">
        <v>85</v>
      </c>
      <c r="N5786" s="2" t="s">
        <v>1868</v>
      </c>
    </row>
    <row r="5787" spans="1:14">
      <c r="A5787" s="2">
        <v>5786</v>
      </c>
      <c r="B5787" s="3" t="s">
        <v>19852</v>
      </c>
      <c r="C5787" s="2" t="s">
        <v>19853</v>
      </c>
      <c r="D5787" s="2">
        <v>28</v>
      </c>
      <c r="E5787" s="2">
        <v>34</v>
      </c>
      <c r="F5787" s="2" t="s">
        <v>19854</v>
      </c>
      <c r="H5787" s="2" t="s">
        <v>17</v>
      </c>
      <c r="K5787" s="4" t="s">
        <v>19855</v>
      </c>
      <c r="L5787" s="4">
        <v>10591</v>
      </c>
      <c r="M5787" s="2" t="s">
        <v>40</v>
      </c>
      <c r="N5787" s="2" t="s">
        <v>1528</v>
      </c>
    </row>
    <row r="5788" spans="1:14">
      <c r="A5788" s="2">
        <v>5787</v>
      </c>
      <c r="B5788" s="3" t="s">
        <v>19856</v>
      </c>
      <c r="C5788" s="2" t="s">
        <v>19857</v>
      </c>
      <c r="D5788" s="2">
        <v>34</v>
      </c>
      <c r="E5788" s="2">
        <v>34</v>
      </c>
      <c r="F5788" s="2" t="s">
        <v>19858</v>
      </c>
      <c r="H5788" s="2" t="s">
        <v>17</v>
      </c>
      <c r="K5788" s="4" t="s">
        <v>19859</v>
      </c>
      <c r="L5788" s="4">
        <v>28382</v>
      </c>
      <c r="M5788" s="2" t="s">
        <v>40</v>
      </c>
      <c r="N5788" s="2" t="s">
        <v>5394</v>
      </c>
    </row>
    <row r="5789" spans="1:14">
      <c r="A5789" s="2">
        <v>5788</v>
      </c>
      <c r="B5789" s="3" t="s">
        <v>19860</v>
      </c>
      <c r="C5789" s="2" t="s">
        <v>19861</v>
      </c>
      <c r="D5789" s="2">
        <v>31</v>
      </c>
      <c r="E5789" s="2">
        <v>34</v>
      </c>
      <c r="F5789" s="2" t="s">
        <v>19862</v>
      </c>
      <c r="H5789" s="2" t="s">
        <v>17</v>
      </c>
      <c r="K5789" s="4" t="s">
        <v>19863</v>
      </c>
      <c r="L5789" s="4">
        <v>15592</v>
      </c>
    </row>
    <row r="5790" spans="1:14">
      <c r="A5790" s="2">
        <v>5789</v>
      </c>
      <c r="B5790" s="3" t="s">
        <v>19864</v>
      </c>
      <c r="C5790" s="2" t="s">
        <v>19865</v>
      </c>
      <c r="D5790" s="2">
        <v>27</v>
      </c>
      <c r="E5790" s="2">
        <v>34</v>
      </c>
      <c r="F5790" s="2" t="s">
        <v>19866</v>
      </c>
      <c r="H5790" s="2" t="s">
        <v>17</v>
      </c>
      <c r="K5790" s="4" t="s">
        <v>19867</v>
      </c>
      <c r="L5790" s="4">
        <v>19726</v>
      </c>
    </row>
    <row r="5791" spans="1:14">
      <c r="A5791" s="2">
        <v>5790</v>
      </c>
      <c r="B5791" s="3" t="s">
        <v>19868</v>
      </c>
      <c r="C5791" s="2" t="s">
        <v>19869</v>
      </c>
      <c r="D5791" s="2">
        <v>33</v>
      </c>
      <c r="E5791" s="2">
        <v>34</v>
      </c>
      <c r="F5791" s="2" t="s">
        <v>19870</v>
      </c>
      <c r="H5791" s="2" t="s">
        <v>17</v>
      </c>
      <c r="K5791" s="4" t="s">
        <v>19871</v>
      </c>
      <c r="L5791" s="4">
        <v>12163</v>
      </c>
      <c r="M5791" s="2" t="s">
        <v>40</v>
      </c>
      <c r="N5791" s="2" t="s">
        <v>2157</v>
      </c>
    </row>
    <row r="5792" spans="1:14">
      <c r="A5792" s="2">
        <v>5791</v>
      </c>
      <c r="B5792" s="3" t="s">
        <v>19872</v>
      </c>
      <c r="C5792" s="2" t="s">
        <v>19873</v>
      </c>
      <c r="D5792" s="2">
        <v>32</v>
      </c>
      <c r="E5792" s="2">
        <v>33</v>
      </c>
      <c r="F5792" s="2" t="s">
        <v>19874</v>
      </c>
      <c r="H5792" s="2" t="s">
        <v>17</v>
      </c>
      <c r="K5792" s="4" t="s">
        <v>19875</v>
      </c>
      <c r="L5792" s="4">
        <v>24940</v>
      </c>
      <c r="M5792" s="2" t="s">
        <v>35</v>
      </c>
      <c r="N5792" s="2" t="s">
        <v>8212</v>
      </c>
    </row>
    <row r="5793" spans="1:14">
      <c r="A5793" s="2">
        <v>5792</v>
      </c>
      <c r="B5793" s="3" t="s">
        <v>19876</v>
      </c>
      <c r="C5793" s="2" t="s">
        <v>19877</v>
      </c>
      <c r="D5793" s="2">
        <v>27</v>
      </c>
      <c r="E5793" s="2">
        <v>33</v>
      </c>
      <c r="F5793" s="2" t="s">
        <v>19878</v>
      </c>
      <c r="H5793" s="2" t="s">
        <v>17</v>
      </c>
      <c r="K5793" s="4" t="s">
        <v>19879</v>
      </c>
      <c r="L5793" s="4">
        <v>9965</v>
      </c>
      <c r="M5793" s="2" t="s">
        <v>47</v>
      </c>
      <c r="N5793" s="2" t="s">
        <v>180</v>
      </c>
    </row>
    <row r="5794" spans="1:14">
      <c r="A5794" s="2">
        <v>5793</v>
      </c>
      <c r="B5794" s="3" t="s">
        <v>19880</v>
      </c>
      <c r="C5794" s="2" t="s">
        <v>19881</v>
      </c>
      <c r="D5794" s="2">
        <v>33</v>
      </c>
      <c r="E5794" s="2">
        <v>33</v>
      </c>
      <c r="F5794" s="2" t="s">
        <v>19882</v>
      </c>
      <c r="H5794" s="2" t="s">
        <v>17</v>
      </c>
      <c r="K5794" s="4" t="s">
        <v>19883</v>
      </c>
      <c r="M5794" s="2" t="s">
        <v>140</v>
      </c>
      <c r="N5794" s="2" t="s">
        <v>294</v>
      </c>
    </row>
    <row r="5795" spans="1:14">
      <c r="A5795" s="2">
        <v>5794</v>
      </c>
      <c r="B5795" s="3" t="s">
        <v>19884</v>
      </c>
      <c r="C5795" s="2" t="s">
        <v>19885</v>
      </c>
      <c r="D5795" s="2">
        <v>33</v>
      </c>
      <c r="E5795" s="2">
        <v>33</v>
      </c>
      <c r="F5795" s="2" t="s">
        <v>19886</v>
      </c>
      <c r="H5795" s="2" t="s">
        <v>17</v>
      </c>
      <c r="L5795" s="4">
        <v>12696</v>
      </c>
    </row>
    <row r="5796" spans="1:14">
      <c r="A5796" s="2">
        <v>5795</v>
      </c>
      <c r="B5796" s="3" t="s">
        <v>19887</v>
      </c>
      <c r="C5796" s="2" t="s">
        <v>19888</v>
      </c>
      <c r="D5796" s="2">
        <v>32</v>
      </c>
      <c r="E5796" s="2">
        <v>33</v>
      </c>
      <c r="F5796" s="2" t="s">
        <v>19889</v>
      </c>
      <c r="H5796" s="2" t="s">
        <v>17</v>
      </c>
      <c r="K5796" s="4" t="s">
        <v>19890</v>
      </c>
      <c r="L5796" s="4">
        <v>9622</v>
      </c>
      <c r="M5796" s="2" t="s">
        <v>40</v>
      </c>
      <c r="N5796" s="2" t="s">
        <v>41</v>
      </c>
    </row>
    <row r="5797" spans="1:14">
      <c r="A5797" s="2">
        <v>5796</v>
      </c>
      <c r="B5797" s="3" t="s">
        <v>19891</v>
      </c>
      <c r="C5797" s="2" t="s">
        <v>19892</v>
      </c>
      <c r="D5797" s="2">
        <v>22</v>
      </c>
      <c r="E5797" s="2">
        <v>33</v>
      </c>
      <c r="F5797" s="2" t="s">
        <v>19893</v>
      </c>
      <c r="H5797" s="2" t="s">
        <v>17</v>
      </c>
      <c r="L5797" s="4">
        <v>9765</v>
      </c>
      <c r="M5797" s="2" t="s">
        <v>53</v>
      </c>
      <c r="N5797" s="2" t="s">
        <v>847</v>
      </c>
    </row>
    <row r="5798" spans="1:14">
      <c r="A5798" s="2">
        <v>5797</v>
      </c>
      <c r="B5798" s="3" t="s">
        <v>19894</v>
      </c>
      <c r="C5798" s="2" t="s">
        <v>19895</v>
      </c>
      <c r="D5798" s="2">
        <v>26</v>
      </c>
      <c r="E5798" s="2">
        <v>33</v>
      </c>
      <c r="F5798" s="2" t="s">
        <v>19896</v>
      </c>
      <c r="H5798" s="2" t="s">
        <v>17</v>
      </c>
      <c r="K5798" s="4" t="s">
        <v>19897</v>
      </c>
      <c r="L5798" s="4">
        <v>15355</v>
      </c>
      <c r="M5798" s="2" t="s">
        <v>47</v>
      </c>
      <c r="N5798" s="2" t="s">
        <v>17335</v>
      </c>
    </row>
    <row r="5799" spans="1:14">
      <c r="A5799" s="2">
        <v>5798</v>
      </c>
      <c r="B5799" s="3" t="s">
        <v>19898</v>
      </c>
      <c r="C5799" s="2" t="s">
        <v>19899</v>
      </c>
      <c r="D5799" s="2">
        <v>33</v>
      </c>
      <c r="E5799" s="2">
        <v>33</v>
      </c>
      <c r="F5799" s="2" t="s">
        <v>19900</v>
      </c>
      <c r="H5799" s="2" t="s">
        <v>17</v>
      </c>
      <c r="K5799" s="4" t="s">
        <v>19901</v>
      </c>
      <c r="L5799" s="4">
        <v>26526</v>
      </c>
      <c r="M5799" s="2" t="s">
        <v>66</v>
      </c>
      <c r="N5799" s="2" t="s">
        <v>6076</v>
      </c>
    </row>
    <row r="5800" spans="1:14">
      <c r="A5800" s="2">
        <v>5799</v>
      </c>
      <c r="B5800" s="3" t="s">
        <v>19902</v>
      </c>
      <c r="C5800" s="2" t="s">
        <v>19903</v>
      </c>
      <c r="D5800" s="2">
        <v>28</v>
      </c>
      <c r="E5800" s="2">
        <v>33</v>
      </c>
      <c r="F5800" s="2" t="s">
        <v>19904</v>
      </c>
      <c r="H5800" s="2" t="s">
        <v>17</v>
      </c>
      <c r="K5800" s="4" t="s">
        <v>19905</v>
      </c>
      <c r="L5800" s="4">
        <v>19839</v>
      </c>
      <c r="M5800" s="2" t="s">
        <v>185</v>
      </c>
      <c r="N5800" s="2" t="s">
        <v>838</v>
      </c>
    </row>
    <row r="5801" spans="1:14">
      <c r="A5801" s="2">
        <v>5800</v>
      </c>
      <c r="B5801" s="3" t="s">
        <v>19906</v>
      </c>
      <c r="C5801" s="2" t="s">
        <v>19907</v>
      </c>
      <c r="D5801" s="2">
        <v>33</v>
      </c>
      <c r="E5801" s="2">
        <v>33</v>
      </c>
      <c r="F5801" s="2" t="s">
        <v>19908</v>
      </c>
      <c r="H5801" s="2" t="s">
        <v>17</v>
      </c>
      <c r="K5801" s="4" t="s">
        <v>19909</v>
      </c>
      <c r="L5801" s="4">
        <v>8926</v>
      </c>
      <c r="M5801" s="2" t="s">
        <v>40</v>
      </c>
      <c r="N5801" s="2" t="s">
        <v>19910</v>
      </c>
    </row>
    <row r="5802" spans="1:14">
      <c r="A5802" s="2">
        <v>5801</v>
      </c>
      <c r="B5802" s="3" t="s">
        <v>19911</v>
      </c>
      <c r="C5802" s="2" t="s">
        <v>19912</v>
      </c>
      <c r="D5802" s="2">
        <v>33</v>
      </c>
      <c r="E5802" s="2">
        <v>33</v>
      </c>
      <c r="F5802" s="2" t="s">
        <v>19913</v>
      </c>
      <c r="H5802" s="2" t="s">
        <v>17</v>
      </c>
      <c r="L5802" s="4">
        <v>28535</v>
      </c>
    </row>
    <row r="5803" spans="1:14">
      <c r="A5803" s="2">
        <v>5802</v>
      </c>
      <c r="B5803" s="3" t="s">
        <v>19914</v>
      </c>
      <c r="C5803" s="2" t="s">
        <v>19915</v>
      </c>
      <c r="D5803" s="2">
        <v>28</v>
      </c>
      <c r="E5803" s="2">
        <v>33</v>
      </c>
      <c r="F5803" s="2" t="s">
        <v>19916</v>
      </c>
      <c r="H5803" s="2" t="s">
        <v>17</v>
      </c>
      <c r="M5803" s="2" t="s">
        <v>969</v>
      </c>
      <c r="N5803" s="2" t="s">
        <v>323</v>
      </c>
    </row>
    <row r="5804" spans="1:14">
      <c r="A5804" s="2">
        <v>5803</v>
      </c>
      <c r="B5804" s="3" t="s">
        <v>19917</v>
      </c>
      <c r="C5804" s="2" t="s">
        <v>19918</v>
      </c>
      <c r="D5804" s="2">
        <v>26</v>
      </c>
      <c r="E5804" s="2">
        <v>33</v>
      </c>
      <c r="F5804" s="2" t="s">
        <v>19919</v>
      </c>
      <c r="H5804" s="2" t="s">
        <v>17</v>
      </c>
      <c r="K5804" s="4" t="s">
        <v>19920</v>
      </c>
      <c r="L5804" s="4">
        <v>9195</v>
      </c>
      <c r="M5804" s="2" t="s">
        <v>170</v>
      </c>
      <c r="N5804" s="2" t="s">
        <v>323</v>
      </c>
    </row>
    <row r="5805" spans="1:14">
      <c r="A5805" s="2">
        <v>5804</v>
      </c>
      <c r="B5805" s="3" t="s">
        <v>19921</v>
      </c>
      <c r="C5805" s="2" t="s">
        <v>19922</v>
      </c>
      <c r="D5805" s="2">
        <v>33</v>
      </c>
      <c r="E5805" s="2">
        <v>33</v>
      </c>
      <c r="F5805" s="2" t="s">
        <v>19923</v>
      </c>
      <c r="H5805" s="2" t="s">
        <v>17</v>
      </c>
    </row>
    <row r="5806" spans="1:14">
      <c r="A5806" s="2">
        <v>5805</v>
      </c>
      <c r="B5806" s="3" t="s">
        <v>19924</v>
      </c>
      <c r="C5806" s="2" t="s">
        <v>19925</v>
      </c>
      <c r="D5806" s="2">
        <v>26</v>
      </c>
      <c r="E5806" s="2">
        <v>33</v>
      </c>
      <c r="F5806" s="2" t="s">
        <v>19926</v>
      </c>
      <c r="H5806" s="2" t="s">
        <v>17</v>
      </c>
      <c r="K5806" s="4" t="s">
        <v>19927</v>
      </c>
      <c r="L5806" s="4">
        <v>19339</v>
      </c>
      <c r="M5806" s="2" t="s">
        <v>35</v>
      </c>
      <c r="N5806" s="2" t="s">
        <v>7786</v>
      </c>
    </row>
    <row r="5807" spans="1:14">
      <c r="A5807" s="2">
        <v>5806</v>
      </c>
      <c r="B5807" s="3" t="s">
        <v>19928</v>
      </c>
      <c r="C5807" s="2" t="s">
        <v>19929</v>
      </c>
      <c r="D5807" s="2">
        <v>28</v>
      </c>
      <c r="E5807" s="2">
        <v>33</v>
      </c>
      <c r="F5807" s="2" t="s">
        <v>19930</v>
      </c>
      <c r="H5807" s="2" t="s">
        <v>17</v>
      </c>
      <c r="K5807" s="4" t="s">
        <v>19931</v>
      </c>
      <c r="L5807" s="4">
        <v>12961</v>
      </c>
      <c r="N5807" s="2" t="s">
        <v>19932</v>
      </c>
    </row>
    <row r="5808" spans="1:14">
      <c r="A5808" s="2">
        <v>5807</v>
      </c>
      <c r="B5808" s="3" t="s">
        <v>19933</v>
      </c>
      <c r="C5808" s="2" t="s">
        <v>19934</v>
      </c>
      <c r="D5808" s="2">
        <v>33</v>
      </c>
      <c r="E5808" s="2">
        <v>33</v>
      </c>
      <c r="F5808" s="2" t="s">
        <v>19935</v>
      </c>
      <c r="H5808" s="2" t="s">
        <v>17</v>
      </c>
    </row>
    <row r="5809" spans="1:14">
      <c r="A5809" s="2">
        <v>5808</v>
      </c>
      <c r="B5809" s="3" t="s">
        <v>19936</v>
      </c>
      <c r="C5809" s="2" t="s">
        <v>19937</v>
      </c>
      <c r="D5809" s="2">
        <v>31</v>
      </c>
      <c r="E5809" s="2">
        <v>33</v>
      </c>
      <c r="F5809" s="2" t="s">
        <v>19938</v>
      </c>
      <c r="H5809" s="2" t="s">
        <v>17</v>
      </c>
      <c r="K5809" s="4" t="s">
        <v>19939</v>
      </c>
      <c r="L5809" s="4">
        <v>11212</v>
      </c>
      <c r="M5809" s="2" t="s">
        <v>40</v>
      </c>
      <c r="N5809" s="2" t="s">
        <v>41</v>
      </c>
    </row>
    <row r="5810" spans="1:14">
      <c r="A5810" s="2">
        <v>5809</v>
      </c>
      <c r="B5810" s="3" t="s">
        <v>19940</v>
      </c>
      <c r="C5810" s="2" t="s">
        <v>19941</v>
      </c>
      <c r="D5810" s="2">
        <v>33</v>
      </c>
      <c r="E5810" s="2">
        <v>33</v>
      </c>
      <c r="F5810" s="2" t="s">
        <v>19942</v>
      </c>
      <c r="H5810" s="2" t="s">
        <v>17</v>
      </c>
    </row>
    <row r="5811" spans="1:14">
      <c r="A5811" s="2">
        <v>5810</v>
      </c>
      <c r="B5811" s="3" t="s">
        <v>19943</v>
      </c>
      <c r="C5811" s="2" t="s">
        <v>19944</v>
      </c>
      <c r="D5811" s="2">
        <v>30</v>
      </c>
      <c r="E5811" s="2">
        <v>33</v>
      </c>
      <c r="F5811" s="2" t="s">
        <v>19945</v>
      </c>
      <c r="H5811" s="2" t="s">
        <v>17</v>
      </c>
      <c r="K5811" s="4" t="s">
        <v>19946</v>
      </c>
      <c r="L5811" s="4">
        <v>14530</v>
      </c>
      <c r="M5811" s="2" t="s">
        <v>35</v>
      </c>
      <c r="N5811" s="2" t="s">
        <v>11401</v>
      </c>
    </row>
    <row r="5812" spans="1:14">
      <c r="A5812" s="2">
        <v>5811</v>
      </c>
      <c r="B5812" s="3" t="s">
        <v>19947</v>
      </c>
      <c r="C5812" s="2" t="s">
        <v>19948</v>
      </c>
      <c r="D5812" s="2">
        <v>26</v>
      </c>
      <c r="E5812" s="2">
        <v>33</v>
      </c>
      <c r="F5812" s="2" t="s">
        <v>19949</v>
      </c>
      <c r="H5812" s="2" t="s">
        <v>17</v>
      </c>
      <c r="K5812" s="4" t="s">
        <v>19950</v>
      </c>
      <c r="L5812" s="4">
        <v>10334</v>
      </c>
      <c r="M5812" s="2" t="s">
        <v>423</v>
      </c>
      <c r="N5812" s="2" t="s">
        <v>6168</v>
      </c>
    </row>
    <row r="5813" spans="1:14">
      <c r="A5813" s="2">
        <v>5812</v>
      </c>
      <c r="B5813" s="3" t="s">
        <v>19951</v>
      </c>
      <c r="C5813" s="2" t="s">
        <v>19952</v>
      </c>
      <c r="D5813" s="2">
        <v>22</v>
      </c>
      <c r="E5813" s="2">
        <v>33</v>
      </c>
      <c r="F5813" s="2" t="s">
        <v>19953</v>
      </c>
      <c r="H5813" s="2" t="s">
        <v>17</v>
      </c>
      <c r="K5813" s="4" t="s">
        <v>19954</v>
      </c>
      <c r="L5813" s="4">
        <v>16269</v>
      </c>
      <c r="M5813" s="2" t="s">
        <v>146</v>
      </c>
      <c r="N5813" s="2" t="s">
        <v>19955</v>
      </c>
    </row>
    <row r="5814" spans="1:14">
      <c r="A5814" s="2">
        <v>5813</v>
      </c>
      <c r="B5814" s="3" t="s">
        <v>19956</v>
      </c>
      <c r="C5814" s="2" t="s">
        <v>19957</v>
      </c>
      <c r="D5814" s="2">
        <v>32</v>
      </c>
      <c r="E5814" s="2">
        <v>33</v>
      </c>
      <c r="F5814" s="2" t="s">
        <v>19958</v>
      </c>
      <c r="H5814" s="2" t="s">
        <v>17</v>
      </c>
      <c r="K5814" s="4" t="s">
        <v>19959</v>
      </c>
      <c r="L5814" s="4">
        <v>27986</v>
      </c>
      <c r="M5814" s="2" t="s">
        <v>164</v>
      </c>
      <c r="N5814" s="2" t="s">
        <v>165</v>
      </c>
    </row>
    <row r="5815" spans="1:14">
      <c r="A5815" s="2">
        <v>5814</v>
      </c>
      <c r="B5815" s="3" t="s">
        <v>19960</v>
      </c>
      <c r="C5815" s="2" t="s">
        <v>16438</v>
      </c>
      <c r="D5815" s="2">
        <v>32</v>
      </c>
      <c r="E5815" s="2">
        <v>33</v>
      </c>
      <c r="F5815" s="2" t="s">
        <v>19961</v>
      </c>
      <c r="H5815" s="2" t="s">
        <v>17</v>
      </c>
      <c r="K5815" s="4" t="s">
        <v>19962</v>
      </c>
      <c r="L5815" s="4">
        <v>13199</v>
      </c>
    </row>
    <row r="5816" spans="1:14">
      <c r="A5816" s="2">
        <v>5815</v>
      </c>
      <c r="B5816" s="3" t="s">
        <v>19963</v>
      </c>
      <c r="C5816" s="2" t="s">
        <v>19964</v>
      </c>
      <c r="D5816" s="2">
        <v>32</v>
      </c>
      <c r="E5816" s="2">
        <v>33</v>
      </c>
      <c r="F5816" s="2" t="s">
        <v>19965</v>
      </c>
      <c r="H5816" s="2" t="s">
        <v>17</v>
      </c>
      <c r="K5816" s="4" t="s">
        <v>19966</v>
      </c>
      <c r="L5816" s="4">
        <v>9564</v>
      </c>
      <c r="M5816" s="2" t="s">
        <v>40</v>
      </c>
      <c r="N5816" s="2" t="s">
        <v>41</v>
      </c>
    </row>
    <row r="5817" spans="1:14">
      <c r="A5817" s="2">
        <v>5816</v>
      </c>
      <c r="B5817" s="3" t="s">
        <v>19967</v>
      </c>
      <c r="C5817" s="2" t="s">
        <v>19968</v>
      </c>
      <c r="D5817" s="2">
        <v>22</v>
      </c>
      <c r="E5817" s="2">
        <v>33</v>
      </c>
      <c r="F5817" s="2" t="s">
        <v>19969</v>
      </c>
      <c r="H5817" s="2" t="s">
        <v>17</v>
      </c>
      <c r="K5817" s="4" t="s">
        <v>19970</v>
      </c>
    </row>
    <row r="5818" spans="1:14">
      <c r="A5818" s="2">
        <v>5817</v>
      </c>
      <c r="B5818" s="3" t="s">
        <v>19971</v>
      </c>
      <c r="C5818" s="2" t="s">
        <v>19972</v>
      </c>
      <c r="D5818" s="2">
        <v>32</v>
      </c>
      <c r="E5818" s="2">
        <v>33</v>
      </c>
      <c r="F5818" s="2" t="s">
        <v>19973</v>
      </c>
      <c r="H5818" s="2" t="s">
        <v>17</v>
      </c>
      <c r="K5818" s="4" t="s">
        <v>19974</v>
      </c>
      <c r="L5818" s="4">
        <v>25143</v>
      </c>
    </row>
    <row r="5819" spans="1:14">
      <c r="A5819" s="2">
        <v>5818</v>
      </c>
      <c r="B5819" s="3" t="s">
        <v>19975</v>
      </c>
      <c r="C5819" s="2" t="s">
        <v>19976</v>
      </c>
      <c r="D5819" s="2">
        <v>33</v>
      </c>
      <c r="E5819" s="2">
        <v>33</v>
      </c>
      <c r="F5819" s="2" t="s">
        <v>19977</v>
      </c>
      <c r="H5819" s="2" t="s">
        <v>17</v>
      </c>
      <c r="K5819" s="4" t="s">
        <v>19978</v>
      </c>
      <c r="L5819" s="4">
        <v>21642</v>
      </c>
      <c r="M5819" s="2" t="s">
        <v>336</v>
      </c>
      <c r="N5819" s="2" t="s">
        <v>9029</v>
      </c>
    </row>
    <row r="5820" spans="1:14">
      <c r="A5820" s="2">
        <v>5819</v>
      </c>
      <c r="B5820" s="3" t="s">
        <v>19979</v>
      </c>
      <c r="C5820" s="2" t="s">
        <v>19980</v>
      </c>
      <c r="D5820" s="2">
        <v>32</v>
      </c>
      <c r="E5820" s="2">
        <v>33</v>
      </c>
      <c r="F5820" s="2" t="s">
        <v>19981</v>
      </c>
      <c r="H5820" s="2" t="s">
        <v>17</v>
      </c>
      <c r="K5820" s="4" t="s">
        <v>19982</v>
      </c>
      <c r="L5820" s="4">
        <v>19960</v>
      </c>
      <c r="M5820" s="2" t="s">
        <v>66</v>
      </c>
      <c r="N5820" s="2" t="s">
        <v>6179</v>
      </c>
    </row>
    <row r="5821" spans="1:14">
      <c r="A5821" s="2">
        <v>5820</v>
      </c>
      <c r="B5821" s="3" t="s">
        <v>19983</v>
      </c>
      <c r="C5821" s="2" t="s">
        <v>19984</v>
      </c>
      <c r="D5821" s="2">
        <v>30</v>
      </c>
      <c r="E5821" s="2">
        <v>33</v>
      </c>
      <c r="F5821" s="2" t="s">
        <v>19985</v>
      </c>
      <c r="H5821" s="2" t="s">
        <v>17</v>
      </c>
      <c r="K5821" s="4" t="s">
        <v>19986</v>
      </c>
      <c r="L5821" s="4">
        <v>25442</v>
      </c>
      <c r="M5821" s="2" t="s">
        <v>91</v>
      </c>
      <c r="N5821" s="2" t="s">
        <v>92</v>
      </c>
    </row>
    <row r="5822" spans="1:14">
      <c r="A5822" s="2">
        <v>5821</v>
      </c>
      <c r="B5822" s="3" t="s">
        <v>19987</v>
      </c>
      <c r="C5822" s="2" t="s">
        <v>19988</v>
      </c>
      <c r="D5822" s="2">
        <v>30</v>
      </c>
      <c r="E5822" s="2">
        <v>33</v>
      </c>
      <c r="F5822" s="2" t="s">
        <v>19989</v>
      </c>
      <c r="H5822" s="2" t="s">
        <v>17</v>
      </c>
      <c r="K5822" s="4" t="s">
        <v>19990</v>
      </c>
      <c r="L5822" s="4">
        <v>13963</v>
      </c>
    </row>
    <row r="5823" spans="1:14">
      <c r="A5823" s="2">
        <v>5822</v>
      </c>
      <c r="B5823" s="3" t="s">
        <v>19991</v>
      </c>
      <c r="C5823" s="2" t="s">
        <v>19992</v>
      </c>
      <c r="D5823" s="2">
        <v>33</v>
      </c>
      <c r="E5823" s="2">
        <v>33</v>
      </c>
      <c r="F5823" s="2" t="s">
        <v>19993</v>
      </c>
      <c r="H5823" s="2" t="s">
        <v>17</v>
      </c>
      <c r="K5823" s="4" t="s">
        <v>19994</v>
      </c>
      <c r="M5823" s="2" t="s">
        <v>35</v>
      </c>
      <c r="N5823" s="2" t="s">
        <v>15810</v>
      </c>
    </row>
    <row r="5824" spans="1:14">
      <c r="A5824" s="2">
        <v>5823</v>
      </c>
      <c r="B5824" s="3" t="s">
        <v>19995</v>
      </c>
      <c r="C5824" s="2" t="s">
        <v>19996</v>
      </c>
      <c r="D5824" s="2">
        <v>31</v>
      </c>
      <c r="E5824" s="2">
        <v>33</v>
      </c>
      <c r="F5824" s="2" t="s">
        <v>19997</v>
      </c>
      <c r="H5824" s="2" t="s">
        <v>17</v>
      </c>
      <c r="K5824" s="4" t="s">
        <v>19998</v>
      </c>
      <c r="L5824" s="4">
        <v>10604</v>
      </c>
      <c r="M5824" s="2" t="s">
        <v>91</v>
      </c>
      <c r="N5824" s="2" t="s">
        <v>92</v>
      </c>
    </row>
    <row r="5825" spans="1:14">
      <c r="A5825" s="2">
        <v>5824</v>
      </c>
      <c r="B5825" s="3" t="s">
        <v>19999</v>
      </c>
      <c r="C5825" s="2" t="s">
        <v>20000</v>
      </c>
      <c r="D5825" s="2">
        <v>33</v>
      </c>
      <c r="E5825" s="2">
        <v>33</v>
      </c>
      <c r="F5825" s="2" t="s">
        <v>20001</v>
      </c>
      <c r="H5825" s="2" t="s">
        <v>17</v>
      </c>
      <c r="K5825" s="4" t="s">
        <v>20002</v>
      </c>
      <c r="L5825" s="4">
        <v>17457</v>
      </c>
      <c r="M5825" s="2" t="s">
        <v>170</v>
      </c>
      <c r="N5825" s="2" t="s">
        <v>12332</v>
      </c>
    </row>
    <row r="5826" spans="1:14">
      <c r="A5826" s="2">
        <v>5825</v>
      </c>
      <c r="B5826" s="3" t="s">
        <v>20003</v>
      </c>
      <c r="C5826" s="2" t="s">
        <v>20004</v>
      </c>
      <c r="D5826" s="2">
        <v>23</v>
      </c>
      <c r="E5826" s="2">
        <v>33</v>
      </c>
      <c r="F5826" s="2" t="s">
        <v>20005</v>
      </c>
      <c r="H5826" s="2" t="s">
        <v>17</v>
      </c>
      <c r="K5826" s="4" t="s">
        <v>20006</v>
      </c>
      <c r="L5826" s="4">
        <v>14527</v>
      </c>
      <c r="M5826" s="2" t="s">
        <v>66</v>
      </c>
      <c r="N5826" s="2" t="s">
        <v>12000</v>
      </c>
    </row>
    <row r="5827" spans="1:14">
      <c r="A5827" s="2">
        <v>5826</v>
      </c>
      <c r="B5827" s="3" t="s">
        <v>20007</v>
      </c>
      <c r="C5827" s="2" t="s">
        <v>20008</v>
      </c>
      <c r="D5827" s="2">
        <v>33</v>
      </c>
      <c r="E5827" s="2">
        <v>33</v>
      </c>
      <c r="F5827" s="2" t="s">
        <v>20009</v>
      </c>
      <c r="H5827" s="2" t="s">
        <v>17</v>
      </c>
    </row>
    <row r="5828" spans="1:14">
      <c r="A5828" s="2">
        <v>5827</v>
      </c>
      <c r="B5828" s="3" t="s">
        <v>20010</v>
      </c>
      <c r="C5828" s="2" t="s">
        <v>20011</v>
      </c>
      <c r="D5828" s="2">
        <v>32</v>
      </c>
      <c r="E5828" s="2">
        <v>33</v>
      </c>
      <c r="F5828" s="2" t="s">
        <v>20012</v>
      </c>
      <c r="H5828" s="2" t="s">
        <v>17</v>
      </c>
      <c r="K5828" s="4" t="s">
        <v>20013</v>
      </c>
      <c r="L5828" s="4">
        <v>10802</v>
      </c>
      <c r="M5828" s="2" t="s">
        <v>170</v>
      </c>
      <c r="N5828" s="2" t="s">
        <v>802</v>
      </c>
    </row>
    <row r="5829" spans="1:14">
      <c r="A5829" s="2">
        <v>5828</v>
      </c>
      <c r="B5829" s="3" t="s">
        <v>20014</v>
      </c>
      <c r="C5829" s="2" t="s">
        <v>12307</v>
      </c>
      <c r="D5829" s="2">
        <v>30</v>
      </c>
      <c r="E5829" s="2">
        <v>33</v>
      </c>
      <c r="F5829" s="2" t="s">
        <v>20015</v>
      </c>
      <c r="H5829" s="2" t="s">
        <v>17</v>
      </c>
    </row>
    <row r="5830" spans="1:14">
      <c r="A5830" s="2">
        <v>5829</v>
      </c>
      <c r="B5830" s="3" t="s">
        <v>20016</v>
      </c>
      <c r="C5830" s="2" t="s">
        <v>20017</v>
      </c>
      <c r="D5830" s="2">
        <v>31</v>
      </c>
      <c r="E5830" s="2">
        <v>33</v>
      </c>
      <c r="F5830" s="2" t="s">
        <v>20018</v>
      </c>
      <c r="H5830" s="2" t="s">
        <v>17</v>
      </c>
      <c r="L5830" s="4">
        <v>9313</v>
      </c>
    </row>
    <row r="5831" spans="1:14">
      <c r="A5831" s="2">
        <v>5830</v>
      </c>
      <c r="B5831" s="3" t="s">
        <v>20019</v>
      </c>
      <c r="C5831" s="2" t="s">
        <v>20020</v>
      </c>
      <c r="D5831" s="2">
        <v>30</v>
      </c>
      <c r="E5831" s="2">
        <v>33</v>
      </c>
      <c r="F5831" s="2" t="s">
        <v>20021</v>
      </c>
      <c r="H5831" s="2" t="s">
        <v>17</v>
      </c>
    </row>
    <row r="5832" spans="1:14">
      <c r="A5832" s="2">
        <v>5831</v>
      </c>
      <c r="B5832" s="3" t="s">
        <v>20022</v>
      </c>
      <c r="C5832" s="2" t="s">
        <v>20023</v>
      </c>
      <c r="D5832" s="2">
        <v>30</v>
      </c>
      <c r="E5832" s="2">
        <v>33</v>
      </c>
      <c r="F5832" s="2" t="s">
        <v>20024</v>
      </c>
      <c r="H5832" s="2" t="s">
        <v>17</v>
      </c>
      <c r="K5832" s="4" t="s">
        <v>20025</v>
      </c>
      <c r="L5832" s="4">
        <v>19075</v>
      </c>
      <c r="M5832" s="2" t="s">
        <v>85</v>
      </c>
      <c r="N5832" s="2" t="s">
        <v>20026</v>
      </c>
    </row>
    <row r="5833" spans="1:14">
      <c r="A5833" s="2">
        <v>5832</v>
      </c>
      <c r="B5833" s="3" t="s">
        <v>20027</v>
      </c>
      <c r="C5833" s="2" t="s">
        <v>20028</v>
      </c>
      <c r="D5833" s="2">
        <v>31</v>
      </c>
      <c r="E5833" s="2">
        <v>33</v>
      </c>
      <c r="F5833" s="2" t="s">
        <v>20029</v>
      </c>
      <c r="H5833" s="2" t="s">
        <v>17</v>
      </c>
      <c r="K5833" s="4" t="s">
        <v>20030</v>
      </c>
      <c r="L5833" s="4">
        <v>9575</v>
      </c>
      <c r="M5833" s="2" t="s">
        <v>47</v>
      </c>
      <c r="N5833" s="2" t="s">
        <v>48</v>
      </c>
    </row>
    <row r="5834" spans="1:14">
      <c r="A5834" s="2">
        <v>5833</v>
      </c>
      <c r="B5834" s="3" t="s">
        <v>20031</v>
      </c>
      <c r="C5834" s="2" t="s">
        <v>20032</v>
      </c>
      <c r="D5834" s="2">
        <v>27</v>
      </c>
      <c r="E5834" s="2">
        <v>33</v>
      </c>
      <c r="F5834" s="2" t="s">
        <v>20033</v>
      </c>
      <c r="H5834" s="2" t="s">
        <v>17</v>
      </c>
      <c r="K5834" s="4" t="s">
        <v>17194</v>
      </c>
      <c r="L5834" s="4">
        <v>20624</v>
      </c>
      <c r="M5834" s="2" t="s">
        <v>336</v>
      </c>
      <c r="N5834" s="2" t="s">
        <v>13493</v>
      </c>
    </row>
    <row r="5835" spans="1:14">
      <c r="A5835" s="2">
        <v>5834</v>
      </c>
      <c r="B5835" s="3" t="s">
        <v>20034</v>
      </c>
      <c r="C5835" s="2" t="s">
        <v>20035</v>
      </c>
      <c r="D5835" s="2">
        <v>33</v>
      </c>
      <c r="E5835" s="2">
        <v>33</v>
      </c>
      <c r="F5835" s="2" t="s">
        <v>20036</v>
      </c>
      <c r="H5835" s="2" t="s">
        <v>17</v>
      </c>
      <c r="L5835" s="4">
        <v>18558</v>
      </c>
    </row>
    <row r="5836" spans="1:14">
      <c r="A5836" s="2">
        <v>5835</v>
      </c>
      <c r="B5836" s="3" t="s">
        <v>20037</v>
      </c>
      <c r="C5836" s="2" t="s">
        <v>20038</v>
      </c>
      <c r="D5836" s="2">
        <v>32</v>
      </c>
      <c r="E5836" s="2">
        <v>33</v>
      </c>
      <c r="F5836" s="2" t="s">
        <v>20039</v>
      </c>
      <c r="H5836" s="2" t="s">
        <v>17</v>
      </c>
      <c r="K5836" s="4" t="s">
        <v>20040</v>
      </c>
      <c r="L5836" s="4">
        <v>13127</v>
      </c>
      <c r="M5836" s="2" t="s">
        <v>85</v>
      </c>
      <c r="N5836" s="2" t="s">
        <v>86</v>
      </c>
    </row>
    <row r="5837" spans="1:14">
      <c r="A5837" s="2">
        <v>5836</v>
      </c>
      <c r="B5837" s="3" t="s">
        <v>20041</v>
      </c>
      <c r="C5837" s="2" t="s">
        <v>20042</v>
      </c>
      <c r="D5837" s="2">
        <v>32</v>
      </c>
      <c r="E5837" s="2">
        <v>33</v>
      </c>
      <c r="F5837" s="2" t="s">
        <v>20043</v>
      </c>
      <c r="H5837" s="2" t="s">
        <v>17</v>
      </c>
      <c r="K5837" s="4" t="s">
        <v>18414</v>
      </c>
      <c r="L5837" s="4">
        <v>10834</v>
      </c>
      <c r="M5837" s="2" t="s">
        <v>35</v>
      </c>
      <c r="N5837" s="2" t="s">
        <v>2466</v>
      </c>
    </row>
    <row r="5838" spans="1:14">
      <c r="A5838" s="2">
        <v>5837</v>
      </c>
      <c r="B5838" s="3" t="s">
        <v>20044</v>
      </c>
      <c r="C5838" s="2" t="s">
        <v>20045</v>
      </c>
      <c r="D5838" s="2">
        <v>28</v>
      </c>
      <c r="E5838" s="2">
        <v>33</v>
      </c>
      <c r="F5838" s="2" t="s">
        <v>20046</v>
      </c>
      <c r="H5838" s="2" t="s">
        <v>17</v>
      </c>
      <c r="L5838" s="4">
        <v>13372</v>
      </c>
    </row>
    <row r="5839" spans="1:14">
      <c r="A5839" s="2">
        <v>5838</v>
      </c>
      <c r="B5839" s="3" t="s">
        <v>20047</v>
      </c>
      <c r="C5839" s="2" t="s">
        <v>20048</v>
      </c>
      <c r="D5839" s="2">
        <v>32</v>
      </c>
      <c r="E5839" s="2">
        <v>33</v>
      </c>
      <c r="F5839" s="2" t="s">
        <v>20049</v>
      </c>
      <c r="H5839" s="2" t="s">
        <v>17</v>
      </c>
      <c r="L5839" s="4">
        <v>22194</v>
      </c>
    </row>
    <row r="5840" spans="1:14">
      <c r="A5840" s="2">
        <v>5839</v>
      </c>
      <c r="B5840" s="3" t="s">
        <v>20050</v>
      </c>
      <c r="C5840" s="2" t="s">
        <v>17346</v>
      </c>
      <c r="D5840" s="2">
        <v>33</v>
      </c>
      <c r="E5840" s="2">
        <v>33</v>
      </c>
      <c r="F5840" s="2" t="s">
        <v>20051</v>
      </c>
      <c r="H5840" s="2" t="s">
        <v>17</v>
      </c>
      <c r="K5840" s="4" t="s">
        <v>20052</v>
      </c>
      <c r="L5840" s="4">
        <v>16206</v>
      </c>
      <c r="M5840" s="2" t="s">
        <v>170</v>
      </c>
      <c r="N5840" s="2" t="s">
        <v>9069</v>
      </c>
    </row>
    <row r="5841" spans="1:14">
      <c r="A5841" s="2">
        <v>5840</v>
      </c>
      <c r="B5841" s="3" t="s">
        <v>20053</v>
      </c>
      <c r="C5841" s="2" t="s">
        <v>20054</v>
      </c>
      <c r="D5841" s="2">
        <v>33</v>
      </c>
      <c r="E5841" s="2">
        <v>33</v>
      </c>
      <c r="F5841" s="2" t="s">
        <v>20055</v>
      </c>
      <c r="H5841" s="2" t="s">
        <v>17</v>
      </c>
      <c r="K5841" s="4" t="s">
        <v>20056</v>
      </c>
      <c r="L5841" s="4">
        <v>11833</v>
      </c>
      <c r="M5841" s="2" t="s">
        <v>40</v>
      </c>
      <c r="N5841" s="2" t="s">
        <v>20057</v>
      </c>
    </row>
    <row r="5842" spans="1:14">
      <c r="A5842" s="2">
        <v>5841</v>
      </c>
      <c r="B5842" s="3" t="s">
        <v>20058</v>
      </c>
      <c r="C5842" s="2" t="s">
        <v>20059</v>
      </c>
      <c r="D5842" s="2">
        <v>27</v>
      </c>
      <c r="E5842" s="2">
        <v>33</v>
      </c>
      <c r="F5842" s="2" t="s">
        <v>20060</v>
      </c>
      <c r="H5842" s="2" t="s">
        <v>17</v>
      </c>
      <c r="K5842" s="4" t="s">
        <v>20061</v>
      </c>
      <c r="L5842" s="4">
        <v>14900</v>
      </c>
      <c r="M5842" s="2" t="s">
        <v>35</v>
      </c>
      <c r="N5842" s="2" t="s">
        <v>14804</v>
      </c>
    </row>
    <row r="5843" spans="1:14">
      <c r="A5843" s="2">
        <v>5842</v>
      </c>
      <c r="B5843" s="3" t="s">
        <v>20062</v>
      </c>
      <c r="C5843" s="2" t="s">
        <v>20063</v>
      </c>
      <c r="D5843" s="2">
        <v>28</v>
      </c>
      <c r="E5843" s="2">
        <v>33</v>
      </c>
      <c r="F5843" s="2" t="s">
        <v>20064</v>
      </c>
      <c r="H5843" s="2" t="s">
        <v>17</v>
      </c>
      <c r="K5843" s="4" t="s">
        <v>20065</v>
      </c>
      <c r="L5843" s="4">
        <v>20638</v>
      </c>
      <c r="M5843" s="2" t="s">
        <v>198</v>
      </c>
      <c r="N5843" s="2" t="s">
        <v>20066</v>
      </c>
    </row>
    <row r="5844" spans="1:14">
      <c r="A5844" s="2">
        <v>5843</v>
      </c>
      <c r="B5844" s="3" t="s">
        <v>20067</v>
      </c>
      <c r="C5844" s="2" t="s">
        <v>20068</v>
      </c>
      <c r="D5844" s="2">
        <v>28</v>
      </c>
      <c r="E5844" s="2">
        <v>33</v>
      </c>
      <c r="F5844" s="2" t="s">
        <v>20069</v>
      </c>
      <c r="H5844" s="2" t="s">
        <v>17</v>
      </c>
    </row>
    <row r="5845" spans="1:14">
      <c r="A5845" s="2">
        <v>5844</v>
      </c>
      <c r="B5845" s="3" t="s">
        <v>20070</v>
      </c>
      <c r="C5845" s="2" t="s">
        <v>20071</v>
      </c>
      <c r="D5845" s="2">
        <v>32</v>
      </c>
      <c r="E5845" s="2">
        <v>33</v>
      </c>
      <c r="F5845" s="2" t="s">
        <v>20072</v>
      </c>
      <c r="H5845" s="2" t="s">
        <v>17</v>
      </c>
      <c r="K5845" s="4" t="s">
        <v>20073</v>
      </c>
      <c r="L5845" s="4">
        <v>10293</v>
      </c>
      <c r="M5845" s="2" t="s">
        <v>47</v>
      </c>
      <c r="N5845" s="2" t="s">
        <v>442</v>
      </c>
    </row>
    <row r="5846" spans="1:14">
      <c r="A5846" s="2">
        <v>5845</v>
      </c>
      <c r="B5846" s="3" t="s">
        <v>20074</v>
      </c>
      <c r="C5846" s="2" t="s">
        <v>20075</v>
      </c>
      <c r="D5846" s="2">
        <v>29</v>
      </c>
      <c r="E5846" s="2">
        <v>33</v>
      </c>
      <c r="F5846" s="2" t="s">
        <v>20076</v>
      </c>
      <c r="H5846" s="2" t="s">
        <v>17</v>
      </c>
      <c r="K5846" s="4" t="s">
        <v>20077</v>
      </c>
      <c r="L5846" s="4">
        <v>10817</v>
      </c>
      <c r="M5846" s="2" t="s">
        <v>53</v>
      </c>
      <c r="N5846" s="2" t="s">
        <v>54</v>
      </c>
    </row>
    <row r="5847" spans="1:14">
      <c r="A5847" s="2">
        <v>5846</v>
      </c>
      <c r="B5847" s="3" t="s">
        <v>20078</v>
      </c>
      <c r="C5847" s="2" t="s">
        <v>20079</v>
      </c>
      <c r="D5847" s="2">
        <v>32</v>
      </c>
      <c r="E5847" s="2">
        <v>33</v>
      </c>
      <c r="F5847" s="2" t="s">
        <v>20080</v>
      </c>
      <c r="H5847" s="2" t="s">
        <v>17</v>
      </c>
      <c r="K5847" s="4" t="s">
        <v>20081</v>
      </c>
      <c r="L5847" s="4">
        <v>17677</v>
      </c>
      <c r="M5847" s="2" t="s">
        <v>35</v>
      </c>
      <c r="N5847" s="2" t="s">
        <v>672</v>
      </c>
    </row>
    <row r="5848" spans="1:14">
      <c r="A5848" s="2">
        <v>5847</v>
      </c>
      <c r="B5848" s="3" t="s">
        <v>20082</v>
      </c>
      <c r="C5848" s="2" t="s">
        <v>20083</v>
      </c>
      <c r="D5848" s="2">
        <v>33</v>
      </c>
      <c r="E5848" s="2">
        <v>33</v>
      </c>
      <c r="F5848" s="2" t="s">
        <v>20084</v>
      </c>
      <c r="H5848" s="2" t="s">
        <v>17</v>
      </c>
      <c r="L5848" s="4">
        <v>26328</v>
      </c>
    </row>
    <row r="5849" spans="1:14">
      <c r="A5849" s="2">
        <v>5848</v>
      </c>
      <c r="B5849" s="3" t="s">
        <v>20085</v>
      </c>
      <c r="C5849" s="2" t="s">
        <v>20086</v>
      </c>
      <c r="D5849" s="2">
        <v>30</v>
      </c>
      <c r="E5849" s="2">
        <v>33</v>
      </c>
      <c r="F5849" s="2" t="s">
        <v>20087</v>
      </c>
      <c r="H5849" s="2" t="s">
        <v>17</v>
      </c>
      <c r="K5849" s="4" t="s">
        <v>20088</v>
      </c>
      <c r="L5849" s="4">
        <v>20085</v>
      </c>
      <c r="M5849" s="2" t="s">
        <v>76</v>
      </c>
      <c r="N5849" s="2" t="s">
        <v>14023</v>
      </c>
    </row>
    <row r="5850" spans="1:14">
      <c r="A5850" s="2">
        <v>5849</v>
      </c>
      <c r="B5850" s="3" t="s">
        <v>20089</v>
      </c>
      <c r="C5850" s="2" t="s">
        <v>20090</v>
      </c>
      <c r="D5850" s="2">
        <v>31</v>
      </c>
      <c r="E5850" s="2">
        <v>33</v>
      </c>
      <c r="F5850" s="2" t="s">
        <v>20091</v>
      </c>
      <c r="H5850" s="2" t="s">
        <v>17</v>
      </c>
      <c r="K5850" s="4" t="s">
        <v>20092</v>
      </c>
      <c r="L5850" s="4">
        <v>12713</v>
      </c>
      <c r="M5850" s="2" t="s">
        <v>47</v>
      </c>
      <c r="N5850" s="2" t="s">
        <v>1538</v>
      </c>
    </row>
    <row r="5851" spans="1:14">
      <c r="A5851" s="2">
        <v>5850</v>
      </c>
      <c r="B5851" s="3" t="s">
        <v>20093</v>
      </c>
      <c r="C5851" s="2" t="s">
        <v>20094</v>
      </c>
      <c r="D5851" s="2">
        <v>33</v>
      </c>
      <c r="E5851" s="2">
        <v>33</v>
      </c>
      <c r="F5851" s="2" t="s">
        <v>20095</v>
      </c>
      <c r="H5851" s="2" t="s">
        <v>17</v>
      </c>
      <c r="K5851" s="4" t="s">
        <v>20096</v>
      </c>
      <c r="L5851" s="4">
        <v>17019</v>
      </c>
      <c r="M5851" s="2" t="s">
        <v>185</v>
      </c>
      <c r="N5851" s="2" t="s">
        <v>20097</v>
      </c>
    </row>
    <row r="5852" spans="1:14">
      <c r="A5852" s="2">
        <v>5851</v>
      </c>
      <c r="B5852" s="3" t="s">
        <v>20098</v>
      </c>
      <c r="C5852" s="2" t="s">
        <v>20099</v>
      </c>
      <c r="D5852" s="2">
        <v>30</v>
      </c>
      <c r="E5852" s="2">
        <v>33</v>
      </c>
      <c r="F5852" s="2" t="s">
        <v>20100</v>
      </c>
      <c r="H5852" s="2" t="s">
        <v>17</v>
      </c>
      <c r="K5852" s="4" t="s">
        <v>20101</v>
      </c>
      <c r="L5852" s="4">
        <v>12305</v>
      </c>
      <c r="M5852" s="2" t="s">
        <v>18</v>
      </c>
      <c r="N5852" s="2" t="s">
        <v>19</v>
      </c>
    </row>
    <row r="5853" spans="1:14">
      <c r="A5853" s="2">
        <v>5852</v>
      </c>
      <c r="B5853" s="3" t="s">
        <v>20102</v>
      </c>
      <c r="C5853" s="2" t="s">
        <v>20103</v>
      </c>
      <c r="D5853" s="2">
        <v>23</v>
      </c>
      <c r="E5853" s="2">
        <v>33</v>
      </c>
      <c r="F5853" s="2" t="s">
        <v>20104</v>
      </c>
      <c r="H5853" s="2" t="s">
        <v>17</v>
      </c>
      <c r="K5853" s="4" t="s">
        <v>20105</v>
      </c>
      <c r="L5853" s="4">
        <v>11157</v>
      </c>
      <c r="M5853" s="2" t="s">
        <v>66</v>
      </c>
      <c r="N5853" s="2" t="s">
        <v>131</v>
      </c>
    </row>
    <row r="5854" spans="1:14">
      <c r="A5854" s="2">
        <v>5853</v>
      </c>
      <c r="B5854" s="3" t="s">
        <v>20106</v>
      </c>
      <c r="C5854" s="2" t="s">
        <v>20107</v>
      </c>
      <c r="D5854" s="2">
        <v>33</v>
      </c>
      <c r="E5854" s="2">
        <v>33</v>
      </c>
      <c r="F5854" s="2" t="s">
        <v>20108</v>
      </c>
      <c r="H5854" s="2" t="s">
        <v>17</v>
      </c>
      <c r="K5854" s="4" t="s">
        <v>20109</v>
      </c>
      <c r="L5854" s="4">
        <v>18467</v>
      </c>
      <c r="M5854" s="2" t="s">
        <v>47</v>
      </c>
      <c r="N5854" s="2" t="s">
        <v>4050</v>
      </c>
    </row>
    <row r="5855" spans="1:14">
      <c r="A5855" s="2">
        <v>5854</v>
      </c>
      <c r="B5855" s="3" t="s">
        <v>20110</v>
      </c>
      <c r="C5855" s="2" t="s">
        <v>20111</v>
      </c>
      <c r="D5855" s="2">
        <v>33</v>
      </c>
      <c r="E5855" s="2">
        <v>33</v>
      </c>
      <c r="F5855" s="2" t="s">
        <v>20112</v>
      </c>
      <c r="H5855" s="2" t="s">
        <v>17</v>
      </c>
      <c r="K5855" s="4" t="s">
        <v>20113</v>
      </c>
      <c r="L5855" s="4">
        <v>11827</v>
      </c>
      <c r="M5855" s="2" t="s">
        <v>47</v>
      </c>
      <c r="N5855" s="2" t="s">
        <v>4066</v>
      </c>
    </row>
    <row r="5856" spans="1:14">
      <c r="A5856" s="2">
        <v>5855</v>
      </c>
      <c r="B5856" s="3" t="s">
        <v>20114</v>
      </c>
      <c r="C5856" s="2" t="s">
        <v>20115</v>
      </c>
      <c r="D5856" s="2">
        <v>29</v>
      </c>
      <c r="E5856" s="2">
        <v>33</v>
      </c>
      <c r="F5856" s="2" t="s">
        <v>20116</v>
      </c>
      <c r="H5856" s="2" t="s">
        <v>17</v>
      </c>
      <c r="K5856" s="4" t="s">
        <v>20117</v>
      </c>
      <c r="L5856" s="4">
        <v>15828</v>
      </c>
      <c r="M5856" s="2" t="s">
        <v>47</v>
      </c>
      <c r="N5856" s="2" t="s">
        <v>3765</v>
      </c>
    </row>
    <row r="5857" spans="1:14">
      <c r="A5857" s="2">
        <v>5856</v>
      </c>
      <c r="B5857" s="3" t="s">
        <v>20118</v>
      </c>
      <c r="C5857" s="2" t="s">
        <v>20119</v>
      </c>
      <c r="D5857" s="2">
        <v>30</v>
      </c>
      <c r="E5857" s="2">
        <v>33</v>
      </c>
      <c r="F5857" s="2" t="s">
        <v>20120</v>
      </c>
      <c r="H5857" s="2" t="s">
        <v>17</v>
      </c>
      <c r="L5857" s="4">
        <v>8969</v>
      </c>
    </row>
    <row r="5858" spans="1:14">
      <c r="A5858" s="2">
        <v>5857</v>
      </c>
      <c r="B5858" s="3" t="s">
        <v>20121</v>
      </c>
      <c r="C5858" s="2" t="s">
        <v>20122</v>
      </c>
      <c r="D5858" s="2">
        <v>33</v>
      </c>
      <c r="E5858" s="2">
        <v>33</v>
      </c>
      <c r="F5858" s="2" t="s">
        <v>20123</v>
      </c>
      <c r="H5858" s="2" t="s">
        <v>17</v>
      </c>
      <c r="K5858" s="4" t="s">
        <v>20124</v>
      </c>
      <c r="L5858" s="4">
        <v>15144</v>
      </c>
      <c r="M5858" s="2" t="s">
        <v>40</v>
      </c>
      <c r="N5858" s="2" t="s">
        <v>41</v>
      </c>
    </row>
    <row r="5859" spans="1:14">
      <c r="A5859" s="2">
        <v>5858</v>
      </c>
      <c r="B5859" s="3" t="s">
        <v>20125</v>
      </c>
      <c r="C5859" s="2" t="s">
        <v>20126</v>
      </c>
      <c r="D5859" s="2">
        <v>31</v>
      </c>
      <c r="E5859" s="2">
        <v>33</v>
      </c>
      <c r="F5859" s="2" t="s">
        <v>20127</v>
      </c>
      <c r="H5859" s="2" t="s">
        <v>17</v>
      </c>
      <c r="K5859" s="4" t="s">
        <v>20128</v>
      </c>
      <c r="L5859" s="4">
        <v>28307</v>
      </c>
      <c r="M5859" s="2" t="s">
        <v>185</v>
      </c>
      <c r="N5859" s="2" t="s">
        <v>5014</v>
      </c>
    </row>
    <row r="5860" spans="1:14">
      <c r="A5860" s="2">
        <v>5859</v>
      </c>
      <c r="B5860" s="3" t="s">
        <v>20129</v>
      </c>
      <c r="C5860" s="2" t="s">
        <v>20130</v>
      </c>
      <c r="D5860" s="2">
        <v>31</v>
      </c>
      <c r="E5860" s="2">
        <v>33</v>
      </c>
      <c r="F5860" s="2" t="s">
        <v>20131</v>
      </c>
      <c r="H5860" s="2" t="s">
        <v>17</v>
      </c>
    </row>
    <row r="5861" spans="1:14">
      <c r="A5861" s="2">
        <v>5860</v>
      </c>
      <c r="B5861" s="3" t="s">
        <v>20132</v>
      </c>
      <c r="C5861" s="2" t="s">
        <v>20133</v>
      </c>
      <c r="D5861" s="2">
        <v>32</v>
      </c>
      <c r="E5861" s="2">
        <v>33</v>
      </c>
      <c r="F5861" s="2" t="s">
        <v>20134</v>
      </c>
      <c r="H5861" s="2" t="s">
        <v>17</v>
      </c>
      <c r="K5861" s="4" t="s">
        <v>20135</v>
      </c>
      <c r="L5861" s="4">
        <v>11303</v>
      </c>
      <c r="M5861" s="2" t="s">
        <v>198</v>
      </c>
      <c r="N5861" s="2" t="s">
        <v>5240</v>
      </c>
    </row>
    <row r="5862" spans="1:14">
      <c r="A5862" s="2">
        <v>5861</v>
      </c>
      <c r="B5862" s="3" t="s">
        <v>20136</v>
      </c>
      <c r="C5862" s="2" t="s">
        <v>20137</v>
      </c>
      <c r="D5862" s="2">
        <v>24</v>
      </c>
      <c r="E5862" s="2">
        <v>33</v>
      </c>
      <c r="F5862" s="2" t="s">
        <v>20138</v>
      </c>
      <c r="H5862" s="2" t="s">
        <v>17</v>
      </c>
      <c r="K5862" s="4" t="s">
        <v>20139</v>
      </c>
      <c r="L5862" s="4">
        <v>15015</v>
      </c>
      <c r="M5862" s="2" t="s">
        <v>85</v>
      </c>
      <c r="N5862" s="2" t="s">
        <v>86</v>
      </c>
    </row>
    <row r="5863" spans="1:14">
      <c r="A5863" s="2">
        <v>5862</v>
      </c>
      <c r="B5863" s="3" t="s">
        <v>20140</v>
      </c>
      <c r="C5863" s="2" t="s">
        <v>20141</v>
      </c>
      <c r="D5863" s="2">
        <v>30</v>
      </c>
      <c r="E5863" s="2">
        <v>33</v>
      </c>
      <c r="F5863" s="2" t="s">
        <v>20142</v>
      </c>
      <c r="H5863" s="2" t="s">
        <v>17</v>
      </c>
      <c r="K5863" s="4" t="s">
        <v>20143</v>
      </c>
      <c r="L5863" s="4">
        <v>21118</v>
      </c>
      <c r="M5863" s="2" t="s">
        <v>85</v>
      </c>
      <c r="N5863" s="2" t="s">
        <v>1868</v>
      </c>
    </row>
    <row r="5864" spans="1:14">
      <c r="A5864" s="2">
        <v>5863</v>
      </c>
      <c r="B5864" s="3" t="s">
        <v>20144</v>
      </c>
      <c r="C5864" s="2" t="s">
        <v>9092</v>
      </c>
      <c r="D5864" s="2">
        <v>27</v>
      </c>
      <c r="E5864" s="2">
        <v>33</v>
      </c>
      <c r="F5864" s="2" t="s">
        <v>20145</v>
      </c>
      <c r="H5864" s="2" t="s">
        <v>17</v>
      </c>
      <c r="K5864" s="4" t="s">
        <v>20146</v>
      </c>
      <c r="L5864" s="4">
        <v>19628</v>
      </c>
      <c r="M5864" s="2" t="s">
        <v>35</v>
      </c>
      <c r="N5864" s="2" t="s">
        <v>1032</v>
      </c>
    </row>
    <row r="5865" spans="1:14">
      <c r="A5865" s="2">
        <v>5864</v>
      </c>
      <c r="B5865" s="3" t="s">
        <v>20147</v>
      </c>
      <c r="C5865" s="2" t="s">
        <v>20148</v>
      </c>
      <c r="D5865" s="2">
        <v>30</v>
      </c>
      <c r="E5865" s="2">
        <v>33</v>
      </c>
      <c r="F5865" s="2" t="s">
        <v>20149</v>
      </c>
      <c r="H5865" s="2" t="s">
        <v>17</v>
      </c>
      <c r="K5865" s="4" t="s">
        <v>20150</v>
      </c>
      <c r="L5865" s="4">
        <v>21573</v>
      </c>
      <c r="M5865" s="2" t="s">
        <v>170</v>
      </c>
      <c r="N5865" s="2" t="s">
        <v>323</v>
      </c>
    </row>
    <row r="5866" spans="1:14">
      <c r="A5866" s="2">
        <v>5865</v>
      </c>
      <c r="B5866" s="3" t="s">
        <v>20151</v>
      </c>
      <c r="C5866" s="2" t="s">
        <v>20152</v>
      </c>
      <c r="D5866" s="2">
        <v>27</v>
      </c>
      <c r="E5866" s="2">
        <v>33</v>
      </c>
      <c r="F5866" s="2" t="s">
        <v>20153</v>
      </c>
      <c r="H5866" s="2" t="s">
        <v>17</v>
      </c>
      <c r="K5866" s="4" t="s">
        <v>20154</v>
      </c>
      <c r="L5866" s="4">
        <v>9523</v>
      </c>
      <c r="M5866" s="2" t="s">
        <v>146</v>
      </c>
      <c r="N5866" s="2" t="s">
        <v>8769</v>
      </c>
    </row>
    <row r="5867" spans="1:14">
      <c r="A5867" s="2">
        <v>5866</v>
      </c>
      <c r="B5867" s="3" t="s">
        <v>20155</v>
      </c>
      <c r="C5867" s="2" t="s">
        <v>20156</v>
      </c>
      <c r="D5867" s="2">
        <v>33</v>
      </c>
      <c r="E5867" s="2">
        <v>33</v>
      </c>
      <c r="F5867" s="2" t="s">
        <v>20157</v>
      </c>
      <c r="H5867" s="2" t="s">
        <v>17</v>
      </c>
      <c r="K5867" s="4" t="s">
        <v>20158</v>
      </c>
      <c r="L5867" s="4">
        <v>15194</v>
      </c>
      <c r="M5867" s="2" t="s">
        <v>423</v>
      </c>
      <c r="N5867" s="2" t="s">
        <v>3942</v>
      </c>
    </row>
    <row r="5868" spans="1:14">
      <c r="A5868" s="2">
        <v>5867</v>
      </c>
      <c r="B5868" s="3" t="s">
        <v>20159</v>
      </c>
      <c r="C5868" s="2" t="s">
        <v>20160</v>
      </c>
      <c r="D5868" s="2">
        <v>26</v>
      </c>
      <c r="E5868" s="2">
        <v>33</v>
      </c>
      <c r="F5868" s="2" t="s">
        <v>20161</v>
      </c>
      <c r="H5868" s="2" t="s">
        <v>17</v>
      </c>
      <c r="K5868" s="4" t="s">
        <v>20162</v>
      </c>
      <c r="M5868" s="2" t="s">
        <v>76</v>
      </c>
      <c r="N5868" s="2" t="s">
        <v>14023</v>
      </c>
    </row>
    <row r="5869" spans="1:14">
      <c r="A5869" s="2">
        <v>5868</v>
      </c>
      <c r="B5869" s="3" t="s">
        <v>20163</v>
      </c>
      <c r="C5869" s="2" t="s">
        <v>20164</v>
      </c>
      <c r="D5869" s="2">
        <v>27</v>
      </c>
      <c r="E5869" s="2">
        <v>33</v>
      </c>
      <c r="F5869" s="2" t="s">
        <v>20165</v>
      </c>
      <c r="H5869" s="2" t="s">
        <v>17</v>
      </c>
      <c r="K5869" s="4" t="s">
        <v>20166</v>
      </c>
      <c r="L5869" s="4">
        <v>13984</v>
      </c>
      <c r="M5869" s="2" t="s">
        <v>66</v>
      </c>
      <c r="N5869" s="2" t="s">
        <v>6179</v>
      </c>
    </row>
    <row r="5870" spans="1:14">
      <c r="A5870" s="2">
        <v>5869</v>
      </c>
      <c r="B5870" s="3" t="s">
        <v>20167</v>
      </c>
      <c r="C5870" s="2" t="s">
        <v>20168</v>
      </c>
      <c r="D5870" s="2">
        <v>31</v>
      </c>
      <c r="E5870" s="2">
        <v>33</v>
      </c>
      <c r="F5870" s="2" t="s">
        <v>20169</v>
      </c>
      <c r="H5870" s="2" t="s">
        <v>17</v>
      </c>
      <c r="K5870" s="4" t="s">
        <v>20170</v>
      </c>
      <c r="L5870" s="4">
        <v>16511</v>
      </c>
      <c r="M5870" s="2" t="s">
        <v>35</v>
      </c>
      <c r="N5870" s="2" t="s">
        <v>3929</v>
      </c>
    </row>
    <row r="5871" spans="1:14">
      <c r="A5871" s="2">
        <v>5870</v>
      </c>
      <c r="B5871" s="3" t="s">
        <v>20171</v>
      </c>
      <c r="C5871" s="2" t="s">
        <v>5832</v>
      </c>
      <c r="D5871" s="2">
        <v>32</v>
      </c>
      <c r="E5871" s="2">
        <v>32</v>
      </c>
      <c r="F5871" s="2" t="s">
        <v>20172</v>
      </c>
      <c r="H5871" s="2" t="s">
        <v>17</v>
      </c>
      <c r="K5871" s="4" t="s">
        <v>20173</v>
      </c>
      <c r="L5871" s="4">
        <v>19831</v>
      </c>
      <c r="M5871" s="2" t="s">
        <v>154</v>
      </c>
      <c r="N5871" s="2" t="s">
        <v>2265</v>
      </c>
    </row>
    <row r="5872" spans="1:14">
      <c r="A5872" s="2">
        <v>5871</v>
      </c>
      <c r="B5872" s="3" t="s">
        <v>20174</v>
      </c>
      <c r="C5872" s="2" t="s">
        <v>20175</v>
      </c>
      <c r="D5872" s="2">
        <v>31</v>
      </c>
      <c r="E5872" s="2">
        <v>32</v>
      </c>
      <c r="F5872" s="2" t="s">
        <v>20176</v>
      </c>
      <c r="H5872" s="2" t="s">
        <v>17</v>
      </c>
      <c r="K5872" s="4" t="s">
        <v>20177</v>
      </c>
      <c r="L5872" s="4">
        <v>16347</v>
      </c>
      <c r="M5872" s="2" t="s">
        <v>66</v>
      </c>
      <c r="N5872" s="2" t="s">
        <v>18588</v>
      </c>
    </row>
    <row r="5873" spans="1:14">
      <c r="A5873" s="2">
        <v>5872</v>
      </c>
      <c r="B5873" s="3" t="s">
        <v>20178</v>
      </c>
      <c r="C5873" s="2" t="s">
        <v>20179</v>
      </c>
      <c r="D5873" s="2">
        <v>31</v>
      </c>
      <c r="E5873" s="2">
        <v>32</v>
      </c>
      <c r="F5873" s="2" t="s">
        <v>20180</v>
      </c>
      <c r="H5873" s="2" t="s">
        <v>17</v>
      </c>
      <c r="L5873" s="4">
        <v>16981</v>
      </c>
    </row>
    <row r="5874" spans="1:14">
      <c r="A5874" s="2">
        <v>5873</v>
      </c>
      <c r="B5874" s="3" t="s">
        <v>20181</v>
      </c>
      <c r="C5874" s="2" t="s">
        <v>20182</v>
      </c>
      <c r="D5874" s="2">
        <v>32</v>
      </c>
      <c r="E5874" s="2">
        <v>32</v>
      </c>
      <c r="F5874" s="2" t="s">
        <v>20183</v>
      </c>
      <c r="H5874" s="2" t="s">
        <v>17</v>
      </c>
      <c r="K5874" s="4" t="s">
        <v>17597</v>
      </c>
      <c r="M5874" s="2" t="s">
        <v>85</v>
      </c>
      <c r="N5874" s="2" t="s">
        <v>1868</v>
      </c>
    </row>
    <row r="5875" spans="1:14">
      <c r="A5875" s="2">
        <v>5874</v>
      </c>
      <c r="B5875" s="3" t="s">
        <v>20184</v>
      </c>
      <c r="C5875" s="2" t="s">
        <v>20185</v>
      </c>
      <c r="D5875" s="2">
        <v>32</v>
      </c>
      <c r="E5875" s="2">
        <v>32</v>
      </c>
      <c r="F5875" s="2" t="s">
        <v>20186</v>
      </c>
      <c r="H5875" s="2" t="s">
        <v>17</v>
      </c>
      <c r="K5875" s="4" t="s">
        <v>20187</v>
      </c>
      <c r="L5875" s="4">
        <v>8209</v>
      </c>
      <c r="M5875" s="2" t="s">
        <v>85</v>
      </c>
      <c r="N5875" s="2" t="s">
        <v>9578</v>
      </c>
    </row>
    <row r="5876" spans="1:14">
      <c r="A5876" s="2">
        <v>5875</v>
      </c>
      <c r="B5876" s="3" t="s">
        <v>20188</v>
      </c>
      <c r="C5876" s="2" t="s">
        <v>20189</v>
      </c>
      <c r="D5876" s="2">
        <v>32</v>
      </c>
      <c r="E5876" s="2">
        <v>32</v>
      </c>
      <c r="F5876" s="2" t="s">
        <v>20190</v>
      </c>
      <c r="H5876" s="2" t="s">
        <v>17</v>
      </c>
      <c r="K5876" s="4" t="s">
        <v>20191</v>
      </c>
      <c r="L5876" s="4">
        <v>19728</v>
      </c>
      <c r="M5876" s="2" t="s">
        <v>47</v>
      </c>
      <c r="N5876" s="2" t="s">
        <v>6256</v>
      </c>
    </row>
    <row r="5877" spans="1:14">
      <c r="A5877" s="2">
        <v>5876</v>
      </c>
      <c r="B5877" s="3" t="s">
        <v>20192</v>
      </c>
      <c r="C5877" s="2" t="s">
        <v>20193</v>
      </c>
      <c r="D5877" s="2">
        <v>32</v>
      </c>
      <c r="E5877" s="2">
        <v>32</v>
      </c>
      <c r="F5877" s="2" t="s">
        <v>20194</v>
      </c>
      <c r="H5877" s="2" t="s">
        <v>17</v>
      </c>
      <c r="K5877" s="4" t="s">
        <v>20195</v>
      </c>
      <c r="L5877" s="4">
        <v>11799</v>
      </c>
      <c r="M5877" s="2" t="s">
        <v>53</v>
      </c>
      <c r="N5877" s="2" t="s">
        <v>20196</v>
      </c>
    </row>
    <row r="5878" spans="1:14">
      <c r="A5878" s="2">
        <v>5877</v>
      </c>
      <c r="B5878" s="3" t="s">
        <v>20197</v>
      </c>
      <c r="C5878" s="2" t="s">
        <v>20198</v>
      </c>
      <c r="D5878" s="2">
        <v>31</v>
      </c>
      <c r="E5878" s="2">
        <v>32</v>
      </c>
      <c r="F5878" s="2" t="s">
        <v>20199</v>
      </c>
      <c r="H5878" s="2" t="s">
        <v>17</v>
      </c>
      <c r="L5878" s="4">
        <v>17136</v>
      </c>
    </row>
    <row r="5879" spans="1:14">
      <c r="A5879" s="2">
        <v>5878</v>
      </c>
      <c r="B5879" s="3" t="s">
        <v>20200</v>
      </c>
      <c r="C5879" s="2" t="s">
        <v>20201</v>
      </c>
      <c r="D5879" s="2">
        <v>32</v>
      </c>
      <c r="E5879" s="2">
        <v>32</v>
      </c>
      <c r="F5879" s="2" t="s">
        <v>20202</v>
      </c>
      <c r="H5879" s="2" t="s">
        <v>17</v>
      </c>
      <c r="K5879" s="4" t="s">
        <v>20203</v>
      </c>
      <c r="L5879" s="4">
        <v>18519</v>
      </c>
      <c r="M5879" s="2" t="s">
        <v>140</v>
      </c>
      <c r="N5879" s="2" t="s">
        <v>20204</v>
      </c>
    </row>
    <row r="5880" spans="1:14">
      <c r="A5880" s="2">
        <v>5879</v>
      </c>
      <c r="B5880" s="3" t="s">
        <v>20205</v>
      </c>
      <c r="C5880" s="2" t="s">
        <v>20206</v>
      </c>
      <c r="D5880" s="2">
        <v>31</v>
      </c>
      <c r="E5880" s="2">
        <v>32</v>
      </c>
      <c r="F5880" s="2" t="s">
        <v>20207</v>
      </c>
      <c r="H5880" s="2" t="s">
        <v>17</v>
      </c>
      <c r="K5880" s="4" t="s">
        <v>20208</v>
      </c>
      <c r="L5880" s="4">
        <v>9503</v>
      </c>
      <c r="M5880" s="2" t="s">
        <v>40</v>
      </c>
      <c r="N5880" s="2" t="s">
        <v>9352</v>
      </c>
    </row>
    <row r="5881" spans="1:14">
      <c r="A5881" s="2">
        <v>5880</v>
      </c>
      <c r="B5881" s="3" t="s">
        <v>20209</v>
      </c>
      <c r="C5881" s="2" t="s">
        <v>20210</v>
      </c>
      <c r="D5881" s="2">
        <v>32</v>
      </c>
      <c r="E5881" s="2">
        <v>32</v>
      </c>
      <c r="F5881" s="2" t="s">
        <v>20211</v>
      </c>
      <c r="H5881" s="2" t="s">
        <v>17</v>
      </c>
    </row>
    <row r="5882" spans="1:14">
      <c r="A5882" s="2">
        <v>5881</v>
      </c>
      <c r="B5882" s="3" t="s">
        <v>20212</v>
      </c>
      <c r="C5882" s="2" t="s">
        <v>20213</v>
      </c>
      <c r="D5882" s="2">
        <v>31</v>
      </c>
      <c r="E5882" s="2">
        <v>32</v>
      </c>
      <c r="F5882" s="2" t="s">
        <v>20214</v>
      </c>
      <c r="H5882" s="2" t="s">
        <v>17</v>
      </c>
      <c r="K5882" s="4" t="s">
        <v>20215</v>
      </c>
      <c r="L5882" s="4">
        <v>10625</v>
      </c>
      <c r="M5882" s="2" t="s">
        <v>170</v>
      </c>
      <c r="N5882" s="2" t="s">
        <v>20216</v>
      </c>
    </row>
    <row r="5883" spans="1:14">
      <c r="A5883" s="2">
        <v>5882</v>
      </c>
      <c r="B5883" s="3" t="s">
        <v>20217</v>
      </c>
      <c r="C5883" s="2" t="s">
        <v>20218</v>
      </c>
      <c r="D5883" s="2">
        <v>30</v>
      </c>
      <c r="E5883" s="2">
        <v>32</v>
      </c>
      <c r="F5883" s="2" t="s">
        <v>20219</v>
      </c>
      <c r="H5883" s="2" t="s">
        <v>17</v>
      </c>
      <c r="K5883" s="4" t="s">
        <v>20220</v>
      </c>
      <c r="L5883" s="4">
        <v>15011</v>
      </c>
      <c r="M5883" s="2" t="s">
        <v>170</v>
      </c>
      <c r="N5883" s="2" t="s">
        <v>323</v>
      </c>
    </row>
    <row r="5884" spans="1:14">
      <c r="A5884" s="2">
        <v>5883</v>
      </c>
      <c r="B5884" s="3" t="s">
        <v>20221</v>
      </c>
      <c r="C5884" s="2" t="s">
        <v>20222</v>
      </c>
      <c r="D5884" s="2">
        <v>22</v>
      </c>
      <c r="E5884" s="2">
        <v>32</v>
      </c>
      <c r="F5884" s="2" t="s">
        <v>20223</v>
      </c>
      <c r="H5884" s="2" t="s">
        <v>17</v>
      </c>
      <c r="K5884" s="4" t="s">
        <v>20224</v>
      </c>
      <c r="L5884" s="4">
        <v>7928</v>
      </c>
      <c r="M5884" s="2" t="s">
        <v>35</v>
      </c>
      <c r="N5884" s="2" t="s">
        <v>14377</v>
      </c>
    </row>
    <row r="5885" spans="1:14">
      <c r="A5885" s="2">
        <v>5884</v>
      </c>
      <c r="B5885" s="3" t="s">
        <v>20225</v>
      </c>
      <c r="C5885" s="2" t="s">
        <v>17737</v>
      </c>
      <c r="D5885" s="2">
        <v>27</v>
      </c>
      <c r="E5885" s="2">
        <v>32</v>
      </c>
      <c r="F5885" s="2" t="s">
        <v>20226</v>
      </c>
      <c r="H5885" s="2" t="s">
        <v>17</v>
      </c>
      <c r="K5885" s="4" t="s">
        <v>20227</v>
      </c>
      <c r="L5885" s="4">
        <v>17991</v>
      </c>
      <c r="M5885" s="2" t="s">
        <v>47</v>
      </c>
      <c r="N5885" s="2" t="s">
        <v>1656</v>
      </c>
    </row>
    <row r="5886" spans="1:14">
      <c r="A5886" s="2">
        <v>5885</v>
      </c>
      <c r="B5886" s="3" t="s">
        <v>20228</v>
      </c>
      <c r="C5886" s="2" t="s">
        <v>20229</v>
      </c>
      <c r="D5886" s="2">
        <v>32</v>
      </c>
      <c r="E5886" s="2">
        <v>32</v>
      </c>
      <c r="F5886" s="2" t="s">
        <v>20230</v>
      </c>
      <c r="H5886" s="2" t="s">
        <v>17</v>
      </c>
      <c r="K5886" s="4" t="s">
        <v>20231</v>
      </c>
      <c r="L5886" s="4">
        <v>14537</v>
      </c>
    </row>
    <row r="5887" spans="1:14">
      <c r="A5887" s="2">
        <v>5886</v>
      </c>
      <c r="B5887" s="3" t="s">
        <v>20232</v>
      </c>
      <c r="C5887" s="2" t="s">
        <v>16985</v>
      </c>
      <c r="D5887" s="2">
        <v>30</v>
      </c>
      <c r="E5887" s="2">
        <v>32</v>
      </c>
      <c r="F5887" s="2" t="s">
        <v>20233</v>
      </c>
      <c r="H5887" s="2" t="s">
        <v>17</v>
      </c>
      <c r="K5887" s="4" t="s">
        <v>20234</v>
      </c>
      <c r="L5887" s="4">
        <v>11403</v>
      </c>
      <c r="M5887" s="2" t="s">
        <v>35</v>
      </c>
      <c r="N5887" s="2" t="s">
        <v>1242</v>
      </c>
    </row>
    <row r="5888" spans="1:14">
      <c r="A5888" s="2">
        <v>5887</v>
      </c>
      <c r="B5888" s="3" t="s">
        <v>20235</v>
      </c>
      <c r="C5888" s="2" t="s">
        <v>17006</v>
      </c>
      <c r="D5888" s="2">
        <v>31</v>
      </c>
      <c r="E5888" s="2">
        <v>32</v>
      </c>
      <c r="F5888" s="2" t="s">
        <v>20236</v>
      </c>
      <c r="H5888" s="2" t="s">
        <v>17</v>
      </c>
      <c r="K5888" s="4" t="s">
        <v>20237</v>
      </c>
      <c r="L5888" s="4">
        <v>9979</v>
      </c>
      <c r="M5888" s="2" t="s">
        <v>47</v>
      </c>
      <c r="N5888" s="2" t="s">
        <v>442</v>
      </c>
    </row>
    <row r="5889" spans="1:14">
      <c r="A5889" s="2">
        <v>5888</v>
      </c>
      <c r="B5889" s="3" t="s">
        <v>20238</v>
      </c>
      <c r="C5889" s="2" t="s">
        <v>20239</v>
      </c>
      <c r="D5889" s="2">
        <v>22</v>
      </c>
      <c r="E5889" s="2">
        <v>32</v>
      </c>
      <c r="F5889" s="2" t="s">
        <v>20240</v>
      </c>
      <c r="H5889" s="2" t="s">
        <v>17</v>
      </c>
      <c r="K5889" s="4" t="s">
        <v>20241</v>
      </c>
      <c r="L5889" s="4">
        <v>9333</v>
      </c>
      <c r="M5889" s="2" t="s">
        <v>47</v>
      </c>
      <c r="N5889" s="2" t="s">
        <v>48</v>
      </c>
    </row>
    <row r="5890" spans="1:14">
      <c r="A5890" s="2">
        <v>5889</v>
      </c>
      <c r="B5890" s="3" t="s">
        <v>20242</v>
      </c>
      <c r="C5890" s="2" t="s">
        <v>20243</v>
      </c>
      <c r="D5890" s="2">
        <v>31</v>
      </c>
      <c r="E5890" s="2">
        <v>32</v>
      </c>
      <c r="F5890" s="2" t="s">
        <v>20244</v>
      </c>
      <c r="H5890" s="2" t="s">
        <v>17</v>
      </c>
      <c r="K5890" s="4" t="s">
        <v>20245</v>
      </c>
      <c r="L5890" s="4">
        <v>14301</v>
      </c>
      <c r="M5890" s="2" t="s">
        <v>40</v>
      </c>
      <c r="N5890" s="2" t="s">
        <v>41</v>
      </c>
    </row>
    <row r="5891" spans="1:14">
      <c r="A5891" s="2">
        <v>5890</v>
      </c>
      <c r="B5891" s="3" t="s">
        <v>20246</v>
      </c>
      <c r="C5891" s="2" t="s">
        <v>15754</v>
      </c>
      <c r="D5891" s="2">
        <v>26</v>
      </c>
      <c r="E5891" s="2">
        <v>32</v>
      </c>
      <c r="F5891" s="2" t="s">
        <v>20247</v>
      </c>
      <c r="H5891" s="2" t="s">
        <v>17</v>
      </c>
      <c r="K5891" s="4" t="s">
        <v>20248</v>
      </c>
      <c r="L5891" s="4">
        <v>12201</v>
      </c>
      <c r="M5891" s="2" t="s">
        <v>185</v>
      </c>
      <c r="N5891" s="2" t="s">
        <v>838</v>
      </c>
    </row>
    <row r="5892" spans="1:14">
      <c r="A5892" s="2">
        <v>5891</v>
      </c>
      <c r="B5892" s="3" t="s">
        <v>20249</v>
      </c>
      <c r="C5892" s="2" t="s">
        <v>20250</v>
      </c>
      <c r="D5892" s="2">
        <v>32</v>
      </c>
      <c r="E5892" s="2">
        <v>32</v>
      </c>
      <c r="F5892" s="2" t="s">
        <v>20251</v>
      </c>
      <c r="H5892" s="2" t="s">
        <v>17</v>
      </c>
      <c r="K5892" s="4" t="s">
        <v>20252</v>
      </c>
      <c r="L5892" s="4">
        <v>11390</v>
      </c>
      <c r="M5892" s="2" t="s">
        <v>198</v>
      </c>
      <c r="N5892" s="2" t="s">
        <v>4312</v>
      </c>
    </row>
    <row r="5893" spans="1:14">
      <c r="A5893" s="2">
        <v>5892</v>
      </c>
      <c r="B5893" s="3" t="s">
        <v>20253</v>
      </c>
      <c r="C5893" s="2" t="s">
        <v>20254</v>
      </c>
      <c r="D5893" s="2">
        <v>32</v>
      </c>
      <c r="E5893" s="2">
        <v>32</v>
      </c>
      <c r="F5893" s="2" t="s">
        <v>20255</v>
      </c>
      <c r="H5893" s="2" t="s">
        <v>17</v>
      </c>
      <c r="K5893" s="4" t="s">
        <v>20256</v>
      </c>
      <c r="L5893" s="4">
        <v>9168</v>
      </c>
    </row>
    <row r="5894" spans="1:14">
      <c r="A5894" s="2">
        <v>5893</v>
      </c>
      <c r="B5894" s="3" t="s">
        <v>20257</v>
      </c>
      <c r="C5894" s="2" t="s">
        <v>20258</v>
      </c>
      <c r="D5894" s="2">
        <v>31</v>
      </c>
      <c r="E5894" s="2">
        <v>32</v>
      </c>
      <c r="F5894" s="2" t="s">
        <v>20259</v>
      </c>
      <c r="H5894" s="2" t="s">
        <v>17</v>
      </c>
    </row>
    <row r="5895" spans="1:14">
      <c r="A5895" s="2">
        <v>5894</v>
      </c>
      <c r="B5895" s="3" t="s">
        <v>20260</v>
      </c>
      <c r="C5895" s="2" t="s">
        <v>20261</v>
      </c>
      <c r="D5895" s="2">
        <v>25</v>
      </c>
      <c r="E5895" s="2">
        <v>32</v>
      </c>
      <c r="F5895" s="2" t="s">
        <v>20262</v>
      </c>
      <c r="H5895" s="2" t="s">
        <v>17</v>
      </c>
      <c r="K5895" s="4" t="s">
        <v>20263</v>
      </c>
      <c r="L5895" s="4">
        <v>13828</v>
      </c>
      <c r="M5895" s="2" t="s">
        <v>198</v>
      </c>
      <c r="N5895" s="2" t="s">
        <v>20066</v>
      </c>
    </row>
    <row r="5896" spans="1:14">
      <c r="A5896" s="2">
        <v>5895</v>
      </c>
      <c r="B5896" s="3" t="s">
        <v>20264</v>
      </c>
      <c r="C5896" s="2" t="s">
        <v>20265</v>
      </c>
      <c r="D5896" s="2">
        <v>24</v>
      </c>
      <c r="E5896" s="2">
        <v>32</v>
      </c>
      <c r="F5896" s="2" t="s">
        <v>20266</v>
      </c>
      <c r="H5896" s="2" t="s">
        <v>17</v>
      </c>
    </row>
    <row r="5897" spans="1:14">
      <c r="A5897" s="2">
        <v>5896</v>
      </c>
      <c r="B5897" s="3" t="s">
        <v>20267</v>
      </c>
      <c r="C5897" s="2" t="s">
        <v>20268</v>
      </c>
      <c r="D5897" s="2">
        <v>32</v>
      </c>
      <c r="E5897" s="2">
        <v>32</v>
      </c>
      <c r="F5897" s="2" t="s">
        <v>20269</v>
      </c>
      <c r="H5897" s="2" t="s">
        <v>17</v>
      </c>
      <c r="K5897" s="4" t="s">
        <v>20270</v>
      </c>
      <c r="L5897" s="4">
        <v>19420</v>
      </c>
      <c r="M5897" s="2" t="s">
        <v>185</v>
      </c>
    </row>
    <row r="5898" spans="1:14">
      <c r="A5898" s="2">
        <v>5897</v>
      </c>
      <c r="B5898" s="3" t="s">
        <v>20271</v>
      </c>
      <c r="C5898" s="2" t="s">
        <v>20272</v>
      </c>
      <c r="D5898" s="2">
        <v>27</v>
      </c>
      <c r="E5898" s="2">
        <v>32</v>
      </c>
      <c r="F5898" s="2" t="s">
        <v>20273</v>
      </c>
      <c r="H5898" s="2" t="s">
        <v>17</v>
      </c>
      <c r="K5898" s="4" t="s">
        <v>20274</v>
      </c>
      <c r="L5898" s="4">
        <v>8412</v>
      </c>
      <c r="M5898" s="2" t="s">
        <v>66</v>
      </c>
      <c r="N5898" s="2" t="s">
        <v>1021</v>
      </c>
    </row>
    <row r="5899" spans="1:14">
      <c r="A5899" s="2">
        <v>5898</v>
      </c>
      <c r="B5899" s="3" t="s">
        <v>20275</v>
      </c>
      <c r="C5899" s="2" t="s">
        <v>20276</v>
      </c>
      <c r="D5899" s="2">
        <v>32</v>
      </c>
      <c r="E5899" s="2">
        <v>32</v>
      </c>
      <c r="F5899" s="2" t="s">
        <v>20277</v>
      </c>
      <c r="H5899" s="2" t="s">
        <v>17</v>
      </c>
      <c r="K5899" s="4" t="s">
        <v>20278</v>
      </c>
      <c r="L5899" s="4">
        <v>18945</v>
      </c>
      <c r="M5899" s="2" t="s">
        <v>85</v>
      </c>
      <c r="N5899" s="2" t="s">
        <v>10262</v>
      </c>
    </row>
    <row r="5900" spans="1:14">
      <c r="A5900" s="2">
        <v>5899</v>
      </c>
      <c r="B5900" s="3" t="s">
        <v>20279</v>
      </c>
      <c r="C5900" s="2" t="s">
        <v>20280</v>
      </c>
      <c r="D5900" s="2">
        <v>23</v>
      </c>
      <c r="E5900" s="2">
        <v>32</v>
      </c>
      <c r="F5900" s="2" t="s">
        <v>20281</v>
      </c>
      <c r="H5900" s="2" t="s">
        <v>17</v>
      </c>
      <c r="K5900" s="4" t="s">
        <v>20282</v>
      </c>
      <c r="L5900" s="4">
        <v>8807</v>
      </c>
      <c r="M5900" s="2" t="s">
        <v>198</v>
      </c>
      <c r="N5900" s="2" t="s">
        <v>199</v>
      </c>
    </row>
    <row r="5901" spans="1:14">
      <c r="A5901" s="2">
        <v>5900</v>
      </c>
      <c r="B5901" s="3" t="s">
        <v>20283</v>
      </c>
      <c r="C5901" s="2" t="s">
        <v>20284</v>
      </c>
      <c r="D5901" s="2">
        <v>29</v>
      </c>
      <c r="E5901" s="2">
        <v>32</v>
      </c>
      <c r="F5901" s="2" t="s">
        <v>20285</v>
      </c>
      <c r="H5901" s="2" t="s">
        <v>17</v>
      </c>
    </row>
    <row r="5902" spans="1:14">
      <c r="A5902" s="2">
        <v>5901</v>
      </c>
      <c r="B5902" s="3" t="s">
        <v>20286</v>
      </c>
      <c r="C5902" s="2" t="s">
        <v>20287</v>
      </c>
      <c r="D5902" s="2">
        <v>32</v>
      </c>
      <c r="E5902" s="2">
        <v>32</v>
      </c>
      <c r="F5902" s="2" t="s">
        <v>20288</v>
      </c>
      <c r="H5902" s="2" t="s">
        <v>17</v>
      </c>
    </row>
    <row r="5903" spans="1:14">
      <c r="A5903" s="2">
        <v>5902</v>
      </c>
      <c r="B5903" s="3" t="s">
        <v>20289</v>
      </c>
      <c r="C5903" s="2" t="s">
        <v>20290</v>
      </c>
      <c r="D5903" s="2">
        <v>22</v>
      </c>
      <c r="E5903" s="2">
        <v>32</v>
      </c>
      <c r="F5903" s="2" t="s">
        <v>20291</v>
      </c>
      <c r="H5903" s="2" t="s">
        <v>17</v>
      </c>
      <c r="K5903" s="4" t="s">
        <v>20292</v>
      </c>
      <c r="L5903" s="4">
        <v>8882</v>
      </c>
      <c r="M5903" s="2" t="s">
        <v>91</v>
      </c>
      <c r="N5903" s="2" t="s">
        <v>20293</v>
      </c>
    </row>
    <row r="5904" spans="1:14">
      <c r="A5904" s="2">
        <v>5903</v>
      </c>
      <c r="B5904" s="3" t="s">
        <v>20294</v>
      </c>
      <c r="C5904" s="2" t="s">
        <v>20295</v>
      </c>
      <c r="D5904" s="2">
        <v>32</v>
      </c>
      <c r="E5904" s="2">
        <v>32</v>
      </c>
      <c r="F5904" s="2" t="s">
        <v>20296</v>
      </c>
      <c r="H5904" s="2" t="s">
        <v>17</v>
      </c>
      <c r="K5904" s="4" t="s">
        <v>20297</v>
      </c>
      <c r="L5904" s="4">
        <v>11597</v>
      </c>
      <c r="M5904" s="2" t="s">
        <v>198</v>
      </c>
      <c r="N5904" s="2" t="s">
        <v>5846</v>
      </c>
    </row>
    <row r="5905" spans="1:14">
      <c r="A5905" s="2">
        <v>5904</v>
      </c>
      <c r="B5905" s="3" t="s">
        <v>20298</v>
      </c>
      <c r="C5905" s="2" t="s">
        <v>20299</v>
      </c>
      <c r="D5905" s="2">
        <v>31</v>
      </c>
      <c r="E5905" s="2">
        <v>32</v>
      </c>
      <c r="F5905" s="2" t="s">
        <v>20300</v>
      </c>
      <c r="H5905" s="2" t="s">
        <v>17</v>
      </c>
      <c r="K5905" s="4" t="s">
        <v>20301</v>
      </c>
      <c r="L5905" s="4">
        <v>16807</v>
      </c>
      <c r="M5905" s="2" t="s">
        <v>140</v>
      </c>
      <c r="N5905" s="2" t="s">
        <v>20302</v>
      </c>
    </row>
    <row r="5906" spans="1:14">
      <c r="A5906" s="2">
        <v>5905</v>
      </c>
      <c r="B5906" s="3" t="s">
        <v>20303</v>
      </c>
      <c r="C5906" s="2" t="s">
        <v>20304</v>
      </c>
      <c r="D5906" s="2">
        <v>26</v>
      </c>
      <c r="E5906" s="2">
        <v>32</v>
      </c>
      <c r="F5906" s="2" t="s">
        <v>20305</v>
      </c>
      <c r="H5906" s="2" t="s">
        <v>17</v>
      </c>
      <c r="K5906" s="4" t="s">
        <v>20306</v>
      </c>
      <c r="L5906" s="4">
        <v>11193</v>
      </c>
      <c r="M5906" s="2" t="s">
        <v>47</v>
      </c>
      <c r="N5906" s="2" t="s">
        <v>1863</v>
      </c>
    </row>
    <row r="5907" spans="1:14">
      <c r="A5907" s="2">
        <v>5906</v>
      </c>
      <c r="B5907" s="3" t="s">
        <v>20307</v>
      </c>
      <c r="C5907" s="2" t="s">
        <v>15362</v>
      </c>
      <c r="D5907" s="2">
        <v>28</v>
      </c>
      <c r="E5907" s="2">
        <v>32</v>
      </c>
      <c r="F5907" s="2" t="s">
        <v>20308</v>
      </c>
      <c r="H5907" s="2" t="s">
        <v>17</v>
      </c>
      <c r="K5907" s="4" t="s">
        <v>20309</v>
      </c>
      <c r="L5907" s="4">
        <v>11963</v>
      </c>
      <c r="M5907" s="2" t="s">
        <v>40</v>
      </c>
    </row>
    <row r="5908" spans="1:14">
      <c r="A5908" s="2">
        <v>5907</v>
      </c>
      <c r="B5908" s="3" t="s">
        <v>20310</v>
      </c>
      <c r="C5908" s="2" t="s">
        <v>20311</v>
      </c>
      <c r="D5908" s="2">
        <v>27</v>
      </c>
      <c r="E5908" s="2">
        <v>32</v>
      </c>
      <c r="F5908" s="2" t="s">
        <v>20312</v>
      </c>
      <c r="H5908" s="2" t="s">
        <v>17</v>
      </c>
      <c r="K5908" s="4" t="s">
        <v>20313</v>
      </c>
      <c r="L5908" s="4">
        <v>9339</v>
      </c>
      <c r="M5908" s="2" t="s">
        <v>35</v>
      </c>
      <c r="N5908" s="2" t="s">
        <v>2152</v>
      </c>
    </row>
    <row r="5909" spans="1:14">
      <c r="A5909" s="2">
        <v>5908</v>
      </c>
      <c r="B5909" s="3" t="s">
        <v>20314</v>
      </c>
      <c r="C5909" s="2" t="s">
        <v>20315</v>
      </c>
      <c r="D5909" s="2">
        <v>32</v>
      </c>
      <c r="E5909" s="2">
        <v>32</v>
      </c>
      <c r="F5909" s="2" t="s">
        <v>20316</v>
      </c>
      <c r="H5909" s="2" t="s">
        <v>17</v>
      </c>
      <c r="K5909" s="4" t="s">
        <v>20317</v>
      </c>
      <c r="L5909" s="4">
        <v>25437</v>
      </c>
      <c r="M5909" s="2" t="s">
        <v>170</v>
      </c>
      <c r="N5909" s="2" t="s">
        <v>385</v>
      </c>
    </row>
    <row r="5910" spans="1:14">
      <c r="A5910" s="2">
        <v>5909</v>
      </c>
      <c r="B5910" s="3" t="s">
        <v>20318</v>
      </c>
      <c r="C5910" s="2" t="s">
        <v>20319</v>
      </c>
      <c r="D5910" s="2">
        <v>26</v>
      </c>
      <c r="E5910" s="2">
        <v>32</v>
      </c>
      <c r="F5910" s="2" t="s">
        <v>20320</v>
      </c>
      <c r="H5910" s="2" t="s">
        <v>17</v>
      </c>
    </row>
    <row r="5911" spans="1:14">
      <c r="A5911" s="2">
        <v>5910</v>
      </c>
      <c r="B5911" s="3" t="s">
        <v>20321</v>
      </c>
      <c r="C5911" s="2" t="s">
        <v>20322</v>
      </c>
      <c r="D5911" s="2">
        <v>23</v>
      </c>
      <c r="E5911" s="2">
        <v>32</v>
      </c>
      <c r="F5911" s="2" t="s">
        <v>20323</v>
      </c>
      <c r="H5911" s="2" t="s">
        <v>17</v>
      </c>
      <c r="K5911" s="4" t="s">
        <v>20324</v>
      </c>
      <c r="L5911" s="4">
        <v>11952</v>
      </c>
      <c r="M5911" s="2" t="s">
        <v>35</v>
      </c>
      <c r="N5911" s="2" t="s">
        <v>858</v>
      </c>
    </row>
    <row r="5912" spans="1:14">
      <c r="A5912" s="2">
        <v>5911</v>
      </c>
      <c r="B5912" s="3" t="s">
        <v>20325</v>
      </c>
      <c r="C5912" s="2" t="s">
        <v>20326</v>
      </c>
      <c r="D5912" s="2">
        <v>31</v>
      </c>
      <c r="E5912" s="2">
        <v>32</v>
      </c>
      <c r="F5912" s="2" t="s">
        <v>20327</v>
      </c>
      <c r="H5912" s="2" t="s">
        <v>17</v>
      </c>
    </row>
    <row r="5913" spans="1:14">
      <c r="A5913" s="2">
        <v>5912</v>
      </c>
      <c r="B5913" s="3" t="s">
        <v>20328</v>
      </c>
      <c r="C5913" s="2" t="s">
        <v>20329</v>
      </c>
      <c r="D5913" s="2">
        <v>22</v>
      </c>
      <c r="E5913" s="2">
        <v>32</v>
      </c>
      <c r="F5913" s="2" t="s">
        <v>20330</v>
      </c>
      <c r="H5913" s="2" t="s">
        <v>17</v>
      </c>
      <c r="K5913" s="4" t="s">
        <v>20331</v>
      </c>
      <c r="L5913" s="4">
        <v>8228</v>
      </c>
      <c r="M5913" s="2" t="s">
        <v>185</v>
      </c>
      <c r="N5913" s="2" t="s">
        <v>20332</v>
      </c>
    </row>
    <row r="5914" spans="1:14">
      <c r="A5914" s="2">
        <v>5913</v>
      </c>
      <c r="B5914" s="3" t="s">
        <v>20333</v>
      </c>
      <c r="C5914" s="2" t="s">
        <v>20334</v>
      </c>
      <c r="D5914" s="2">
        <v>29</v>
      </c>
      <c r="E5914" s="2">
        <v>32</v>
      </c>
      <c r="F5914" s="2" t="s">
        <v>20335</v>
      </c>
      <c r="H5914" s="2" t="s">
        <v>17</v>
      </c>
      <c r="K5914" s="4" t="s">
        <v>20336</v>
      </c>
      <c r="L5914" s="4">
        <v>11893</v>
      </c>
      <c r="M5914" s="2" t="s">
        <v>35</v>
      </c>
      <c r="N5914" s="2" t="s">
        <v>13300</v>
      </c>
    </row>
    <row r="5915" spans="1:14">
      <c r="A5915" s="2">
        <v>5914</v>
      </c>
      <c r="B5915" s="3" t="s">
        <v>20337</v>
      </c>
      <c r="C5915" s="2" t="s">
        <v>20338</v>
      </c>
      <c r="D5915" s="2">
        <v>31</v>
      </c>
      <c r="E5915" s="2">
        <v>32</v>
      </c>
      <c r="F5915" s="2" t="s">
        <v>20339</v>
      </c>
      <c r="H5915" s="2" t="s">
        <v>17</v>
      </c>
      <c r="K5915" s="4" t="s">
        <v>20340</v>
      </c>
      <c r="L5915" s="4">
        <v>24322</v>
      </c>
      <c r="M5915" s="2" t="s">
        <v>192</v>
      </c>
      <c r="N5915" s="2" t="s">
        <v>193</v>
      </c>
    </row>
    <row r="5916" spans="1:14">
      <c r="A5916" s="2">
        <v>5915</v>
      </c>
      <c r="B5916" s="3" t="s">
        <v>20341</v>
      </c>
      <c r="C5916" s="2" t="s">
        <v>20342</v>
      </c>
      <c r="D5916" s="2">
        <v>23</v>
      </c>
      <c r="E5916" s="2">
        <v>32</v>
      </c>
      <c r="F5916" s="2" t="s">
        <v>20343</v>
      </c>
      <c r="H5916" s="2" t="s">
        <v>17</v>
      </c>
      <c r="K5916" s="4" t="s">
        <v>20344</v>
      </c>
      <c r="L5916" s="4">
        <v>8258</v>
      </c>
      <c r="M5916" s="2" t="s">
        <v>66</v>
      </c>
      <c r="N5916" s="2" t="s">
        <v>14510</v>
      </c>
    </row>
    <row r="5917" spans="1:14">
      <c r="A5917" s="2">
        <v>5916</v>
      </c>
      <c r="B5917" s="3" t="s">
        <v>20345</v>
      </c>
      <c r="C5917" s="2" t="s">
        <v>20346</v>
      </c>
      <c r="D5917" s="2">
        <v>24</v>
      </c>
      <c r="E5917" s="2">
        <v>32</v>
      </c>
      <c r="F5917" s="2" t="s">
        <v>20347</v>
      </c>
      <c r="H5917" s="2" t="s">
        <v>17</v>
      </c>
    </row>
    <row r="5918" spans="1:14">
      <c r="A5918" s="2">
        <v>5917</v>
      </c>
      <c r="B5918" s="3" t="s">
        <v>20348</v>
      </c>
      <c r="C5918" s="2" t="s">
        <v>20349</v>
      </c>
      <c r="D5918" s="2">
        <v>29</v>
      </c>
      <c r="E5918" s="2">
        <v>32</v>
      </c>
      <c r="F5918" s="2" t="s">
        <v>20350</v>
      </c>
      <c r="H5918" s="2" t="s">
        <v>17</v>
      </c>
      <c r="K5918" s="4" t="s">
        <v>20351</v>
      </c>
      <c r="L5918" s="4">
        <v>20359</v>
      </c>
    </row>
    <row r="5919" spans="1:14">
      <c r="A5919" s="2">
        <v>5918</v>
      </c>
      <c r="B5919" s="3" t="s">
        <v>20352</v>
      </c>
      <c r="C5919" s="2" t="s">
        <v>20353</v>
      </c>
      <c r="D5919" s="2">
        <v>29</v>
      </c>
      <c r="E5919" s="2">
        <v>32</v>
      </c>
      <c r="F5919" s="2" t="s">
        <v>20354</v>
      </c>
      <c r="H5919" s="2" t="s">
        <v>17</v>
      </c>
      <c r="K5919" s="4" t="s">
        <v>20355</v>
      </c>
      <c r="L5919" s="4">
        <v>12631</v>
      </c>
      <c r="M5919" s="2" t="s">
        <v>170</v>
      </c>
      <c r="N5919" s="2" t="s">
        <v>323</v>
      </c>
    </row>
    <row r="5920" spans="1:14">
      <c r="A5920" s="2">
        <v>5919</v>
      </c>
      <c r="B5920" s="3" t="s">
        <v>20356</v>
      </c>
      <c r="C5920" s="2" t="s">
        <v>15434</v>
      </c>
      <c r="D5920" s="2">
        <v>27</v>
      </c>
      <c r="E5920" s="2">
        <v>32</v>
      </c>
      <c r="F5920" s="2" t="s">
        <v>20357</v>
      </c>
      <c r="H5920" s="2" t="s">
        <v>17</v>
      </c>
      <c r="K5920" s="4" t="s">
        <v>20358</v>
      </c>
      <c r="L5920" s="4">
        <v>12840</v>
      </c>
      <c r="M5920" s="2" t="s">
        <v>40</v>
      </c>
      <c r="N5920" s="2" t="s">
        <v>41</v>
      </c>
    </row>
    <row r="5921" spans="1:14">
      <c r="A5921" s="2">
        <v>5920</v>
      </c>
      <c r="B5921" s="3" t="s">
        <v>20359</v>
      </c>
      <c r="C5921" s="2" t="s">
        <v>20360</v>
      </c>
      <c r="D5921" s="2">
        <v>28</v>
      </c>
      <c r="E5921" s="2">
        <v>32</v>
      </c>
      <c r="F5921" s="2" t="s">
        <v>20361</v>
      </c>
      <c r="H5921" s="2" t="s">
        <v>17</v>
      </c>
      <c r="K5921" s="4" t="s">
        <v>20362</v>
      </c>
      <c r="L5921" s="4">
        <v>8341</v>
      </c>
      <c r="M5921" s="2" t="s">
        <v>336</v>
      </c>
      <c r="N5921" s="2" t="s">
        <v>1883</v>
      </c>
    </row>
    <row r="5922" spans="1:14">
      <c r="A5922" s="2">
        <v>5921</v>
      </c>
      <c r="B5922" s="3" t="s">
        <v>20363</v>
      </c>
      <c r="C5922" s="2" t="s">
        <v>20364</v>
      </c>
      <c r="D5922" s="2">
        <v>32</v>
      </c>
      <c r="E5922" s="2">
        <v>32</v>
      </c>
      <c r="F5922" s="2" t="s">
        <v>20365</v>
      </c>
      <c r="H5922" s="2" t="s">
        <v>17</v>
      </c>
    </row>
    <row r="5923" spans="1:14">
      <c r="A5923" s="2">
        <v>5922</v>
      </c>
      <c r="B5923" s="3" t="s">
        <v>20366</v>
      </c>
      <c r="C5923" s="2" t="s">
        <v>20367</v>
      </c>
      <c r="D5923" s="2">
        <v>31</v>
      </c>
      <c r="E5923" s="2">
        <v>32</v>
      </c>
      <c r="F5923" s="2" t="s">
        <v>20368</v>
      </c>
      <c r="H5923" s="2" t="s">
        <v>17</v>
      </c>
    </row>
    <row r="5924" spans="1:14">
      <c r="A5924" s="2">
        <v>5923</v>
      </c>
      <c r="B5924" s="3" t="s">
        <v>20369</v>
      </c>
      <c r="C5924" s="2" t="s">
        <v>20370</v>
      </c>
      <c r="D5924" s="2">
        <v>29</v>
      </c>
      <c r="E5924" s="2">
        <v>32</v>
      </c>
      <c r="F5924" s="2" t="s">
        <v>20371</v>
      </c>
      <c r="H5924" s="2" t="s">
        <v>17</v>
      </c>
      <c r="K5924" s="4" t="s">
        <v>20372</v>
      </c>
      <c r="L5924" s="4">
        <v>10285</v>
      </c>
      <c r="M5924" s="2" t="s">
        <v>66</v>
      </c>
      <c r="N5924" s="2" t="s">
        <v>3640</v>
      </c>
    </row>
    <row r="5925" spans="1:14">
      <c r="A5925" s="2">
        <v>5924</v>
      </c>
      <c r="B5925" s="3" t="s">
        <v>20373</v>
      </c>
      <c r="C5925" s="2" t="s">
        <v>20374</v>
      </c>
      <c r="D5925" s="2">
        <v>27</v>
      </c>
      <c r="E5925" s="2">
        <v>32</v>
      </c>
      <c r="F5925" s="2" t="s">
        <v>20375</v>
      </c>
      <c r="H5925" s="2" t="s">
        <v>17</v>
      </c>
      <c r="K5925" s="4" t="s">
        <v>20376</v>
      </c>
      <c r="L5925" s="4">
        <v>14609</v>
      </c>
      <c r="M5925" s="2" t="s">
        <v>170</v>
      </c>
      <c r="N5925" s="2" t="s">
        <v>323</v>
      </c>
    </row>
    <row r="5926" spans="1:14">
      <c r="A5926" s="2">
        <v>5925</v>
      </c>
      <c r="B5926" s="3" t="s">
        <v>20377</v>
      </c>
      <c r="C5926" s="2" t="s">
        <v>20378</v>
      </c>
      <c r="D5926" s="2">
        <v>32</v>
      </c>
      <c r="E5926" s="2">
        <v>32</v>
      </c>
      <c r="F5926" s="2" t="s">
        <v>20379</v>
      </c>
      <c r="H5926" s="2" t="s">
        <v>17</v>
      </c>
      <c r="K5926" s="4" t="s">
        <v>20380</v>
      </c>
      <c r="L5926" s="4">
        <v>18981</v>
      </c>
      <c r="M5926" s="2" t="s">
        <v>40</v>
      </c>
      <c r="N5926" s="2" t="s">
        <v>41</v>
      </c>
    </row>
    <row r="5927" spans="1:14">
      <c r="A5927" s="2">
        <v>5926</v>
      </c>
      <c r="B5927" s="3" t="s">
        <v>20381</v>
      </c>
      <c r="C5927" s="2" t="s">
        <v>20382</v>
      </c>
      <c r="D5927" s="2">
        <v>29</v>
      </c>
      <c r="E5927" s="2">
        <v>32</v>
      </c>
      <c r="F5927" s="2" t="s">
        <v>20383</v>
      </c>
      <c r="H5927" s="2" t="s">
        <v>17</v>
      </c>
      <c r="K5927" s="4" t="s">
        <v>20384</v>
      </c>
      <c r="L5927" s="4">
        <v>10968</v>
      </c>
      <c r="M5927" s="2" t="s">
        <v>40</v>
      </c>
      <c r="N5927" s="2" t="s">
        <v>1528</v>
      </c>
    </row>
    <row r="5928" spans="1:14">
      <c r="A5928" s="2">
        <v>5927</v>
      </c>
      <c r="B5928" s="3" t="s">
        <v>20385</v>
      </c>
      <c r="C5928" s="2" t="s">
        <v>20386</v>
      </c>
      <c r="D5928" s="2">
        <v>31</v>
      </c>
      <c r="E5928" s="2">
        <v>32</v>
      </c>
      <c r="F5928" s="2" t="s">
        <v>20387</v>
      </c>
      <c r="H5928" s="2" t="s">
        <v>17</v>
      </c>
      <c r="K5928" s="4" t="s">
        <v>20388</v>
      </c>
      <c r="L5928" s="4">
        <v>17504</v>
      </c>
      <c r="M5928" s="2" t="s">
        <v>198</v>
      </c>
    </row>
    <row r="5929" spans="1:14">
      <c r="A5929" s="2">
        <v>5928</v>
      </c>
      <c r="B5929" s="3" t="s">
        <v>20389</v>
      </c>
      <c r="C5929" s="2" t="s">
        <v>20390</v>
      </c>
      <c r="D5929" s="2">
        <v>30</v>
      </c>
      <c r="E5929" s="2">
        <v>32</v>
      </c>
      <c r="F5929" s="2" t="s">
        <v>20391</v>
      </c>
      <c r="H5929" s="2" t="s">
        <v>17</v>
      </c>
      <c r="K5929" s="4" t="s">
        <v>20392</v>
      </c>
      <c r="L5929" s="4">
        <v>8291</v>
      </c>
      <c r="M5929" s="2" t="s">
        <v>66</v>
      </c>
      <c r="N5929" s="2" t="s">
        <v>9055</v>
      </c>
    </row>
    <row r="5930" spans="1:14">
      <c r="A5930" s="2">
        <v>5929</v>
      </c>
      <c r="B5930" s="3" t="s">
        <v>20393</v>
      </c>
      <c r="C5930" s="2" t="s">
        <v>20394</v>
      </c>
      <c r="D5930" s="2">
        <v>25</v>
      </c>
      <c r="E5930" s="2">
        <v>32</v>
      </c>
      <c r="F5930" s="2" t="s">
        <v>20395</v>
      </c>
      <c r="H5930" s="2" t="s">
        <v>17</v>
      </c>
      <c r="K5930" s="4" t="s">
        <v>20396</v>
      </c>
      <c r="L5930" s="4">
        <v>10667</v>
      </c>
      <c r="M5930" s="2" t="s">
        <v>198</v>
      </c>
      <c r="N5930" s="2" t="s">
        <v>199</v>
      </c>
    </row>
    <row r="5931" spans="1:14">
      <c r="A5931" s="2">
        <v>5930</v>
      </c>
      <c r="B5931" s="3" t="s">
        <v>20397</v>
      </c>
      <c r="C5931" s="2" t="s">
        <v>20398</v>
      </c>
      <c r="D5931" s="2">
        <v>29</v>
      </c>
      <c r="E5931" s="2">
        <v>32</v>
      </c>
      <c r="F5931" s="2" t="s">
        <v>20399</v>
      </c>
      <c r="H5931" s="2" t="s">
        <v>17</v>
      </c>
      <c r="K5931" s="4" t="s">
        <v>20400</v>
      </c>
      <c r="M5931" s="2" t="s">
        <v>170</v>
      </c>
      <c r="N5931" s="2" t="s">
        <v>385</v>
      </c>
    </row>
    <row r="5932" spans="1:14">
      <c r="A5932" s="2">
        <v>5931</v>
      </c>
      <c r="B5932" s="3" t="s">
        <v>20401</v>
      </c>
      <c r="C5932" s="2" t="s">
        <v>20402</v>
      </c>
      <c r="D5932" s="2">
        <v>29</v>
      </c>
      <c r="E5932" s="2">
        <v>32</v>
      </c>
      <c r="F5932" s="2" t="s">
        <v>20403</v>
      </c>
      <c r="H5932" s="2" t="s">
        <v>17</v>
      </c>
      <c r="K5932" s="4" t="s">
        <v>20404</v>
      </c>
      <c r="L5932" s="4">
        <v>21314</v>
      </c>
      <c r="M5932" s="2" t="s">
        <v>40</v>
      </c>
      <c r="N5932" s="2" t="s">
        <v>20405</v>
      </c>
    </row>
    <row r="5933" spans="1:14">
      <c r="A5933" s="2">
        <v>5932</v>
      </c>
      <c r="B5933" s="3" t="s">
        <v>20406</v>
      </c>
      <c r="C5933" s="2" t="s">
        <v>20407</v>
      </c>
      <c r="D5933" s="2">
        <v>24</v>
      </c>
      <c r="E5933" s="2">
        <v>32</v>
      </c>
      <c r="F5933" s="2" t="s">
        <v>20408</v>
      </c>
      <c r="H5933" s="2" t="s">
        <v>17</v>
      </c>
      <c r="K5933" s="4" t="s">
        <v>20409</v>
      </c>
      <c r="L5933" s="4">
        <v>8758</v>
      </c>
      <c r="M5933" s="2" t="s">
        <v>170</v>
      </c>
      <c r="N5933" s="2" t="s">
        <v>323</v>
      </c>
    </row>
    <row r="5934" spans="1:14">
      <c r="A5934" s="2">
        <v>5933</v>
      </c>
      <c r="B5934" s="3" t="s">
        <v>20410</v>
      </c>
      <c r="C5934" s="2" t="s">
        <v>20411</v>
      </c>
      <c r="D5934" s="2">
        <v>29</v>
      </c>
      <c r="E5934" s="2">
        <v>32</v>
      </c>
      <c r="F5934" s="2" t="s">
        <v>20412</v>
      </c>
      <c r="H5934" s="2" t="s">
        <v>17</v>
      </c>
      <c r="K5934" s="4" t="s">
        <v>20413</v>
      </c>
      <c r="L5934" s="4">
        <v>10877</v>
      </c>
      <c r="M5934" s="2" t="s">
        <v>47</v>
      </c>
      <c r="N5934" s="2" t="s">
        <v>48</v>
      </c>
    </row>
    <row r="5935" spans="1:14">
      <c r="A5935" s="2">
        <v>5934</v>
      </c>
      <c r="B5935" s="3" t="s">
        <v>20414</v>
      </c>
      <c r="C5935" s="2" t="s">
        <v>20415</v>
      </c>
      <c r="D5935" s="2">
        <v>31</v>
      </c>
      <c r="E5935" s="2">
        <v>32</v>
      </c>
      <c r="F5935" s="2" t="s">
        <v>20416</v>
      </c>
      <c r="H5935" s="2" t="s">
        <v>17</v>
      </c>
      <c r="K5935" s="4" t="s">
        <v>20417</v>
      </c>
      <c r="L5935" s="4">
        <v>21579</v>
      </c>
      <c r="M5935" s="2" t="s">
        <v>40</v>
      </c>
      <c r="N5935" s="2" t="s">
        <v>41</v>
      </c>
    </row>
    <row r="5936" spans="1:14">
      <c r="A5936" s="2">
        <v>5935</v>
      </c>
      <c r="B5936" s="3" t="s">
        <v>20418</v>
      </c>
      <c r="C5936" s="2" t="s">
        <v>20419</v>
      </c>
      <c r="D5936" s="2">
        <v>26</v>
      </c>
      <c r="E5936" s="2">
        <v>32</v>
      </c>
      <c r="F5936" s="2" t="s">
        <v>20420</v>
      </c>
      <c r="H5936" s="2" t="s">
        <v>17</v>
      </c>
      <c r="K5936" s="4" t="s">
        <v>20421</v>
      </c>
      <c r="L5936" s="4">
        <v>7989</v>
      </c>
      <c r="M5936" s="2" t="s">
        <v>76</v>
      </c>
      <c r="N5936" s="2" t="s">
        <v>14023</v>
      </c>
    </row>
    <row r="5937" spans="1:14">
      <c r="A5937" s="2">
        <v>5936</v>
      </c>
      <c r="B5937" s="3" t="s">
        <v>20422</v>
      </c>
      <c r="C5937" s="2" t="s">
        <v>20423</v>
      </c>
      <c r="D5937" s="2">
        <v>27</v>
      </c>
      <c r="E5937" s="2">
        <v>32</v>
      </c>
      <c r="F5937" s="2" t="s">
        <v>20424</v>
      </c>
      <c r="H5937" s="2" t="s">
        <v>17</v>
      </c>
      <c r="K5937" s="4" t="s">
        <v>20425</v>
      </c>
      <c r="L5937" s="4">
        <v>10419</v>
      </c>
      <c r="M5937" s="2" t="s">
        <v>170</v>
      </c>
      <c r="N5937" s="2" t="s">
        <v>385</v>
      </c>
    </row>
    <row r="5938" spans="1:14">
      <c r="A5938" s="2">
        <v>5937</v>
      </c>
      <c r="B5938" s="3" t="s">
        <v>20426</v>
      </c>
      <c r="C5938" s="2" t="s">
        <v>20427</v>
      </c>
      <c r="D5938" s="2">
        <v>22</v>
      </c>
      <c r="E5938" s="2">
        <v>32</v>
      </c>
      <c r="F5938" s="2" t="s">
        <v>20428</v>
      </c>
      <c r="H5938" s="2" t="s">
        <v>17</v>
      </c>
      <c r="K5938" s="4" t="s">
        <v>20429</v>
      </c>
      <c r="L5938" s="4">
        <v>12882</v>
      </c>
    </row>
    <row r="5939" spans="1:14">
      <c r="A5939" s="2">
        <v>5938</v>
      </c>
      <c r="B5939" s="3" t="s">
        <v>20430</v>
      </c>
      <c r="C5939" s="2" t="s">
        <v>20431</v>
      </c>
      <c r="D5939" s="2">
        <v>31</v>
      </c>
      <c r="E5939" s="2">
        <v>32</v>
      </c>
      <c r="F5939" s="2" t="s">
        <v>20432</v>
      </c>
      <c r="H5939" s="2" t="s">
        <v>17</v>
      </c>
      <c r="K5939" s="4" t="s">
        <v>20433</v>
      </c>
      <c r="L5939" s="4">
        <v>13197</v>
      </c>
      <c r="M5939" s="2" t="s">
        <v>35</v>
      </c>
      <c r="N5939" s="2" t="s">
        <v>10316</v>
      </c>
    </row>
    <row r="5940" spans="1:14">
      <c r="A5940" s="2">
        <v>5939</v>
      </c>
      <c r="B5940" s="3" t="s">
        <v>20434</v>
      </c>
      <c r="C5940" s="2" t="s">
        <v>20435</v>
      </c>
      <c r="D5940" s="2">
        <v>30</v>
      </c>
      <c r="E5940" s="2">
        <v>32</v>
      </c>
      <c r="F5940" s="2" t="s">
        <v>20436</v>
      </c>
      <c r="H5940" s="2" t="s">
        <v>17</v>
      </c>
      <c r="K5940" s="4" t="s">
        <v>18330</v>
      </c>
      <c r="L5940" s="4">
        <v>12306</v>
      </c>
      <c r="M5940" s="2" t="s">
        <v>170</v>
      </c>
      <c r="N5940" s="2" t="s">
        <v>355</v>
      </c>
    </row>
    <row r="5941" spans="1:14">
      <c r="A5941" s="2">
        <v>5940</v>
      </c>
      <c r="B5941" s="3" t="s">
        <v>20437</v>
      </c>
      <c r="C5941" s="2" t="s">
        <v>20438</v>
      </c>
      <c r="D5941" s="2">
        <v>32</v>
      </c>
      <c r="E5941" s="2">
        <v>32</v>
      </c>
      <c r="F5941" s="2" t="s">
        <v>20439</v>
      </c>
      <c r="H5941" s="2" t="s">
        <v>17</v>
      </c>
      <c r="K5941" s="4" t="s">
        <v>20440</v>
      </c>
      <c r="L5941" s="4">
        <v>15644</v>
      </c>
      <c r="M5941" s="2" t="s">
        <v>40</v>
      </c>
      <c r="N5941" s="2" t="s">
        <v>20441</v>
      </c>
    </row>
    <row r="5942" spans="1:14">
      <c r="A5942" s="2">
        <v>5941</v>
      </c>
      <c r="B5942" s="3" t="s">
        <v>20442</v>
      </c>
      <c r="C5942" s="2" t="s">
        <v>20443</v>
      </c>
      <c r="D5942" s="2">
        <v>26</v>
      </c>
      <c r="E5942" s="2">
        <v>31</v>
      </c>
      <c r="F5942" s="2" t="s">
        <v>20444</v>
      </c>
      <c r="H5942" s="2" t="s">
        <v>17</v>
      </c>
      <c r="K5942" s="4" t="s">
        <v>20445</v>
      </c>
      <c r="L5942" s="4">
        <v>8110</v>
      </c>
    </row>
    <row r="5943" spans="1:14">
      <c r="A5943" s="2">
        <v>5942</v>
      </c>
      <c r="B5943" s="3" t="s">
        <v>20446</v>
      </c>
      <c r="C5943" s="2" t="s">
        <v>20447</v>
      </c>
      <c r="D5943" s="2">
        <v>30</v>
      </c>
      <c r="E5943" s="2">
        <v>31</v>
      </c>
      <c r="F5943" s="2" t="s">
        <v>20448</v>
      </c>
      <c r="H5943" s="2" t="s">
        <v>17</v>
      </c>
      <c r="K5943" s="4" t="s">
        <v>20449</v>
      </c>
      <c r="M5943" s="2" t="s">
        <v>336</v>
      </c>
      <c r="N5943" s="2" t="s">
        <v>1883</v>
      </c>
    </row>
    <row r="5944" spans="1:14">
      <c r="A5944" s="2">
        <v>5943</v>
      </c>
      <c r="B5944" s="3" t="s">
        <v>20450</v>
      </c>
      <c r="C5944" s="2" t="s">
        <v>20451</v>
      </c>
      <c r="D5944" s="2">
        <v>31</v>
      </c>
      <c r="E5944" s="2">
        <v>31</v>
      </c>
      <c r="F5944" s="2" t="s">
        <v>20452</v>
      </c>
      <c r="H5944" s="2" t="s">
        <v>17</v>
      </c>
      <c r="L5944" s="4">
        <v>19896</v>
      </c>
    </row>
    <row r="5945" spans="1:14">
      <c r="A5945" s="2">
        <v>5944</v>
      </c>
      <c r="B5945" s="3" t="s">
        <v>20453</v>
      </c>
      <c r="C5945" s="2" t="s">
        <v>20454</v>
      </c>
      <c r="D5945" s="2">
        <v>30</v>
      </c>
      <c r="E5945" s="2">
        <v>31</v>
      </c>
      <c r="F5945" s="2" t="s">
        <v>20455</v>
      </c>
      <c r="H5945" s="2" t="s">
        <v>17</v>
      </c>
      <c r="K5945" s="4" t="s">
        <v>20456</v>
      </c>
      <c r="L5945" s="4">
        <v>24777</v>
      </c>
      <c r="M5945" s="2" t="s">
        <v>146</v>
      </c>
      <c r="N5945" s="2" t="s">
        <v>13390</v>
      </c>
    </row>
    <row r="5946" spans="1:14">
      <c r="A5946" s="2">
        <v>5945</v>
      </c>
      <c r="B5946" s="3" t="s">
        <v>20457</v>
      </c>
      <c r="C5946" s="2" t="s">
        <v>20458</v>
      </c>
      <c r="D5946" s="2">
        <v>31</v>
      </c>
      <c r="E5946" s="2">
        <v>31</v>
      </c>
      <c r="F5946" s="2" t="s">
        <v>20459</v>
      </c>
      <c r="H5946" s="2" t="s">
        <v>17</v>
      </c>
      <c r="K5946" s="4" t="s">
        <v>20460</v>
      </c>
      <c r="L5946" s="4">
        <v>20163</v>
      </c>
      <c r="M5946" s="2" t="s">
        <v>35</v>
      </c>
      <c r="N5946" s="2" t="s">
        <v>858</v>
      </c>
    </row>
    <row r="5947" spans="1:14">
      <c r="A5947" s="2">
        <v>5946</v>
      </c>
      <c r="B5947" s="3" t="s">
        <v>20461</v>
      </c>
      <c r="C5947" s="2" t="s">
        <v>20462</v>
      </c>
      <c r="D5947" s="2">
        <v>31</v>
      </c>
      <c r="E5947" s="2">
        <v>31</v>
      </c>
      <c r="F5947" s="2" t="s">
        <v>20463</v>
      </c>
      <c r="H5947" s="2" t="s">
        <v>17</v>
      </c>
      <c r="K5947" s="4" t="s">
        <v>20464</v>
      </c>
      <c r="L5947" s="4">
        <v>10389</v>
      </c>
      <c r="M5947" s="2" t="s">
        <v>192</v>
      </c>
      <c r="N5947" s="2" t="s">
        <v>3969</v>
      </c>
    </row>
    <row r="5948" spans="1:14">
      <c r="A5948" s="2">
        <v>5947</v>
      </c>
      <c r="B5948" s="3" t="s">
        <v>20465</v>
      </c>
      <c r="C5948" s="2" t="s">
        <v>20466</v>
      </c>
      <c r="D5948" s="2">
        <v>30</v>
      </c>
      <c r="E5948" s="2">
        <v>31</v>
      </c>
      <c r="F5948" s="2" t="s">
        <v>20467</v>
      </c>
      <c r="H5948" s="2" t="s">
        <v>17</v>
      </c>
    </row>
    <row r="5949" spans="1:14">
      <c r="A5949" s="2">
        <v>5948</v>
      </c>
      <c r="B5949" s="3" t="s">
        <v>20468</v>
      </c>
      <c r="C5949" s="2" t="s">
        <v>6707</v>
      </c>
      <c r="D5949" s="2">
        <v>27</v>
      </c>
      <c r="E5949" s="2">
        <v>31</v>
      </c>
      <c r="F5949" s="2" t="s">
        <v>20469</v>
      </c>
      <c r="H5949" s="2" t="s">
        <v>17</v>
      </c>
    </row>
    <row r="5950" spans="1:14">
      <c r="A5950" s="2">
        <v>5949</v>
      </c>
      <c r="B5950" s="3" t="s">
        <v>20470</v>
      </c>
      <c r="C5950" s="2" t="s">
        <v>20471</v>
      </c>
      <c r="D5950" s="2">
        <v>31</v>
      </c>
      <c r="E5950" s="2">
        <v>31</v>
      </c>
      <c r="F5950" s="2" t="s">
        <v>20472</v>
      </c>
      <c r="H5950" s="2" t="s">
        <v>17</v>
      </c>
      <c r="L5950" s="4">
        <v>20281</v>
      </c>
    </row>
    <row r="5951" spans="1:14">
      <c r="A5951" s="2">
        <v>5950</v>
      </c>
      <c r="B5951" s="3" t="s">
        <v>20473</v>
      </c>
      <c r="C5951" s="2" t="s">
        <v>20474</v>
      </c>
      <c r="D5951" s="2">
        <v>29</v>
      </c>
      <c r="E5951" s="2">
        <v>31</v>
      </c>
      <c r="F5951" s="2" t="s">
        <v>20475</v>
      </c>
      <c r="H5951" s="2" t="s">
        <v>17</v>
      </c>
      <c r="K5951" s="4" t="s">
        <v>20476</v>
      </c>
      <c r="L5951" s="4">
        <v>8709</v>
      </c>
      <c r="M5951" s="2" t="s">
        <v>198</v>
      </c>
      <c r="N5951" s="2" t="s">
        <v>18479</v>
      </c>
    </row>
    <row r="5952" spans="1:14">
      <c r="A5952" s="2">
        <v>5951</v>
      </c>
      <c r="B5952" s="3" t="s">
        <v>20477</v>
      </c>
      <c r="C5952" s="2" t="s">
        <v>20478</v>
      </c>
      <c r="D5952" s="2">
        <v>30</v>
      </c>
      <c r="E5952" s="2">
        <v>31</v>
      </c>
      <c r="F5952" s="2" t="s">
        <v>20479</v>
      </c>
      <c r="H5952" s="2" t="s">
        <v>17</v>
      </c>
      <c r="K5952" s="4" t="s">
        <v>20480</v>
      </c>
      <c r="L5952" s="4">
        <v>8928</v>
      </c>
      <c r="M5952" s="2" t="s">
        <v>170</v>
      </c>
      <c r="N5952" s="2" t="s">
        <v>12352</v>
      </c>
    </row>
    <row r="5953" spans="1:14">
      <c r="A5953" s="2">
        <v>5952</v>
      </c>
      <c r="B5953" s="3" t="s">
        <v>20481</v>
      </c>
      <c r="C5953" s="2" t="s">
        <v>20482</v>
      </c>
      <c r="D5953" s="2">
        <v>26</v>
      </c>
      <c r="E5953" s="2">
        <v>31</v>
      </c>
      <c r="F5953" s="2" t="s">
        <v>20483</v>
      </c>
      <c r="H5953" s="2" t="s">
        <v>17</v>
      </c>
      <c r="K5953" s="4" t="s">
        <v>20484</v>
      </c>
      <c r="L5953" s="4">
        <v>7449</v>
      </c>
      <c r="M5953" s="2" t="s">
        <v>35</v>
      </c>
      <c r="N5953" s="2" t="s">
        <v>8588</v>
      </c>
    </row>
    <row r="5954" spans="1:14">
      <c r="A5954" s="2">
        <v>5953</v>
      </c>
      <c r="B5954" s="3" t="s">
        <v>20485</v>
      </c>
      <c r="C5954" s="2" t="s">
        <v>20486</v>
      </c>
      <c r="D5954" s="2">
        <v>29</v>
      </c>
      <c r="E5954" s="2">
        <v>31</v>
      </c>
      <c r="F5954" s="2" t="s">
        <v>20487</v>
      </c>
      <c r="H5954" s="2" t="s">
        <v>17</v>
      </c>
      <c r="K5954" s="4" t="s">
        <v>20488</v>
      </c>
      <c r="L5954" s="4">
        <v>10444</v>
      </c>
      <c r="M5954" s="2" t="s">
        <v>198</v>
      </c>
      <c r="N5954" s="2" t="s">
        <v>199</v>
      </c>
    </row>
    <row r="5955" spans="1:14">
      <c r="A5955" s="2">
        <v>5954</v>
      </c>
      <c r="B5955" s="3" t="s">
        <v>20489</v>
      </c>
      <c r="C5955" s="2" t="s">
        <v>20490</v>
      </c>
      <c r="D5955" s="2">
        <v>27</v>
      </c>
      <c r="E5955" s="2">
        <v>31</v>
      </c>
      <c r="F5955" s="2" t="s">
        <v>20491</v>
      </c>
      <c r="H5955" s="2" t="s">
        <v>17</v>
      </c>
      <c r="K5955" s="4" t="s">
        <v>20492</v>
      </c>
      <c r="L5955" s="4">
        <v>14581</v>
      </c>
      <c r="M5955" s="2" t="s">
        <v>18</v>
      </c>
      <c r="N5955" s="2" t="s">
        <v>20493</v>
      </c>
    </row>
    <row r="5956" spans="1:14">
      <c r="A5956" s="2">
        <v>5955</v>
      </c>
      <c r="B5956" s="3" t="s">
        <v>20494</v>
      </c>
      <c r="C5956" s="2" t="s">
        <v>20495</v>
      </c>
      <c r="D5956" s="2">
        <v>27</v>
      </c>
      <c r="E5956" s="2">
        <v>31</v>
      </c>
      <c r="F5956" s="2" t="s">
        <v>20496</v>
      </c>
      <c r="H5956" s="2" t="s">
        <v>17</v>
      </c>
      <c r="K5956" s="4" t="s">
        <v>20497</v>
      </c>
      <c r="L5956" s="4">
        <v>16847</v>
      </c>
    </row>
    <row r="5957" spans="1:14">
      <c r="A5957" s="2">
        <v>5956</v>
      </c>
      <c r="B5957" s="3" t="s">
        <v>20498</v>
      </c>
      <c r="C5957" s="2" t="s">
        <v>8419</v>
      </c>
      <c r="D5957" s="2">
        <v>23</v>
      </c>
      <c r="E5957" s="2">
        <v>31</v>
      </c>
      <c r="F5957" s="2" t="s">
        <v>20499</v>
      </c>
      <c r="H5957" s="2" t="s">
        <v>17</v>
      </c>
      <c r="K5957" s="4" t="s">
        <v>20500</v>
      </c>
      <c r="L5957" s="4">
        <v>10476</v>
      </c>
      <c r="M5957" s="2" t="s">
        <v>76</v>
      </c>
      <c r="N5957" s="2" t="s">
        <v>14023</v>
      </c>
    </row>
    <row r="5958" spans="1:14">
      <c r="A5958" s="2">
        <v>5957</v>
      </c>
      <c r="B5958" s="3" t="s">
        <v>20501</v>
      </c>
      <c r="C5958" s="2" t="s">
        <v>17872</v>
      </c>
      <c r="D5958" s="2">
        <v>31</v>
      </c>
      <c r="E5958" s="2">
        <v>31</v>
      </c>
      <c r="F5958" s="2" t="s">
        <v>20502</v>
      </c>
      <c r="H5958" s="2" t="s">
        <v>17</v>
      </c>
      <c r="K5958" s="4" t="s">
        <v>20503</v>
      </c>
      <c r="M5958" s="2" t="s">
        <v>91</v>
      </c>
      <c r="N5958" s="2" t="s">
        <v>16267</v>
      </c>
    </row>
    <row r="5959" spans="1:14">
      <c r="A5959" s="2">
        <v>5958</v>
      </c>
      <c r="B5959" s="3" t="s">
        <v>20504</v>
      </c>
      <c r="C5959" s="2" t="s">
        <v>20505</v>
      </c>
      <c r="D5959" s="2">
        <v>31</v>
      </c>
      <c r="E5959" s="2">
        <v>31</v>
      </c>
      <c r="F5959" s="2" t="s">
        <v>20506</v>
      </c>
      <c r="H5959" s="2" t="s">
        <v>17</v>
      </c>
      <c r="K5959" s="4" t="s">
        <v>20507</v>
      </c>
      <c r="L5959" s="4">
        <v>14860</v>
      </c>
      <c r="M5959" s="2" t="s">
        <v>35</v>
      </c>
      <c r="N5959" s="2" t="s">
        <v>18430</v>
      </c>
    </row>
    <row r="5960" spans="1:14">
      <c r="A5960" s="2">
        <v>5959</v>
      </c>
      <c r="B5960" s="3" t="s">
        <v>20508</v>
      </c>
      <c r="C5960" s="2" t="s">
        <v>20509</v>
      </c>
      <c r="D5960" s="2">
        <v>27</v>
      </c>
      <c r="E5960" s="2">
        <v>31</v>
      </c>
      <c r="F5960" s="2" t="s">
        <v>20510</v>
      </c>
      <c r="H5960" s="2" t="s">
        <v>17</v>
      </c>
      <c r="L5960" s="4">
        <v>6766</v>
      </c>
    </row>
    <row r="5961" spans="1:14">
      <c r="A5961" s="2">
        <v>5960</v>
      </c>
      <c r="B5961" s="3" t="s">
        <v>20511</v>
      </c>
      <c r="C5961" s="2" t="s">
        <v>20512</v>
      </c>
      <c r="D5961" s="2">
        <v>20</v>
      </c>
      <c r="E5961" s="2">
        <v>31</v>
      </c>
      <c r="F5961" s="2" t="s">
        <v>20513</v>
      </c>
      <c r="H5961" s="2" t="s">
        <v>17</v>
      </c>
      <c r="K5961" s="4" t="s">
        <v>20514</v>
      </c>
      <c r="L5961" s="4">
        <v>9799</v>
      </c>
      <c r="M5961" s="2" t="s">
        <v>40</v>
      </c>
      <c r="N5961" s="2" t="s">
        <v>20515</v>
      </c>
    </row>
    <row r="5962" spans="1:14">
      <c r="A5962" s="2">
        <v>5961</v>
      </c>
      <c r="B5962" s="3" t="s">
        <v>20516</v>
      </c>
      <c r="C5962" s="2" t="s">
        <v>20517</v>
      </c>
      <c r="D5962" s="2">
        <v>30</v>
      </c>
      <c r="E5962" s="2">
        <v>31</v>
      </c>
      <c r="F5962" s="2" t="s">
        <v>20518</v>
      </c>
      <c r="H5962" s="2" t="s">
        <v>17</v>
      </c>
      <c r="K5962" s="4" t="s">
        <v>20519</v>
      </c>
      <c r="L5962" s="4">
        <v>13299</v>
      </c>
      <c r="M5962" s="2" t="s">
        <v>423</v>
      </c>
      <c r="N5962" s="2" t="s">
        <v>3942</v>
      </c>
    </row>
    <row r="5963" spans="1:14">
      <c r="A5963" s="2">
        <v>5962</v>
      </c>
      <c r="B5963" s="3" t="s">
        <v>20520</v>
      </c>
      <c r="C5963" s="2" t="s">
        <v>20521</v>
      </c>
      <c r="D5963" s="2">
        <v>30</v>
      </c>
      <c r="E5963" s="2">
        <v>31</v>
      </c>
      <c r="F5963" s="2" t="s">
        <v>20522</v>
      </c>
      <c r="H5963" s="2" t="s">
        <v>17</v>
      </c>
      <c r="K5963" s="4" t="s">
        <v>20523</v>
      </c>
      <c r="L5963" s="4">
        <v>22036</v>
      </c>
      <c r="M5963" s="2" t="s">
        <v>35</v>
      </c>
      <c r="N5963" s="2" t="s">
        <v>12700</v>
      </c>
    </row>
    <row r="5964" spans="1:14">
      <c r="A5964" s="2">
        <v>5963</v>
      </c>
      <c r="B5964" s="3" t="s">
        <v>20524</v>
      </c>
      <c r="C5964" s="2" t="s">
        <v>20525</v>
      </c>
      <c r="D5964" s="2">
        <v>28</v>
      </c>
      <c r="E5964" s="2">
        <v>31</v>
      </c>
      <c r="F5964" s="2" t="s">
        <v>20526</v>
      </c>
      <c r="H5964" s="2" t="s">
        <v>17</v>
      </c>
      <c r="K5964" s="4" t="s">
        <v>20527</v>
      </c>
      <c r="L5964" s="4">
        <v>13124</v>
      </c>
      <c r="M5964" s="2" t="s">
        <v>140</v>
      </c>
      <c r="N5964" s="2" t="s">
        <v>294</v>
      </c>
    </row>
    <row r="5965" spans="1:14">
      <c r="A5965" s="2">
        <v>5964</v>
      </c>
      <c r="B5965" s="3" t="s">
        <v>20528</v>
      </c>
      <c r="C5965" s="2" t="s">
        <v>20529</v>
      </c>
      <c r="D5965" s="2">
        <v>27</v>
      </c>
      <c r="E5965" s="2">
        <v>31</v>
      </c>
      <c r="F5965" s="2" t="s">
        <v>20530</v>
      </c>
      <c r="H5965" s="2" t="s">
        <v>17</v>
      </c>
      <c r="K5965" s="4" t="s">
        <v>20531</v>
      </c>
      <c r="L5965" s="4">
        <v>10172</v>
      </c>
    </row>
    <row r="5966" spans="1:14">
      <c r="A5966" s="2">
        <v>5965</v>
      </c>
      <c r="B5966" s="3" t="s">
        <v>20532</v>
      </c>
      <c r="C5966" s="2" t="s">
        <v>20533</v>
      </c>
      <c r="D5966" s="2">
        <v>29</v>
      </c>
      <c r="E5966" s="2">
        <v>31</v>
      </c>
      <c r="F5966" s="2" t="s">
        <v>20534</v>
      </c>
      <c r="H5966" s="2" t="s">
        <v>17</v>
      </c>
      <c r="K5966" s="4" t="s">
        <v>20535</v>
      </c>
      <c r="M5966" s="2" t="s">
        <v>35</v>
      </c>
      <c r="N5966" s="2" t="s">
        <v>6033</v>
      </c>
    </row>
    <row r="5967" spans="1:14">
      <c r="A5967" s="2">
        <v>5966</v>
      </c>
      <c r="B5967" s="3" t="s">
        <v>20536</v>
      </c>
      <c r="C5967" s="2" t="s">
        <v>20537</v>
      </c>
      <c r="D5967" s="2">
        <v>19</v>
      </c>
      <c r="E5967" s="2">
        <v>31</v>
      </c>
      <c r="F5967" s="2" t="s">
        <v>20538</v>
      </c>
      <c r="H5967" s="2" t="s">
        <v>17</v>
      </c>
      <c r="K5967" s="4" t="s">
        <v>20539</v>
      </c>
      <c r="L5967" s="4">
        <v>7741</v>
      </c>
      <c r="M5967" s="2" t="s">
        <v>85</v>
      </c>
      <c r="N5967" s="2" t="s">
        <v>86</v>
      </c>
    </row>
    <row r="5968" spans="1:14">
      <c r="A5968" s="2">
        <v>5967</v>
      </c>
      <c r="B5968" s="3" t="s">
        <v>20540</v>
      </c>
      <c r="C5968" s="2" t="s">
        <v>20541</v>
      </c>
      <c r="D5968" s="2">
        <v>24</v>
      </c>
      <c r="E5968" s="2">
        <v>31</v>
      </c>
      <c r="F5968" s="2" t="s">
        <v>20542</v>
      </c>
      <c r="H5968" s="2" t="s">
        <v>17</v>
      </c>
      <c r="K5968" s="4" t="s">
        <v>20543</v>
      </c>
      <c r="L5968" s="4">
        <v>8997</v>
      </c>
      <c r="M5968" s="2" t="s">
        <v>40</v>
      </c>
      <c r="N5968" s="2" t="s">
        <v>41</v>
      </c>
    </row>
    <row r="5969" spans="1:14">
      <c r="A5969" s="2">
        <v>5968</v>
      </c>
      <c r="B5969" s="3" t="s">
        <v>20544</v>
      </c>
      <c r="C5969" s="2" t="s">
        <v>20545</v>
      </c>
      <c r="D5969" s="2">
        <v>30</v>
      </c>
      <c r="E5969" s="2">
        <v>31</v>
      </c>
      <c r="F5969" s="2" t="s">
        <v>20546</v>
      </c>
      <c r="H5969" s="2" t="s">
        <v>17</v>
      </c>
      <c r="K5969" s="4" t="s">
        <v>20547</v>
      </c>
      <c r="L5969" s="4">
        <v>13375</v>
      </c>
      <c r="M5969" s="2" t="s">
        <v>198</v>
      </c>
      <c r="N5969" s="2" t="s">
        <v>199</v>
      </c>
    </row>
    <row r="5970" spans="1:14">
      <c r="A5970" s="2">
        <v>5969</v>
      </c>
      <c r="B5970" s="3" t="s">
        <v>20548</v>
      </c>
      <c r="C5970" s="2" t="s">
        <v>20549</v>
      </c>
      <c r="D5970" s="2">
        <v>30</v>
      </c>
      <c r="E5970" s="2">
        <v>31</v>
      </c>
      <c r="F5970" s="2" t="s">
        <v>20550</v>
      </c>
      <c r="H5970" s="2" t="s">
        <v>17</v>
      </c>
    </row>
    <row r="5971" spans="1:14">
      <c r="A5971" s="2">
        <v>5970</v>
      </c>
      <c r="B5971" s="3" t="s">
        <v>20551</v>
      </c>
      <c r="C5971" s="2" t="s">
        <v>20552</v>
      </c>
      <c r="D5971" s="2">
        <v>31</v>
      </c>
      <c r="E5971" s="2">
        <v>31</v>
      </c>
      <c r="F5971" s="2" t="s">
        <v>20553</v>
      </c>
      <c r="H5971" s="2" t="s">
        <v>17</v>
      </c>
      <c r="L5971" s="4">
        <v>13032</v>
      </c>
    </row>
    <row r="5972" spans="1:14">
      <c r="A5972" s="2">
        <v>5971</v>
      </c>
      <c r="B5972" s="3" t="s">
        <v>20554</v>
      </c>
      <c r="C5972" s="2" t="s">
        <v>20555</v>
      </c>
      <c r="D5972" s="2">
        <v>31</v>
      </c>
      <c r="E5972" s="2">
        <v>31</v>
      </c>
      <c r="F5972" s="2" t="s">
        <v>20556</v>
      </c>
      <c r="H5972" s="2" t="s">
        <v>17</v>
      </c>
    </row>
    <row r="5973" spans="1:14">
      <c r="A5973" s="2">
        <v>5972</v>
      </c>
      <c r="B5973" s="3" t="s">
        <v>20557</v>
      </c>
      <c r="C5973" s="2" t="s">
        <v>20558</v>
      </c>
      <c r="D5973" s="2">
        <v>31</v>
      </c>
      <c r="E5973" s="2">
        <v>31</v>
      </c>
      <c r="F5973" s="2" t="s">
        <v>20559</v>
      </c>
      <c r="H5973" s="2" t="s">
        <v>17</v>
      </c>
      <c r="K5973" s="4" t="s">
        <v>20560</v>
      </c>
      <c r="L5973" s="4">
        <v>12036</v>
      </c>
      <c r="M5973" s="2" t="s">
        <v>85</v>
      </c>
      <c r="N5973" s="2" t="s">
        <v>13061</v>
      </c>
    </row>
    <row r="5974" spans="1:14">
      <c r="A5974" s="2">
        <v>5973</v>
      </c>
      <c r="B5974" s="3" t="s">
        <v>20561</v>
      </c>
      <c r="C5974" s="2" t="s">
        <v>20562</v>
      </c>
      <c r="D5974" s="2">
        <v>30</v>
      </c>
      <c r="E5974" s="2">
        <v>31</v>
      </c>
      <c r="F5974" s="2" t="s">
        <v>20563</v>
      </c>
      <c r="H5974" s="2" t="s">
        <v>17</v>
      </c>
      <c r="K5974" s="4" t="s">
        <v>20564</v>
      </c>
      <c r="L5974" s="4">
        <v>20812</v>
      </c>
      <c r="M5974" s="2" t="s">
        <v>85</v>
      </c>
      <c r="N5974" s="2" t="s">
        <v>86</v>
      </c>
    </row>
    <row r="5975" spans="1:14">
      <c r="A5975" s="2">
        <v>5974</v>
      </c>
      <c r="B5975" s="3" t="s">
        <v>20565</v>
      </c>
      <c r="C5975" s="2" t="s">
        <v>20566</v>
      </c>
      <c r="D5975" s="2">
        <v>31</v>
      </c>
      <c r="E5975" s="2">
        <v>31</v>
      </c>
      <c r="F5975" s="2" t="s">
        <v>20567</v>
      </c>
      <c r="H5975" s="2" t="s">
        <v>17</v>
      </c>
      <c r="K5975" s="4" t="s">
        <v>20568</v>
      </c>
      <c r="L5975" s="4">
        <v>6824</v>
      </c>
      <c r="M5975" s="2" t="s">
        <v>164</v>
      </c>
      <c r="N5975" s="2" t="s">
        <v>17456</v>
      </c>
    </row>
    <row r="5976" spans="1:14">
      <c r="A5976" s="2">
        <v>5975</v>
      </c>
      <c r="B5976" s="3" t="s">
        <v>20569</v>
      </c>
      <c r="C5976" s="2" t="s">
        <v>20570</v>
      </c>
      <c r="D5976" s="2">
        <v>29</v>
      </c>
      <c r="E5976" s="2">
        <v>31</v>
      </c>
      <c r="F5976" s="2" t="s">
        <v>20571</v>
      </c>
      <c r="H5976" s="2" t="s">
        <v>17</v>
      </c>
      <c r="K5976" s="4" t="s">
        <v>20572</v>
      </c>
      <c r="L5976" s="4">
        <v>8095</v>
      </c>
      <c r="M5976" s="2" t="s">
        <v>35</v>
      </c>
      <c r="N5976" s="2" t="s">
        <v>13300</v>
      </c>
    </row>
    <row r="5977" spans="1:14">
      <c r="A5977" s="2">
        <v>5976</v>
      </c>
      <c r="B5977" s="3" t="s">
        <v>20573</v>
      </c>
      <c r="C5977" s="2" t="s">
        <v>12279</v>
      </c>
      <c r="D5977" s="2">
        <v>31</v>
      </c>
      <c r="E5977" s="2">
        <v>31</v>
      </c>
      <c r="F5977" s="2" t="s">
        <v>20574</v>
      </c>
      <c r="H5977" s="2" t="s">
        <v>17</v>
      </c>
    </row>
    <row r="5978" spans="1:14">
      <c r="A5978" s="2">
        <v>5977</v>
      </c>
      <c r="B5978" s="3" t="s">
        <v>20575</v>
      </c>
      <c r="C5978" s="2" t="s">
        <v>20576</v>
      </c>
      <c r="D5978" s="2">
        <v>30</v>
      </c>
      <c r="E5978" s="2">
        <v>31</v>
      </c>
      <c r="F5978" s="2" t="s">
        <v>20577</v>
      </c>
      <c r="H5978" s="2" t="s">
        <v>17</v>
      </c>
      <c r="K5978" s="4" t="s">
        <v>20578</v>
      </c>
      <c r="L5978" s="4">
        <v>12300</v>
      </c>
      <c r="M5978" s="2" t="s">
        <v>154</v>
      </c>
      <c r="N5978" s="2" t="s">
        <v>208</v>
      </c>
    </row>
    <row r="5979" spans="1:14">
      <c r="A5979" s="2">
        <v>5978</v>
      </c>
      <c r="B5979" s="3" t="s">
        <v>20579</v>
      </c>
      <c r="C5979" s="2" t="s">
        <v>20580</v>
      </c>
      <c r="D5979" s="2">
        <v>29</v>
      </c>
      <c r="E5979" s="2">
        <v>31</v>
      </c>
      <c r="F5979" s="2" t="s">
        <v>20581</v>
      </c>
      <c r="H5979" s="2" t="s">
        <v>17</v>
      </c>
    </row>
    <row r="5980" spans="1:14">
      <c r="A5980" s="2">
        <v>5979</v>
      </c>
      <c r="B5980" s="3" t="s">
        <v>20582</v>
      </c>
      <c r="C5980" s="2" t="s">
        <v>20583</v>
      </c>
      <c r="D5980" s="2">
        <v>22</v>
      </c>
      <c r="E5980" s="2">
        <v>31</v>
      </c>
      <c r="F5980" s="2" t="s">
        <v>20584</v>
      </c>
      <c r="H5980" s="2" t="s">
        <v>17</v>
      </c>
      <c r="K5980" s="4" t="s">
        <v>20585</v>
      </c>
      <c r="L5980" s="4">
        <v>8614</v>
      </c>
    </row>
    <row r="5981" spans="1:14">
      <c r="A5981" s="2">
        <v>5980</v>
      </c>
      <c r="B5981" s="3" t="s">
        <v>20586</v>
      </c>
      <c r="C5981" s="2" t="s">
        <v>20587</v>
      </c>
      <c r="D5981" s="2">
        <v>20</v>
      </c>
      <c r="E5981" s="2">
        <v>31</v>
      </c>
      <c r="F5981" s="2" t="s">
        <v>20588</v>
      </c>
      <c r="H5981" s="2" t="s">
        <v>17</v>
      </c>
      <c r="K5981" s="4" t="s">
        <v>20589</v>
      </c>
      <c r="L5981" s="4">
        <v>10804</v>
      </c>
      <c r="M5981" s="2" t="s">
        <v>35</v>
      </c>
      <c r="N5981" s="2" t="s">
        <v>15517</v>
      </c>
    </row>
    <row r="5982" spans="1:14">
      <c r="A5982" s="2">
        <v>5981</v>
      </c>
      <c r="B5982" s="3" t="s">
        <v>20590</v>
      </c>
      <c r="C5982" s="2" t="s">
        <v>20591</v>
      </c>
      <c r="D5982" s="2">
        <v>27</v>
      </c>
      <c r="E5982" s="2">
        <v>31</v>
      </c>
      <c r="F5982" s="2" t="s">
        <v>20592</v>
      </c>
      <c r="H5982" s="2" t="s">
        <v>17</v>
      </c>
      <c r="K5982" s="4" t="s">
        <v>20593</v>
      </c>
      <c r="L5982" s="4">
        <v>8705</v>
      </c>
      <c r="M5982" s="2" t="s">
        <v>40</v>
      </c>
      <c r="N5982" s="2" t="s">
        <v>5394</v>
      </c>
    </row>
    <row r="5983" spans="1:14">
      <c r="A5983" s="2">
        <v>5982</v>
      </c>
      <c r="B5983" s="3" t="s">
        <v>20594</v>
      </c>
      <c r="C5983" s="2" t="s">
        <v>20595</v>
      </c>
      <c r="D5983" s="2">
        <v>22</v>
      </c>
      <c r="E5983" s="2">
        <v>31</v>
      </c>
      <c r="F5983" s="2" t="s">
        <v>20596</v>
      </c>
      <c r="H5983" s="2" t="s">
        <v>17</v>
      </c>
      <c r="K5983" s="4" t="s">
        <v>20597</v>
      </c>
      <c r="L5983" s="4">
        <v>7301</v>
      </c>
      <c r="M5983" s="2" t="s">
        <v>198</v>
      </c>
      <c r="N5983" s="2" t="s">
        <v>20598</v>
      </c>
    </row>
    <row r="5984" spans="1:14">
      <c r="A5984" s="2">
        <v>5983</v>
      </c>
      <c r="B5984" s="3" t="s">
        <v>20599</v>
      </c>
      <c r="C5984" s="2" t="s">
        <v>20600</v>
      </c>
      <c r="D5984" s="2">
        <v>29</v>
      </c>
      <c r="E5984" s="2">
        <v>31</v>
      </c>
      <c r="F5984" s="2" t="s">
        <v>20601</v>
      </c>
      <c r="H5984" s="2" t="s">
        <v>17</v>
      </c>
      <c r="K5984" s="4" t="s">
        <v>20602</v>
      </c>
      <c r="L5984" s="4">
        <v>12407</v>
      </c>
      <c r="M5984" s="2" t="s">
        <v>154</v>
      </c>
      <c r="N5984" s="2" t="s">
        <v>208</v>
      </c>
    </row>
    <row r="5985" spans="1:14">
      <c r="A5985" s="2">
        <v>5984</v>
      </c>
      <c r="B5985" s="3" t="s">
        <v>20603</v>
      </c>
      <c r="C5985" s="2" t="s">
        <v>20604</v>
      </c>
      <c r="D5985" s="2">
        <v>31</v>
      </c>
      <c r="E5985" s="2">
        <v>31</v>
      </c>
      <c r="F5985" s="2" t="s">
        <v>20605</v>
      </c>
      <c r="H5985" s="2" t="s">
        <v>17</v>
      </c>
    </row>
    <row r="5986" spans="1:14">
      <c r="A5986" s="2">
        <v>5985</v>
      </c>
      <c r="B5986" s="3" t="s">
        <v>20606</v>
      </c>
      <c r="C5986" s="2" t="s">
        <v>20607</v>
      </c>
      <c r="D5986" s="2">
        <v>29</v>
      </c>
      <c r="E5986" s="2">
        <v>31</v>
      </c>
      <c r="F5986" s="2" t="s">
        <v>20608</v>
      </c>
      <c r="H5986" s="2" t="s">
        <v>17</v>
      </c>
    </row>
    <row r="5987" spans="1:14">
      <c r="A5987" s="2">
        <v>5986</v>
      </c>
      <c r="B5987" s="3" t="s">
        <v>20609</v>
      </c>
      <c r="C5987" s="2" t="s">
        <v>20610</v>
      </c>
      <c r="D5987" s="2">
        <v>31</v>
      </c>
      <c r="E5987" s="2">
        <v>31</v>
      </c>
      <c r="F5987" s="2" t="s">
        <v>20611</v>
      </c>
      <c r="H5987" s="2" t="s">
        <v>17</v>
      </c>
      <c r="K5987" s="4" t="s">
        <v>20612</v>
      </c>
      <c r="L5987" s="4">
        <v>24105</v>
      </c>
      <c r="M5987" s="2" t="s">
        <v>140</v>
      </c>
      <c r="N5987" s="2" t="s">
        <v>294</v>
      </c>
    </row>
    <row r="5988" spans="1:14">
      <c r="A5988" s="2">
        <v>5987</v>
      </c>
      <c r="B5988" s="3" t="s">
        <v>20613</v>
      </c>
      <c r="C5988" s="2" t="s">
        <v>20614</v>
      </c>
      <c r="D5988" s="2">
        <v>30</v>
      </c>
      <c r="E5988" s="2">
        <v>31</v>
      </c>
      <c r="F5988" s="2" t="s">
        <v>20615</v>
      </c>
      <c r="H5988" s="2" t="s">
        <v>17</v>
      </c>
      <c r="K5988" s="4" t="s">
        <v>19828</v>
      </c>
      <c r="M5988" s="2" t="s">
        <v>170</v>
      </c>
      <c r="N5988" s="2" t="s">
        <v>323</v>
      </c>
    </row>
    <row r="5989" spans="1:14">
      <c r="A5989" s="2">
        <v>5988</v>
      </c>
      <c r="B5989" s="3" t="s">
        <v>20616</v>
      </c>
      <c r="C5989" s="2" t="s">
        <v>20617</v>
      </c>
      <c r="D5989" s="2">
        <v>31</v>
      </c>
      <c r="E5989" s="2">
        <v>31</v>
      </c>
      <c r="F5989" s="2" t="s">
        <v>20618</v>
      </c>
      <c r="H5989" s="2" t="s">
        <v>17</v>
      </c>
      <c r="K5989" s="4" t="s">
        <v>20619</v>
      </c>
      <c r="L5989" s="4">
        <v>7884</v>
      </c>
      <c r="M5989" s="2" t="s">
        <v>146</v>
      </c>
      <c r="N5989" s="2" t="s">
        <v>16761</v>
      </c>
    </row>
    <row r="5990" spans="1:14">
      <c r="A5990" s="2">
        <v>5989</v>
      </c>
      <c r="B5990" s="3" t="s">
        <v>20620</v>
      </c>
      <c r="C5990" s="2" t="s">
        <v>20621</v>
      </c>
      <c r="D5990" s="2">
        <v>31</v>
      </c>
      <c r="E5990" s="2">
        <v>31</v>
      </c>
      <c r="F5990" s="2" t="s">
        <v>20622</v>
      </c>
      <c r="H5990" s="2" t="s">
        <v>17</v>
      </c>
      <c r="K5990" s="4" t="s">
        <v>20623</v>
      </c>
      <c r="L5990" s="4">
        <v>25256</v>
      </c>
      <c r="M5990" s="2" t="s">
        <v>170</v>
      </c>
      <c r="N5990" s="2" t="s">
        <v>171</v>
      </c>
    </row>
    <row r="5991" spans="1:14">
      <c r="A5991" s="2">
        <v>5990</v>
      </c>
      <c r="B5991" s="3" t="s">
        <v>20624</v>
      </c>
      <c r="C5991" s="2" t="s">
        <v>20625</v>
      </c>
      <c r="D5991" s="2">
        <v>30</v>
      </c>
      <c r="E5991" s="2">
        <v>31</v>
      </c>
      <c r="F5991" s="2" t="s">
        <v>20626</v>
      </c>
      <c r="H5991" s="2" t="s">
        <v>17</v>
      </c>
      <c r="K5991" s="4" t="s">
        <v>20627</v>
      </c>
      <c r="L5991" s="4">
        <v>12516</v>
      </c>
      <c r="M5991" s="2" t="s">
        <v>85</v>
      </c>
      <c r="N5991" s="2" t="s">
        <v>86</v>
      </c>
    </row>
    <row r="5992" spans="1:14">
      <c r="A5992" s="2">
        <v>5991</v>
      </c>
      <c r="B5992" s="3" t="s">
        <v>20628</v>
      </c>
      <c r="C5992" s="2" t="s">
        <v>20629</v>
      </c>
      <c r="D5992" s="2">
        <v>30</v>
      </c>
      <c r="E5992" s="2">
        <v>31</v>
      </c>
      <c r="F5992" s="2" t="s">
        <v>20630</v>
      </c>
      <c r="H5992" s="2" t="s">
        <v>17</v>
      </c>
      <c r="K5992" s="4" t="s">
        <v>20631</v>
      </c>
      <c r="L5992" s="4">
        <v>7669</v>
      </c>
      <c r="M5992" s="2" t="s">
        <v>66</v>
      </c>
      <c r="N5992" s="2" t="s">
        <v>3640</v>
      </c>
    </row>
    <row r="5993" spans="1:14">
      <c r="A5993" s="2">
        <v>5992</v>
      </c>
      <c r="B5993" s="3" t="s">
        <v>20632</v>
      </c>
      <c r="C5993" s="2" t="s">
        <v>20633</v>
      </c>
      <c r="D5993" s="2">
        <v>31</v>
      </c>
      <c r="E5993" s="2">
        <v>31</v>
      </c>
      <c r="F5993" s="2" t="s">
        <v>20634</v>
      </c>
      <c r="H5993" s="2" t="s">
        <v>17</v>
      </c>
      <c r="K5993" s="4" t="s">
        <v>20635</v>
      </c>
      <c r="L5993" s="4">
        <v>16374</v>
      </c>
      <c r="M5993" s="2" t="s">
        <v>154</v>
      </c>
      <c r="N5993" s="2" t="s">
        <v>11054</v>
      </c>
    </row>
    <row r="5994" spans="1:14">
      <c r="A5994" s="2">
        <v>5993</v>
      </c>
      <c r="B5994" s="3" t="s">
        <v>20636</v>
      </c>
      <c r="C5994" s="2" t="s">
        <v>20637</v>
      </c>
      <c r="D5994" s="2">
        <v>31</v>
      </c>
      <c r="E5994" s="2">
        <v>31</v>
      </c>
      <c r="F5994" s="2" t="s">
        <v>20638</v>
      </c>
      <c r="H5994" s="2" t="s">
        <v>17</v>
      </c>
      <c r="K5994" s="4" t="s">
        <v>20639</v>
      </c>
      <c r="L5994" s="4">
        <v>12100</v>
      </c>
      <c r="M5994" s="2" t="s">
        <v>170</v>
      </c>
    </row>
    <row r="5995" spans="1:14">
      <c r="A5995" s="2">
        <v>5994</v>
      </c>
      <c r="B5995" s="3" t="s">
        <v>20640</v>
      </c>
      <c r="C5995" s="2" t="s">
        <v>20641</v>
      </c>
      <c r="D5995" s="2">
        <v>31</v>
      </c>
      <c r="E5995" s="2">
        <v>31</v>
      </c>
      <c r="F5995" s="2" t="s">
        <v>20642</v>
      </c>
      <c r="H5995" s="2" t="s">
        <v>17</v>
      </c>
      <c r="L5995" s="4">
        <v>12159</v>
      </c>
    </row>
    <row r="5996" spans="1:14">
      <c r="A5996" s="2">
        <v>5995</v>
      </c>
      <c r="B5996" s="3" t="s">
        <v>20643</v>
      </c>
      <c r="C5996" s="2" t="s">
        <v>20644</v>
      </c>
      <c r="D5996" s="2">
        <v>22</v>
      </c>
      <c r="E5996" s="2">
        <v>31</v>
      </c>
      <c r="F5996" s="2" t="s">
        <v>20645</v>
      </c>
      <c r="H5996" s="2" t="s">
        <v>17</v>
      </c>
      <c r="K5996" s="4" t="s">
        <v>20646</v>
      </c>
      <c r="L5996" s="4">
        <v>9654</v>
      </c>
    </row>
    <row r="5997" spans="1:14">
      <c r="A5997" s="2">
        <v>5996</v>
      </c>
      <c r="B5997" s="3" t="s">
        <v>20647</v>
      </c>
      <c r="C5997" s="2" t="s">
        <v>20648</v>
      </c>
      <c r="D5997" s="2">
        <v>29</v>
      </c>
      <c r="E5997" s="2">
        <v>31</v>
      </c>
      <c r="F5997" s="2" t="s">
        <v>20649</v>
      </c>
      <c r="H5997" s="2" t="s">
        <v>17</v>
      </c>
      <c r="K5997" s="4" t="s">
        <v>20650</v>
      </c>
      <c r="M5997" s="2" t="s">
        <v>154</v>
      </c>
      <c r="N5997" s="2" t="s">
        <v>10100</v>
      </c>
    </row>
    <row r="5998" spans="1:14">
      <c r="A5998" s="2">
        <v>5997</v>
      </c>
      <c r="B5998" s="3" t="s">
        <v>20651</v>
      </c>
      <c r="C5998" s="2" t="s">
        <v>19490</v>
      </c>
      <c r="D5998" s="2">
        <v>29</v>
      </c>
      <c r="E5998" s="2">
        <v>31</v>
      </c>
      <c r="F5998" s="2" t="s">
        <v>20652</v>
      </c>
      <c r="H5998" s="2" t="s">
        <v>17</v>
      </c>
      <c r="K5998" s="4" t="s">
        <v>20653</v>
      </c>
      <c r="L5998" s="4">
        <v>10263</v>
      </c>
      <c r="M5998" s="2" t="s">
        <v>40</v>
      </c>
      <c r="N5998" s="2" t="s">
        <v>41</v>
      </c>
    </row>
    <row r="5999" spans="1:14">
      <c r="A5999" s="2">
        <v>5998</v>
      </c>
      <c r="B5999" s="3" t="s">
        <v>20654</v>
      </c>
      <c r="C5999" s="2" t="s">
        <v>20655</v>
      </c>
      <c r="D5999" s="2">
        <v>28</v>
      </c>
      <c r="E5999" s="2">
        <v>31</v>
      </c>
      <c r="F5999" s="2" t="s">
        <v>20656</v>
      </c>
      <c r="H5999" s="2" t="s">
        <v>17</v>
      </c>
      <c r="K5999" s="4" t="s">
        <v>20657</v>
      </c>
      <c r="L5999" s="4">
        <v>24486</v>
      </c>
      <c r="M5999" s="2" t="s">
        <v>53</v>
      </c>
      <c r="N5999" s="2" t="s">
        <v>54</v>
      </c>
    </row>
    <row r="6000" spans="1:14">
      <c r="A6000" s="2">
        <v>5999</v>
      </c>
      <c r="B6000" s="3" t="s">
        <v>20658</v>
      </c>
      <c r="C6000" s="2" t="s">
        <v>20659</v>
      </c>
      <c r="D6000" s="2">
        <v>31</v>
      </c>
      <c r="E6000" s="2">
        <v>31</v>
      </c>
      <c r="F6000" s="2" t="s">
        <v>20660</v>
      </c>
      <c r="H6000" s="2" t="s">
        <v>17</v>
      </c>
      <c r="K6000" s="4" t="s">
        <v>20661</v>
      </c>
      <c r="L6000" s="4">
        <v>8983</v>
      </c>
    </row>
    <row r="6001" spans="1:14">
      <c r="A6001" s="2">
        <v>6000</v>
      </c>
      <c r="B6001" s="3" t="s">
        <v>20662</v>
      </c>
      <c r="C6001" s="2" t="s">
        <v>20663</v>
      </c>
      <c r="D6001" s="2">
        <v>31</v>
      </c>
      <c r="E6001" s="2">
        <v>31</v>
      </c>
      <c r="F6001" s="2" t="s">
        <v>20664</v>
      </c>
      <c r="H6001" s="2" t="s">
        <v>17</v>
      </c>
      <c r="L6001" s="4">
        <v>18092</v>
      </c>
    </row>
    <row r="6002" spans="1:14">
      <c r="A6002" s="2">
        <v>6001</v>
      </c>
      <c r="B6002" s="3" t="s">
        <v>20665</v>
      </c>
      <c r="C6002" s="2" t="s">
        <v>20666</v>
      </c>
      <c r="D6002" s="2">
        <v>23</v>
      </c>
      <c r="E6002" s="2">
        <v>31</v>
      </c>
      <c r="F6002" s="2" t="s">
        <v>20667</v>
      </c>
      <c r="H6002" s="2" t="s">
        <v>17</v>
      </c>
      <c r="K6002" s="4" t="s">
        <v>20668</v>
      </c>
      <c r="L6002" s="4">
        <v>8642</v>
      </c>
      <c r="M6002" s="2" t="s">
        <v>35</v>
      </c>
      <c r="N6002" s="2" t="s">
        <v>18752</v>
      </c>
    </row>
    <row r="6003" spans="1:14">
      <c r="A6003" s="2">
        <v>6002</v>
      </c>
      <c r="B6003" s="3" t="s">
        <v>20669</v>
      </c>
      <c r="C6003" s="2" t="s">
        <v>20670</v>
      </c>
      <c r="D6003" s="2">
        <v>25</v>
      </c>
      <c r="E6003" s="2">
        <v>31</v>
      </c>
      <c r="F6003" s="2" t="s">
        <v>20671</v>
      </c>
      <c r="H6003" s="2" t="s">
        <v>17</v>
      </c>
      <c r="K6003" s="4" t="s">
        <v>20672</v>
      </c>
      <c r="L6003" s="4">
        <v>7106</v>
      </c>
      <c r="M6003" s="2" t="s">
        <v>35</v>
      </c>
      <c r="N6003" s="2" t="s">
        <v>14340</v>
      </c>
    </row>
    <row r="6004" spans="1:14">
      <c r="A6004" s="2">
        <v>6003</v>
      </c>
      <c r="B6004" s="3" t="s">
        <v>20673</v>
      </c>
      <c r="C6004" s="2" t="s">
        <v>20674</v>
      </c>
      <c r="D6004" s="2">
        <v>30</v>
      </c>
      <c r="E6004" s="2">
        <v>31</v>
      </c>
      <c r="F6004" s="2" t="s">
        <v>20675</v>
      </c>
      <c r="H6004" s="2" t="s">
        <v>17</v>
      </c>
    </row>
    <row r="6005" spans="1:14">
      <c r="A6005" s="2">
        <v>6004</v>
      </c>
      <c r="B6005" s="3" t="s">
        <v>20676</v>
      </c>
      <c r="C6005" s="2" t="s">
        <v>20677</v>
      </c>
      <c r="D6005" s="2">
        <v>29</v>
      </c>
      <c r="E6005" s="2">
        <v>31</v>
      </c>
      <c r="F6005" s="2" t="s">
        <v>20678</v>
      </c>
      <c r="H6005" s="2" t="s">
        <v>17</v>
      </c>
      <c r="K6005" s="4" t="s">
        <v>20679</v>
      </c>
      <c r="L6005" s="4">
        <v>15512</v>
      </c>
    </row>
    <row r="6006" spans="1:14">
      <c r="A6006" s="2">
        <v>6005</v>
      </c>
      <c r="B6006" s="3" t="s">
        <v>20680</v>
      </c>
      <c r="C6006" s="2" t="s">
        <v>20681</v>
      </c>
      <c r="D6006" s="2">
        <v>30</v>
      </c>
      <c r="E6006" s="2">
        <v>31</v>
      </c>
      <c r="F6006" s="2" t="s">
        <v>20682</v>
      </c>
      <c r="H6006" s="2" t="s">
        <v>17</v>
      </c>
      <c r="L6006" s="4">
        <v>9591</v>
      </c>
    </row>
    <row r="6007" spans="1:14">
      <c r="A6007" s="2">
        <v>6006</v>
      </c>
      <c r="B6007" s="3" t="s">
        <v>20683</v>
      </c>
      <c r="C6007" s="2" t="s">
        <v>20684</v>
      </c>
      <c r="D6007" s="2">
        <v>31</v>
      </c>
      <c r="E6007" s="2">
        <v>31</v>
      </c>
      <c r="F6007" s="2" t="s">
        <v>20685</v>
      </c>
      <c r="H6007" s="2" t="s">
        <v>17</v>
      </c>
      <c r="K6007" s="4" t="s">
        <v>20686</v>
      </c>
      <c r="L6007" s="4">
        <v>18810</v>
      </c>
      <c r="M6007" s="2" t="s">
        <v>164</v>
      </c>
      <c r="N6007" s="2" t="s">
        <v>165</v>
      </c>
    </row>
    <row r="6008" spans="1:14">
      <c r="A6008" s="2">
        <v>6007</v>
      </c>
      <c r="B6008" s="3" t="s">
        <v>20687</v>
      </c>
      <c r="C6008" s="2" t="s">
        <v>20688</v>
      </c>
      <c r="D6008" s="2">
        <v>26</v>
      </c>
      <c r="E6008" s="2">
        <v>31</v>
      </c>
      <c r="F6008" s="2" t="s">
        <v>20689</v>
      </c>
      <c r="H6008" s="2" t="s">
        <v>17</v>
      </c>
      <c r="K6008" s="4" t="s">
        <v>20476</v>
      </c>
      <c r="L6008" s="4">
        <v>7917</v>
      </c>
      <c r="M6008" s="2" t="s">
        <v>170</v>
      </c>
    </row>
    <row r="6009" spans="1:14">
      <c r="A6009" s="2">
        <v>6008</v>
      </c>
      <c r="B6009" s="3" t="s">
        <v>20690</v>
      </c>
      <c r="C6009" s="2" t="s">
        <v>20691</v>
      </c>
      <c r="D6009" s="2">
        <v>23</v>
      </c>
      <c r="E6009" s="2">
        <v>31</v>
      </c>
      <c r="F6009" s="2" t="s">
        <v>20692</v>
      </c>
      <c r="H6009" s="2" t="s">
        <v>17</v>
      </c>
      <c r="K6009" s="4" t="s">
        <v>20693</v>
      </c>
    </row>
    <row r="6010" spans="1:14">
      <c r="A6010" s="2">
        <v>6009</v>
      </c>
      <c r="B6010" s="3" t="s">
        <v>20694</v>
      </c>
      <c r="C6010" s="2" t="s">
        <v>20695</v>
      </c>
      <c r="D6010" s="2">
        <v>31</v>
      </c>
      <c r="E6010" s="2">
        <v>31</v>
      </c>
      <c r="F6010" s="2" t="s">
        <v>20696</v>
      </c>
      <c r="H6010" s="2" t="s">
        <v>17</v>
      </c>
      <c r="K6010" s="4" t="s">
        <v>20697</v>
      </c>
      <c r="L6010" s="4">
        <v>23700</v>
      </c>
      <c r="M6010" s="2" t="s">
        <v>53</v>
      </c>
      <c r="N6010" s="2" t="s">
        <v>54</v>
      </c>
    </row>
    <row r="6011" spans="1:14">
      <c r="A6011" s="2">
        <v>6010</v>
      </c>
      <c r="B6011" s="3" t="s">
        <v>20698</v>
      </c>
      <c r="C6011" s="2" t="s">
        <v>20699</v>
      </c>
      <c r="D6011" s="2">
        <v>31</v>
      </c>
      <c r="E6011" s="2">
        <v>31</v>
      </c>
      <c r="F6011" s="2" t="s">
        <v>20700</v>
      </c>
      <c r="H6011" s="2" t="s">
        <v>17</v>
      </c>
      <c r="L6011" s="4">
        <v>11526</v>
      </c>
    </row>
    <row r="6012" spans="1:14">
      <c r="A6012" s="2">
        <v>6011</v>
      </c>
      <c r="B6012" s="3" t="s">
        <v>20701</v>
      </c>
      <c r="C6012" s="2" t="s">
        <v>20702</v>
      </c>
      <c r="D6012" s="2">
        <v>31</v>
      </c>
      <c r="E6012" s="2">
        <v>31</v>
      </c>
      <c r="F6012" s="2" t="s">
        <v>20703</v>
      </c>
      <c r="H6012" s="2" t="s">
        <v>17</v>
      </c>
      <c r="L6012" s="4">
        <v>17288</v>
      </c>
    </row>
    <row r="6013" spans="1:14">
      <c r="A6013" s="2">
        <v>6012</v>
      </c>
      <c r="B6013" s="3" t="s">
        <v>20704</v>
      </c>
      <c r="C6013" s="2" t="s">
        <v>20705</v>
      </c>
      <c r="D6013" s="2">
        <v>30</v>
      </c>
      <c r="E6013" s="2">
        <v>30</v>
      </c>
      <c r="F6013" s="2" t="s">
        <v>20706</v>
      </c>
      <c r="H6013" s="2" t="s">
        <v>17</v>
      </c>
      <c r="K6013" s="4" t="s">
        <v>20707</v>
      </c>
      <c r="L6013" s="4">
        <v>7112</v>
      </c>
      <c r="M6013" s="2" t="s">
        <v>198</v>
      </c>
    </row>
    <row r="6014" spans="1:14">
      <c r="A6014" s="2">
        <v>6013</v>
      </c>
      <c r="B6014" s="3" t="s">
        <v>20708</v>
      </c>
      <c r="C6014" s="2" t="s">
        <v>20709</v>
      </c>
      <c r="D6014" s="2">
        <v>30</v>
      </c>
      <c r="E6014" s="2">
        <v>30</v>
      </c>
      <c r="F6014" s="2" t="s">
        <v>20710</v>
      </c>
      <c r="H6014" s="2" t="s">
        <v>17</v>
      </c>
      <c r="K6014" s="4" t="s">
        <v>20711</v>
      </c>
      <c r="L6014" s="4">
        <v>10552</v>
      </c>
      <c r="M6014" s="2" t="s">
        <v>91</v>
      </c>
    </row>
    <row r="6015" spans="1:14">
      <c r="A6015" s="2">
        <v>6014</v>
      </c>
      <c r="B6015" s="3" t="s">
        <v>20712</v>
      </c>
      <c r="C6015" s="2" t="s">
        <v>20713</v>
      </c>
      <c r="D6015" s="2">
        <v>30</v>
      </c>
      <c r="E6015" s="2">
        <v>30</v>
      </c>
      <c r="F6015" s="2" t="s">
        <v>20714</v>
      </c>
      <c r="H6015" s="2" t="s">
        <v>17</v>
      </c>
      <c r="K6015" s="4" t="s">
        <v>20715</v>
      </c>
      <c r="L6015" s="4">
        <v>12461</v>
      </c>
      <c r="M6015" s="2" t="s">
        <v>154</v>
      </c>
      <c r="N6015" s="2" t="s">
        <v>4862</v>
      </c>
    </row>
    <row r="6016" spans="1:14">
      <c r="A6016" s="2">
        <v>6015</v>
      </c>
      <c r="B6016" s="3" t="s">
        <v>20716</v>
      </c>
      <c r="C6016" s="2" t="s">
        <v>20717</v>
      </c>
      <c r="D6016" s="2">
        <v>30</v>
      </c>
      <c r="E6016" s="2">
        <v>30</v>
      </c>
      <c r="F6016" s="2" t="s">
        <v>20718</v>
      </c>
      <c r="H6016" s="2" t="s">
        <v>17</v>
      </c>
      <c r="K6016" s="4" t="s">
        <v>20719</v>
      </c>
      <c r="L6016" s="4">
        <v>9683</v>
      </c>
      <c r="M6016" s="2" t="s">
        <v>170</v>
      </c>
      <c r="N6016" s="2" t="s">
        <v>20216</v>
      </c>
    </row>
    <row r="6017" spans="1:14">
      <c r="A6017" s="2">
        <v>6016</v>
      </c>
      <c r="B6017" s="3" t="s">
        <v>20720</v>
      </c>
      <c r="C6017" s="2" t="s">
        <v>20721</v>
      </c>
      <c r="D6017" s="2">
        <v>19</v>
      </c>
      <c r="E6017" s="2">
        <v>30</v>
      </c>
      <c r="F6017" s="2" t="s">
        <v>20722</v>
      </c>
      <c r="H6017" s="2" t="s">
        <v>17</v>
      </c>
      <c r="K6017" s="4" t="s">
        <v>20723</v>
      </c>
      <c r="L6017" s="4">
        <v>6560</v>
      </c>
      <c r="M6017" s="2" t="s">
        <v>35</v>
      </c>
      <c r="N6017" s="2" t="s">
        <v>3929</v>
      </c>
    </row>
    <row r="6018" spans="1:14">
      <c r="A6018" s="2">
        <v>6017</v>
      </c>
      <c r="B6018" s="3" t="s">
        <v>20724</v>
      </c>
      <c r="C6018" s="2" t="s">
        <v>20725</v>
      </c>
      <c r="D6018" s="2">
        <v>29</v>
      </c>
      <c r="E6018" s="2">
        <v>30</v>
      </c>
      <c r="F6018" s="2" t="s">
        <v>20726</v>
      </c>
      <c r="H6018" s="2" t="s">
        <v>17</v>
      </c>
      <c r="K6018" s="4" t="s">
        <v>20727</v>
      </c>
      <c r="L6018" s="4">
        <v>11328</v>
      </c>
      <c r="M6018" s="2" t="s">
        <v>40</v>
      </c>
      <c r="N6018" s="2" t="s">
        <v>41</v>
      </c>
    </row>
    <row r="6019" spans="1:14">
      <c r="A6019" s="2">
        <v>6018</v>
      </c>
      <c r="B6019" s="3" t="s">
        <v>20728</v>
      </c>
      <c r="C6019" s="2" t="s">
        <v>20729</v>
      </c>
      <c r="D6019" s="2">
        <v>30</v>
      </c>
      <c r="E6019" s="2">
        <v>30</v>
      </c>
      <c r="F6019" s="2" t="s">
        <v>20730</v>
      </c>
      <c r="H6019" s="2" t="s">
        <v>17</v>
      </c>
      <c r="K6019" s="4" t="s">
        <v>20731</v>
      </c>
      <c r="M6019" s="2" t="s">
        <v>91</v>
      </c>
      <c r="N6019" s="2" t="s">
        <v>14272</v>
      </c>
    </row>
    <row r="6020" spans="1:14">
      <c r="A6020" s="2">
        <v>6019</v>
      </c>
      <c r="B6020" s="3" t="s">
        <v>20732</v>
      </c>
      <c r="C6020" s="2" t="s">
        <v>20733</v>
      </c>
      <c r="D6020" s="2">
        <v>22</v>
      </c>
      <c r="E6020" s="2">
        <v>30</v>
      </c>
      <c r="F6020" s="2" t="s">
        <v>20734</v>
      </c>
      <c r="H6020" s="2" t="s">
        <v>17</v>
      </c>
      <c r="K6020" s="4" t="s">
        <v>20735</v>
      </c>
      <c r="L6020" s="4">
        <v>6582</v>
      </c>
      <c r="M6020" s="2" t="s">
        <v>40</v>
      </c>
      <c r="N6020" s="2" t="s">
        <v>41</v>
      </c>
    </row>
    <row r="6021" spans="1:14">
      <c r="A6021" s="2">
        <v>6020</v>
      </c>
      <c r="B6021" s="3" t="s">
        <v>20736</v>
      </c>
      <c r="C6021" s="2" t="s">
        <v>20737</v>
      </c>
      <c r="D6021" s="2">
        <v>29</v>
      </c>
      <c r="E6021" s="2">
        <v>30</v>
      </c>
      <c r="F6021" s="2" t="s">
        <v>20738</v>
      </c>
      <c r="H6021" s="2" t="s">
        <v>17</v>
      </c>
      <c r="L6021" s="4">
        <v>5845</v>
      </c>
    </row>
    <row r="6022" spans="1:14">
      <c r="A6022" s="2">
        <v>6021</v>
      </c>
      <c r="B6022" s="3" t="s">
        <v>20739</v>
      </c>
      <c r="C6022" s="2" t="s">
        <v>20740</v>
      </c>
      <c r="D6022" s="2">
        <v>30</v>
      </c>
      <c r="E6022" s="2">
        <v>30</v>
      </c>
      <c r="F6022" s="2" t="s">
        <v>20741</v>
      </c>
      <c r="H6022" s="2" t="s">
        <v>17</v>
      </c>
    </row>
    <row r="6023" spans="1:14">
      <c r="A6023" s="2">
        <v>6022</v>
      </c>
      <c r="B6023" s="3" t="s">
        <v>20742</v>
      </c>
      <c r="C6023" s="2" t="s">
        <v>20743</v>
      </c>
      <c r="D6023" s="2">
        <v>23</v>
      </c>
      <c r="E6023" s="2">
        <v>30</v>
      </c>
      <c r="F6023" s="2" t="s">
        <v>20744</v>
      </c>
      <c r="H6023" s="2" t="s">
        <v>17</v>
      </c>
      <c r="K6023" s="4" t="s">
        <v>20745</v>
      </c>
      <c r="L6023" s="4">
        <v>15144</v>
      </c>
      <c r="M6023" s="2" t="s">
        <v>47</v>
      </c>
    </row>
    <row r="6024" spans="1:14">
      <c r="A6024" s="2">
        <v>6023</v>
      </c>
      <c r="B6024" s="3" t="s">
        <v>20746</v>
      </c>
      <c r="C6024" s="2" t="s">
        <v>20747</v>
      </c>
      <c r="D6024" s="2">
        <v>30</v>
      </c>
      <c r="E6024" s="2">
        <v>30</v>
      </c>
      <c r="F6024" s="2" t="s">
        <v>20748</v>
      </c>
      <c r="H6024" s="2" t="s">
        <v>17</v>
      </c>
      <c r="L6024" s="4">
        <v>14760</v>
      </c>
      <c r="M6024" s="2" t="s">
        <v>198</v>
      </c>
      <c r="N6024" s="2" t="s">
        <v>199</v>
      </c>
    </row>
    <row r="6025" spans="1:14">
      <c r="A6025" s="2">
        <v>6024</v>
      </c>
      <c r="B6025" s="3" t="s">
        <v>20749</v>
      </c>
      <c r="C6025" s="2" t="s">
        <v>20750</v>
      </c>
      <c r="D6025" s="2">
        <v>25</v>
      </c>
      <c r="E6025" s="2">
        <v>30</v>
      </c>
      <c r="F6025" s="2" t="s">
        <v>20751</v>
      </c>
      <c r="H6025" s="2" t="s">
        <v>17</v>
      </c>
      <c r="K6025" s="4" t="s">
        <v>20752</v>
      </c>
    </row>
    <row r="6026" spans="1:14">
      <c r="A6026" s="2">
        <v>6025</v>
      </c>
      <c r="B6026" s="3" t="s">
        <v>20753</v>
      </c>
      <c r="C6026" s="2" t="s">
        <v>20754</v>
      </c>
      <c r="D6026" s="2">
        <v>28</v>
      </c>
      <c r="E6026" s="2">
        <v>30</v>
      </c>
      <c r="F6026" s="2" t="s">
        <v>20755</v>
      </c>
      <c r="H6026" s="2" t="s">
        <v>17</v>
      </c>
      <c r="K6026" s="4" t="s">
        <v>20756</v>
      </c>
      <c r="L6026" s="4">
        <v>15416</v>
      </c>
      <c r="M6026" s="2" t="s">
        <v>47</v>
      </c>
      <c r="N6026" s="2" t="s">
        <v>20757</v>
      </c>
    </row>
    <row r="6027" spans="1:14">
      <c r="A6027" s="2">
        <v>6026</v>
      </c>
      <c r="B6027" s="3" t="s">
        <v>20758</v>
      </c>
      <c r="C6027" s="2" t="s">
        <v>20759</v>
      </c>
      <c r="D6027" s="2">
        <v>29</v>
      </c>
      <c r="E6027" s="2">
        <v>30</v>
      </c>
      <c r="F6027" s="2" t="s">
        <v>20760</v>
      </c>
      <c r="H6027" s="2" t="s">
        <v>17</v>
      </c>
    </row>
    <row r="6028" spans="1:14">
      <c r="A6028" s="2">
        <v>6027</v>
      </c>
      <c r="B6028" s="3" t="s">
        <v>20761</v>
      </c>
      <c r="C6028" s="2" t="s">
        <v>20762</v>
      </c>
      <c r="D6028" s="2">
        <v>26</v>
      </c>
      <c r="E6028" s="2">
        <v>30</v>
      </c>
      <c r="F6028" s="2" t="s">
        <v>20763</v>
      </c>
      <c r="H6028" s="2" t="s">
        <v>17</v>
      </c>
      <c r="K6028" s="4" t="s">
        <v>20764</v>
      </c>
      <c r="L6028" s="4">
        <v>6451</v>
      </c>
      <c r="M6028" s="2" t="s">
        <v>35</v>
      </c>
      <c r="N6028" s="2" t="s">
        <v>5201</v>
      </c>
    </row>
    <row r="6029" spans="1:14">
      <c r="A6029" s="2">
        <v>6028</v>
      </c>
      <c r="B6029" s="3" t="s">
        <v>20765</v>
      </c>
      <c r="C6029" s="2" t="s">
        <v>20766</v>
      </c>
      <c r="D6029" s="2">
        <v>28</v>
      </c>
      <c r="E6029" s="2">
        <v>30</v>
      </c>
      <c r="F6029" s="2" t="s">
        <v>20767</v>
      </c>
      <c r="H6029" s="2" t="s">
        <v>17</v>
      </c>
      <c r="K6029" s="4" t="s">
        <v>20768</v>
      </c>
      <c r="L6029" s="4">
        <v>12751</v>
      </c>
      <c r="M6029" s="2" t="s">
        <v>185</v>
      </c>
      <c r="N6029" s="2" t="s">
        <v>186</v>
      </c>
    </row>
    <row r="6030" spans="1:14">
      <c r="A6030" s="2">
        <v>6029</v>
      </c>
      <c r="B6030" s="3" t="s">
        <v>20769</v>
      </c>
      <c r="C6030" s="2" t="s">
        <v>20770</v>
      </c>
      <c r="D6030" s="2">
        <v>22</v>
      </c>
      <c r="E6030" s="2">
        <v>30</v>
      </c>
      <c r="F6030" s="2" t="s">
        <v>20771</v>
      </c>
      <c r="H6030" s="2" t="s">
        <v>17</v>
      </c>
      <c r="K6030" s="4" t="s">
        <v>20772</v>
      </c>
      <c r="L6030" s="4">
        <v>7037</v>
      </c>
    </row>
    <row r="6031" spans="1:14">
      <c r="A6031" s="2">
        <v>6030</v>
      </c>
      <c r="B6031" s="3" t="s">
        <v>20773</v>
      </c>
      <c r="C6031" s="2" t="s">
        <v>20774</v>
      </c>
      <c r="D6031" s="2">
        <v>30</v>
      </c>
      <c r="E6031" s="2">
        <v>30</v>
      </c>
      <c r="F6031" s="2" t="s">
        <v>20775</v>
      </c>
      <c r="H6031" s="2" t="s">
        <v>17</v>
      </c>
      <c r="L6031" s="4">
        <v>14221</v>
      </c>
    </row>
    <row r="6032" spans="1:14">
      <c r="A6032" s="2">
        <v>6031</v>
      </c>
      <c r="B6032" s="3" t="s">
        <v>20776</v>
      </c>
      <c r="C6032" s="2" t="s">
        <v>20777</v>
      </c>
      <c r="D6032" s="2">
        <v>30</v>
      </c>
      <c r="E6032" s="2">
        <v>30</v>
      </c>
      <c r="F6032" s="2" t="s">
        <v>20778</v>
      </c>
      <c r="H6032" s="2" t="s">
        <v>17</v>
      </c>
    </row>
    <row r="6033" spans="1:14">
      <c r="A6033" s="2">
        <v>6032</v>
      </c>
      <c r="B6033" s="3" t="s">
        <v>20779</v>
      </c>
      <c r="C6033" s="2" t="s">
        <v>20780</v>
      </c>
      <c r="D6033" s="2">
        <v>26</v>
      </c>
      <c r="E6033" s="2">
        <v>30</v>
      </c>
      <c r="F6033" s="2" t="s">
        <v>20781</v>
      </c>
      <c r="H6033" s="2" t="s">
        <v>17</v>
      </c>
      <c r="K6033" s="4" t="s">
        <v>20782</v>
      </c>
      <c r="L6033" s="4">
        <v>15046</v>
      </c>
      <c r="M6033" s="2" t="s">
        <v>185</v>
      </c>
      <c r="N6033" s="2" t="s">
        <v>838</v>
      </c>
    </row>
    <row r="6034" spans="1:14">
      <c r="A6034" s="2">
        <v>6033</v>
      </c>
      <c r="B6034" s="3" t="s">
        <v>20783</v>
      </c>
      <c r="C6034" s="2" t="s">
        <v>20784</v>
      </c>
      <c r="D6034" s="2">
        <v>26</v>
      </c>
      <c r="E6034" s="2">
        <v>30</v>
      </c>
      <c r="F6034" s="2" t="s">
        <v>20785</v>
      </c>
      <c r="H6034" s="2" t="s">
        <v>17</v>
      </c>
      <c r="K6034" s="4" t="s">
        <v>20786</v>
      </c>
      <c r="M6034" s="2" t="s">
        <v>85</v>
      </c>
      <c r="N6034" s="2" t="s">
        <v>86</v>
      </c>
    </row>
    <row r="6035" spans="1:14">
      <c r="A6035" s="2">
        <v>6034</v>
      </c>
      <c r="B6035" s="3" t="s">
        <v>20787</v>
      </c>
      <c r="C6035" s="2" t="s">
        <v>20788</v>
      </c>
      <c r="D6035" s="2">
        <v>24</v>
      </c>
      <c r="E6035" s="2">
        <v>30</v>
      </c>
      <c r="F6035" s="2" t="s">
        <v>20789</v>
      </c>
      <c r="H6035" s="2" t="s">
        <v>17</v>
      </c>
      <c r="L6035" s="4">
        <v>13439</v>
      </c>
      <c r="M6035" s="2" t="s">
        <v>140</v>
      </c>
      <c r="N6035" s="2" t="s">
        <v>294</v>
      </c>
    </row>
    <row r="6036" spans="1:14">
      <c r="A6036" s="2">
        <v>6035</v>
      </c>
      <c r="B6036" s="3" t="s">
        <v>20790</v>
      </c>
      <c r="C6036" s="2" t="s">
        <v>20791</v>
      </c>
      <c r="D6036" s="2">
        <v>27</v>
      </c>
      <c r="E6036" s="2">
        <v>30</v>
      </c>
      <c r="F6036" s="2" t="s">
        <v>20792</v>
      </c>
      <c r="H6036" s="2" t="s">
        <v>17</v>
      </c>
      <c r="K6036" s="4" t="s">
        <v>20793</v>
      </c>
      <c r="L6036" s="4">
        <v>6660</v>
      </c>
      <c r="M6036" s="2" t="s">
        <v>35</v>
      </c>
      <c r="N6036" s="2" t="s">
        <v>372</v>
      </c>
    </row>
    <row r="6037" spans="1:14">
      <c r="A6037" s="2">
        <v>6036</v>
      </c>
      <c r="B6037" s="3" t="s">
        <v>20794</v>
      </c>
      <c r="C6037" s="2" t="s">
        <v>20795</v>
      </c>
      <c r="D6037" s="2">
        <v>29</v>
      </c>
      <c r="E6037" s="2">
        <v>30</v>
      </c>
      <c r="F6037" s="2" t="s">
        <v>20796</v>
      </c>
      <c r="H6037" s="2" t="s">
        <v>17</v>
      </c>
      <c r="K6037" s="4" t="s">
        <v>20797</v>
      </c>
      <c r="L6037" s="4">
        <v>11473</v>
      </c>
      <c r="M6037" s="2" t="s">
        <v>198</v>
      </c>
      <c r="N6037" s="2" t="s">
        <v>12284</v>
      </c>
    </row>
    <row r="6038" spans="1:14">
      <c r="A6038" s="2">
        <v>6037</v>
      </c>
      <c r="B6038" s="3" t="s">
        <v>20798</v>
      </c>
      <c r="C6038" s="2" t="s">
        <v>20799</v>
      </c>
      <c r="D6038" s="2">
        <v>30</v>
      </c>
      <c r="E6038" s="2">
        <v>30</v>
      </c>
      <c r="F6038" s="2" t="s">
        <v>20800</v>
      </c>
      <c r="H6038" s="2" t="s">
        <v>17</v>
      </c>
      <c r="K6038" s="4" t="s">
        <v>20801</v>
      </c>
      <c r="L6038" s="4">
        <v>6771</v>
      </c>
      <c r="M6038" s="2" t="s">
        <v>91</v>
      </c>
      <c r="N6038" s="2" t="s">
        <v>20802</v>
      </c>
    </row>
    <row r="6039" spans="1:14">
      <c r="A6039" s="2">
        <v>6038</v>
      </c>
      <c r="B6039" s="3" t="s">
        <v>20803</v>
      </c>
      <c r="C6039" s="2" t="s">
        <v>20804</v>
      </c>
      <c r="D6039" s="2">
        <v>26</v>
      </c>
      <c r="E6039" s="2">
        <v>30</v>
      </c>
      <c r="F6039" s="2" t="s">
        <v>20805</v>
      </c>
      <c r="H6039" s="2" t="s">
        <v>17</v>
      </c>
      <c r="K6039" s="4" t="s">
        <v>20806</v>
      </c>
    </row>
    <row r="6040" spans="1:14">
      <c r="A6040" s="2">
        <v>6039</v>
      </c>
      <c r="B6040" s="3" t="s">
        <v>20807</v>
      </c>
      <c r="C6040" s="2" t="s">
        <v>20808</v>
      </c>
      <c r="D6040" s="2">
        <v>30</v>
      </c>
      <c r="E6040" s="2">
        <v>30</v>
      </c>
      <c r="F6040" s="2" t="s">
        <v>20809</v>
      </c>
      <c r="H6040" s="2" t="s">
        <v>17</v>
      </c>
      <c r="K6040" s="4" t="s">
        <v>20810</v>
      </c>
      <c r="L6040" s="4">
        <v>13549</v>
      </c>
      <c r="M6040" s="2" t="s">
        <v>198</v>
      </c>
      <c r="N6040" s="2" t="s">
        <v>20811</v>
      </c>
    </row>
    <row r="6041" spans="1:14">
      <c r="A6041" s="2">
        <v>6040</v>
      </c>
      <c r="B6041" s="3" t="s">
        <v>20812</v>
      </c>
      <c r="C6041" s="2" t="s">
        <v>20813</v>
      </c>
      <c r="D6041" s="2">
        <v>22</v>
      </c>
      <c r="E6041" s="2">
        <v>30</v>
      </c>
      <c r="F6041" s="2" t="s">
        <v>20814</v>
      </c>
      <c r="H6041" s="2" t="s">
        <v>17</v>
      </c>
      <c r="K6041" s="4" t="s">
        <v>20815</v>
      </c>
      <c r="L6041" s="4">
        <v>5972</v>
      </c>
      <c r="M6041" s="2" t="s">
        <v>91</v>
      </c>
      <c r="N6041" s="2" t="s">
        <v>4886</v>
      </c>
    </row>
    <row r="6042" spans="1:14">
      <c r="A6042" s="2">
        <v>6041</v>
      </c>
      <c r="B6042" s="3" t="s">
        <v>20816</v>
      </c>
      <c r="C6042" s="2" t="s">
        <v>20817</v>
      </c>
      <c r="D6042" s="2">
        <v>30</v>
      </c>
      <c r="E6042" s="2">
        <v>30</v>
      </c>
      <c r="F6042" s="2" t="s">
        <v>20818</v>
      </c>
      <c r="H6042" s="2" t="s">
        <v>17</v>
      </c>
    </row>
    <row r="6043" spans="1:14">
      <c r="A6043" s="2">
        <v>6042</v>
      </c>
      <c r="B6043" s="3" t="s">
        <v>20819</v>
      </c>
      <c r="C6043" s="2" t="s">
        <v>20820</v>
      </c>
      <c r="D6043" s="2">
        <v>29</v>
      </c>
      <c r="E6043" s="2">
        <v>30</v>
      </c>
      <c r="F6043" s="2" t="s">
        <v>20821</v>
      </c>
      <c r="H6043" s="2" t="s">
        <v>17</v>
      </c>
    </row>
    <row r="6044" spans="1:14">
      <c r="A6044" s="2">
        <v>6043</v>
      </c>
      <c r="B6044" s="3" t="s">
        <v>20822</v>
      </c>
      <c r="C6044" s="2" t="s">
        <v>20823</v>
      </c>
      <c r="D6044" s="2">
        <v>29</v>
      </c>
      <c r="E6044" s="2">
        <v>30</v>
      </c>
      <c r="F6044" s="2" t="s">
        <v>20824</v>
      </c>
      <c r="H6044" s="2" t="s">
        <v>17</v>
      </c>
      <c r="K6044" s="4" t="s">
        <v>20825</v>
      </c>
      <c r="L6044" s="4">
        <v>19969</v>
      </c>
      <c r="M6044" s="2" t="s">
        <v>47</v>
      </c>
      <c r="N6044" s="2" t="s">
        <v>180</v>
      </c>
    </row>
    <row r="6045" spans="1:14">
      <c r="A6045" s="2">
        <v>6044</v>
      </c>
      <c r="B6045" s="3" t="s">
        <v>20826</v>
      </c>
      <c r="C6045" s="2" t="s">
        <v>20827</v>
      </c>
      <c r="D6045" s="2">
        <v>29</v>
      </c>
      <c r="E6045" s="2">
        <v>30</v>
      </c>
      <c r="F6045" s="2" t="s">
        <v>20828</v>
      </c>
      <c r="H6045" s="2" t="s">
        <v>17</v>
      </c>
      <c r="K6045" s="4" t="s">
        <v>20829</v>
      </c>
      <c r="L6045" s="4">
        <v>16493</v>
      </c>
    </row>
    <row r="6046" spans="1:14">
      <c r="A6046" s="2">
        <v>6045</v>
      </c>
      <c r="B6046" s="3" t="s">
        <v>20830</v>
      </c>
      <c r="C6046" s="2" t="s">
        <v>20831</v>
      </c>
      <c r="D6046" s="2">
        <v>30</v>
      </c>
      <c r="E6046" s="2">
        <v>30</v>
      </c>
      <c r="F6046" s="2" t="s">
        <v>20832</v>
      </c>
      <c r="H6046" s="2" t="s">
        <v>17</v>
      </c>
      <c r="K6046" s="4" t="s">
        <v>20833</v>
      </c>
      <c r="L6046" s="4">
        <v>13920</v>
      </c>
      <c r="M6046" s="2" t="s">
        <v>35</v>
      </c>
      <c r="N6046" s="2" t="s">
        <v>14848</v>
      </c>
    </row>
    <row r="6047" spans="1:14">
      <c r="A6047" s="2">
        <v>6046</v>
      </c>
      <c r="B6047" s="3" t="s">
        <v>20834</v>
      </c>
      <c r="C6047" s="2" t="s">
        <v>20835</v>
      </c>
      <c r="D6047" s="2">
        <v>30</v>
      </c>
      <c r="E6047" s="2">
        <v>30</v>
      </c>
      <c r="F6047" s="2" t="s">
        <v>20836</v>
      </c>
      <c r="H6047" s="2" t="s">
        <v>17</v>
      </c>
      <c r="K6047" s="4" t="s">
        <v>20837</v>
      </c>
      <c r="L6047" s="4">
        <v>21887</v>
      </c>
      <c r="M6047" s="2" t="s">
        <v>85</v>
      </c>
      <c r="N6047" s="2" t="s">
        <v>86</v>
      </c>
    </row>
    <row r="6048" spans="1:14">
      <c r="A6048" s="2">
        <v>6047</v>
      </c>
      <c r="B6048" s="3" t="s">
        <v>20838</v>
      </c>
      <c r="C6048" s="2" t="s">
        <v>20839</v>
      </c>
      <c r="D6048" s="2">
        <v>27</v>
      </c>
      <c r="E6048" s="2">
        <v>30</v>
      </c>
      <c r="F6048" s="2" t="s">
        <v>20840</v>
      </c>
      <c r="H6048" s="2" t="s">
        <v>17</v>
      </c>
      <c r="K6048" s="4" t="s">
        <v>20841</v>
      </c>
      <c r="L6048" s="4">
        <v>10424</v>
      </c>
      <c r="M6048" s="2" t="s">
        <v>423</v>
      </c>
      <c r="N6048" s="2" t="s">
        <v>6168</v>
      </c>
    </row>
    <row r="6049" spans="1:14">
      <c r="A6049" s="2">
        <v>6048</v>
      </c>
      <c r="B6049" s="3" t="s">
        <v>20842</v>
      </c>
      <c r="C6049" s="2" t="s">
        <v>20843</v>
      </c>
      <c r="D6049" s="2">
        <v>23</v>
      </c>
      <c r="E6049" s="2">
        <v>30</v>
      </c>
      <c r="F6049" s="2" t="s">
        <v>20844</v>
      </c>
      <c r="H6049" s="2" t="s">
        <v>17</v>
      </c>
      <c r="K6049" s="4" t="s">
        <v>20845</v>
      </c>
      <c r="L6049" s="4">
        <v>9471</v>
      </c>
      <c r="M6049" s="2" t="s">
        <v>53</v>
      </c>
    </row>
    <row r="6050" spans="1:14">
      <c r="A6050" s="2">
        <v>6049</v>
      </c>
      <c r="B6050" s="3" t="s">
        <v>20846</v>
      </c>
      <c r="C6050" s="2" t="s">
        <v>20847</v>
      </c>
      <c r="D6050" s="2">
        <v>25</v>
      </c>
      <c r="E6050" s="2">
        <v>30</v>
      </c>
      <c r="F6050" s="2" t="s">
        <v>20848</v>
      </c>
      <c r="H6050" s="2" t="s">
        <v>17</v>
      </c>
    </row>
    <row r="6051" spans="1:14">
      <c r="A6051" s="2">
        <v>6050</v>
      </c>
      <c r="B6051" s="3" t="s">
        <v>20849</v>
      </c>
      <c r="C6051" s="2" t="s">
        <v>20850</v>
      </c>
      <c r="D6051" s="2">
        <v>30</v>
      </c>
      <c r="E6051" s="2">
        <v>30</v>
      </c>
      <c r="F6051" s="2" t="s">
        <v>20851</v>
      </c>
      <c r="H6051" s="2" t="s">
        <v>17</v>
      </c>
      <c r="K6051" s="4" t="s">
        <v>20852</v>
      </c>
      <c r="L6051" s="4">
        <v>9207</v>
      </c>
    </row>
    <row r="6052" spans="1:14">
      <c r="A6052" s="2">
        <v>6051</v>
      </c>
      <c r="B6052" s="3" t="s">
        <v>20853</v>
      </c>
      <c r="C6052" s="2" t="s">
        <v>20854</v>
      </c>
      <c r="D6052" s="2">
        <v>24</v>
      </c>
      <c r="E6052" s="2">
        <v>30</v>
      </c>
      <c r="F6052" s="2" t="s">
        <v>20855</v>
      </c>
      <c r="H6052" s="2" t="s">
        <v>17</v>
      </c>
      <c r="K6052" s="4" t="s">
        <v>20856</v>
      </c>
      <c r="L6052" s="4">
        <v>15658</v>
      </c>
      <c r="M6052" s="2" t="s">
        <v>170</v>
      </c>
      <c r="N6052" s="2" t="s">
        <v>323</v>
      </c>
    </row>
    <row r="6053" spans="1:14">
      <c r="A6053" s="2">
        <v>6052</v>
      </c>
      <c r="B6053" s="3" t="s">
        <v>20857</v>
      </c>
      <c r="C6053" s="2" t="s">
        <v>20858</v>
      </c>
      <c r="D6053" s="2">
        <v>24</v>
      </c>
      <c r="E6053" s="2">
        <v>30</v>
      </c>
      <c r="F6053" s="2" t="s">
        <v>20859</v>
      </c>
      <c r="H6053" s="2" t="s">
        <v>17</v>
      </c>
      <c r="K6053" s="4" t="s">
        <v>20860</v>
      </c>
      <c r="L6053" s="4">
        <v>12350</v>
      </c>
      <c r="M6053" s="2" t="s">
        <v>192</v>
      </c>
      <c r="N6053" s="2" t="s">
        <v>3675</v>
      </c>
    </row>
    <row r="6054" spans="1:14">
      <c r="A6054" s="2">
        <v>6053</v>
      </c>
      <c r="B6054" s="3" t="s">
        <v>20861</v>
      </c>
      <c r="C6054" s="2" t="s">
        <v>20862</v>
      </c>
      <c r="D6054" s="2">
        <v>29</v>
      </c>
      <c r="E6054" s="2">
        <v>30</v>
      </c>
      <c r="F6054" s="2" t="s">
        <v>20863</v>
      </c>
      <c r="H6054" s="2" t="s">
        <v>17</v>
      </c>
      <c r="K6054" s="4" t="s">
        <v>19488</v>
      </c>
      <c r="L6054" s="4">
        <v>7385</v>
      </c>
      <c r="M6054" s="2" t="s">
        <v>66</v>
      </c>
      <c r="N6054" s="2" t="s">
        <v>6963</v>
      </c>
    </row>
    <row r="6055" spans="1:14">
      <c r="A6055" s="2">
        <v>6054</v>
      </c>
      <c r="B6055" s="3" t="s">
        <v>20864</v>
      </c>
      <c r="C6055" s="2" t="s">
        <v>20865</v>
      </c>
      <c r="D6055" s="2">
        <v>30</v>
      </c>
      <c r="E6055" s="2">
        <v>30</v>
      </c>
      <c r="F6055" s="2" t="s">
        <v>20866</v>
      </c>
      <c r="H6055" s="2" t="s">
        <v>17</v>
      </c>
    </row>
    <row r="6056" spans="1:14">
      <c r="A6056" s="2">
        <v>6055</v>
      </c>
      <c r="B6056" s="3" t="s">
        <v>20867</v>
      </c>
      <c r="C6056" s="2" t="s">
        <v>20868</v>
      </c>
      <c r="D6056" s="2">
        <v>30</v>
      </c>
      <c r="E6056" s="2">
        <v>30</v>
      </c>
      <c r="F6056" s="2" t="s">
        <v>20869</v>
      </c>
      <c r="H6056" s="2" t="s">
        <v>17</v>
      </c>
      <c r="K6056" s="4" t="s">
        <v>20870</v>
      </c>
      <c r="L6056" s="4">
        <v>11067</v>
      </c>
      <c r="M6056" s="2" t="s">
        <v>423</v>
      </c>
      <c r="N6056" s="2" t="s">
        <v>20871</v>
      </c>
    </row>
    <row r="6057" spans="1:14">
      <c r="A6057" s="2">
        <v>6056</v>
      </c>
      <c r="B6057" s="3" t="s">
        <v>20872</v>
      </c>
      <c r="C6057" s="2" t="s">
        <v>20873</v>
      </c>
      <c r="D6057" s="2">
        <v>29</v>
      </c>
      <c r="E6057" s="2">
        <v>30</v>
      </c>
      <c r="F6057" s="2" t="s">
        <v>20874</v>
      </c>
      <c r="H6057" s="2" t="s">
        <v>17</v>
      </c>
      <c r="K6057" s="4" t="s">
        <v>20875</v>
      </c>
      <c r="L6057" s="4">
        <v>10451</v>
      </c>
      <c r="M6057" s="2" t="s">
        <v>198</v>
      </c>
      <c r="N6057" s="2" t="s">
        <v>4411</v>
      </c>
    </row>
    <row r="6058" spans="1:14">
      <c r="A6058" s="2">
        <v>6057</v>
      </c>
      <c r="B6058" s="3" t="s">
        <v>20876</v>
      </c>
      <c r="C6058" s="2" t="s">
        <v>20877</v>
      </c>
      <c r="D6058" s="2">
        <v>27</v>
      </c>
      <c r="E6058" s="2">
        <v>30</v>
      </c>
      <c r="F6058" s="2" t="s">
        <v>20878</v>
      </c>
      <c r="H6058" s="2" t="s">
        <v>17</v>
      </c>
      <c r="K6058" s="4" t="s">
        <v>20879</v>
      </c>
      <c r="L6058" s="4">
        <v>21164</v>
      </c>
      <c r="M6058" s="2" t="s">
        <v>53</v>
      </c>
      <c r="N6058" s="2" t="s">
        <v>5770</v>
      </c>
    </row>
    <row r="6059" spans="1:14">
      <c r="A6059" s="2">
        <v>6058</v>
      </c>
      <c r="B6059" s="3" t="s">
        <v>20880</v>
      </c>
      <c r="C6059" s="2" t="s">
        <v>20881</v>
      </c>
      <c r="D6059" s="2">
        <v>29</v>
      </c>
      <c r="E6059" s="2">
        <v>30</v>
      </c>
      <c r="F6059" s="2" t="s">
        <v>20882</v>
      </c>
      <c r="H6059" s="2" t="s">
        <v>17</v>
      </c>
      <c r="K6059" s="4" t="s">
        <v>20883</v>
      </c>
      <c r="L6059" s="4">
        <v>21769</v>
      </c>
      <c r="M6059" s="2" t="s">
        <v>198</v>
      </c>
      <c r="N6059" s="2" t="s">
        <v>199</v>
      </c>
    </row>
    <row r="6060" spans="1:14">
      <c r="A6060" s="2">
        <v>6059</v>
      </c>
      <c r="B6060" s="3" t="s">
        <v>20884</v>
      </c>
      <c r="C6060" s="2" t="s">
        <v>20885</v>
      </c>
      <c r="D6060" s="2">
        <v>29</v>
      </c>
      <c r="E6060" s="2">
        <v>30</v>
      </c>
      <c r="F6060" s="2" t="s">
        <v>20886</v>
      </c>
      <c r="H6060" s="2" t="s">
        <v>17</v>
      </c>
      <c r="K6060" s="4" t="s">
        <v>20887</v>
      </c>
      <c r="L6060" s="4">
        <v>6647</v>
      </c>
      <c r="M6060" s="2" t="s">
        <v>76</v>
      </c>
      <c r="N6060" s="2" t="s">
        <v>906</v>
      </c>
    </row>
    <row r="6061" spans="1:14">
      <c r="A6061" s="2">
        <v>6060</v>
      </c>
      <c r="B6061" s="3" t="s">
        <v>20888</v>
      </c>
      <c r="C6061" s="2" t="s">
        <v>16654</v>
      </c>
      <c r="D6061" s="2">
        <v>29</v>
      </c>
      <c r="E6061" s="2">
        <v>30</v>
      </c>
      <c r="F6061" s="2" t="s">
        <v>20889</v>
      </c>
      <c r="H6061" s="2" t="s">
        <v>17</v>
      </c>
      <c r="K6061" s="4" t="s">
        <v>20890</v>
      </c>
      <c r="L6061" s="4">
        <v>15983</v>
      </c>
      <c r="M6061" s="2" t="s">
        <v>198</v>
      </c>
      <c r="N6061" s="2" t="s">
        <v>199</v>
      </c>
    </row>
    <row r="6062" spans="1:14">
      <c r="A6062" s="2">
        <v>6061</v>
      </c>
      <c r="B6062" s="3" t="s">
        <v>20891</v>
      </c>
      <c r="C6062" s="2" t="s">
        <v>20892</v>
      </c>
      <c r="D6062" s="2">
        <v>28</v>
      </c>
      <c r="E6062" s="2">
        <v>30</v>
      </c>
      <c r="F6062" s="2" t="s">
        <v>20893</v>
      </c>
      <c r="H6062" s="2" t="s">
        <v>17</v>
      </c>
      <c r="K6062" s="4" t="s">
        <v>20894</v>
      </c>
      <c r="L6062" s="4">
        <v>9402</v>
      </c>
      <c r="M6062" s="2" t="s">
        <v>40</v>
      </c>
    </row>
    <row r="6063" spans="1:14">
      <c r="A6063" s="2">
        <v>6062</v>
      </c>
      <c r="B6063" s="3" t="s">
        <v>20895</v>
      </c>
      <c r="C6063" s="2" t="s">
        <v>20896</v>
      </c>
      <c r="D6063" s="2">
        <v>26</v>
      </c>
      <c r="E6063" s="2">
        <v>30</v>
      </c>
      <c r="F6063" s="2" t="s">
        <v>20897</v>
      </c>
      <c r="H6063" s="2" t="s">
        <v>17</v>
      </c>
      <c r="K6063" s="4" t="s">
        <v>20898</v>
      </c>
      <c r="L6063" s="4">
        <v>12013</v>
      </c>
      <c r="M6063" s="2" t="s">
        <v>164</v>
      </c>
      <c r="N6063" s="2" t="s">
        <v>165</v>
      </c>
    </row>
    <row r="6064" spans="1:14">
      <c r="A6064" s="2">
        <v>6063</v>
      </c>
      <c r="B6064" s="3" t="s">
        <v>20899</v>
      </c>
      <c r="C6064" s="2" t="s">
        <v>20900</v>
      </c>
      <c r="D6064" s="2">
        <v>28</v>
      </c>
      <c r="E6064" s="2">
        <v>30</v>
      </c>
      <c r="F6064" s="2" t="s">
        <v>20901</v>
      </c>
      <c r="H6064" s="2" t="s">
        <v>17</v>
      </c>
      <c r="K6064" s="4" t="s">
        <v>20902</v>
      </c>
      <c r="L6064" s="4">
        <v>8003</v>
      </c>
      <c r="M6064" s="2" t="s">
        <v>198</v>
      </c>
    </row>
    <row r="6065" spans="1:14">
      <c r="A6065" s="2">
        <v>6064</v>
      </c>
      <c r="B6065" s="3" t="s">
        <v>20903</v>
      </c>
      <c r="C6065" s="2" t="s">
        <v>20904</v>
      </c>
      <c r="D6065" s="2">
        <v>30</v>
      </c>
      <c r="E6065" s="2">
        <v>30</v>
      </c>
      <c r="F6065" s="2" t="s">
        <v>20905</v>
      </c>
      <c r="H6065" s="2" t="s">
        <v>17</v>
      </c>
    </row>
    <row r="6066" spans="1:14">
      <c r="A6066" s="2">
        <v>6065</v>
      </c>
      <c r="B6066" s="3" t="s">
        <v>20906</v>
      </c>
      <c r="C6066" s="2" t="s">
        <v>20907</v>
      </c>
      <c r="D6066" s="2">
        <v>30</v>
      </c>
      <c r="E6066" s="2">
        <v>30</v>
      </c>
      <c r="F6066" s="2" t="s">
        <v>20908</v>
      </c>
      <c r="H6066" s="2" t="s">
        <v>17</v>
      </c>
      <c r="L6066" s="4">
        <v>6355</v>
      </c>
    </row>
    <row r="6067" spans="1:14">
      <c r="A6067" s="2">
        <v>6066</v>
      </c>
      <c r="B6067" s="3" t="s">
        <v>20909</v>
      </c>
      <c r="C6067" s="2" t="s">
        <v>20910</v>
      </c>
      <c r="D6067" s="2">
        <v>23</v>
      </c>
      <c r="E6067" s="2">
        <v>30</v>
      </c>
      <c r="F6067" s="2" t="s">
        <v>20911</v>
      </c>
      <c r="H6067" s="2" t="s">
        <v>17</v>
      </c>
      <c r="K6067" s="4" t="s">
        <v>20912</v>
      </c>
      <c r="L6067" s="4">
        <v>7145</v>
      </c>
      <c r="M6067" s="2" t="s">
        <v>66</v>
      </c>
      <c r="N6067" s="2" t="s">
        <v>71</v>
      </c>
    </row>
    <row r="6068" spans="1:14">
      <c r="A6068" s="2">
        <v>6067</v>
      </c>
      <c r="B6068" s="3" t="s">
        <v>20913</v>
      </c>
      <c r="C6068" s="2" t="s">
        <v>20914</v>
      </c>
      <c r="D6068" s="2">
        <v>28</v>
      </c>
      <c r="E6068" s="2">
        <v>30</v>
      </c>
      <c r="F6068" s="2" t="s">
        <v>20915</v>
      </c>
      <c r="H6068" s="2" t="s">
        <v>17</v>
      </c>
      <c r="K6068" s="4" t="s">
        <v>20916</v>
      </c>
      <c r="L6068" s="4">
        <v>10882</v>
      </c>
      <c r="M6068" s="2" t="s">
        <v>170</v>
      </c>
      <c r="N6068" s="2" t="s">
        <v>323</v>
      </c>
    </row>
    <row r="6069" spans="1:14">
      <c r="A6069" s="2">
        <v>6068</v>
      </c>
      <c r="B6069" s="3" t="s">
        <v>20917</v>
      </c>
      <c r="C6069" s="2" t="s">
        <v>14873</v>
      </c>
      <c r="D6069" s="2">
        <v>27</v>
      </c>
      <c r="E6069" s="2">
        <v>30</v>
      </c>
      <c r="F6069" s="2" t="s">
        <v>20918</v>
      </c>
      <c r="H6069" s="2" t="s">
        <v>17</v>
      </c>
      <c r="K6069" s="4" t="s">
        <v>20919</v>
      </c>
      <c r="L6069" s="4">
        <v>12768</v>
      </c>
      <c r="M6069" s="2" t="s">
        <v>170</v>
      </c>
      <c r="N6069" s="2" t="s">
        <v>385</v>
      </c>
    </row>
    <row r="6070" spans="1:14">
      <c r="A6070" s="2">
        <v>6069</v>
      </c>
      <c r="B6070" s="3" t="s">
        <v>20920</v>
      </c>
      <c r="C6070" s="2" t="s">
        <v>20921</v>
      </c>
      <c r="D6070" s="2">
        <v>30</v>
      </c>
      <c r="E6070" s="2">
        <v>30</v>
      </c>
      <c r="F6070" s="2" t="s">
        <v>20922</v>
      </c>
      <c r="H6070" s="2" t="s">
        <v>17</v>
      </c>
      <c r="K6070" s="4" t="s">
        <v>20923</v>
      </c>
      <c r="L6070" s="4">
        <v>6864</v>
      </c>
      <c r="M6070" s="2" t="s">
        <v>170</v>
      </c>
      <c r="N6070" s="2" t="s">
        <v>6759</v>
      </c>
    </row>
    <row r="6071" spans="1:14">
      <c r="A6071" s="2">
        <v>6070</v>
      </c>
      <c r="B6071" s="3" t="s">
        <v>20924</v>
      </c>
      <c r="C6071" s="2" t="s">
        <v>20925</v>
      </c>
      <c r="D6071" s="2">
        <v>19</v>
      </c>
      <c r="E6071" s="2">
        <v>30</v>
      </c>
      <c r="F6071" s="2" t="s">
        <v>20926</v>
      </c>
      <c r="H6071" s="2" t="s">
        <v>17</v>
      </c>
      <c r="K6071" s="4" t="s">
        <v>20927</v>
      </c>
      <c r="L6071" s="4">
        <v>12098</v>
      </c>
      <c r="M6071" s="2" t="s">
        <v>35</v>
      </c>
      <c r="N6071" s="2" t="s">
        <v>1032</v>
      </c>
    </row>
    <row r="6072" spans="1:14">
      <c r="A6072" s="2">
        <v>6071</v>
      </c>
      <c r="B6072" s="3" t="s">
        <v>20928</v>
      </c>
      <c r="C6072" s="2" t="s">
        <v>20929</v>
      </c>
      <c r="D6072" s="2">
        <v>25</v>
      </c>
      <c r="E6072" s="2">
        <v>30</v>
      </c>
      <c r="F6072" s="2" t="s">
        <v>20930</v>
      </c>
      <c r="H6072" s="2" t="s">
        <v>17</v>
      </c>
      <c r="K6072" s="4" t="s">
        <v>20931</v>
      </c>
      <c r="L6072" s="4">
        <v>15195</v>
      </c>
      <c r="M6072" s="2" t="s">
        <v>66</v>
      </c>
      <c r="N6072" s="2" t="s">
        <v>71</v>
      </c>
    </row>
    <row r="6073" spans="1:14">
      <c r="A6073" s="2">
        <v>6072</v>
      </c>
      <c r="B6073" s="3" t="s">
        <v>20932</v>
      </c>
      <c r="C6073" s="2" t="s">
        <v>20933</v>
      </c>
      <c r="D6073" s="2">
        <v>29</v>
      </c>
      <c r="E6073" s="2">
        <v>30</v>
      </c>
      <c r="F6073" s="2" t="s">
        <v>20934</v>
      </c>
      <c r="H6073" s="2" t="s">
        <v>17</v>
      </c>
      <c r="K6073" s="4" t="s">
        <v>20935</v>
      </c>
      <c r="L6073" s="4">
        <v>5985</v>
      </c>
      <c r="M6073" s="2" t="s">
        <v>40</v>
      </c>
      <c r="N6073" s="2" t="s">
        <v>12371</v>
      </c>
    </row>
    <row r="6074" spans="1:14">
      <c r="A6074" s="2">
        <v>6073</v>
      </c>
      <c r="B6074" s="3" t="s">
        <v>20936</v>
      </c>
      <c r="C6074" s="2" t="s">
        <v>20937</v>
      </c>
      <c r="D6074" s="2">
        <v>29</v>
      </c>
      <c r="E6074" s="2">
        <v>30</v>
      </c>
      <c r="F6074" s="2" t="s">
        <v>20938</v>
      </c>
      <c r="H6074" s="2" t="s">
        <v>17</v>
      </c>
      <c r="K6074" s="4" t="s">
        <v>20939</v>
      </c>
    </row>
    <row r="6075" spans="1:14">
      <c r="A6075" s="2">
        <v>6074</v>
      </c>
      <c r="B6075" s="3" t="s">
        <v>20940</v>
      </c>
      <c r="C6075" s="2" t="s">
        <v>20941</v>
      </c>
      <c r="D6075" s="2">
        <v>23</v>
      </c>
      <c r="E6075" s="2">
        <v>30</v>
      </c>
      <c r="F6075" s="2" t="s">
        <v>20942</v>
      </c>
      <c r="H6075" s="2" t="s">
        <v>17</v>
      </c>
    </row>
    <row r="6076" spans="1:14">
      <c r="A6076" s="2">
        <v>6075</v>
      </c>
      <c r="B6076" s="3" t="s">
        <v>20943</v>
      </c>
      <c r="C6076" s="2" t="s">
        <v>20944</v>
      </c>
      <c r="D6076" s="2">
        <v>22</v>
      </c>
      <c r="E6076" s="2">
        <v>30</v>
      </c>
      <c r="F6076" s="2" t="s">
        <v>20945</v>
      </c>
      <c r="H6076" s="2" t="s">
        <v>17</v>
      </c>
      <c r="K6076" s="4" t="s">
        <v>20946</v>
      </c>
      <c r="L6076" s="4">
        <v>17327</v>
      </c>
      <c r="M6076" s="2" t="s">
        <v>170</v>
      </c>
      <c r="N6076" s="2" t="s">
        <v>323</v>
      </c>
    </row>
    <row r="6077" spans="1:14">
      <c r="A6077" s="2">
        <v>6076</v>
      </c>
      <c r="B6077" s="3" t="s">
        <v>20947</v>
      </c>
      <c r="C6077" s="2" t="s">
        <v>20948</v>
      </c>
      <c r="D6077" s="2">
        <v>22</v>
      </c>
      <c r="E6077" s="2">
        <v>29</v>
      </c>
      <c r="F6077" s="2" t="s">
        <v>20949</v>
      </c>
      <c r="H6077" s="2" t="s">
        <v>17</v>
      </c>
      <c r="K6077" s="4" t="s">
        <v>20950</v>
      </c>
      <c r="L6077" s="4">
        <v>10865</v>
      </c>
      <c r="M6077" s="2" t="s">
        <v>47</v>
      </c>
      <c r="N6077" s="2" t="s">
        <v>3765</v>
      </c>
    </row>
    <row r="6078" spans="1:14">
      <c r="A6078" s="2">
        <v>6077</v>
      </c>
      <c r="B6078" s="3" t="s">
        <v>20951</v>
      </c>
      <c r="C6078" s="2" t="s">
        <v>20952</v>
      </c>
      <c r="D6078" s="2">
        <v>25</v>
      </c>
      <c r="E6078" s="2">
        <v>29</v>
      </c>
      <c r="F6078" s="2" t="s">
        <v>20953</v>
      </c>
      <c r="H6078" s="2" t="s">
        <v>17</v>
      </c>
      <c r="K6078" s="4" t="s">
        <v>20954</v>
      </c>
      <c r="L6078" s="4">
        <v>6173</v>
      </c>
      <c r="M6078" s="2" t="s">
        <v>198</v>
      </c>
      <c r="N6078" s="2" t="s">
        <v>1284</v>
      </c>
    </row>
    <row r="6079" spans="1:14">
      <c r="A6079" s="2">
        <v>6078</v>
      </c>
      <c r="B6079" s="3" t="s">
        <v>20955</v>
      </c>
      <c r="C6079" s="2" t="s">
        <v>20956</v>
      </c>
      <c r="D6079" s="2">
        <v>29</v>
      </c>
      <c r="E6079" s="2">
        <v>29</v>
      </c>
      <c r="F6079" s="2" t="s">
        <v>20957</v>
      </c>
      <c r="H6079" s="2" t="s">
        <v>17</v>
      </c>
      <c r="K6079" s="4" t="s">
        <v>20958</v>
      </c>
      <c r="M6079" s="2" t="s">
        <v>146</v>
      </c>
      <c r="N6079" s="2" t="s">
        <v>147</v>
      </c>
    </row>
    <row r="6080" spans="1:14">
      <c r="A6080" s="2">
        <v>6079</v>
      </c>
      <c r="B6080" s="3" t="s">
        <v>20959</v>
      </c>
      <c r="C6080" s="2" t="s">
        <v>20960</v>
      </c>
      <c r="D6080" s="2">
        <v>29</v>
      </c>
      <c r="E6080" s="2">
        <v>29</v>
      </c>
      <c r="F6080" s="2" t="s">
        <v>20961</v>
      </c>
      <c r="H6080" s="2" t="s">
        <v>17</v>
      </c>
      <c r="K6080" s="4" t="s">
        <v>20962</v>
      </c>
      <c r="L6080" s="4">
        <v>8740</v>
      </c>
      <c r="M6080" s="2" t="s">
        <v>170</v>
      </c>
      <c r="N6080" s="2" t="s">
        <v>12332</v>
      </c>
    </row>
    <row r="6081" spans="1:14">
      <c r="A6081" s="2">
        <v>6080</v>
      </c>
      <c r="B6081" s="3" t="s">
        <v>20963</v>
      </c>
      <c r="C6081" s="2" t="s">
        <v>20964</v>
      </c>
      <c r="D6081" s="2">
        <v>25</v>
      </c>
      <c r="E6081" s="2">
        <v>29</v>
      </c>
      <c r="F6081" s="2" t="s">
        <v>20965</v>
      </c>
      <c r="H6081" s="2" t="s">
        <v>17</v>
      </c>
      <c r="L6081" s="4">
        <v>18959</v>
      </c>
    </row>
    <row r="6082" spans="1:14">
      <c r="A6082" s="2">
        <v>6081</v>
      </c>
      <c r="B6082" s="3" t="s">
        <v>20966</v>
      </c>
      <c r="C6082" s="2" t="s">
        <v>20967</v>
      </c>
      <c r="D6082" s="2">
        <v>23</v>
      </c>
      <c r="E6082" s="2">
        <v>29</v>
      </c>
      <c r="F6082" s="2" t="s">
        <v>20968</v>
      </c>
      <c r="H6082" s="2" t="s">
        <v>17</v>
      </c>
      <c r="K6082" s="4" t="s">
        <v>20969</v>
      </c>
      <c r="L6082" s="4">
        <v>5931</v>
      </c>
      <c r="M6082" s="2" t="s">
        <v>198</v>
      </c>
      <c r="N6082" s="2" t="s">
        <v>199</v>
      </c>
    </row>
    <row r="6083" spans="1:14">
      <c r="A6083" s="2">
        <v>6082</v>
      </c>
      <c r="B6083" s="3" t="s">
        <v>20970</v>
      </c>
      <c r="C6083" s="2" t="s">
        <v>20971</v>
      </c>
      <c r="D6083" s="2">
        <v>29</v>
      </c>
      <c r="E6083" s="2">
        <v>29</v>
      </c>
      <c r="F6083" s="2" t="s">
        <v>20972</v>
      </c>
      <c r="H6083" s="2" t="s">
        <v>17</v>
      </c>
      <c r="K6083" s="4" t="s">
        <v>20973</v>
      </c>
      <c r="L6083" s="4">
        <v>15321</v>
      </c>
      <c r="M6083" s="2" t="s">
        <v>336</v>
      </c>
      <c r="N6083" s="2" t="s">
        <v>15795</v>
      </c>
    </row>
    <row r="6084" spans="1:14">
      <c r="A6084" s="2">
        <v>6083</v>
      </c>
      <c r="B6084" s="3" t="s">
        <v>20974</v>
      </c>
      <c r="C6084" s="2" t="s">
        <v>20975</v>
      </c>
      <c r="D6084" s="2">
        <v>29</v>
      </c>
      <c r="E6084" s="2">
        <v>29</v>
      </c>
      <c r="F6084" s="2" t="s">
        <v>20976</v>
      </c>
      <c r="H6084" s="2" t="s">
        <v>17</v>
      </c>
      <c r="K6084" s="4" t="s">
        <v>20977</v>
      </c>
      <c r="L6084" s="4">
        <v>7008</v>
      </c>
      <c r="M6084" s="2" t="s">
        <v>336</v>
      </c>
      <c r="N6084" s="2" t="s">
        <v>20978</v>
      </c>
    </row>
    <row r="6085" spans="1:14">
      <c r="A6085" s="2">
        <v>6084</v>
      </c>
      <c r="B6085" s="3" t="s">
        <v>20979</v>
      </c>
      <c r="C6085" s="2" t="s">
        <v>20980</v>
      </c>
      <c r="D6085" s="2">
        <v>26</v>
      </c>
      <c r="E6085" s="2">
        <v>29</v>
      </c>
      <c r="F6085" s="2" t="s">
        <v>20981</v>
      </c>
      <c r="H6085" s="2" t="s">
        <v>17</v>
      </c>
    </row>
    <row r="6086" spans="1:14">
      <c r="A6086" s="2">
        <v>6085</v>
      </c>
      <c r="B6086" s="3" t="s">
        <v>20982</v>
      </c>
      <c r="C6086" s="2" t="s">
        <v>20983</v>
      </c>
      <c r="D6086" s="2">
        <v>29</v>
      </c>
      <c r="E6086" s="2">
        <v>29</v>
      </c>
      <c r="F6086" s="2" t="s">
        <v>20984</v>
      </c>
      <c r="H6086" s="2" t="s">
        <v>17</v>
      </c>
      <c r="K6086" s="4" t="s">
        <v>20985</v>
      </c>
      <c r="L6086" s="4">
        <v>11506</v>
      </c>
      <c r="M6086" s="2" t="s">
        <v>146</v>
      </c>
      <c r="N6086" s="2" t="s">
        <v>549</v>
      </c>
    </row>
    <row r="6087" spans="1:14">
      <c r="A6087" s="2">
        <v>6086</v>
      </c>
      <c r="B6087" s="3" t="s">
        <v>20986</v>
      </c>
      <c r="C6087" s="2" t="s">
        <v>20987</v>
      </c>
      <c r="D6087" s="2">
        <v>29</v>
      </c>
      <c r="E6087" s="2">
        <v>29</v>
      </c>
      <c r="F6087" s="2" t="s">
        <v>20988</v>
      </c>
      <c r="H6087" s="2" t="s">
        <v>17</v>
      </c>
      <c r="K6087" s="4" t="s">
        <v>20989</v>
      </c>
      <c r="L6087" s="4">
        <v>10541</v>
      </c>
      <c r="M6087" s="2" t="s">
        <v>146</v>
      </c>
      <c r="N6087" s="2" t="s">
        <v>20990</v>
      </c>
    </row>
    <row r="6088" spans="1:14">
      <c r="A6088" s="2">
        <v>6087</v>
      </c>
      <c r="B6088" s="3" t="s">
        <v>20991</v>
      </c>
      <c r="C6088" s="2" t="s">
        <v>20992</v>
      </c>
      <c r="D6088" s="2">
        <v>29</v>
      </c>
      <c r="E6088" s="2">
        <v>29</v>
      </c>
      <c r="F6088" s="2" t="s">
        <v>20993</v>
      </c>
      <c r="H6088" s="2" t="s">
        <v>17</v>
      </c>
    </row>
    <row r="6089" spans="1:14">
      <c r="A6089" s="2">
        <v>6088</v>
      </c>
      <c r="B6089" s="3" t="s">
        <v>20994</v>
      </c>
      <c r="C6089" s="2" t="s">
        <v>20995</v>
      </c>
      <c r="D6089" s="2">
        <v>22</v>
      </c>
      <c r="E6089" s="2">
        <v>29</v>
      </c>
      <c r="F6089" s="2" t="s">
        <v>20996</v>
      </c>
      <c r="H6089" s="2" t="s">
        <v>17</v>
      </c>
      <c r="K6089" s="4" t="s">
        <v>20997</v>
      </c>
      <c r="L6089" s="4">
        <v>9638</v>
      </c>
      <c r="M6089" s="2" t="s">
        <v>85</v>
      </c>
      <c r="N6089" s="2" t="s">
        <v>2261</v>
      </c>
    </row>
    <row r="6090" spans="1:14">
      <c r="A6090" s="2">
        <v>6089</v>
      </c>
      <c r="B6090" s="3" t="s">
        <v>20998</v>
      </c>
      <c r="C6090" s="2" t="s">
        <v>20999</v>
      </c>
      <c r="D6090" s="2">
        <v>29</v>
      </c>
      <c r="E6090" s="2">
        <v>29</v>
      </c>
      <c r="F6090" s="2" t="s">
        <v>21000</v>
      </c>
      <c r="H6090" s="2" t="s">
        <v>17</v>
      </c>
    </row>
    <row r="6091" spans="1:14">
      <c r="A6091" s="2">
        <v>6090</v>
      </c>
      <c r="B6091" s="3" t="s">
        <v>21001</v>
      </c>
      <c r="C6091" s="2" t="s">
        <v>21002</v>
      </c>
      <c r="D6091" s="2">
        <v>22</v>
      </c>
      <c r="E6091" s="2">
        <v>29</v>
      </c>
      <c r="F6091" s="2" t="s">
        <v>21003</v>
      </c>
      <c r="H6091" s="2" t="s">
        <v>17</v>
      </c>
      <c r="K6091" s="4" t="s">
        <v>21004</v>
      </c>
      <c r="L6091" s="4">
        <v>9173</v>
      </c>
      <c r="M6091" s="2" t="s">
        <v>18</v>
      </c>
      <c r="N6091" s="2" t="s">
        <v>19</v>
      </c>
    </row>
    <row r="6092" spans="1:14">
      <c r="A6092" s="2">
        <v>6091</v>
      </c>
      <c r="B6092" s="3" t="s">
        <v>21005</v>
      </c>
      <c r="C6092" s="2" t="s">
        <v>21006</v>
      </c>
      <c r="D6092" s="2">
        <v>29</v>
      </c>
      <c r="E6092" s="2">
        <v>29</v>
      </c>
      <c r="F6092" s="2" t="s">
        <v>21007</v>
      </c>
      <c r="H6092" s="2" t="s">
        <v>17</v>
      </c>
      <c r="L6092" s="4">
        <v>8731</v>
      </c>
    </row>
    <row r="6093" spans="1:14">
      <c r="A6093" s="2">
        <v>6092</v>
      </c>
      <c r="B6093" s="3" t="s">
        <v>21008</v>
      </c>
      <c r="C6093" s="2" t="s">
        <v>21009</v>
      </c>
      <c r="D6093" s="2">
        <v>26</v>
      </c>
      <c r="E6093" s="2">
        <v>29</v>
      </c>
      <c r="F6093" s="2" t="s">
        <v>21010</v>
      </c>
      <c r="H6093" s="2" t="s">
        <v>17</v>
      </c>
      <c r="K6093" s="4" t="s">
        <v>19676</v>
      </c>
      <c r="L6093" s="4">
        <v>18052</v>
      </c>
      <c r="M6093" s="2" t="s">
        <v>336</v>
      </c>
      <c r="N6093" s="2" t="s">
        <v>13729</v>
      </c>
    </row>
    <row r="6094" spans="1:14">
      <c r="A6094" s="2">
        <v>6093</v>
      </c>
      <c r="B6094" s="3" t="s">
        <v>21011</v>
      </c>
      <c r="C6094" s="2" t="s">
        <v>21012</v>
      </c>
      <c r="D6094" s="2">
        <v>28</v>
      </c>
      <c r="E6094" s="2">
        <v>29</v>
      </c>
      <c r="F6094" s="2" t="s">
        <v>21013</v>
      </c>
      <c r="H6094" s="2" t="s">
        <v>17</v>
      </c>
    </row>
    <row r="6095" spans="1:14">
      <c r="A6095" s="2">
        <v>6094</v>
      </c>
      <c r="B6095" s="3" t="s">
        <v>21014</v>
      </c>
      <c r="C6095" s="2" t="s">
        <v>15747</v>
      </c>
      <c r="D6095" s="2">
        <v>19</v>
      </c>
      <c r="E6095" s="2">
        <v>29</v>
      </c>
      <c r="F6095" s="2" t="s">
        <v>21015</v>
      </c>
      <c r="H6095" s="2" t="s">
        <v>17</v>
      </c>
      <c r="K6095" s="4" t="s">
        <v>21016</v>
      </c>
      <c r="L6095" s="4">
        <v>10712</v>
      </c>
      <c r="M6095" s="2" t="s">
        <v>185</v>
      </c>
      <c r="N6095" s="2" t="s">
        <v>838</v>
      </c>
    </row>
    <row r="6096" spans="1:14">
      <c r="A6096" s="2">
        <v>6095</v>
      </c>
      <c r="B6096" s="3" t="s">
        <v>21017</v>
      </c>
      <c r="C6096" s="2" t="s">
        <v>21018</v>
      </c>
      <c r="D6096" s="2">
        <v>22</v>
      </c>
      <c r="E6096" s="2">
        <v>29</v>
      </c>
      <c r="F6096" s="2" t="s">
        <v>21019</v>
      </c>
      <c r="H6096" s="2" t="s">
        <v>17</v>
      </c>
      <c r="K6096" s="4" t="s">
        <v>21020</v>
      </c>
      <c r="L6096" s="4">
        <v>5211</v>
      </c>
    </row>
    <row r="6097" spans="1:14">
      <c r="A6097" s="2">
        <v>6096</v>
      </c>
      <c r="B6097" s="3" t="s">
        <v>21021</v>
      </c>
      <c r="C6097" s="2" t="s">
        <v>21022</v>
      </c>
      <c r="D6097" s="2">
        <v>29</v>
      </c>
      <c r="E6097" s="2">
        <v>29</v>
      </c>
      <c r="F6097" s="2" t="s">
        <v>21023</v>
      </c>
      <c r="H6097" s="2" t="s">
        <v>17</v>
      </c>
      <c r="L6097" s="4">
        <v>7928</v>
      </c>
      <c r="M6097" s="2" t="s">
        <v>198</v>
      </c>
    </row>
    <row r="6098" spans="1:14">
      <c r="A6098" s="2">
        <v>6097</v>
      </c>
      <c r="B6098" s="3" t="s">
        <v>21024</v>
      </c>
      <c r="C6098" s="2" t="s">
        <v>21025</v>
      </c>
      <c r="D6098" s="2">
        <v>29</v>
      </c>
      <c r="E6098" s="2">
        <v>29</v>
      </c>
      <c r="F6098" s="2" t="s">
        <v>21026</v>
      </c>
      <c r="H6098" s="2" t="s">
        <v>17</v>
      </c>
      <c r="K6098" s="4" t="s">
        <v>21027</v>
      </c>
      <c r="L6098" s="4">
        <v>6152</v>
      </c>
      <c r="M6098" s="2" t="s">
        <v>40</v>
      </c>
      <c r="N6098" s="2" t="s">
        <v>4837</v>
      </c>
    </row>
    <row r="6099" spans="1:14">
      <c r="A6099" s="2">
        <v>6098</v>
      </c>
      <c r="B6099" s="3" t="s">
        <v>21028</v>
      </c>
      <c r="C6099" s="2" t="s">
        <v>21029</v>
      </c>
      <c r="D6099" s="2">
        <v>29</v>
      </c>
      <c r="E6099" s="2">
        <v>29</v>
      </c>
      <c r="F6099" s="2" t="s">
        <v>21030</v>
      </c>
      <c r="H6099" s="2" t="s">
        <v>17</v>
      </c>
      <c r="K6099" s="4" t="s">
        <v>21031</v>
      </c>
      <c r="L6099" s="4">
        <v>10260</v>
      </c>
      <c r="M6099" s="2" t="s">
        <v>91</v>
      </c>
      <c r="N6099" s="2" t="s">
        <v>677</v>
      </c>
    </row>
    <row r="6100" spans="1:14">
      <c r="A6100" s="2">
        <v>6099</v>
      </c>
      <c r="B6100" s="3" t="s">
        <v>21032</v>
      </c>
      <c r="C6100" s="2" t="s">
        <v>21033</v>
      </c>
      <c r="D6100" s="2">
        <v>24</v>
      </c>
      <c r="E6100" s="2">
        <v>29</v>
      </c>
      <c r="F6100" s="2" t="s">
        <v>21034</v>
      </c>
      <c r="H6100" s="2" t="s">
        <v>17</v>
      </c>
      <c r="K6100" s="4" t="s">
        <v>21035</v>
      </c>
      <c r="L6100" s="4">
        <v>4921</v>
      </c>
      <c r="M6100" s="2" t="s">
        <v>170</v>
      </c>
      <c r="N6100" s="2" t="s">
        <v>323</v>
      </c>
    </row>
    <row r="6101" spans="1:14">
      <c r="A6101" s="2">
        <v>6100</v>
      </c>
      <c r="B6101" s="3" t="s">
        <v>21036</v>
      </c>
      <c r="C6101" s="2" t="s">
        <v>21037</v>
      </c>
      <c r="D6101" s="2">
        <v>29</v>
      </c>
      <c r="E6101" s="2">
        <v>29</v>
      </c>
      <c r="F6101" s="2" t="s">
        <v>21038</v>
      </c>
      <c r="H6101" s="2" t="s">
        <v>17</v>
      </c>
    </row>
    <row r="6102" spans="1:14">
      <c r="A6102" s="2">
        <v>6101</v>
      </c>
      <c r="B6102" s="3" t="s">
        <v>21039</v>
      </c>
      <c r="C6102" s="2" t="s">
        <v>21040</v>
      </c>
      <c r="D6102" s="2">
        <v>27</v>
      </c>
      <c r="E6102" s="2">
        <v>29</v>
      </c>
      <c r="F6102" s="2" t="s">
        <v>21041</v>
      </c>
      <c r="H6102" s="2" t="s">
        <v>17</v>
      </c>
    </row>
    <row r="6103" spans="1:14">
      <c r="A6103" s="2">
        <v>6102</v>
      </c>
      <c r="B6103" s="3" t="s">
        <v>21042</v>
      </c>
      <c r="C6103" s="2" t="s">
        <v>21043</v>
      </c>
      <c r="D6103" s="2">
        <v>22</v>
      </c>
      <c r="E6103" s="2">
        <v>29</v>
      </c>
      <c r="F6103" s="2" t="s">
        <v>21044</v>
      </c>
      <c r="H6103" s="2" t="s">
        <v>17</v>
      </c>
      <c r="K6103" s="4" t="s">
        <v>21045</v>
      </c>
      <c r="L6103" s="4">
        <v>8366</v>
      </c>
      <c r="M6103" s="2" t="s">
        <v>170</v>
      </c>
      <c r="N6103" s="2" t="s">
        <v>1712</v>
      </c>
    </row>
    <row r="6104" spans="1:14">
      <c r="A6104" s="2">
        <v>6103</v>
      </c>
      <c r="B6104" s="3" t="s">
        <v>21046</v>
      </c>
      <c r="C6104" s="2" t="s">
        <v>21047</v>
      </c>
      <c r="D6104" s="2">
        <v>29</v>
      </c>
      <c r="E6104" s="2">
        <v>29</v>
      </c>
      <c r="F6104" s="2" t="s">
        <v>21048</v>
      </c>
      <c r="H6104" s="2" t="s">
        <v>17</v>
      </c>
      <c r="K6104" s="4" t="s">
        <v>21049</v>
      </c>
      <c r="L6104" s="4">
        <v>6010</v>
      </c>
      <c r="M6104" s="2" t="s">
        <v>47</v>
      </c>
    </row>
    <row r="6105" spans="1:14">
      <c r="A6105" s="2">
        <v>6104</v>
      </c>
      <c r="B6105" s="3" t="s">
        <v>21050</v>
      </c>
      <c r="C6105" s="2" t="s">
        <v>21051</v>
      </c>
      <c r="D6105" s="2">
        <v>29</v>
      </c>
      <c r="E6105" s="2">
        <v>29</v>
      </c>
      <c r="F6105" s="2" t="s">
        <v>21052</v>
      </c>
      <c r="H6105" s="2" t="s">
        <v>17</v>
      </c>
    </row>
    <row r="6106" spans="1:14">
      <c r="A6106" s="2">
        <v>6105</v>
      </c>
      <c r="B6106" s="3" t="s">
        <v>21053</v>
      </c>
      <c r="C6106" s="2" t="s">
        <v>21054</v>
      </c>
      <c r="D6106" s="2">
        <v>29</v>
      </c>
      <c r="E6106" s="2">
        <v>29</v>
      </c>
      <c r="F6106" s="2" t="s">
        <v>21055</v>
      </c>
      <c r="H6106" s="2" t="s">
        <v>17</v>
      </c>
      <c r="L6106" s="4">
        <v>11103</v>
      </c>
    </row>
    <row r="6107" spans="1:14">
      <c r="A6107" s="2">
        <v>6106</v>
      </c>
      <c r="B6107" s="3" t="s">
        <v>21056</v>
      </c>
      <c r="C6107" s="2" t="s">
        <v>21057</v>
      </c>
      <c r="D6107" s="2">
        <v>27</v>
      </c>
      <c r="E6107" s="2">
        <v>29</v>
      </c>
      <c r="F6107" s="2" t="s">
        <v>21058</v>
      </c>
      <c r="H6107" s="2" t="s">
        <v>17</v>
      </c>
    </row>
    <row r="6108" spans="1:14">
      <c r="A6108" s="2">
        <v>6107</v>
      </c>
      <c r="B6108" s="3" t="s">
        <v>21059</v>
      </c>
      <c r="C6108" s="2" t="s">
        <v>21060</v>
      </c>
      <c r="D6108" s="2">
        <v>29</v>
      </c>
      <c r="E6108" s="2">
        <v>29</v>
      </c>
      <c r="F6108" s="2" t="s">
        <v>21061</v>
      </c>
      <c r="H6108" s="2" t="s">
        <v>17</v>
      </c>
      <c r="K6108" s="4" t="s">
        <v>21062</v>
      </c>
      <c r="L6108" s="4">
        <v>7676</v>
      </c>
      <c r="M6108" s="2" t="s">
        <v>164</v>
      </c>
      <c r="N6108" s="2" t="s">
        <v>6164</v>
      </c>
    </row>
    <row r="6109" spans="1:14">
      <c r="A6109" s="2">
        <v>6108</v>
      </c>
      <c r="B6109" s="3" t="s">
        <v>21063</v>
      </c>
      <c r="C6109" s="2" t="s">
        <v>21064</v>
      </c>
      <c r="D6109" s="2">
        <v>22</v>
      </c>
      <c r="E6109" s="2">
        <v>29</v>
      </c>
      <c r="F6109" s="2" t="s">
        <v>21065</v>
      </c>
      <c r="H6109" s="2" t="s">
        <v>17</v>
      </c>
      <c r="K6109" s="4" t="s">
        <v>21066</v>
      </c>
      <c r="L6109" s="4">
        <v>16196</v>
      </c>
      <c r="M6109" s="2" t="s">
        <v>53</v>
      </c>
      <c r="N6109" s="2" t="s">
        <v>54</v>
      </c>
    </row>
    <row r="6110" spans="1:14">
      <c r="A6110" s="2">
        <v>6109</v>
      </c>
      <c r="B6110" s="3" t="s">
        <v>21067</v>
      </c>
      <c r="C6110" s="2" t="s">
        <v>21068</v>
      </c>
      <c r="D6110" s="2">
        <v>28</v>
      </c>
      <c r="E6110" s="2">
        <v>29</v>
      </c>
      <c r="F6110" s="2" t="s">
        <v>21069</v>
      </c>
      <c r="H6110" s="2" t="s">
        <v>17</v>
      </c>
      <c r="K6110" s="4" t="s">
        <v>21070</v>
      </c>
      <c r="L6110" s="4">
        <v>5105</v>
      </c>
      <c r="M6110" s="2" t="s">
        <v>140</v>
      </c>
      <c r="N6110" s="2" t="s">
        <v>141</v>
      </c>
    </row>
    <row r="6111" spans="1:14">
      <c r="A6111" s="2">
        <v>6110</v>
      </c>
      <c r="B6111" s="3" t="s">
        <v>21071</v>
      </c>
      <c r="C6111" s="2" t="s">
        <v>21072</v>
      </c>
      <c r="D6111" s="2">
        <v>16</v>
      </c>
      <c r="E6111" s="2">
        <v>29</v>
      </c>
      <c r="F6111" s="2" t="s">
        <v>21073</v>
      </c>
      <c r="H6111" s="2" t="s">
        <v>17</v>
      </c>
      <c r="K6111" s="4" t="s">
        <v>21074</v>
      </c>
      <c r="L6111" s="4">
        <v>5660</v>
      </c>
      <c r="M6111" s="2" t="s">
        <v>35</v>
      </c>
      <c r="N6111" s="2" t="s">
        <v>10316</v>
      </c>
    </row>
    <row r="6112" spans="1:14">
      <c r="A6112" s="2">
        <v>6111</v>
      </c>
      <c r="B6112" s="3" t="s">
        <v>21075</v>
      </c>
      <c r="C6112" s="2" t="s">
        <v>21076</v>
      </c>
      <c r="D6112" s="2">
        <v>29</v>
      </c>
      <c r="E6112" s="2">
        <v>29</v>
      </c>
      <c r="F6112" s="2" t="s">
        <v>21077</v>
      </c>
      <c r="H6112" s="2" t="s">
        <v>17</v>
      </c>
      <c r="K6112" s="4" t="s">
        <v>21078</v>
      </c>
      <c r="L6112" s="4">
        <v>12741</v>
      </c>
      <c r="M6112" s="2" t="s">
        <v>40</v>
      </c>
      <c r="N6112" s="2" t="s">
        <v>41</v>
      </c>
    </row>
    <row r="6113" spans="1:14">
      <c r="A6113" s="2">
        <v>6112</v>
      </c>
      <c r="B6113" s="3" t="s">
        <v>21079</v>
      </c>
      <c r="C6113" s="2" t="s">
        <v>21080</v>
      </c>
      <c r="D6113" s="2">
        <v>22</v>
      </c>
      <c r="E6113" s="2">
        <v>29</v>
      </c>
      <c r="F6113" s="2" t="s">
        <v>21081</v>
      </c>
      <c r="H6113" s="2" t="s">
        <v>17</v>
      </c>
      <c r="K6113" s="4" t="s">
        <v>21082</v>
      </c>
      <c r="M6113" s="2" t="s">
        <v>170</v>
      </c>
      <c r="N6113" s="2" t="s">
        <v>171</v>
      </c>
    </row>
    <row r="6114" spans="1:14">
      <c r="A6114" s="2">
        <v>6113</v>
      </c>
      <c r="B6114" s="3" t="s">
        <v>21083</v>
      </c>
      <c r="C6114" s="2" t="s">
        <v>21084</v>
      </c>
      <c r="D6114" s="2">
        <v>28</v>
      </c>
      <c r="E6114" s="2">
        <v>29</v>
      </c>
      <c r="F6114" s="2" t="s">
        <v>21085</v>
      </c>
      <c r="H6114" s="2" t="s">
        <v>17</v>
      </c>
      <c r="K6114" s="4" t="s">
        <v>21086</v>
      </c>
      <c r="L6114" s="4">
        <v>10653</v>
      </c>
      <c r="M6114" s="2" t="s">
        <v>35</v>
      </c>
      <c r="N6114" s="2" t="s">
        <v>10316</v>
      </c>
    </row>
    <row r="6115" spans="1:14">
      <c r="A6115" s="2">
        <v>6114</v>
      </c>
      <c r="B6115" s="3" t="s">
        <v>21087</v>
      </c>
      <c r="C6115" s="2" t="s">
        <v>21088</v>
      </c>
      <c r="D6115" s="2">
        <v>29</v>
      </c>
      <c r="E6115" s="2">
        <v>29</v>
      </c>
      <c r="F6115" s="2" t="s">
        <v>21089</v>
      </c>
      <c r="H6115" s="2" t="s">
        <v>17</v>
      </c>
    </row>
    <row r="6116" spans="1:14">
      <c r="A6116" s="2">
        <v>6115</v>
      </c>
      <c r="B6116" s="3" t="s">
        <v>21090</v>
      </c>
      <c r="C6116" s="2" t="s">
        <v>21091</v>
      </c>
      <c r="D6116" s="2">
        <v>29</v>
      </c>
      <c r="E6116" s="2">
        <v>29</v>
      </c>
      <c r="F6116" s="2" t="s">
        <v>21092</v>
      </c>
      <c r="H6116" s="2" t="s">
        <v>17</v>
      </c>
      <c r="K6116" s="4" t="s">
        <v>21093</v>
      </c>
      <c r="M6116" s="2" t="s">
        <v>170</v>
      </c>
      <c r="N6116" s="2" t="s">
        <v>323</v>
      </c>
    </row>
    <row r="6117" spans="1:14">
      <c r="A6117" s="2">
        <v>6116</v>
      </c>
      <c r="B6117" s="3" t="s">
        <v>21094</v>
      </c>
      <c r="C6117" s="2" t="s">
        <v>21095</v>
      </c>
      <c r="D6117" s="2">
        <v>22</v>
      </c>
      <c r="E6117" s="2">
        <v>29</v>
      </c>
      <c r="F6117" s="2" t="s">
        <v>21096</v>
      </c>
      <c r="H6117" s="2" t="s">
        <v>17</v>
      </c>
      <c r="K6117" s="4" t="s">
        <v>21097</v>
      </c>
      <c r="L6117" s="4">
        <v>9054</v>
      </c>
      <c r="M6117" s="2" t="s">
        <v>66</v>
      </c>
      <c r="N6117" s="2" t="s">
        <v>6179</v>
      </c>
    </row>
    <row r="6118" spans="1:14">
      <c r="A6118" s="2">
        <v>6117</v>
      </c>
      <c r="B6118" s="3" t="s">
        <v>21098</v>
      </c>
      <c r="C6118" s="2" t="s">
        <v>21099</v>
      </c>
      <c r="D6118" s="2">
        <v>22</v>
      </c>
      <c r="E6118" s="2">
        <v>29</v>
      </c>
      <c r="F6118" s="2" t="s">
        <v>21100</v>
      </c>
      <c r="H6118" s="2" t="s">
        <v>17</v>
      </c>
      <c r="K6118" s="4" t="s">
        <v>21101</v>
      </c>
      <c r="L6118" s="4">
        <v>11925</v>
      </c>
      <c r="M6118" s="2" t="s">
        <v>66</v>
      </c>
    </row>
    <row r="6119" spans="1:14">
      <c r="A6119" s="2">
        <v>6118</v>
      </c>
      <c r="B6119" s="3" t="s">
        <v>21102</v>
      </c>
      <c r="C6119" s="2" t="s">
        <v>21103</v>
      </c>
      <c r="D6119" s="2">
        <v>29</v>
      </c>
      <c r="E6119" s="2">
        <v>29</v>
      </c>
      <c r="F6119" s="2" t="s">
        <v>21104</v>
      </c>
      <c r="H6119" s="2" t="s">
        <v>17</v>
      </c>
      <c r="K6119" s="4" t="s">
        <v>21105</v>
      </c>
      <c r="L6119" s="4">
        <v>8885</v>
      </c>
      <c r="M6119" s="2" t="s">
        <v>336</v>
      </c>
      <c r="N6119" s="2" t="s">
        <v>13729</v>
      </c>
    </row>
    <row r="6120" spans="1:14">
      <c r="A6120" s="2">
        <v>6119</v>
      </c>
      <c r="B6120" s="3" t="s">
        <v>21106</v>
      </c>
      <c r="C6120" s="2" t="s">
        <v>21107</v>
      </c>
      <c r="D6120" s="2">
        <v>22</v>
      </c>
      <c r="E6120" s="2">
        <v>29</v>
      </c>
      <c r="F6120" s="2" t="s">
        <v>21108</v>
      </c>
      <c r="H6120" s="2" t="s">
        <v>17</v>
      </c>
      <c r="K6120" s="4" t="s">
        <v>21109</v>
      </c>
      <c r="L6120" s="4">
        <v>4545</v>
      </c>
      <c r="M6120" s="2" t="s">
        <v>198</v>
      </c>
    </row>
    <row r="6121" spans="1:14">
      <c r="A6121" s="2">
        <v>6120</v>
      </c>
      <c r="B6121" s="3" t="s">
        <v>21110</v>
      </c>
      <c r="C6121" s="2" t="s">
        <v>21111</v>
      </c>
      <c r="D6121" s="2">
        <v>25</v>
      </c>
      <c r="E6121" s="2">
        <v>29</v>
      </c>
      <c r="F6121" s="2" t="s">
        <v>21112</v>
      </c>
      <c r="H6121" s="2" t="s">
        <v>17</v>
      </c>
      <c r="K6121" s="4" t="s">
        <v>21113</v>
      </c>
      <c r="L6121" s="4">
        <v>5009</v>
      </c>
      <c r="M6121" s="2" t="s">
        <v>140</v>
      </c>
    </row>
    <row r="6122" spans="1:14">
      <c r="A6122" s="2">
        <v>6121</v>
      </c>
      <c r="B6122" s="3" t="s">
        <v>21114</v>
      </c>
      <c r="C6122" s="2" t="s">
        <v>21115</v>
      </c>
      <c r="D6122" s="2">
        <v>22</v>
      </c>
      <c r="E6122" s="2">
        <v>29</v>
      </c>
      <c r="F6122" s="2" t="s">
        <v>21116</v>
      </c>
      <c r="H6122" s="2" t="s">
        <v>17</v>
      </c>
      <c r="K6122" s="4" t="s">
        <v>21117</v>
      </c>
      <c r="L6122" s="4">
        <v>10349</v>
      </c>
      <c r="M6122" s="2" t="s">
        <v>85</v>
      </c>
      <c r="N6122" s="2" t="s">
        <v>1963</v>
      </c>
    </row>
    <row r="6123" spans="1:14">
      <c r="A6123" s="2">
        <v>6122</v>
      </c>
      <c r="B6123" s="3" t="s">
        <v>21118</v>
      </c>
      <c r="C6123" s="2" t="s">
        <v>21119</v>
      </c>
      <c r="D6123" s="2">
        <v>22</v>
      </c>
      <c r="E6123" s="2">
        <v>29</v>
      </c>
      <c r="F6123" s="2" t="s">
        <v>21120</v>
      </c>
      <c r="H6123" s="2" t="s">
        <v>17</v>
      </c>
      <c r="K6123" s="4" t="s">
        <v>21121</v>
      </c>
      <c r="M6123" s="2" t="s">
        <v>35</v>
      </c>
    </row>
    <row r="6124" spans="1:14">
      <c r="A6124" s="2">
        <v>6123</v>
      </c>
      <c r="B6124" s="3" t="s">
        <v>21122</v>
      </c>
      <c r="C6124" s="2" t="s">
        <v>12778</v>
      </c>
      <c r="D6124" s="2">
        <v>29</v>
      </c>
      <c r="E6124" s="2">
        <v>29</v>
      </c>
      <c r="F6124" s="2" t="s">
        <v>21123</v>
      </c>
      <c r="H6124" s="2" t="s">
        <v>17</v>
      </c>
      <c r="K6124" s="4" t="s">
        <v>21124</v>
      </c>
      <c r="L6124" s="4">
        <v>16980</v>
      </c>
      <c r="M6124" s="2" t="s">
        <v>170</v>
      </c>
      <c r="N6124" s="2" t="s">
        <v>323</v>
      </c>
    </row>
    <row r="6125" spans="1:14">
      <c r="A6125" s="2">
        <v>6124</v>
      </c>
      <c r="B6125" s="3" t="s">
        <v>21125</v>
      </c>
      <c r="C6125" s="2" t="s">
        <v>21126</v>
      </c>
      <c r="D6125" s="2">
        <v>27</v>
      </c>
      <c r="E6125" s="2">
        <v>29</v>
      </c>
      <c r="F6125" s="2" t="s">
        <v>21127</v>
      </c>
      <c r="H6125" s="2" t="s">
        <v>17</v>
      </c>
      <c r="K6125" s="4" t="s">
        <v>20245</v>
      </c>
      <c r="L6125" s="4">
        <v>8122</v>
      </c>
      <c r="M6125" s="2" t="s">
        <v>198</v>
      </c>
      <c r="N6125" s="2" t="s">
        <v>1284</v>
      </c>
    </row>
    <row r="6126" spans="1:14">
      <c r="A6126" s="2">
        <v>6125</v>
      </c>
      <c r="B6126" s="3" t="s">
        <v>21128</v>
      </c>
      <c r="C6126" s="2" t="s">
        <v>21129</v>
      </c>
      <c r="D6126" s="2">
        <v>17</v>
      </c>
      <c r="E6126" s="2">
        <v>29</v>
      </c>
      <c r="F6126" s="2" t="s">
        <v>21130</v>
      </c>
      <c r="H6126" s="2" t="s">
        <v>17</v>
      </c>
      <c r="K6126" s="4" t="s">
        <v>21131</v>
      </c>
      <c r="L6126" s="4">
        <v>4543</v>
      </c>
      <c r="M6126" s="2" t="s">
        <v>198</v>
      </c>
    </row>
    <row r="6127" spans="1:14">
      <c r="A6127" s="2">
        <v>6126</v>
      </c>
      <c r="B6127" s="3" t="s">
        <v>21132</v>
      </c>
      <c r="C6127" s="2" t="s">
        <v>21133</v>
      </c>
      <c r="D6127" s="2">
        <v>29</v>
      </c>
      <c r="E6127" s="2">
        <v>29</v>
      </c>
      <c r="F6127" s="2" t="s">
        <v>21134</v>
      </c>
      <c r="H6127" s="2" t="s">
        <v>17</v>
      </c>
    </row>
    <row r="6128" spans="1:14">
      <c r="A6128" s="2">
        <v>6127</v>
      </c>
      <c r="B6128" s="3" t="s">
        <v>21135</v>
      </c>
      <c r="C6128" s="2" t="s">
        <v>21136</v>
      </c>
      <c r="D6128" s="2">
        <v>25</v>
      </c>
      <c r="E6128" s="2">
        <v>29</v>
      </c>
      <c r="F6128" s="2" t="s">
        <v>21137</v>
      </c>
      <c r="H6128" s="2" t="s">
        <v>17</v>
      </c>
      <c r="M6128" s="2" t="s">
        <v>40</v>
      </c>
    </row>
    <row r="6129" spans="1:14">
      <c r="A6129" s="2">
        <v>6128</v>
      </c>
      <c r="B6129" s="3" t="s">
        <v>21138</v>
      </c>
      <c r="C6129" s="2" t="s">
        <v>21139</v>
      </c>
      <c r="D6129" s="2">
        <v>29</v>
      </c>
      <c r="E6129" s="2">
        <v>29</v>
      </c>
      <c r="F6129" s="2" t="s">
        <v>21140</v>
      </c>
      <c r="H6129" s="2" t="s">
        <v>17</v>
      </c>
    </row>
    <row r="6130" spans="1:14">
      <c r="A6130" s="2">
        <v>6129</v>
      </c>
      <c r="B6130" s="3" t="s">
        <v>21141</v>
      </c>
      <c r="C6130" s="2" t="s">
        <v>21142</v>
      </c>
      <c r="D6130" s="2">
        <v>23</v>
      </c>
      <c r="E6130" s="2">
        <v>29</v>
      </c>
      <c r="F6130" s="2" t="s">
        <v>21143</v>
      </c>
      <c r="H6130" s="2" t="s">
        <v>17</v>
      </c>
      <c r="K6130" s="4" t="s">
        <v>21144</v>
      </c>
      <c r="L6130" s="4">
        <v>8361</v>
      </c>
      <c r="M6130" s="2" t="s">
        <v>198</v>
      </c>
      <c r="N6130" s="2" t="s">
        <v>199</v>
      </c>
    </row>
    <row r="6131" spans="1:14">
      <c r="A6131" s="2">
        <v>6130</v>
      </c>
      <c r="B6131" s="3" t="s">
        <v>21145</v>
      </c>
      <c r="C6131" s="2" t="s">
        <v>21146</v>
      </c>
      <c r="D6131" s="2">
        <v>29</v>
      </c>
      <c r="E6131" s="2">
        <v>29</v>
      </c>
      <c r="F6131" s="2" t="s">
        <v>21147</v>
      </c>
      <c r="H6131" s="2" t="s">
        <v>17</v>
      </c>
      <c r="K6131" s="4" t="s">
        <v>21148</v>
      </c>
      <c r="M6131" s="2" t="s">
        <v>140</v>
      </c>
      <c r="N6131" s="2" t="s">
        <v>4671</v>
      </c>
    </row>
    <row r="6132" spans="1:14">
      <c r="A6132" s="2">
        <v>6131</v>
      </c>
      <c r="B6132" s="3" t="s">
        <v>21149</v>
      </c>
      <c r="C6132" s="2" t="s">
        <v>21150</v>
      </c>
      <c r="D6132" s="2">
        <v>17</v>
      </c>
      <c r="E6132" s="2">
        <v>29</v>
      </c>
      <c r="F6132" s="2" t="s">
        <v>21151</v>
      </c>
      <c r="H6132" s="2" t="s">
        <v>17</v>
      </c>
      <c r="K6132" s="4" t="s">
        <v>21152</v>
      </c>
      <c r="L6132" s="4">
        <v>9972</v>
      </c>
      <c r="M6132" s="2" t="s">
        <v>47</v>
      </c>
      <c r="N6132" s="2" t="s">
        <v>48</v>
      </c>
    </row>
    <row r="6133" spans="1:14">
      <c r="A6133" s="2">
        <v>6132</v>
      </c>
      <c r="B6133" s="3" t="s">
        <v>21153</v>
      </c>
      <c r="C6133" s="2" t="s">
        <v>21154</v>
      </c>
      <c r="D6133" s="2">
        <v>22</v>
      </c>
      <c r="E6133" s="2">
        <v>29</v>
      </c>
      <c r="F6133" s="2" t="s">
        <v>21155</v>
      </c>
      <c r="H6133" s="2" t="s">
        <v>17</v>
      </c>
      <c r="K6133" s="4" t="s">
        <v>21156</v>
      </c>
      <c r="M6133" s="2" t="s">
        <v>198</v>
      </c>
    </row>
    <row r="6134" spans="1:14">
      <c r="A6134" s="2">
        <v>6133</v>
      </c>
      <c r="B6134" s="3" t="s">
        <v>21157</v>
      </c>
      <c r="C6134" s="2" t="s">
        <v>21158</v>
      </c>
      <c r="D6134" s="2">
        <v>29</v>
      </c>
      <c r="E6134" s="2">
        <v>29</v>
      </c>
      <c r="F6134" s="2" t="s">
        <v>21159</v>
      </c>
      <c r="H6134" s="2" t="s">
        <v>17</v>
      </c>
      <c r="K6134" s="4" t="s">
        <v>21160</v>
      </c>
      <c r="L6134" s="4">
        <v>14651</v>
      </c>
      <c r="M6134" s="2" t="s">
        <v>91</v>
      </c>
      <c r="N6134" s="2" t="s">
        <v>11063</v>
      </c>
    </row>
    <row r="6135" spans="1:14">
      <c r="A6135" s="2">
        <v>6134</v>
      </c>
      <c r="B6135" s="3" t="s">
        <v>21161</v>
      </c>
      <c r="C6135" s="2" t="s">
        <v>21162</v>
      </c>
      <c r="D6135" s="2">
        <v>26</v>
      </c>
      <c r="E6135" s="2">
        <v>29</v>
      </c>
      <c r="F6135" s="2" t="s">
        <v>21163</v>
      </c>
      <c r="H6135" s="2" t="s">
        <v>17</v>
      </c>
      <c r="K6135" s="4" t="s">
        <v>21164</v>
      </c>
      <c r="L6135" s="4">
        <v>4860</v>
      </c>
      <c r="M6135" s="2" t="s">
        <v>35</v>
      </c>
      <c r="N6135" s="2" t="s">
        <v>36</v>
      </c>
    </row>
    <row r="6136" spans="1:14">
      <c r="A6136" s="2">
        <v>6135</v>
      </c>
      <c r="B6136" s="3" t="s">
        <v>21165</v>
      </c>
      <c r="C6136" s="2" t="s">
        <v>21166</v>
      </c>
      <c r="D6136" s="2">
        <v>29</v>
      </c>
      <c r="E6136" s="2">
        <v>29</v>
      </c>
      <c r="F6136" s="2" t="s">
        <v>21167</v>
      </c>
      <c r="H6136" s="2" t="s">
        <v>17</v>
      </c>
    </row>
    <row r="6137" spans="1:14">
      <c r="A6137" s="2">
        <v>6136</v>
      </c>
      <c r="B6137" s="3" t="s">
        <v>21168</v>
      </c>
      <c r="C6137" s="2" t="s">
        <v>21169</v>
      </c>
      <c r="D6137" s="2">
        <v>27</v>
      </c>
      <c r="E6137" s="2">
        <v>29</v>
      </c>
      <c r="F6137" s="2" t="s">
        <v>21170</v>
      </c>
      <c r="H6137" s="2" t="s">
        <v>17</v>
      </c>
      <c r="K6137" s="4" t="s">
        <v>21171</v>
      </c>
      <c r="L6137" s="4">
        <v>4977</v>
      </c>
      <c r="M6137" s="2" t="s">
        <v>170</v>
      </c>
      <c r="N6137" s="2" t="s">
        <v>323</v>
      </c>
    </row>
    <row r="6138" spans="1:14">
      <c r="A6138" s="2">
        <v>6137</v>
      </c>
      <c r="B6138" s="3" t="s">
        <v>21172</v>
      </c>
      <c r="C6138" s="2" t="s">
        <v>21173</v>
      </c>
      <c r="D6138" s="2">
        <v>28</v>
      </c>
      <c r="E6138" s="2">
        <v>29</v>
      </c>
      <c r="F6138" s="2" t="s">
        <v>21174</v>
      </c>
      <c r="H6138" s="2" t="s">
        <v>17</v>
      </c>
      <c r="K6138" s="4" t="s">
        <v>21175</v>
      </c>
      <c r="L6138" s="4">
        <v>8165</v>
      </c>
      <c r="M6138" s="2" t="s">
        <v>40</v>
      </c>
    </row>
    <row r="6139" spans="1:14">
      <c r="A6139" s="2">
        <v>6138</v>
      </c>
      <c r="B6139" s="3" t="s">
        <v>21176</v>
      </c>
      <c r="C6139" s="2" t="s">
        <v>21177</v>
      </c>
      <c r="D6139" s="2">
        <v>28</v>
      </c>
      <c r="E6139" s="2">
        <v>29</v>
      </c>
      <c r="F6139" s="2" t="s">
        <v>21178</v>
      </c>
      <c r="H6139" s="2" t="s">
        <v>17</v>
      </c>
      <c r="K6139" s="4" t="s">
        <v>21179</v>
      </c>
      <c r="L6139" s="4">
        <v>5098</v>
      </c>
      <c r="M6139" s="2" t="s">
        <v>185</v>
      </c>
    </row>
    <row r="6140" spans="1:14">
      <c r="A6140" s="2">
        <v>6139</v>
      </c>
      <c r="B6140" s="3" t="s">
        <v>21180</v>
      </c>
      <c r="C6140" s="2" t="s">
        <v>21181</v>
      </c>
      <c r="D6140" s="2">
        <v>28</v>
      </c>
      <c r="E6140" s="2">
        <v>29</v>
      </c>
      <c r="F6140" s="2" t="s">
        <v>21182</v>
      </c>
      <c r="H6140" s="2" t="s">
        <v>17</v>
      </c>
      <c r="L6140" s="4">
        <v>5276</v>
      </c>
    </row>
    <row r="6141" spans="1:14">
      <c r="A6141" s="2">
        <v>6140</v>
      </c>
      <c r="B6141" s="3" t="s">
        <v>21183</v>
      </c>
      <c r="C6141" s="2" t="s">
        <v>21184</v>
      </c>
      <c r="D6141" s="2">
        <v>29</v>
      </c>
      <c r="E6141" s="2">
        <v>29</v>
      </c>
      <c r="F6141" s="2" t="s">
        <v>21185</v>
      </c>
      <c r="H6141" s="2" t="s">
        <v>17</v>
      </c>
    </row>
    <row r="6142" spans="1:14">
      <c r="A6142" s="2">
        <v>6141</v>
      </c>
      <c r="B6142" s="3" t="s">
        <v>21186</v>
      </c>
      <c r="C6142" s="2" t="s">
        <v>21187</v>
      </c>
      <c r="D6142" s="2">
        <v>23</v>
      </c>
      <c r="E6142" s="2">
        <v>29</v>
      </c>
      <c r="F6142" s="2" t="s">
        <v>21188</v>
      </c>
      <c r="H6142" s="2" t="s">
        <v>17</v>
      </c>
      <c r="K6142" s="4" t="s">
        <v>21189</v>
      </c>
      <c r="L6142" s="4">
        <v>8340</v>
      </c>
      <c r="M6142" s="2" t="s">
        <v>140</v>
      </c>
      <c r="N6142" s="2" t="s">
        <v>294</v>
      </c>
    </row>
    <row r="6143" spans="1:14">
      <c r="A6143" s="2">
        <v>6142</v>
      </c>
      <c r="B6143" s="3" t="s">
        <v>21190</v>
      </c>
      <c r="C6143" s="2" t="s">
        <v>21191</v>
      </c>
      <c r="D6143" s="2">
        <v>29</v>
      </c>
      <c r="E6143" s="2">
        <v>29</v>
      </c>
      <c r="F6143" s="2" t="s">
        <v>21192</v>
      </c>
      <c r="H6143" s="2" t="s">
        <v>17</v>
      </c>
      <c r="L6143" s="4">
        <v>4894</v>
      </c>
    </row>
    <row r="6144" spans="1:14">
      <c r="A6144" s="2">
        <v>6143</v>
      </c>
      <c r="B6144" s="3" t="s">
        <v>21193</v>
      </c>
      <c r="C6144" s="2" t="s">
        <v>19521</v>
      </c>
      <c r="D6144" s="2">
        <v>23</v>
      </c>
      <c r="E6144" s="2">
        <v>29</v>
      </c>
      <c r="F6144" s="2" t="s">
        <v>21194</v>
      </c>
      <c r="H6144" s="2" t="s">
        <v>17</v>
      </c>
      <c r="K6144" s="4" t="s">
        <v>21195</v>
      </c>
      <c r="L6144" s="4">
        <v>4751</v>
      </c>
      <c r="M6144" s="2" t="s">
        <v>146</v>
      </c>
    </row>
    <row r="6145" spans="1:14">
      <c r="A6145" s="2">
        <v>6144</v>
      </c>
      <c r="B6145" s="3" t="s">
        <v>21196</v>
      </c>
      <c r="C6145" s="2" t="s">
        <v>21197</v>
      </c>
      <c r="D6145" s="2">
        <v>24</v>
      </c>
      <c r="E6145" s="2">
        <v>29</v>
      </c>
      <c r="F6145" s="2" t="s">
        <v>21198</v>
      </c>
      <c r="H6145" s="2" t="s">
        <v>17</v>
      </c>
      <c r="K6145" s="4" t="s">
        <v>21199</v>
      </c>
      <c r="L6145" s="4">
        <v>9454</v>
      </c>
      <c r="M6145" s="2" t="s">
        <v>35</v>
      </c>
    </row>
    <row r="6146" spans="1:14">
      <c r="A6146" s="2">
        <v>6145</v>
      </c>
      <c r="B6146" s="3" t="s">
        <v>21200</v>
      </c>
      <c r="C6146" s="2" t="s">
        <v>21201</v>
      </c>
      <c r="D6146" s="2">
        <v>29</v>
      </c>
      <c r="E6146" s="2">
        <v>29</v>
      </c>
      <c r="F6146" s="2" t="s">
        <v>21202</v>
      </c>
      <c r="H6146" s="2" t="s">
        <v>17</v>
      </c>
    </row>
    <row r="6147" spans="1:14">
      <c r="A6147" s="2">
        <v>6146</v>
      </c>
      <c r="B6147" s="3" t="s">
        <v>21203</v>
      </c>
      <c r="C6147" s="2" t="s">
        <v>21204</v>
      </c>
      <c r="D6147" s="2">
        <v>26</v>
      </c>
      <c r="E6147" s="2">
        <v>29</v>
      </c>
      <c r="F6147" s="2" t="s">
        <v>21205</v>
      </c>
      <c r="H6147" s="2" t="s">
        <v>17</v>
      </c>
    </row>
    <row r="6148" spans="1:14">
      <c r="A6148" s="2">
        <v>6147</v>
      </c>
      <c r="B6148" s="3" t="s">
        <v>21206</v>
      </c>
      <c r="C6148" s="2" t="s">
        <v>21207</v>
      </c>
      <c r="D6148" s="2">
        <v>28</v>
      </c>
      <c r="E6148" s="2">
        <v>29</v>
      </c>
      <c r="F6148" s="2" t="s">
        <v>21208</v>
      </c>
      <c r="H6148" s="2" t="s">
        <v>17</v>
      </c>
      <c r="K6148" s="4" t="s">
        <v>21209</v>
      </c>
      <c r="M6148" s="2" t="s">
        <v>76</v>
      </c>
      <c r="N6148" s="2" t="s">
        <v>519</v>
      </c>
    </row>
    <row r="6149" spans="1:14">
      <c r="A6149" s="2">
        <v>6148</v>
      </c>
      <c r="B6149" s="3" t="s">
        <v>21210</v>
      </c>
      <c r="C6149" s="2" t="s">
        <v>21211</v>
      </c>
      <c r="D6149" s="2">
        <v>29</v>
      </c>
      <c r="E6149" s="2">
        <v>29</v>
      </c>
      <c r="F6149" s="2" t="s">
        <v>21212</v>
      </c>
      <c r="H6149" s="2" t="s">
        <v>17</v>
      </c>
    </row>
    <row r="6150" spans="1:14">
      <c r="A6150" s="2">
        <v>6149</v>
      </c>
      <c r="B6150" s="3" t="s">
        <v>21213</v>
      </c>
      <c r="C6150" s="2" t="s">
        <v>21214</v>
      </c>
      <c r="D6150" s="2">
        <v>22</v>
      </c>
      <c r="E6150" s="2">
        <v>29</v>
      </c>
      <c r="F6150" s="2" t="s">
        <v>21215</v>
      </c>
      <c r="H6150" s="2" t="s">
        <v>17</v>
      </c>
      <c r="K6150" s="4" t="s">
        <v>21216</v>
      </c>
      <c r="L6150" s="4">
        <v>11845</v>
      </c>
    </row>
    <row r="6151" spans="1:14">
      <c r="A6151" s="2">
        <v>6150</v>
      </c>
      <c r="B6151" s="3" t="s">
        <v>21217</v>
      </c>
      <c r="C6151" s="2" t="s">
        <v>21218</v>
      </c>
      <c r="D6151" s="2">
        <v>23</v>
      </c>
      <c r="E6151" s="2">
        <v>29</v>
      </c>
      <c r="F6151" s="2" t="s">
        <v>21219</v>
      </c>
      <c r="H6151" s="2" t="s">
        <v>17</v>
      </c>
      <c r="K6151" s="4" t="s">
        <v>21220</v>
      </c>
      <c r="M6151" s="2" t="s">
        <v>170</v>
      </c>
      <c r="N6151" s="2" t="s">
        <v>4494</v>
      </c>
    </row>
    <row r="6152" spans="1:14">
      <c r="A6152" s="2">
        <v>6151</v>
      </c>
      <c r="B6152" s="3" t="s">
        <v>21221</v>
      </c>
      <c r="C6152" s="2" t="s">
        <v>21222</v>
      </c>
      <c r="D6152" s="2">
        <v>29</v>
      </c>
      <c r="E6152" s="2">
        <v>29</v>
      </c>
      <c r="F6152" s="2" t="s">
        <v>21223</v>
      </c>
      <c r="H6152" s="2" t="s">
        <v>17</v>
      </c>
      <c r="K6152" s="4" t="s">
        <v>21224</v>
      </c>
      <c r="M6152" s="2" t="s">
        <v>146</v>
      </c>
      <c r="N6152" s="2" t="s">
        <v>147</v>
      </c>
    </row>
    <row r="6153" spans="1:14">
      <c r="A6153" s="2">
        <v>6152</v>
      </c>
      <c r="B6153" s="3" t="s">
        <v>21225</v>
      </c>
      <c r="C6153" s="2" t="s">
        <v>21226</v>
      </c>
      <c r="D6153" s="2">
        <v>25</v>
      </c>
      <c r="E6153" s="2">
        <v>29</v>
      </c>
      <c r="F6153" s="2" t="s">
        <v>21227</v>
      </c>
      <c r="H6153" s="2" t="s">
        <v>17</v>
      </c>
      <c r="K6153" s="4" t="s">
        <v>21228</v>
      </c>
      <c r="L6153" s="4">
        <v>4961</v>
      </c>
      <c r="M6153" s="2" t="s">
        <v>85</v>
      </c>
      <c r="N6153" s="2" t="s">
        <v>11322</v>
      </c>
    </row>
    <row r="6154" spans="1:14">
      <c r="A6154" s="2">
        <v>6153</v>
      </c>
      <c r="B6154" s="3" t="s">
        <v>21229</v>
      </c>
      <c r="C6154" s="2" t="s">
        <v>21230</v>
      </c>
      <c r="D6154" s="2">
        <v>29</v>
      </c>
      <c r="E6154" s="2">
        <v>29</v>
      </c>
      <c r="F6154" s="2" t="s">
        <v>21231</v>
      </c>
      <c r="H6154" s="2" t="s">
        <v>17</v>
      </c>
      <c r="K6154" s="4" t="s">
        <v>21232</v>
      </c>
      <c r="L6154" s="4">
        <v>9064</v>
      </c>
      <c r="M6154" s="2" t="s">
        <v>40</v>
      </c>
      <c r="N6154" s="2" t="s">
        <v>2157</v>
      </c>
    </row>
    <row r="6155" spans="1:14">
      <c r="A6155" s="2">
        <v>6154</v>
      </c>
      <c r="B6155" s="3" t="s">
        <v>21233</v>
      </c>
      <c r="C6155" s="2" t="s">
        <v>21234</v>
      </c>
      <c r="D6155" s="2">
        <v>29</v>
      </c>
      <c r="E6155" s="2">
        <v>29</v>
      </c>
      <c r="F6155" s="2" t="s">
        <v>21235</v>
      </c>
      <c r="H6155" s="2" t="s">
        <v>17</v>
      </c>
    </row>
    <row r="6156" spans="1:14">
      <c r="A6156" s="2">
        <v>6155</v>
      </c>
      <c r="B6156" s="3" t="s">
        <v>21236</v>
      </c>
      <c r="C6156" s="2" t="s">
        <v>21237</v>
      </c>
      <c r="D6156" s="2">
        <v>28</v>
      </c>
      <c r="E6156" s="2">
        <v>28</v>
      </c>
      <c r="F6156" s="2" t="s">
        <v>21238</v>
      </c>
      <c r="H6156" s="2" t="s">
        <v>17</v>
      </c>
      <c r="K6156" s="4" t="s">
        <v>21239</v>
      </c>
      <c r="L6156" s="4">
        <v>13072</v>
      </c>
      <c r="M6156" s="2" t="s">
        <v>35</v>
      </c>
      <c r="N6156" s="2" t="s">
        <v>11458</v>
      </c>
    </row>
    <row r="6157" spans="1:14">
      <c r="A6157" s="2">
        <v>6156</v>
      </c>
      <c r="B6157" s="3" t="s">
        <v>21240</v>
      </c>
      <c r="C6157" s="2" t="s">
        <v>21241</v>
      </c>
      <c r="D6157" s="2">
        <v>25</v>
      </c>
      <c r="E6157" s="2">
        <v>28</v>
      </c>
      <c r="F6157" s="2" t="s">
        <v>21242</v>
      </c>
      <c r="H6157" s="2" t="s">
        <v>17</v>
      </c>
      <c r="K6157" s="4" t="s">
        <v>21243</v>
      </c>
      <c r="M6157" s="2" t="s">
        <v>198</v>
      </c>
      <c r="N6157" s="2" t="s">
        <v>199</v>
      </c>
    </row>
    <row r="6158" spans="1:14">
      <c r="A6158" s="2">
        <v>6157</v>
      </c>
      <c r="B6158" s="3" t="s">
        <v>21244</v>
      </c>
      <c r="C6158" s="2" t="s">
        <v>21245</v>
      </c>
      <c r="D6158" s="2">
        <v>22</v>
      </c>
      <c r="E6158" s="2">
        <v>28</v>
      </c>
      <c r="F6158" s="2" t="s">
        <v>21246</v>
      </c>
      <c r="H6158" s="2" t="s">
        <v>17</v>
      </c>
      <c r="K6158" s="4" t="s">
        <v>21247</v>
      </c>
      <c r="L6158" s="4">
        <v>6807</v>
      </c>
      <c r="M6158" s="2" t="s">
        <v>170</v>
      </c>
      <c r="N6158" s="2" t="s">
        <v>3452</v>
      </c>
    </row>
    <row r="6159" spans="1:14">
      <c r="A6159" s="2">
        <v>6158</v>
      </c>
      <c r="B6159" s="3" t="s">
        <v>21248</v>
      </c>
      <c r="C6159" s="2" t="s">
        <v>21249</v>
      </c>
      <c r="D6159" s="2">
        <v>22</v>
      </c>
      <c r="E6159" s="2">
        <v>28</v>
      </c>
      <c r="F6159" s="2" t="s">
        <v>21250</v>
      </c>
      <c r="H6159" s="2" t="s">
        <v>17</v>
      </c>
      <c r="K6159" s="4" t="s">
        <v>21251</v>
      </c>
      <c r="L6159" s="4">
        <v>11537</v>
      </c>
      <c r="M6159" s="2" t="s">
        <v>66</v>
      </c>
      <c r="N6159" s="2" t="s">
        <v>359</v>
      </c>
    </row>
    <row r="6160" spans="1:14">
      <c r="A6160" s="2">
        <v>6159</v>
      </c>
      <c r="B6160" s="3" t="s">
        <v>21252</v>
      </c>
      <c r="C6160" s="2" t="s">
        <v>21253</v>
      </c>
      <c r="D6160" s="2">
        <v>28</v>
      </c>
      <c r="E6160" s="2">
        <v>28</v>
      </c>
      <c r="F6160" s="2" t="s">
        <v>21254</v>
      </c>
      <c r="H6160" s="2" t="s">
        <v>17</v>
      </c>
      <c r="K6160" s="4" t="s">
        <v>21255</v>
      </c>
      <c r="L6160" s="4">
        <v>9064</v>
      </c>
      <c r="M6160" s="2" t="s">
        <v>170</v>
      </c>
      <c r="N6160" s="2" t="s">
        <v>12454</v>
      </c>
    </row>
    <row r="6161" spans="1:14">
      <c r="A6161" s="2">
        <v>6160</v>
      </c>
      <c r="B6161" s="3" t="s">
        <v>21256</v>
      </c>
      <c r="C6161" s="2" t="s">
        <v>21257</v>
      </c>
      <c r="D6161" s="2">
        <v>28</v>
      </c>
      <c r="E6161" s="2">
        <v>28</v>
      </c>
      <c r="F6161" s="2" t="s">
        <v>21258</v>
      </c>
      <c r="H6161" s="2" t="s">
        <v>17</v>
      </c>
      <c r="K6161" s="4" t="s">
        <v>21259</v>
      </c>
      <c r="L6161" s="4">
        <v>7395</v>
      </c>
    </row>
    <row r="6162" spans="1:14">
      <c r="A6162" s="2">
        <v>6161</v>
      </c>
      <c r="B6162" s="3" t="s">
        <v>21260</v>
      </c>
      <c r="C6162" s="2" t="s">
        <v>19063</v>
      </c>
      <c r="D6162" s="2">
        <v>17</v>
      </c>
      <c r="E6162" s="2">
        <v>28</v>
      </c>
      <c r="F6162" s="2" t="s">
        <v>21261</v>
      </c>
      <c r="H6162" s="2" t="s">
        <v>17</v>
      </c>
      <c r="K6162" s="4" t="s">
        <v>21262</v>
      </c>
      <c r="L6162" s="4">
        <v>6435</v>
      </c>
      <c r="M6162" s="2" t="s">
        <v>66</v>
      </c>
      <c r="N6162" s="2" t="s">
        <v>3640</v>
      </c>
    </row>
    <row r="6163" spans="1:14">
      <c r="A6163" s="2">
        <v>6162</v>
      </c>
      <c r="B6163" s="3" t="s">
        <v>21263</v>
      </c>
      <c r="C6163" s="2" t="s">
        <v>21264</v>
      </c>
      <c r="D6163" s="2">
        <v>28</v>
      </c>
      <c r="E6163" s="2">
        <v>28</v>
      </c>
      <c r="F6163" s="2" t="s">
        <v>21265</v>
      </c>
      <c r="H6163" s="2" t="s">
        <v>17</v>
      </c>
      <c r="K6163" s="4" t="s">
        <v>21266</v>
      </c>
      <c r="L6163" s="4">
        <v>7965</v>
      </c>
    </row>
    <row r="6164" spans="1:14">
      <c r="A6164" s="2">
        <v>6163</v>
      </c>
      <c r="B6164" s="3" t="s">
        <v>21267</v>
      </c>
      <c r="C6164" s="2" t="s">
        <v>21268</v>
      </c>
      <c r="D6164" s="2">
        <v>18</v>
      </c>
      <c r="E6164" s="2">
        <v>28</v>
      </c>
      <c r="F6164" s="2" t="s">
        <v>21269</v>
      </c>
      <c r="H6164" s="2" t="s">
        <v>17</v>
      </c>
      <c r="K6164" s="4" t="s">
        <v>20500</v>
      </c>
      <c r="L6164" s="4">
        <v>9322</v>
      </c>
      <c r="M6164" s="2" t="s">
        <v>40</v>
      </c>
    </row>
    <row r="6165" spans="1:14">
      <c r="A6165" s="2">
        <v>6164</v>
      </c>
      <c r="B6165" s="3" t="s">
        <v>21270</v>
      </c>
      <c r="C6165" s="2" t="s">
        <v>21271</v>
      </c>
      <c r="D6165" s="2">
        <v>27</v>
      </c>
      <c r="E6165" s="2">
        <v>28</v>
      </c>
      <c r="F6165" s="2" t="s">
        <v>21272</v>
      </c>
      <c r="H6165" s="2" t="s">
        <v>17</v>
      </c>
      <c r="L6165" s="4">
        <v>4189</v>
      </c>
    </row>
    <row r="6166" spans="1:14">
      <c r="A6166" s="2">
        <v>6165</v>
      </c>
      <c r="B6166" s="3" t="s">
        <v>21273</v>
      </c>
      <c r="C6166" s="2" t="s">
        <v>21274</v>
      </c>
      <c r="D6166" s="2">
        <v>22</v>
      </c>
      <c r="E6166" s="2">
        <v>28</v>
      </c>
      <c r="F6166" s="2" t="s">
        <v>9438</v>
      </c>
      <c r="H6166" s="2" t="s">
        <v>17</v>
      </c>
      <c r="M6166" s="2" t="s">
        <v>969</v>
      </c>
      <c r="N6166" s="2" t="s">
        <v>323</v>
      </c>
    </row>
    <row r="6167" spans="1:14">
      <c r="A6167" s="2">
        <v>6166</v>
      </c>
      <c r="B6167" s="3" t="s">
        <v>21275</v>
      </c>
      <c r="C6167" s="2" t="s">
        <v>21276</v>
      </c>
      <c r="D6167" s="2">
        <v>26</v>
      </c>
      <c r="E6167" s="2">
        <v>28</v>
      </c>
      <c r="F6167" s="2" t="s">
        <v>21277</v>
      </c>
      <c r="H6167" s="2" t="s">
        <v>17</v>
      </c>
      <c r="K6167" s="4" t="s">
        <v>21278</v>
      </c>
      <c r="L6167" s="4">
        <v>4800</v>
      </c>
      <c r="M6167" s="2" t="s">
        <v>192</v>
      </c>
      <c r="N6167" s="2" t="s">
        <v>7036</v>
      </c>
    </row>
    <row r="6168" spans="1:14">
      <c r="A6168" s="2">
        <v>6167</v>
      </c>
      <c r="B6168" s="3" t="s">
        <v>21279</v>
      </c>
      <c r="C6168" s="2" t="s">
        <v>21280</v>
      </c>
      <c r="D6168" s="2">
        <v>27</v>
      </c>
      <c r="E6168" s="2">
        <v>28</v>
      </c>
      <c r="F6168" s="2" t="s">
        <v>21281</v>
      </c>
      <c r="H6168" s="2" t="s">
        <v>17</v>
      </c>
      <c r="K6168" s="4" t="s">
        <v>21282</v>
      </c>
      <c r="L6168" s="4">
        <v>10946</v>
      </c>
      <c r="M6168" s="2" t="s">
        <v>40</v>
      </c>
      <c r="N6168" s="2" t="s">
        <v>41</v>
      </c>
    </row>
    <row r="6169" spans="1:14">
      <c r="A6169" s="2">
        <v>6168</v>
      </c>
      <c r="B6169" s="3" t="s">
        <v>21283</v>
      </c>
      <c r="C6169" s="2" t="s">
        <v>21284</v>
      </c>
      <c r="D6169" s="2">
        <v>26</v>
      </c>
      <c r="E6169" s="2">
        <v>28</v>
      </c>
      <c r="F6169" s="2" t="s">
        <v>21285</v>
      </c>
      <c r="H6169" s="2" t="s">
        <v>17</v>
      </c>
      <c r="K6169" s="4" t="s">
        <v>19602</v>
      </c>
      <c r="L6169" s="4">
        <v>8972</v>
      </c>
      <c r="M6169" s="2" t="s">
        <v>35</v>
      </c>
      <c r="N6169" s="2" t="s">
        <v>5201</v>
      </c>
    </row>
    <row r="6170" spans="1:14">
      <c r="A6170" s="2">
        <v>6169</v>
      </c>
      <c r="B6170" s="3" t="s">
        <v>21286</v>
      </c>
      <c r="C6170" s="2" t="s">
        <v>21287</v>
      </c>
      <c r="D6170" s="2">
        <v>22</v>
      </c>
      <c r="E6170" s="2">
        <v>28</v>
      </c>
      <c r="F6170" s="2" t="s">
        <v>21288</v>
      </c>
      <c r="H6170" s="2" t="s">
        <v>17</v>
      </c>
      <c r="K6170" s="4" t="s">
        <v>21289</v>
      </c>
      <c r="L6170" s="4">
        <v>10444</v>
      </c>
      <c r="M6170" s="2" t="s">
        <v>35</v>
      </c>
      <c r="N6170" s="2" t="s">
        <v>15768</v>
      </c>
    </row>
    <row r="6171" spans="1:14">
      <c r="A6171" s="2">
        <v>6170</v>
      </c>
      <c r="B6171" s="3" t="s">
        <v>21290</v>
      </c>
      <c r="C6171" s="2" t="s">
        <v>21291</v>
      </c>
      <c r="D6171" s="2">
        <v>26</v>
      </c>
      <c r="E6171" s="2">
        <v>28</v>
      </c>
      <c r="F6171" s="2" t="s">
        <v>21292</v>
      </c>
      <c r="H6171" s="2" t="s">
        <v>17</v>
      </c>
      <c r="K6171" s="4" t="s">
        <v>21293</v>
      </c>
      <c r="L6171" s="4">
        <v>8249</v>
      </c>
      <c r="M6171" s="2" t="s">
        <v>170</v>
      </c>
      <c r="N6171" s="2" t="s">
        <v>784</v>
      </c>
    </row>
    <row r="6172" spans="1:14">
      <c r="A6172" s="2">
        <v>6171</v>
      </c>
      <c r="B6172" s="3" t="s">
        <v>21294</v>
      </c>
      <c r="C6172" s="2" t="s">
        <v>21295</v>
      </c>
      <c r="D6172" s="2">
        <v>24</v>
      </c>
      <c r="E6172" s="2">
        <v>28</v>
      </c>
      <c r="F6172" s="2" t="s">
        <v>21296</v>
      </c>
      <c r="H6172" s="2" t="s">
        <v>17</v>
      </c>
      <c r="K6172" s="4" t="s">
        <v>21297</v>
      </c>
      <c r="L6172" s="4">
        <v>6823</v>
      </c>
      <c r="M6172" s="2" t="s">
        <v>66</v>
      </c>
      <c r="N6172" s="2" t="s">
        <v>71</v>
      </c>
    </row>
    <row r="6173" spans="1:14">
      <c r="A6173" s="2">
        <v>6172</v>
      </c>
      <c r="B6173" s="3" t="s">
        <v>21298</v>
      </c>
      <c r="C6173" s="2" t="s">
        <v>21299</v>
      </c>
      <c r="D6173" s="2">
        <v>25</v>
      </c>
      <c r="E6173" s="2">
        <v>28</v>
      </c>
      <c r="F6173" s="2" t="s">
        <v>21300</v>
      </c>
      <c r="H6173" s="2" t="s">
        <v>17</v>
      </c>
      <c r="K6173" s="4" t="s">
        <v>21301</v>
      </c>
      <c r="L6173" s="4">
        <v>12838</v>
      </c>
    </row>
    <row r="6174" spans="1:14">
      <c r="A6174" s="2">
        <v>6173</v>
      </c>
      <c r="B6174" s="3" t="s">
        <v>21302</v>
      </c>
      <c r="C6174" s="2" t="s">
        <v>21303</v>
      </c>
      <c r="D6174" s="2">
        <v>22</v>
      </c>
      <c r="E6174" s="2">
        <v>28</v>
      </c>
      <c r="F6174" s="2" t="s">
        <v>21304</v>
      </c>
      <c r="H6174" s="2" t="s">
        <v>17</v>
      </c>
      <c r="K6174" s="4" t="s">
        <v>21305</v>
      </c>
      <c r="L6174" s="4">
        <v>4636</v>
      </c>
      <c r="M6174" s="2" t="s">
        <v>66</v>
      </c>
      <c r="N6174" s="2" t="s">
        <v>3640</v>
      </c>
    </row>
    <row r="6175" spans="1:14">
      <c r="A6175" s="2">
        <v>6174</v>
      </c>
      <c r="B6175" s="3" t="s">
        <v>21306</v>
      </c>
      <c r="C6175" s="2" t="s">
        <v>21307</v>
      </c>
      <c r="D6175" s="2">
        <v>28</v>
      </c>
      <c r="E6175" s="2">
        <v>28</v>
      </c>
      <c r="F6175" s="2" t="s">
        <v>21308</v>
      </c>
      <c r="H6175" s="2" t="s">
        <v>17</v>
      </c>
    </row>
    <row r="6176" spans="1:14">
      <c r="A6176" s="2">
        <v>6175</v>
      </c>
      <c r="B6176" s="3" t="s">
        <v>21309</v>
      </c>
      <c r="C6176" s="2" t="s">
        <v>17860</v>
      </c>
      <c r="D6176" s="2">
        <v>28</v>
      </c>
      <c r="E6176" s="2">
        <v>28</v>
      </c>
      <c r="F6176" s="2" t="s">
        <v>21310</v>
      </c>
      <c r="H6176" s="2" t="s">
        <v>17</v>
      </c>
      <c r="K6176" s="4" t="s">
        <v>21311</v>
      </c>
      <c r="L6176" s="4">
        <v>7488</v>
      </c>
      <c r="M6176" s="2" t="s">
        <v>35</v>
      </c>
      <c r="N6176" s="2" t="s">
        <v>12700</v>
      </c>
    </row>
    <row r="6177" spans="1:14">
      <c r="A6177" s="2">
        <v>6176</v>
      </c>
      <c r="B6177" s="3" t="s">
        <v>21312</v>
      </c>
      <c r="C6177" s="2" t="s">
        <v>21313</v>
      </c>
      <c r="D6177" s="2">
        <v>28</v>
      </c>
      <c r="E6177" s="2">
        <v>28</v>
      </c>
      <c r="F6177" s="2" t="s">
        <v>21314</v>
      </c>
      <c r="H6177" s="2" t="s">
        <v>17</v>
      </c>
      <c r="K6177" s="4" t="s">
        <v>21315</v>
      </c>
      <c r="L6177" s="4">
        <v>10130</v>
      </c>
      <c r="M6177" s="2" t="s">
        <v>146</v>
      </c>
      <c r="N6177" s="2" t="s">
        <v>2261</v>
      </c>
    </row>
    <row r="6178" spans="1:14">
      <c r="A6178" s="2">
        <v>6177</v>
      </c>
      <c r="B6178" s="3" t="s">
        <v>21316</v>
      </c>
      <c r="C6178" s="2" t="s">
        <v>21317</v>
      </c>
      <c r="D6178" s="2">
        <v>27</v>
      </c>
      <c r="E6178" s="2">
        <v>28</v>
      </c>
      <c r="F6178" s="2" t="s">
        <v>21318</v>
      </c>
      <c r="H6178" s="2" t="s">
        <v>17</v>
      </c>
    </row>
    <row r="6179" spans="1:14">
      <c r="A6179" s="2">
        <v>6178</v>
      </c>
      <c r="B6179" s="3" t="s">
        <v>21319</v>
      </c>
      <c r="C6179" s="2" t="s">
        <v>21320</v>
      </c>
      <c r="D6179" s="2">
        <v>26</v>
      </c>
      <c r="E6179" s="2">
        <v>28</v>
      </c>
      <c r="F6179" s="2" t="s">
        <v>21321</v>
      </c>
      <c r="H6179" s="2" t="s">
        <v>17</v>
      </c>
    </row>
    <row r="6180" spans="1:14">
      <c r="A6180" s="2">
        <v>6179</v>
      </c>
      <c r="B6180" s="3" t="s">
        <v>21322</v>
      </c>
      <c r="C6180" s="2" t="s">
        <v>21323</v>
      </c>
      <c r="D6180" s="2">
        <v>26</v>
      </c>
      <c r="E6180" s="2">
        <v>28</v>
      </c>
      <c r="F6180" s="2" t="s">
        <v>21324</v>
      </c>
      <c r="H6180" s="2" t="s">
        <v>17</v>
      </c>
    </row>
    <row r="6181" spans="1:14">
      <c r="A6181" s="2">
        <v>6180</v>
      </c>
      <c r="B6181" s="3" t="s">
        <v>21325</v>
      </c>
      <c r="C6181" s="2" t="s">
        <v>21326</v>
      </c>
      <c r="D6181" s="2">
        <v>27</v>
      </c>
      <c r="E6181" s="2">
        <v>28</v>
      </c>
      <c r="F6181" s="2" t="s">
        <v>21327</v>
      </c>
      <c r="H6181" s="2" t="s">
        <v>17</v>
      </c>
      <c r="K6181" s="4" t="s">
        <v>19847</v>
      </c>
      <c r="L6181" s="4">
        <v>4624</v>
      </c>
      <c r="M6181" s="2" t="s">
        <v>35</v>
      </c>
      <c r="N6181" s="2" t="s">
        <v>8212</v>
      </c>
    </row>
    <row r="6182" spans="1:14">
      <c r="A6182" s="2">
        <v>6181</v>
      </c>
      <c r="B6182" s="3" t="s">
        <v>21328</v>
      </c>
      <c r="C6182" s="2" t="s">
        <v>21329</v>
      </c>
      <c r="D6182" s="2">
        <v>28</v>
      </c>
      <c r="E6182" s="2">
        <v>28</v>
      </c>
      <c r="F6182" s="2" t="s">
        <v>21329</v>
      </c>
      <c r="H6182" s="2" t="s">
        <v>17</v>
      </c>
      <c r="K6182" s="4" t="s">
        <v>21330</v>
      </c>
      <c r="L6182" s="4">
        <v>10290</v>
      </c>
      <c r="M6182" s="2" t="s">
        <v>35</v>
      </c>
      <c r="N6182" s="2" t="s">
        <v>12348</v>
      </c>
    </row>
    <row r="6183" spans="1:14">
      <c r="A6183" s="2">
        <v>6182</v>
      </c>
      <c r="B6183" s="3" t="s">
        <v>21331</v>
      </c>
      <c r="C6183" s="2" t="s">
        <v>21332</v>
      </c>
      <c r="D6183" s="2">
        <v>27</v>
      </c>
      <c r="E6183" s="2">
        <v>28</v>
      </c>
      <c r="F6183" s="2" t="s">
        <v>21333</v>
      </c>
      <c r="H6183" s="2" t="s">
        <v>17</v>
      </c>
      <c r="L6183" s="4">
        <v>16254</v>
      </c>
    </row>
    <row r="6184" spans="1:14">
      <c r="A6184" s="2">
        <v>6183</v>
      </c>
      <c r="B6184" s="3" t="s">
        <v>21334</v>
      </c>
      <c r="C6184" s="2" t="s">
        <v>21335</v>
      </c>
      <c r="D6184" s="2">
        <v>25</v>
      </c>
      <c r="E6184" s="2">
        <v>28</v>
      </c>
      <c r="F6184" s="2" t="s">
        <v>21336</v>
      </c>
      <c r="H6184" s="2" t="s">
        <v>17</v>
      </c>
      <c r="K6184" s="4" t="s">
        <v>21337</v>
      </c>
      <c r="L6184" s="4">
        <v>4031</v>
      </c>
    </row>
    <row r="6185" spans="1:14">
      <c r="A6185" s="2">
        <v>6184</v>
      </c>
      <c r="B6185" s="3" t="s">
        <v>21338</v>
      </c>
      <c r="C6185" s="2" t="s">
        <v>21339</v>
      </c>
      <c r="D6185" s="2">
        <v>25</v>
      </c>
      <c r="E6185" s="2">
        <v>28</v>
      </c>
      <c r="F6185" s="2" t="s">
        <v>21340</v>
      </c>
      <c r="H6185" s="2" t="s">
        <v>17</v>
      </c>
      <c r="K6185" s="4" t="s">
        <v>21341</v>
      </c>
      <c r="L6185" s="4">
        <v>10322</v>
      </c>
      <c r="M6185" s="2" t="s">
        <v>198</v>
      </c>
      <c r="N6185" s="2" t="s">
        <v>199</v>
      </c>
    </row>
    <row r="6186" spans="1:14">
      <c r="A6186" s="2">
        <v>6185</v>
      </c>
      <c r="B6186" s="3" t="s">
        <v>21342</v>
      </c>
      <c r="C6186" s="2" t="s">
        <v>21343</v>
      </c>
      <c r="D6186" s="2">
        <v>28</v>
      </c>
      <c r="E6186" s="2">
        <v>28</v>
      </c>
      <c r="F6186" s="2" t="s">
        <v>21344</v>
      </c>
      <c r="H6186" s="2" t="s">
        <v>17</v>
      </c>
      <c r="K6186" s="4" t="s">
        <v>21345</v>
      </c>
      <c r="L6186" s="4">
        <v>16054</v>
      </c>
      <c r="M6186" s="2" t="s">
        <v>85</v>
      </c>
      <c r="N6186" s="2" t="s">
        <v>13061</v>
      </c>
    </row>
    <row r="6187" spans="1:14">
      <c r="A6187" s="2">
        <v>6186</v>
      </c>
      <c r="B6187" s="3" t="s">
        <v>21346</v>
      </c>
      <c r="C6187" s="2" t="s">
        <v>21347</v>
      </c>
      <c r="D6187" s="2">
        <v>27</v>
      </c>
      <c r="E6187" s="2">
        <v>28</v>
      </c>
      <c r="F6187" s="2" t="s">
        <v>21348</v>
      </c>
      <c r="H6187" s="2" t="s">
        <v>17</v>
      </c>
      <c r="K6187" s="4" t="s">
        <v>21349</v>
      </c>
      <c r="L6187" s="4">
        <v>9866</v>
      </c>
      <c r="M6187" s="2" t="s">
        <v>198</v>
      </c>
      <c r="N6187" s="2" t="s">
        <v>199</v>
      </c>
    </row>
    <row r="6188" spans="1:14">
      <c r="A6188" s="2">
        <v>6187</v>
      </c>
      <c r="B6188" s="3" t="s">
        <v>21350</v>
      </c>
      <c r="C6188" s="2" t="s">
        <v>21351</v>
      </c>
      <c r="D6188" s="2">
        <v>27</v>
      </c>
      <c r="E6188" s="2">
        <v>28</v>
      </c>
      <c r="F6188" s="2" t="s">
        <v>21352</v>
      </c>
      <c r="H6188" s="2" t="s">
        <v>17</v>
      </c>
      <c r="K6188" s="4" t="s">
        <v>21353</v>
      </c>
      <c r="L6188" s="4">
        <v>5133</v>
      </c>
      <c r="M6188" s="2" t="s">
        <v>30</v>
      </c>
      <c r="N6188" s="2" t="s">
        <v>31</v>
      </c>
    </row>
    <row r="6189" spans="1:14">
      <c r="A6189" s="2">
        <v>6188</v>
      </c>
      <c r="B6189" s="3" t="s">
        <v>21354</v>
      </c>
      <c r="C6189" s="2" t="s">
        <v>21355</v>
      </c>
      <c r="D6189" s="2">
        <v>28</v>
      </c>
      <c r="E6189" s="2">
        <v>28</v>
      </c>
      <c r="F6189" s="2" t="s">
        <v>21356</v>
      </c>
      <c r="H6189" s="2" t="s">
        <v>17</v>
      </c>
    </row>
    <row r="6190" spans="1:14">
      <c r="A6190" s="2">
        <v>6189</v>
      </c>
      <c r="B6190" s="3" t="s">
        <v>21357</v>
      </c>
      <c r="C6190" s="2" t="s">
        <v>21358</v>
      </c>
      <c r="D6190" s="2">
        <v>26</v>
      </c>
      <c r="E6190" s="2">
        <v>28</v>
      </c>
      <c r="F6190" s="2" t="s">
        <v>21359</v>
      </c>
      <c r="H6190" s="2" t="s">
        <v>17</v>
      </c>
      <c r="K6190" s="4" t="s">
        <v>21360</v>
      </c>
      <c r="L6190" s="4">
        <v>4316</v>
      </c>
      <c r="M6190" s="2" t="s">
        <v>47</v>
      </c>
      <c r="N6190" s="2" t="s">
        <v>4066</v>
      </c>
    </row>
    <row r="6191" spans="1:14">
      <c r="A6191" s="2">
        <v>6190</v>
      </c>
      <c r="B6191" s="3" t="s">
        <v>21361</v>
      </c>
      <c r="C6191" s="2" t="s">
        <v>17982</v>
      </c>
      <c r="D6191" s="2">
        <v>28</v>
      </c>
      <c r="E6191" s="2">
        <v>28</v>
      </c>
      <c r="F6191" s="2" t="s">
        <v>21362</v>
      </c>
      <c r="H6191" s="2" t="s">
        <v>17</v>
      </c>
      <c r="K6191" s="4" t="s">
        <v>21363</v>
      </c>
      <c r="L6191" s="4">
        <v>4329</v>
      </c>
      <c r="M6191" s="2" t="s">
        <v>18</v>
      </c>
      <c r="N6191" s="2" t="s">
        <v>19</v>
      </c>
    </row>
    <row r="6192" spans="1:14">
      <c r="A6192" s="2">
        <v>6191</v>
      </c>
      <c r="B6192" s="3" t="s">
        <v>21364</v>
      </c>
      <c r="C6192" s="2" t="s">
        <v>21365</v>
      </c>
      <c r="D6192" s="2">
        <v>25</v>
      </c>
      <c r="E6192" s="2">
        <v>28</v>
      </c>
      <c r="F6192" s="2" t="s">
        <v>21366</v>
      </c>
      <c r="H6192" s="2" t="s">
        <v>17</v>
      </c>
      <c r="K6192" s="4" t="s">
        <v>21367</v>
      </c>
      <c r="L6192" s="4">
        <v>4055</v>
      </c>
      <c r="M6192" s="2" t="s">
        <v>66</v>
      </c>
      <c r="N6192" s="2" t="s">
        <v>1201</v>
      </c>
    </row>
    <row r="6193" spans="1:14">
      <c r="A6193" s="2">
        <v>6192</v>
      </c>
      <c r="B6193" s="3" t="s">
        <v>21368</v>
      </c>
      <c r="C6193" s="2" t="s">
        <v>21369</v>
      </c>
      <c r="D6193" s="2">
        <v>25</v>
      </c>
      <c r="E6193" s="2">
        <v>28</v>
      </c>
      <c r="F6193" s="2" t="s">
        <v>21370</v>
      </c>
      <c r="H6193" s="2" t="s">
        <v>17</v>
      </c>
      <c r="K6193" s="4" t="s">
        <v>21371</v>
      </c>
      <c r="L6193" s="4">
        <v>5437</v>
      </c>
      <c r="M6193" s="2" t="s">
        <v>85</v>
      </c>
      <c r="N6193" s="2" t="s">
        <v>86</v>
      </c>
    </row>
    <row r="6194" spans="1:14">
      <c r="A6194" s="2">
        <v>6193</v>
      </c>
      <c r="B6194" s="3" t="s">
        <v>21372</v>
      </c>
      <c r="C6194" s="2" t="s">
        <v>21373</v>
      </c>
      <c r="D6194" s="2">
        <v>28</v>
      </c>
      <c r="E6194" s="2">
        <v>28</v>
      </c>
      <c r="F6194" s="2" t="s">
        <v>21374</v>
      </c>
      <c r="H6194" s="2" t="s">
        <v>17</v>
      </c>
      <c r="K6194" s="4" t="s">
        <v>21375</v>
      </c>
    </row>
    <row r="6195" spans="1:14">
      <c r="A6195" s="2">
        <v>6194</v>
      </c>
      <c r="B6195" s="3" t="s">
        <v>21376</v>
      </c>
      <c r="C6195" s="2" t="s">
        <v>21377</v>
      </c>
      <c r="D6195" s="2">
        <v>28</v>
      </c>
      <c r="E6195" s="2">
        <v>28</v>
      </c>
      <c r="F6195" s="2" t="s">
        <v>21378</v>
      </c>
      <c r="H6195" s="2" t="s">
        <v>17</v>
      </c>
      <c r="K6195" s="4" t="s">
        <v>21379</v>
      </c>
      <c r="L6195" s="4">
        <v>4985</v>
      </c>
      <c r="M6195" s="2" t="s">
        <v>91</v>
      </c>
      <c r="N6195" s="2" t="s">
        <v>92</v>
      </c>
    </row>
    <row r="6196" spans="1:14">
      <c r="A6196" s="2">
        <v>6195</v>
      </c>
      <c r="B6196" s="3" t="s">
        <v>21380</v>
      </c>
      <c r="C6196" s="2" t="s">
        <v>21381</v>
      </c>
      <c r="D6196" s="2">
        <v>20</v>
      </c>
      <c r="E6196" s="2">
        <v>28</v>
      </c>
      <c r="F6196" s="2" t="s">
        <v>21382</v>
      </c>
      <c r="H6196" s="2" t="s">
        <v>17</v>
      </c>
      <c r="K6196" s="4" t="s">
        <v>21383</v>
      </c>
      <c r="L6196" s="4">
        <v>5046</v>
      </c>
      <c r="M6196" s="2" t="s">
        <v>35</v>
      </c>
      <c r="N6196" s="2" t="s">
        <v>18682</v>
      </c>
    </row>
    <row r="6197" spans="1:14">
      <c r="A6197" s="2">
        <v>6196</v>
      </c>
      <c r="B6197" s="3" t="s">
        <v>21384</v>
      </c>
      <c r="C6197" s="2" t="s">
        <v>21385</v>
      </c>
      <c r="D6197" s="2">
        <v>28</v>
      </c>
      <c r="E6197" s="2">
        <v>28</v>
      </c>
      <c r="F6197" s="2" t="s">
        <v>21386</v>
      </c>
      <c r="H6197" s="2" t="s">
        <v>17</v>
      </c>
      <c r="K6197" s="4" t="s">
        <v>21387</v>
      </c>
      <c r="L6197" s="4">
        <v>7600</v>
      </c>
      <c r="M6197" s="2" t="s">
        <v>170</v>
      </c>
      <c r="N6197" s="2" t="s">
        <v>323</v>
      </c>
    </row>
    <row r="6198" spans="1:14">
      <c r="A6198" s="2">
        <v>6197</v>
      </c>
      <c r="B6198" s="3" t="s">
        <v>21388</v>
      </c>
      <c r="C6198" s="2" t="s">
        <v>21389</v>
      </c>
      <c r="D6198" s="2">
        <v>26</v>
      </c>
      <c r="E6198" s="2">
        <v>28</v>
      </c>
      <c r="F6198" s="2" t="s">
        <v>21390</v>
      </c>
      <c r="H6198" s="2" t="s">
        <v>17</v>
      </c>
      <c r="K6198" s="4" t="s">
        <v>21391</v>
      </c>
      <c r="L6198" s="4">
        <v>18352</v>
      </c>
      <c r="M6198" s="2" t="s">
        <v>47</v>
      </c>
      <c r="N6198" s="2" t="s">
        <v>21392</v>
      </c>
    </row>
    <row r="6199" spans="1:14">
      <c r="A6199" s="2">
        <v>6198</v>
      </c>
      <c r="B6199" s="3" t="s">
        <v>21393</v>
      </c>
      <c r="C6199" s="2" t="s">
        <v>21394</v>
      </c>
      <c r="D6199" s="2">
        <v>27</v>
      </c>
      <c r="E6199" s="2">
        <v>28</v>
      </c>
      <c r="F6199" s="2" t="s">
        <v>21395</v>
      </c>
      <c r="H6199" s="2" t="s">
        <v>17</v>
      </c>
    </row>
    <row r="6200" spans="1:14">
      <c r="A6200" s="2">
        <v>6199</v>
      </c>
      <c r="B6200" s="3" t="s">
        <v>21396</v>
      </c>
      <c r="C6200" s="2" t="s">
        <v>6209</v>
      </c>
      <c r="D6200" s="2">
        <v>25</v>
      </c>
      <c r="E6200" s="2">
        <v>28</v>
      </c>
      <c r="F6200" s="2" t="s">
        <v>21397</v>
      </c>
      <c r="H6200" s="2" t="s">
        <v>17</v>
      </c>
      <c r="M6200" s="2" t="s">
        <v>170</v>
      </c>
      <c r="N6200" s="2" t="s">
        <v>9069</v>
      </c>
    </row>
    <row r="6201" spans="1:14">
      <c r="A6201" s="2">
        <v>6200</v>
      </c>
      <c r="B6201" s="3" t="s">
        <v>21398</v>
      </c>
      <c r="C6201" s="2" t="s">
        <v>21399</v>
      </c>
      <c r="D6201" s="2">
        <v>27</v>
      </c>
      <c r="E6201" s="2">
        <v>28</v>
      </c>
      <c r="F6201" s="2" t="s">
        <v>21400</v>
      </c>
      <c r="H6201" s="2" t="s">
        <v>17</v>
      </c>
      <c r="K6201" s="4" t="s">
        <v>21401</v>
      </c>
      <c r="L6201" s="4">
        <v>11455</v>
      </c>
      <c r="M6201" s="2" t="s">
        <v>85</v>
      </c>
      <c r="N6201" s="2" t="s">
        <v>5267</v>
      </c>
    </row>
    <row r="6202" spans="1:14">
      <c r="A6202" s="2">
        <v>6201</v>
      </c>
      <c r="B6202" s="3" t="s">
        <v>21402</v>
      </c>
      <c r="C6202" s="2" t="s">
        <v>21403</v>
      </c>
      <c r="D6202" s="2">
        <v>22</v>
      </c>
      <c r="E6202" s="2">
        <v>28</v>
      </c>
      <c r="F6202" s="2" t="s">
        <v>21404</v>
      </c>
      <c r="H6202" s="2" t="s">
        <v>17</v>
      </c>
      <c r="K6202" s="4" t="s">
        <v>21405</v>
      </c>
      <c r="L6202" s="4">
        <v>8187</v>
      </c>
      <c r="M6202" s="2" t="s">
        <v>198</v>
      </c>
      <c r="N6202" s="2" t="s">
        <v>199</v>
      </c>
    </row>
    <row r="6203" spans="1:14">
      <c r="A6203" s="2">
        <v>6202</v>
      </c>
      <c r="B6203" s="3" t="s">
        <v>21406</v>
      </c>
      <c r="C6203" s="2" t="s">
        <v>21407</v>
      </c>
      <c r="D6203" s="2">
        <v>27</v>
      </c>
      <c r="E6203" s="2">
        <v>28</v>
      </c>
      <c r="F6203" s="2" t="s">
        <v>21408</v>
      </c>
      <c r="H6203" s="2" t="s">
        <v>17</v>
      </c>
      <c r="K6203" s="4" t="s">
        <v>21409</v>
      </c>
      <c r="L6203" s="4">
        <v>4667</v>
      </c>
      <c r="M6203" s="2" t="s">
        <v>185</v>
      </c>
      <c r="N6203" s="2" t="s">
        <v>186</v>
      </c>
    </row>
    <row r="6204" spans="1:14">
      <c r="A6204" s="2">
        <v>6203</v>
      </c>
      <c r="B6204" s="3" t="s">
        <v>21410</v>
      </c>
      <c r="C6204" s="2" t="s">
        <v>18745</v>
      </c>
      <c r="D6204" s="2">
        <v>23</v>
      </c>
      <c r="E6204" s="2">
        <v>28</v>
      </c>
      <c r="F6204" s="2" t="s">
        <v>21411</v>
      </c>
      <c r="H6204" s="2" t="s">
        <v>17</v>
      </c>
      <c r="K6204" s="4" t="s">
        <v>21412</v>
      </c>
      <c r="L6204" s="4">
        <v>12478</v>
      </c>
      <c r="M6204" s="2" t="s">
        <v>170</v>
      </c>
    </row>
    <row r="6205" spans="1:14">
      <c r="A6205" s="2">
        <v>6204</v>
      </c>
      <c r="B6205" s="3" t="s">
        <v>21413</v>
      </c>
      <c r="C6205" s="2" t="s">
        <v>21414</v>
      </c>
      <c r="D6205" s="2">
        <v>23</v>
      </c>
      <c r="E6205" s="2">
        <v>28</v>
      </c>
      <c r="F6205" s="2" t="s">
        <v>21415</v>
      </c>
      <c r="H6205" s="2" t="s">
        <v>17</v>
      </c>
      <c r="K6205" s="4" t="s">
        <v>21416</v>
      </c>
      <c r="M6205" s="2" t="s">
        <v>40</v>
      </c>
      <c r="N6205" s="2" t="s">
        <v>3693</v>
      </c>
    </row>
    <row r="6206" spans="1:14">
      <c r="A6206" s="2">
        <v>6205</v>
      </c>
      <c r="B6206" s="3" t="s">
        <v>21417</v>
      </c>
      <c r="C6206" s="2" t="s">
        <v>21418</v>
      </c>
      <c r="D6206" s="2">
        <v>26</v>
      </c>
      <c r="E6206" s="2">
        <v>28</v>
      </c>
      <c r="F6206" s="2" t="s">
        <v>21419</v>
      </c>
      <c r="H6206" s="2" t="s">
        <v>17</v>
      </c>
      <c r="K6206" s="4" t="s">
        <v>21420</v>
      </c>
      <c r="L6206" s="4">
        <v>14513</v>
      </c>
      <c r="M6206" s="2" t="s">
        <v>198</v>
      </c>
      <c r="N6206" s="2" t="s">
        <v>199</v>
      </c>
    </row>
    <row r="6207" spans="1:14">
      <c r="A6207" s="2">
        <v>6206</v>
      </c>
      <c r="B6207" s="3" t="s">
        <v>21421</v>
      </c>
      <c r="C6207" s="2" t="s">
        <v>21422</v>
      </c>
      <c r="D6207" s="2">
        <v>24</v>
      </c>
      <c r="E6207" s="2">
        <v>28</v>
      </c>
      <c r="F6207" s="2" t="s">
        <v>21423</v>
      </c>
      <c r="H6207" s="2" t="s">
        <v>17</v>
      </c>
      <c r="K6207" s="4" t="s">
        <v>21424</v>
      </c>
      <c r="L6207" s="4">
        <v>12825</v>
      </c>
      <c r="M6207" s="2" t="s">
        <v>18</v>
      </c>
      <c r="N6207" s="2" t="s">
        <v>19</v>
      </c>
    </row>
    <row r="6208" spans="1:14">
      <c r="A6208" s="2">
        <v>6207</v>
      </c>
      <c r="B6208" s="3" t="s">
        <v>21425</v>
      </c>
      <c r="C6208" s="2" t="s">
        <v>21426</v>
      </c>
      <c r="D6208" s="2">
        <v>27</v>
      </c>
      <c r="E6208" s="2">
        <v>28</v>
      </c>
      <c r="F6208" s="2" t="s">
        <v>21427</v>
      </c>
      <c r="H6208" s="2" t="s">
        <v>17</v>
      </c>
    </row>
    <row r="6209" spans="1:14">
      <c r="A6209" s="2">
        <v>6208</v>
      </c>
      <c r="B6209" s="3" t="s">
        <v>21428</v>
      </c>
      <c r="C6209" s="2" t="s">
        <v>21429</v>
      </c>
      <c r="D6209" s="2">
        <v>28</v>
      </c>
      <c r="E6209" s="2">
        <v>28</v>
      </c>
      <c r="F6209" s="2" t="s">
        <v>21430</v>
      </c>
      <c r="H6209" s="2" t="s">
        <v>17</v>
      </c>
      <c r="K6209" s="4" t="s">
        <v>21431</v>
      </c>
      <c r="L6209" s="4">
        <v>14725</v>
      </c>
      <c r="M6209" s="2" t="s">
        <v>198</v>
      </c>
      <c r="N6209" s="2" t="s">
        <v>20066</v>
      </c>
    </row>
    <row r="6210" spans="1:14">
      <c r="A6210" s="2">
        <v>6209</v>
      </c>
      <c r="B6210" s="3" t="s">
        <v>21432</v>
      </c>
      <c r="C6210" s="2" t="s">
        <v>21433</v>
      </c>
      <c r="D6210" s="2">
        <v>22</v>
      </c>
      <c r="E6210" s="2">
        <v>28</v>
      </c>
      <c r="F6210" s="2" t="s">
        <v>21434</v>
      </c>
      <c r="H6210" s="2" t="s">
        <v>17</v>
      </c>
      <c r="K6210" s="4" t="s">
        <v>21435</v>
      </c>
      <c r="L6210" s="4">
        <v>3683</v>
      </c>
      <c r="M6210" s="2" t="s">
        <v>40</v>
      </c>
      <c r="N6210" s="2" t="s">
        <v>41</v>
      </c>
    </row>
    <row r="6211" spans="1:14">
      <c r="A6211" s="2">
        <v>6210</v>
      </c>
      <c r="B6211" s="3" t="s">
        <v>21436</v>
      </c>
      <c r="C6211" s="2" t="s">
        <v>21437</v>
      </c>
      <c r="D6211" s="2">
        <v>27</v>
      </c>
      <c r="E6211" s="2">
        <v>28</v>
      </c>
      <c r="F6211" s="2" t="s">
        <v>21438</v>
      </c>
      <c r="H6211" s="2" t="s">
        <v>17</v>
      </c>
      <c r="K6211" s="4" t="s">
        <v>21439</v>
      </c>
      <c r="L6211" s="4">
        <v>15916</v>
      </c>
      <c r="M6211" s="2" t="s">
        <v>336</v>
      </c>
      <c r="N6211" s="2" t="s">
        <v>1883</v>
      </c>
    </row>
    <row r="6212" spans="1:14">
      <c r="A6212" s="2">
        <v>6211</v>
      </c>
      <c r="B6212" s="3" t="s">
        <v>21440</v>
      </c>
      <c r="C6212" s="2" t="s">
        <v>21441</v>
      </c>
      <c r="D6212" s="2">
        <v>27</v>
      </c>
      <c r="E6212" s="2">
        <v>28</v>
      </c>
      <c r="F6212" s="2" t="s">
        <v>21442</v>
      </c>
      <c r="H6212" s="2" t="s">
        <v>17</v>
      </c>
      <c r="K6212" s="4" t="s">
        <v>21443</v>
      </c>
      <c r="L6212" s="4">
        <v>7871</v>
      </c>
      <c r="M6212" s="2" t="s">
        <v>85</v>
      </c>
      <c r="N6212" s="2" t="s">
        <v>1254</v>
      </c>
    </row>
    <row r="6213" spans="1:14">
      <c r="A6213" s="2">
        <v>6212</v>
      </c>
      <c r="B6213" s="3" t="s">
        <v>21444</v>
      </c>
      <c r="C6213" s="2" t="s">
        <v>21445</v>
      </c>
      <c r="D6213" s="2">
        <v>23</v>
      </c>
      <c r="E6213" s="2">
        <v>28</v>
      </c>
      <c r="F6213" s="2" t="s">
        <v>21446</v>
      </c>
      <c r="H6213" s="2" t="s">
        <v>17</v>
      </c>
      <c r="K6213" s="4" t="s">
        <v>21447</v>
      </c>
      <c r="L6213" s="4">
        <v>14628</v>
      </c>
      <c r="M6213" s="2" t="s">
        <v>18</v>
      </c>
    </row>
    <row r="6214" spans="1:14">
      <c r="A6214" s="2">
        <v>6213</v>
      </c>
      <c r="B6214" s="3" t="s">
        <v>21448</v>
      </c>
      <c r="C6214" s="2" t="s">
        <v>21449</v>
      </c>
      <c r="D6214" s="2">
        <v>22</v>
      </c>
      <c r="E6214" s="2">
        <v>28</v>
      </c>
      <c r="F6214" s="2" t="s">
        <v>21450</v>
      </c>
      <c r="H6214" s="2" t="s">
        <v>17</v>
      </c>
      <c r="K6214" s="4" t="s">
        <v>19262</v>
      </c>
      <c r="L6214" s="4">
        <v>10777</v>
      </c>
      <c r="M6214" s="2" t="s">
        <v>47</v>
      </c>
      <c r="N6214" s="2" t="s">
        <v>48</v>
      </c>
    </row>
    <row r="6215" spans="1:14">
      <c r="A6215" s="2">
        <v>6214</v>
      </c>
      <c r="B6215" s="3" t="s">
        <v>21451</v>
      </c>
      <c r="C6215" s="2" t="s">
        <v>21452</v>
      </c>
      <c r="D6215" s="2">
        <v>23</v>
      </c>
      <c r="E6215" s="2">
        <v>28</v>
      </c>
      <c r="F6215" s="2" t="s">
        <v>21453</v>
      </c>
      <c r="H6215" s="2" t="s">
        <v>17</v>
      </c>
      <c r="K6215" s="4" t="s">
        <v>21454</v>
      </c>
      <c r="L6215" s="4">
        <v>12579</v>
      </c>
      <c r="M6215" s="2" t="s">
        <v>198</v>
      </c>
      <c r="N6215" s="2" t="s">
        <v>199</v>
      </c>
    </row>
    <row r="6216" spans="1:14">
      <c r="A6216" s="2">
        <v>6215</v>
      </c>
      <c r="B6216" s="3" t="s">
        <v>21455</v>
      </c>
      <c r="C6216" s="2" t="s">
        <v>21456</v>
      </c>
      <c r="D6216" s="2">
        <v>18</v>
      </c>
      <c r="E6216" s="2">
        <v>28</v>
      </c>
      <c r="F6216" s="2" t="s">
        <v>21457</v>
      </c>
      <c r="H6216" s="2" t="s">
        <v>17</v>
      </c>
      <c r="K6216" s="4" t="s">
        <v>21458</v>
      </c>
      <c r="L6216" s="4">
        <v>8924</v>
      </c>
      <c r="M6216" s="2" t="s">
        <v>192</v>
      </c>
      <c r="N6216" s="2" t="s">
        <v>193</v>
      </c>
    </row>
    <row r="6217" spans="1:14">
      <c r="A6217" s="2">
        <v>6216</v>
      </c>
      <c r="B6217" s="3" t="s">
        <v>21459</v>
      </c>
      <c r="C6217" s="2" t="s">
        <v>21460</v>
      </c>
      <c r="D6217" s="2">
        <v>28</v>
      </c>
      <c r="E6217" s="2">
        <v>28</v>
      </c>
      <c r="F6217" s="2" t="s">
        <v>21461</v>
      </c>
      <c r="H6217" s="2" t="s">
        <v>17</v>
      </c>
      <c r="K6217" s="4" t="s">
        <v>21462</v>
      </c>
      <c r="L6217" s="4">
        <v>4000</v>
      </c>
      <c r="M6217" s="2" t="s">
        <v>198</v>
      </c>
      <c r="N6217" s="2" t="s">
        <v>199</v>
      </c>
    </row>
    <row r="6218" spans="1:14">
      <c r="A6218" s="2">
        <v>6217</v>
      </c>
      <c r="B6218" s="3" t="s">
        <v>21463</v>
      </c>
      <c r="C6218" s="2" t="s">
        <v>21464</v>
      </c>
      <c r="D6218" s="2">
        <v>23</v>
      </c>
      <c r="E6218" s="2">
        <v>28</v>
      </c>
      <c r="F6218" s="2" t="s">
        <v>21465</v>
      </c>
      <c r="H6218" s="2" t="s">
        <v>17</v>
      </c>
      <c r="K6218" s="4" t="s">
        <v>21466</v>
      </c>
      <c r="L6218" s="4">
        <v>12302</v>
      </c>
    </row>
    <row r="6219" spans="1:14">
      <c r="A6219" s="2">
        <v>6218</v>
      </c>
      <c r="B6219" s="3" t="s">
        <v>21467</v>
      </c>
      <c r="C6219" s="2" t="s">
        <v>21468</v>
      </c>
      <c r="D6219" s="2">
        <v>27</v>
      </c>
      <c r="E6219" s="2">
        <v>28</v>
      </c>
      <c r="F6219" s="2" t="s">
        <v>21469</v>
      </c>
      <c r="H6219" s="2" t="s">
        <v>17</v>
      </c>
      <c r="K6219" s="4" t="s">
        <v>21470</v>
      </c>
      <c r="M6219" s="2" t="s">
        <v>146</v>
      </c>
      <c r="N6219" s="2" t="s">
        <v>14091</v>
      </c>
    </row>
    <row r="6220" spans="1:14">
      <c r="A6220" s="2">
        <v>6219</v>
      </c>
      <c r="B6220" s="3" t="s">
        <v>21471</v>
      </c>
      <c r="C6220" s="2" t="s">
        <v>21472</v>
      </c>
      <c r="D6220" s="2">
        <v>23</v>
      </c>
      <c r="E6220" s="2">
        <v>28</v>
      </c>
      <c r="F6220" s="2" t="s">
        <v>21473</v>
      </c>
      <c r="H6220" s="2" t="s">
        <v>17</v>
      </c>
      <c r="K6220" s="4" t="s">
        <v>21474</v>
      </c>
      <c r="L6220" s="4">
        <v>9389</v>
      </c>
      <c r="M6220" s="2" t="s">
        <v>198</v>
      </c>
      <c r="N6220" s="2" t="s">
        <v>199</v>
      </c>
    </row>
    <row r="6221" spans="1:14">
      <c r="A6221" s="2">
        <v>6220</v>
      </c>
      <c r="B6221" s="3" t="s">
        <v>21475</v>
      </c>
      <c r="C6221" s="2" t="s">
        <v>21476</v>
      </c>
      <c r="D6221" s="2">
        <v>28</v>
      </c>
      <c r="E6221" s="2">
        <v>28</v>
      </c>
      <c r="F6221" s="2" t="s">
        <v>21477</v>
      </c>
      <c r="H6221" s="2" t="s">
        <v>17</v>
      </c>
    </row>
    <row r="6222" spans="1:14">
      <c r="A6222" s="2">
        <v>6221</v>
      </c>
      <c r="B6222" s="3" t="s">
        <v>21478</v>
      </c>
      <c r="C6222" s="2" t="s">
        <v>21479</v>
      </c>
      <c r="D6222" s="2">
        <v>24</v>
      </c>
      <c r="E6222" s="2">
        <v>28</v>
      </c>
      <c r="F6222" s="2" t="s">
        <v>21480</v>
      </c>
      <c r="H6222" s="2" t="s">
        <v>17</v>
      </c>
      <c r="K6222" s="4" t="s">
        <v>21481</v>
      </c>
      <c r="M6222" s="2" t="s">
        <v>198</v>
      </c>
      <c r="N6222" s="2" t="s">
        <v>199</v>
      </c>
    </row>
    <row r="6223" spans="1:14">
      <c r="A6223" s="2">
        <v>6222</v>
      </c>
      <c r="B6223" s="3" t="s">
        <v>21482</v>
      </c>
      <c r="C6223" s="2" t="s">
        <v>21483</v>
      </c>
      <c r="D6223" s="2">
        <v>27</v>
      </c>
      <c r="E6223" s="2">
        <v>28</v>
      </c>
      <c r="F6223" s="2" t="s">
        <v>21484</v>
      </c>
      <c r="H6223" s="2" t="s">
        <v>17</v>
      </c>
      <c r="K6223" s="4" t="s">
        <v>21485</v>
      </c>
      <c r="L6223" s="4">
        <v>8405</v>
      </c>
      <c r="M6223" s="2" t="s">
        <v>40</v>
      </c>
      <c r="N6223" s="2" t="s">
        <v>21486</v>
      </c>
    </row>
    <row r="6224" spans="1:14">
      <c r="A6224" s="2">
        <v>6223</v>
      </c>
      <c r="B6224" s="3" t="s">
        <v>21487</v>
      </c>
      <c r="C6224" s="2" t="s">
        <v>21488</v>
      </c>
      <c r="D6224" s="2">
        <v>28</v>
      </c>
      <c r="E6224" s="2">
        <v>28</v>
      </c>
      <c r="F6224" s="2" t="s">
        <v>21489</v>
      </c>
      <c r="H6224" s="2" t="s">
        <v>17</v>
      </c>
      <c r="K6224" s="4" t="s">
        <v>21490</v>
      </c>
      <c r="L6224" s="4">
        <v>17561</v>
      </c>
      <c r="M6224" s="2" t="s">
        <v>40</v>
      </c>
      <c r="N6224" s="2" t="s">
        <v>21491</v>
      </c>
    </row>
    <row r="6225" spans="1:14">
      <c r="A6225" s="2">
        <v>6224</v>
      </c>
      <c r="B6225" s="3" t="s">
        <v>21492</v>
      </c>
      <c r="C6225" s="2" t="s">
        <v>21493</v>
      </c>
      <c r="D6225" s="2">
        <v>28</v>
      </c>
      <c r="E6225" s="2">
        <v>28</v>
      </c>
      <c r="F6225" s="2" t="s">
        <v>21494</v>
      </c>
      <c r="H6225" s="2" t="s">
        <v>17</v>
      </c>
      <c r="K6225" s="4" t="s">
        <v>21495</v>
      </c>
      <c r="L6225" s="4">
        <v>7638</v>
      </c>
      <c r="M6225" s="2" t="s">
        <v>76</v>
      </c>
      <c r="N6225" s="2" t="s">
        <v>14023</v>
      </c>
    </row>
    <row r="6226" spans="1:14">
      <c r="A6226" s="2">
        <v>6225</v>
      </c>
      <c r="B6226" s="3" t="s">
        <v>21496</v>
      </c>
      <c r="C6226" s="2" t="s">
        <v>21497</v>
      </c>
      <c r="D6226" s="2">
        <v>23</v>
      </c>
      <c r="E6226" s="2">
        <v>28</v>
      </c>
      <c r="F6226" s="2" t="s">
        <v>21498</v>
      </c>
      <c r="H6226" s="2" t="s">
        <v>17</v>
      </c>
      <c r="K6226" s="4" t="s">
        <v>21499</v>
      </c>
      <c r="L6226" s="4">
        <v>7345</v>
      </c>
      <c r="M6226" s="2" t="s">
        <v>66</v>
      </c>
      <c r="N6226" s="2" t="s">
        <v>9055</v>
      </c>
    </row>
    <row r="6227" spans="1:14">
      <c r="A6227" s="2">
        <v>6226</v>
      </c>
      <c r="B6227" s="3" t="s">
        <v>21500</v>
      </c>
      <c r="C6227" s="2" t="s">
        <v>21501</v>
      </c>
      <c r="D6227" s="2">
        <v>22</v>
      </c>
      <c r="E6227" s="2">
        <v>28</v>
      </c>
      <c r="F6227" s="2" t="s">
        <v>21502</v>
      </c>
      <c r="H6227" s="2" t="s">
        <v>17</v>
      </c>
      <c r="K6227" s="4" t="s">
        <v>21503</v>
      </c>
      <c r="L6227" s="4">
        <v>16023</v>
      </c>
      <c r="M6227" s="2" t="s">
        <v>170</v>
      </c>
      <c r="N6227" s="2" t="s">
        <v>355</v>
      </c>
    </row>
    <row r="6228" spans="1:14">
      <c r="A6228" s="2">
        <v>6227</v>
      </c>
      <c r="B6228" s="3" t="s">
        <v>21504</v>
      </c>
      <c r="C6228" s="2" t="s">
        <v>21505</v>
      </c>
      <c r="D6228" s="2">
        <v>27</v>
      </c>
      <c r="E6228" s="2">
        <v>28</v>
      </c>
      <c r="F6228" s="2" t="s">
        <v>21506</v>
      </c>
      <c r="H6228" s="2" t="s">
        <v>17</v>
      </c>
      <c r="K6228" s="4" t="s">
        <v>21507</v>
      </c>
      <c r="L6228" s="4">
        <v>18811</v>
      </c>
      <c r="M6228" s="2" t="s">
        <v>146</v>
      </c>
    </row>
    <row r="6229" spans="1:14">
      <c r="A6229" s="2">
        <v>6228</v>
      </c>
      <c r="B6229" s="3" t="s">
        <v>21508</v>
      </c>
      <c r="C6229" s="2" t="s">
        <v>21509</v>
      </c>
      <c r="D6229" s="2">
        <v>28</v>
      </c>
      <c r="E6229" s="2">
        <v>28</v>
      </c>
      <c r="F6229" s="2" t="s">
        <v>21510</v>
      </c>
      <c r="H6229" s="2" t="s">
        <v>17</v>
      </c>
      <c r="K6229" s="4" t="s">
        <v>21511</v>
      </c>
      <c r="L6229" s="4">
        <v>22916</v>
      </c>
      <c r="M6229" s="2" t="s">
        <v>336</v>
      </c>
      <c r="N6229" s="2" t="s">
        <v>1883</v>
      </c>
    </row>
    <row r="6230" spans="1:14">
      <c r="A6230" s="2">
        <v>6229</v>
      </c>
      <c r="B6230" s="3" t="s">
        <v>21512</v>
      </c>
      <c r="C6230" s="2" t="s">
        <v>21513</v>
      </c>
      <c r="D6230" s="2">
        <v>25</v>
      </c>
      <c r="E6230" s="2">
        <v>28</v>
      </c>
      <c r="F6230" s="2" t="s">
        <v>21514</v>
      </c>
      <c r="H6230" s="2" t="s">
        <v>17</v>
      </c>
    </row>
    <row r="6231" spans="1:14">
      <c r="A6231" s="2">
        <v>6230</v>
      </c>
      <c r="B6231" s="3" t="s">
        <v>21515</v>
      </c>
      <c r="C6231" s="2" t="s">
        <v>21516</v>
      </c>
      <c r="D6231" s="2">
        <v>28</v>
      </c>
      <c r="E6231" s="2">
        <v>28</v>
      </c>
      <c r="F6231" s="2" t="s">
        <v>21517</v>
      </c>
      <c r="H6231" s="2" t="s">
        <v>17</v>
      </c>
      <c r="K6231" s="4" t="s">
        <v>21518</v>
      </c>
      <c r="L6231" s="4">
        <v>3632</v>
      </c>
      <c r="M6231" s="2" t="s">
        <v>91</v>
      </c>
      <c r="N6231" s="2" t="s">
        <v>11063</v>
      </c>
    </row>
    <row r="6232" spans="1:14">
      <c r="A6232" s="2">
        <v>6231</v>
      </c>
      <c r="B6232" s="3" t="s">
        <v>21519</v>
      </c>
      <c r="C6232" s="2" t="s">
        <v>21520</v>
      </c>
      <c r="D6232" s="2">
        <v>23</v>
      </c>
      <c r="E6232" s="2">
        <v>28</v>
      </c>
      <c r="F6232" s="2" t="s">
        <v>21521</v>
      </c>
      <c r="H6232" s="2" t="s">
        <v>17</v>
      </c>
      <c r="K6232" s="4" t="s">
        <v>21522</v>
      </c>
      <c r="L6232" s="4">
        <v>14881</v>
      </c>
      <c r="M6232" s="2" t="s">
        <v>140</v>
      </c>
      <c r="N6232" s="2" t="s">
        <v>294</v>
      </c>
    </row>
    <row r="6233" spans="1:14">
      <c r="A6233" s="2">
        <v>6232</v>
      </c>
      <c r="B6233" s="3" t="s">
        <v>21523</v>
      </c>
      <c r="C6233" s="2" t="s">
        <v>21524</v>
      </c>
      <c r="D6233" s="2">
        <v>24</v>
      </c>
      <c r="E6233" s="2">
        <v>28</v>
      </c>
      <c r="F6233" s="2" t="s">
        <v>21525</v>
      </c>
      <c r="H6233" s="2" t="s">
        <v>17</v>
      </c>
      <c r="M6233" s="2" t="s">
        <v>198</v>
      </c>
    </row>
    <row r="6234" spans="1:14">
      <c r="A6234" s="2">
        <v>6233</v>
      </c>
      <c r="B6234" s="3" t="s">
        <v>21526</v>
      </c>
      <c r="C6234" s="2" t="s">
        <v>21527</v>
      </c>
      <c r="D6234" s="2">
        <v>27</v>
      </c>
      <c r="E6234" s="2">
        <v>28</v>
      </c>
      <c r="F6234" s="2" t="s">
        <v>21528</v>
      </c>
      <c r="H6234" s="2" t="s">
        <v>17</v>
      </c>
      <c r="K6234" s="4" t="s">
        <v>21529</v>
      </c>
      <c r="L6234" s="4">
        <v>5174</v>
      </c>
      <c r="M6234" s="2" t="s">
        <v>85</v>
      </c>
      <c r="N6234" s="2" t="s">
        <v>4721</v>
      </c>
    </row>
    <row r="6235" spans="1:14">
      <c r="A6235" s="2">
        <v>6234</v>
      </c>
      <c r="B6235" s="3" t="s">
        <v>21530</v>
      </c>
      <c r="C6235" s="2" t="s">
        <v>21531</v>
      </c>
      <c r="D6235" s="2">
        <v>25</v>
      </c>
      <c r="E6235" s="2">
        <v>27</v>
      </c>
      <c r="F6235" s="2" t="s">
        <v>21532</v>
      </c>
      <c r="H6235" s="2" t="s">
        <v>17</v>
      </c>
      <c r="K6235" s="4" t="s">
        <v>21533</v>
      </c>
      <c r="L6235" s="4">
        <v>4683</v>
      </c>
      <c r="M6235" s="2" t="s">
        <v>35</v>
      </c>
      <c r="N6235" s="2" t="s">
        <v>2152</v>
      </c>
    </row>
    <row r="6236" spans="1:14">
      <c r="A6236" s="2">
        <v>6235</v>
      </c>
      <c r="B6236" s="3" t="s">
        <v>21534</v>
      </c>
      <c r="C6236" s="2" t="s">
        <v>21535</v>
      </c>
      <c r="D6236" s="2">
        <v>23</v>
      </c>
      <c r="E6236" s="2">
        <v>27</v>
      </c>
      <c r="F6236" s="2" t="s">
        <v>21536</v>
      </c>
      <c r="H6236" s="2" t="s">
        <v>17</v>
      </c>
      <c r="K6236" s="4" t="s">
        <v>21537</v>
      </c>
      <c r="L6236" s="4">
        <v>14863</v>
      </c>
      <c r="M6236" s="2" t="s">
        <v>154</v>
      </c>
      <c r="N6236" s="2" t="s">
        <v>208</v>
      </c>
    </row>
    <row r="6237" spans="1:14">
      <c r="A6237" s="2">
        <v>6236</v>
      </c>
      <c r="B6237" s="3" t="s">
        <v>21538</v>
      </c>
      <c r="C6237" s="2" t="s">
        <v>21539</v>
      </c>
      <c r="D6237" s="2">
        <v>26</v>
      </c>
      <c r="E6237" s="2">
        <v>27</v>
      </c>
      <c r="F6237" s="2" t="s">
        <v>21540</v>
      </c>
      <c r="H6237" s="2" t="s">
        <v>17</v>
      </c>
      <c r="L6237" s="4">
        <v>8666</v>
      </c>
    </row>
    <row r="6238" spans="1:14">
      <c r="A6238" s="2">
        <v>6237</v>
      </c>
      <c r="B6238" s="3" t="s">
        <v>21541</v>
      </c>
      <c r="C6238" s="2" t="s">
        <v>21542</v>
      </c>
      <c r="D6238" s="2">
        <v>27</v>
      </c>
      <c r="E6238" s="2">
        <v>27</v>
      </c>
      <c r="F6238" s="2" t="s">
        <v>21543</v>
      </c>
      <c r="H6238" s="2" t="s">
        <v>17</v>
      </c>
      <c r="K6238" s="4" t="s">
        <v>21544</v>
      </c>
      <c r="L6238" s="4">
        <v>10121</v>
      </c>
      <c r="M6238" s="2" t="s">
        <v>170</v>
      </c>
    </row>
    <row r="6239" spans="1:14">
      <c r="A6239" s="2">
        <v>6238</v>
      </c>
      <c r="B6239" s="3" t="s">
        <v>21545</v>
      </c>
      <c r="C6239" s="2" t="s">
        <v>21546</v>
      </c>
      <c r="D6239" s="2">
        <v>24</v>
      </c>
      <c r="E6239" s="2">
        <v>27</v>
      </c>
      <c r="F6239" s="2" t="s">
        <v>21547</v>
      </c>
      <c r="H6239" s="2" t="s">
        <v>17</v>
      </c>
      <c r="K6239" s="4" t="s">
        <v>21548</v>
      </c>
      <c r="L6239" s="4">
        <v>2536</v>
      </c>
      <c r="M6239" s="2" t="s">
        <v>146</v>
      </c>
      <c r="N6239" s="2" t="s">
        <v>147</v>
      </c>
    </row>
    <row r="6240" spans="1:14">
      <c r="A6240" s="2">
        <v>6239</v>
      </c>
      <c r="B6240" s="3" t="s">
        <v>21549</v>
      </c>
      <c r="C6240" s="2" t="s">
        <v>21550</v>
      </c>
      <c r="D6240" s="2">
        <v>27</v>
      </c>
      <c r="E6240" s="2">
        <v>27</v>
      </c>
      <c r="F6240" s="2" t="s">
        <v>21551</v>
      </c>
      <c r="H6240" s="2" t="s">
        <v>17</v>
      </c>
      <c r="K6240" s="4" t="s">
        <v>21552</v>
      </c>
      <c r="L6240" s="4">
        <v>6828</v>
      </c>
      <c r="M6240" s="2" t="s">
        <v>198</v>
      </c>
      <c r="N6240" s="2" t="s">
        <v>19550</v>
      </c>
    </row>
    <row r="6241" spans="1:14">
      <c r="A6241" s="2">
        <v>6240</v>
      </c>
      <c r="B6241" s="3" t="s">
        <v>21553</v>
      </c>
      <c r="C6241" s="2" t="s">
        <v>21554</v>
      </c>
      <c r="D6241" s="2">
        <v>24</v>
      </c>
      <c r="E6241" s="2">
        <v>27</v>
      </c>
      <c r="F6241" s="2" t="s">
        <v>21555</v>
      </c>
      <c r="H6241" s="2" t="s">
        <v>17</v>
      </c>
      <c r="K6241" s="4" t="s">
        <v>21556</v>
      </c>
      <c r="L6241" s="4">
        <v>3148</v>
      </c>
    </row>
    <row r="6242" spans="1:14">
      <c r="A6242" s="2">
        <v>6241</v>
      </c>
      <c r="B6242" s="3" t="s">
        <v>21557</v>
      </c>
      <c r="C6242" s="2" t="s">
        <v>21558</v>
      </c>
      <c r="D6242" s="2">
        <v>25</v>
      </c>
      <c r="E6242" s="2">
        <v>27</v>
      </c>
      <c r="F6242" s="2" t="s">
        <v>21559</v>
      </c>
      <c r="H6242" s="2" t="s">
        <v>17</v>
      </c>
      <c r="K6242" s="4" t="s">
        <v>21560</v>
      </c>
      <c r="L6242" s="4">
        <v>6502</v>
      </c>
      <c r="M6242" s="2" t="s">
        <v>140</v>
      </c>
      <c r="N6242" s="2" t="s">
        <v>2157</v>
      </c>
    </row>
    <row r="6243" spans="1:14">
      <c r="A6243" s="2">
        <v>6242</v>
      </c>
      <c r="B6243" s="3" t="s">
        <v>21561</v>
      </c>
      <c r="C6243" s="2" t="s">
        <v>21562</v>
      </c>
      <c r="D6243" s="2">
        <v>24</v>
      </c>
      <c r="E6243" s="2">
        <v>27</v>
      </c>
      <c r="F6243" s="2" t="s">
        <v>21563</v>
      </c>
      <c r="H6243" s="2" t="s">
        <v>17</v>
      </c>
      <c r="K6243" s="4" t="s">
        <v>21564</v>
      </c>
      <c r="L6243" s="4">
        <v>3472</v>
      </c>
      <c r="M6243" s="2" t="s">
        <v>146</v>
      </c>
    </row>
    <row r="6244" spans="1:14">
      <c r="A6244" s="2">
        <v>6243</v>
      </c>
      <c r="B6244" s="3" t="s">
        <v>21565</v>
      </c>
      <c r="C6244" s="2" t="s">
        <v>21566</v>
      </c>
      <c r="D6244" s="2">
        <v>23</v>
      </c>
      <c r="E6244" s="2">
        <v>27</v>
      </c>
      <c r="F6244" s="2" t="s">
        <v>21567</v>
      </c>
      <c r="H6244" s="2" t="s">
        <v>17</v>
      </c>
      <c r="K6244" s="4" t="s">
        <v>21568</v>
      </c>
      <c r="L6244" s="4">
        <v>14078</v>
      </c>
      <c r="M6244" s="2" t="s">
        <v>170</v>
      </c>
      <c r="N6244" s="2" t="s">
        <v>1624</v>
      </c>
    </row>
    <row r="6245" spans="1:14">
      <c r="A6245" s="2">
        <v>6244</v>
      </c>
      <c r="B6245" s="3" t="s">
        <v>21569</v>
      </c>
      <c r="C6245" s="2" t="s">
        <v>21570</v>
      </c>
      <c r="D6245" s="2">
        <v>25</v>
      </c>
      <c r="E6245" s="2">
        <v>27</v>
      </c>
      <c r="F6245" s="2" t="s">
        <v>21571</v>
      </c>
      <c r="H6245" s="2" t="s">
        <v>17</v>
      </c>
      <c r="L6245" s="4">
        <v>2982</v>
      </c>
      <c r="M6245" s="2" t="s">
        <v>40</v>
      </c>
    </row>
    <row r="6246" spans="1:14">
      <c r="A6246" s="2">
        <v>6245</v>
      </c>
      <c r="B6246" s="3" t="s">
        <v>21572</v>
      </c>
      <c r="C6246" s="2" t="s">
        <v>21573</v>
      </c>
      <c r="D6246" s="2">
        <v>25</v>
      </c>
      <c r="E6246" s="2">
        <v>27</v>
      </c>
      <c r="F6246" s="2" t="s">
        <v>21574</v>
      </c>
      <c r="H6246" s="2" t="s">
        <v>17</v>
      </c>
      <c r="K6246" s="4" t="s">
        <v>21575</v>
      </c>
      <c r="L6246" s="4">
        <v>12552</v>
      </c>
      <c r="M6246" s="2" t="s">
        <v>35</v>
      </c>
      <c r="N6246" s="2" t="s">
        <v>11458</v>
      </c>
    </row>
    <row r="6247" spans="1:14">
      <c r="A6247" s="2">
        <v>6246</v>
      </c>
      <c r="B6247" s="3" t="s">
        <v>21576</v>
      </c>
      <c r="C6247" s="2" t="s">
        <v>21577</v>
      </c>
      <c r="D6247" s="2">
        <v>26</v>
      </c>
      <c r="E6247" s="2">
        <v>27</v>
      </c>
      <c r="F6247" s="2" t="s">
        <v>21578</v>
      </c>
      <c r="H6247" s="2" t="s">
        <v>17</v>
      </c>
    </row>
    <row r="6248" spans="1:14">
      <c r="A6248" s="2">
        <v>6247</v>
      </c>
      <c r="B6248" s="3" t="s">
        <v>21579</v>
      </c>
      <c r="C6248" s="2" t="s">
        <v>21580</v>
      </c>
      <c r="D6248" s="2">
        <v>26</v>
      </c>
      <c r="E6248" s="2">
        <v>27</v>
      </c>
      <c r="F6248" s="2" t="s">
        <v>21581</v>
      </c>
      <c r="H6248" s="2" t="s">
        <v>17</v>
      </c>
      <c r="K6248" s="4" t="s">
        <v>21582</v>
      </c>
      <c r="L6248" s="4">
        <v>16446</v>
      </c>
    </row>
    <row r="6249" spans="1:14">
      <c r="A6249" s="2">
        <v>6248</v>
      </c>
      <c r="B6249" s="3" t="s">
        <v>21583</v>
      </c>
      <c r="C6249" s="2" t="s">
        <v>15125</v>
      </c>
      <c r="D6249" s="2">
        <v>27</v>
      </c>
      <c r="E6249" s="2">
        <v>27</v>
      </c>
      <c r="F6249" s="2" t="s">
        <v>21584</v>
      </c>
      <c r="H6249" s="2" t="s">
        <v>17</v>
      </c>
      <c r="K6249" s="4" t="s">
        <v>21585</v>
      </c>
      <c r="L6249" s="4">
        <v>16264</v>
      </c>
      <c r="M6249" s="2" t="s">
        <v>76</v>
      </c>
      <c r="N6249" s="2" t="s">
        <v>7284</v>
      </c>
    </row>
    <row r="6250" spans="1:14">
      <c r="A6250" s="2">
        <v>6249</v>
      </c>
      <c r="B6250" s="3" t="s">
        <v>21586</v>
      </c>
      <c r="C6250" s="2" t="s">
        <v>21587</v>
      </c>
      <c r="D6250" s="2">
        <v>23</v>
      </c>
      <c r="E6250" s="2">
        <v>27</v>
      </c>
      <c r="F6250" s="2" t="s">
        <v>21588</v>
      </c>
      <c r="H6250" s="2" t="s">
        <v>17</v>
      </c>
      <c r="K6250" s="4" t="s">
        <v>21589</v>
      </c>
      <c r="L6250" s="4">
        <v>3261</v>
      </c>
      <c r="M6250" s="2" t="s">
        <v>198</v>
      </c>
      <c r="N6250" s="2" t="s">
        <v>10323</v>
      </c>
    </row>
    <row r="6251" spans="1:14">
      <c r="A6251" s="2">
        <v>6250</v>
      </c>
      <c r="B6251" s="3" t="s">
        <v>21590</v>
      </c>
      <c r="C6251" s="2" t="s">
        <v>21591</v>
      </c>
      <c r="D6251" s="2">
        <v>26</v>
      </c>
      <c r="E6251" s="2">
        <v>27</v>
      </c>
      <c r="F6251" s="2" t="s">
        <v>21592</v>
      </c>
      <c r="H6251" s="2" t="s">
        <v>17</v>
      </c>
      <c r="K6251" s="4" t="s">
        <v>21593</v>
      </c>
      <c r="L6251" s="4">
        <v>4303</v>
      </c>
      <c r="M6251" s="2" t="s">
        <v>170</v>
      </c>
      <c r="N6251" s="2" t="s">
        <v>323</v>
      </c>
    </row>
    <row r="6252" spans="1:14">
      <c r="A6252" s="2">
        <v>6251</v>
      </c>
      <c r="B6252" s="3" t="s">
        <v>21594</v>
      </c>
      <c r="C6252" s="2" t="s">
        <v>21595</v>
      </c>
      <c r="D6252" s="2">
        <v>25</v>
      </c>
      <c r="E6252" s="2">
        <v>27</v>
      </c>
      <c r="F6252" s="2" t="s">
        <v>21596</v>
      </c>
      <c r="H6252" s="2" t="s">
        <v>17</v>
      </c>
      <c r="K6252" s="4" t="s">
        <v>21597</v>
      </c>
      <c r="L6252" s="4">
        <v>2432</v>
      </c>
      <c r="M6252" s="2" t="s">
        <v>91</v>
      </c>
      <c r="N6252" s="2" t="s">
        <v>21598</v>
      </c>
    </row>
    <row r="6253" spans="1:14">
      <c r="A6253" s="2">
        <v>6252</v>
      </c>
      <c r="B6253" s="3" t="s">
        <v>21599</v>
      </c>
      <c r="C6253" s="2" t="s">
        <v>21600</v>
      </c>
      <c r="D6253" s="2">
        <v>26</v>
      </c>
      <c r="E6253" s="2">
        <v>27</v>
      </c>
      <c r="F6253" s="2" t="s">
        <v>21601</v>
      </c>
      <c r="H6253" s="2" t="s">
        <v>17</v>
      </c>
    </row>
    <row r="6254" spans="1:14">
      <c r="A6254" s="2">
        <v>6253</v>
      </c>
      <c r="B6254" s="3" t="s">
        <v>21602</v>
      </c>
      <c r="C6254" s="2" t="s">
        <v>21603</v>
      </c>
      <c r="D6254" s="2">
        <v>26</v>
      </c>
      <c r="E6254" s="2">
        <v>27</v>
      </c>
      <c r="F6254" s="2" t="s">
        <v>21604</v>
      </c>
      <c r="H6254" s="2" t="s">
        <v>17</v>
      </c>
      <c r="K6254" s="4" t="s">
        <v>21605</v>
      </c>
      <c r="L6254" s="4">
        <v>7410</v>
      </c>
      <c r="M6254" s="2" t="s">
        <v>35</v>
      </c>
      <c r="N6254" s="2" t="s">
        <v>1462</v>
      </c>
    </row>
    <row r="6255" spans="1:14">
      <c r="A6255" s="2">
        <v>6254</v>
      </c>
      <c r="B6255" s="3" t="s">
        <v>21606</v>
      </c>
      <c r="C6255" s="2" t="s">
        <v>21607</v>
      </c>
      <c r="D6255" s="2">
        <v>26</v>
      </c>
      <c r="E6255" s="2">
        <v>27</v>
      </c>
      <c r="F6255" s="2" t="s">
        <v>21608</v>
      </c>
      <c r="H6255" s="2" t="s">
        <v>17</v>
      </c>
      <c r="K6255" s="4" t="s">
        <v>21609</v>
      </c>
      <c r="L6255" s="4">
        <v>6885</v>
      </c>
      <c r="M6255" s="2" t="s">
        <v>170</v>
      </c>
      <c r="N6255" s="2" t="s">
        <v>385</v>
      </c>
    </row>
    <row r="6256" spans="1:14">
      <c r="A6256" s="2">
        <v>6255</v>
      </c>
      <c r="B6256" s="3" t="s">
        <v>21610</v>
      </c>
      <c r="C6256" s="2" t="s">
        <v>21611</v>
      </c>
      <c r="D6256" s="2">
        <v>22</v>
      </c>
      <c r="E6256" s="2">
        <v>27</v>
      </c>
      <c r="F6256" s="2" t="s">
        <v>21612</v>
      </c>
      <c r="H6256" s="2" t="s">
        <v>17</v>
      </c>
      <c r="K6256" s="4" t="s">
        <v>21613</v>
      </c>
      <c r="L6256" s="4">
        <v>6406</v>
      </c>
      <c r="M6256" s="2" t="s">
        <v>40</v>
      </c>
      <c r="N6256" s="2" t="s">
        <v>41</v>
      </c>
    </row>
    <row r="6257" spans="1:14">
      <c r="A6257" s="2">
        <v>6256</v>
      </c>
      <c r="B6257" s="3" t="s">
        <v>21614</v>
      </c>
      <c r="C6257" s="2" t="s">
        <v>21615</v>
      </c>
      <c r="D6257" s="2">
        <v>27</v>
      </c>
      <c r="E6257" s="2">
        <v>27</v>
      </c>
      <c r="F6257" s="2" t="s">
        <v>21616</v>
      </c>
      <c r="H6257" s="2" t="s">
        <v>17</v>
      </c>
      <c r="K6257" s="4" t="s">
        <v>21617</v>
      </c>
      <c r="L6257" s="4">
        <v>8147</v>
      </c>
      <c r="M6257" s="2" t="s">
        <v>192</v>
      </c>
      <c r="N6257" s="2" t="s">
        <v>3969</v>
      </c>
    </row>
    <row r="6258" spans="1:14">
      <c r="A6258" s="2">
        <v>6257</v>
      </c>
      <c r="B6258" s="3" t="s">
        <v>21618</v>
      </c>
      <c r="C6258" s="2" t="s">
        <v>21619</v>
      </c>
      <c r="D6258" s="2">
        <v>24</v>
      </c>
      <c r="E6258" s="2">
        <v>27</v>
      </c>
      <c r="F6258" s="2" t="s">
        <v>21620</v>
      </c>
      <c r="H6258" s="2" t="s">
        <v>17</v>
      </c>
    </row>
    <row r="6259" spans="1:14">
      <c r="A6259" s="2">
        <v>6258</v>
      </c>
      <c r="B6259" s="3" t="s">
        <v>21621</v>
      </c>
      <c r="C6259" s="2" t="s">
        <v>21622</v>
      </c>
      <c r="D6259" s="2">
        <v>26</v>
      </c>
      <c r="E6259" s="2">
        <v>27</v>
      </c>
      <c r="F6259" s="2" t="s">
        <v>21623</v>
      </c>
      <c r="H6259" s="2" t="s">
        <v>17</v>
      </c>
      <c r="K6259" s="4" t="s">
        <v>21624</v>
      </c>
      <c r="L6259" s="4">
        <v>19229</v>
      </c>
      <c r="M6259" s="2" t="s">
        <v>66</v>
      </c>
      <c r="N6259" s="2" t="s">
        <v>131</v>
      </c>
    </row>
    <row r="6260" spans="1:14">
      <c r="A6260" s="2">
        <v>6259</v>
      </c>
      <c r="B6260" s="3" t="s">
        <v>21625</v>
      </c>
      <c r="C6260" s="2" t="s">
        <v>21626</v>
      </c>
      <c r="D6260" s="2">
        <v>26</v>
      </c>
      <c r="E6260" s="2">
        <v>27</v>
      </c>
      <c r="F6260" s="2" t="s">
        <v>21627</v>
      </c>
      <c r="H6260" s="2" t="s">
        <v>17</v>
      </c>
      <c r="K6260" s="4" t="s">
        <v>21628</v>
      </c>
      <c r="L6260" s="4">
        <v>9451</v>
      </c>
      <c r="M6260" s="2" t="s">
        <v>35</v>
      </c>
      <c r="N6260" s="2" t="s">
        <v>1462</v>
      </c>
    </row>
    <row r="6261" spans="1:14">
      <c r="A6261" s="2">
        <v>6260</v>
      </c>
      <c r="B6261" s="3" t="s">
        <v>21629</v>
      </c>
      <c r="C6261" s="2" t="s">
        <v>21630</v>
      </c>
      <c r="D6261" s="2">
        <v>27</v>
      </c>
      <c r="E6261" s="2">
        <v>27</v>
      </c>
      <c r="F6261" s="2" t="s">
        <v>21631</v>
      </c>
      <c r="H6261" s="2" t="s">
        <v>17</v>
      </c>
      <c r="K6261" s="4" t="s">
        <v>21632</v>
      </c>
      <c r="L6261" s="4">
        <v>10015</v>
      </c>
      <c r="M6261" s="2" t="s">
        <v>35</v>
      </c>
      <c r="N6261" s="2" t="s">
        <v>2466</v>
      </c>
    </row>
    <row r="6262" spans="1:14">
      <c r="A6262" s="2">
        <v>6261</v>
      </c>
      <c r="B6262" s="3" t="s">
        <v>21633</v>
      </c>
      <c r="C6262" s="2" t="s">
        <v>21634</v>
      </c>
      <c r="D6262" s="2">
        <v>25</v>
      </c>
      <c r="E6262" s="2">
        <v>27</v>
      </c>
      <c r="F6262" s="2" t="s">
        <v>21635</v>
      </c>
      <c r="H6262" s="2" t="s">
        <v>17</v>
      </c>
    </row>
    <row r="6263" spans="1:14">
      <c r="A6263" s="2">
        <v>6262</v>
      </c>
      <c r="B6263" s="3" t="s">
        <v>21636</v>
      </c>
      <c r="C6263" s="2" t="s">
        <v>21637</v>
      </c>
      <c r="D6263" s="2">
        <v>25</v>
      </c>
      <c r="E6263" s="2">
        <v>27</v>
      </c>
      <c r="F6263" s="2" t="s">
        <v>21638</v>
      </c>
      <c r="H6263" s="2" t="s">
        <v>17</v>
      </c>
      <c r="K6263" s="4" t="s">
        <v>21639</v>
      </c>
      <c r="L6263" s="4">
        <v>16297</v>
      </c>
      <c r="M6263" s="2" t="s">
        <v>192</v>
      </c>
      <c r="N6263" s="2" t="s">
        <v>193</v>
      </c>
    </row>
    <row r="6264" spans="1:14">
      <c r="A6264" s="2">
        <v>6263</v>
      </c>
      <c r="B6264" s="3" t="s">
        <v>21640</v>
      </c>
      <c r="C6264" s="2" t="s">
        <v>21641</v>
      </c>
      <c r="D6264" s="2">
        <v>24</v>
      </c>
      <c r="E6264" s="2">
        <v>27</v>
      </c>
      <c r="F6264" s="2" t="s">
        <v>21642</v>
      </c>
      <c r="H6264" s="2" t="s">
        <v>17</v>
      </c>
      <c r="K6264" s="4" t="s">
        <v>21643</v>
      </c>
      <c r="L6264" s="4">
        <v>5027</v>
      </c>
      <c r="M6264" s="2" t="s">
        <v>76</v>
      </c>
    </row>
    <row r="6265" spans="1:14">
      <c r="A6265" s="2">
        <v>6264</v>
      </c>
      <c r="B6265" s="3" t="s">
        <v>21644</v>
      </c>
      <c r="C6265" s="2" t="s">
        <v>21645</v>
      </c>
      <c r="D6265" s="2">
        <v>27</v>
      </c>
      <c r="E6265" s="2">
        <v>27</v>
      </c>
      <c r="F6265" s="2" t="s">
        <v>21646</v>
      </c>
      <c r="H6265" s="2" t="s">
        <v>17</v>
      </c>
      <c r="K6265" s="4" t="s">
        <v>21647</v>
      </c>
      <c r="L6265" s="4">
        <v>14281</v>
      </c>
      <c r="M6265" s="2" t="s">
        <v>91</v>
      </c>
      <c r="N6265" s="2" t="s">
        <v>11063</v>
      </c>
    </row>
    <row r="6266" spans="1:14">
      <c r="A6266" s="2">
        <v>6265</v>
      </c>
      <c r="B6266" s="3" t="s">
        <v>21648</v>
      </c>
      <c r="C6266" s="2" t="s">
        <v>21649</v>
      </c>
      <c r="D6266" s="2">
        <v>23</v>
      </c>
      <c r="E6266" s="2">
        <v>27</v>
      </c>
      <c r="F6266" s="2" t="s">
        <v>21650</v>
      </c>
      <c r="H6266" s="2" t="s">
        <v>17</v>
      </c>
      <c r="K6266" s="4" t="s">
        <v>21651</v>
      </c>
      <c r="L6266" s="4">
        <v>3358</v>
      </c>
      <c r="M6266" s="2" t="s">
        <v>35</v>
      </c>
      <c r="N6266" s="2" t="s">
        <v>7140</v>
      </c>
    </row>
    <row r="6267" spans="1:14">
      <c r="A6267" s="2">
        <v>6266</v>
      </c>
      <c r="B6267" s="3" t="s">
        <v>21652</v>
      </c>
      <c r="C6267" s="2" t="s">
        <v>21653</v>
      </c>
      <c r="D6267" s="2">
        <v>25</v>
      </c>
      <c r="E6267" s="2">
        <v>27</v>
      </c>
      <c r="F6267" s="2" t="s">
        <v>21654</v>
      </c>
      <c r="H6267" s="2" t="s">
        <v>17</v>
      </c>
      <c r="K6267" s="4" t="s">
        <v>21655</v>
      </c>
      <c r="L6267" s="4">
        <v>11663</v>
      </c>
      <c r="M6267" s="2" t="s">
        <v>40</v>
      </c>
      <c r="N6267" s="2" t="s">
        <v>13336</v>
      </c>
    </row>
    <row r="6268" spans="1:14">
      <c r="A6268" s="2">
        <v>6267</v>
      </c>
      <c r="B6268" s="3" t="s">
        <v>21656</v>
      </c>
      <c r="C6268" s="2" t="s">
        <v>21657</v>
      </c>
      <c r="D6268" s="2">
        <v>24</v>
      </c>
      <c r="E6268" s="2">
        <v>27</v>
      </c>
      <c r="F6268" s="2" t="s">
        <v>21658</v>
      </c>
      <c r="H6268" s="2" t="s">
        <v>17</v>
      </c>
      <c r="K6268" s="4" t="s">
        <v>21659</v>
      </c>
      <c r="L6268" s="4">
        <v>3152</v>
      </c>
      <c r="M6268" s="2" t="s">
        <v>185</v>
      </c>
      <c r="N6268" s="2" t="s">
        <v>15830</v>
      </c>
    </row>
    <row r="6269" spans="1:14">
      <c r="A6269" s="2">
        <v>6268</v>
      </c>
      <c r="B6269" s="3" t="s">
        <v>21660</v>
      </c>
      <c r="C6269" s="2" t="s">
        <v>21661</v>
      </c>
      <c r="D6269" s="2">
        <v>27</v>
      </c>
      <c r="E6269" s="2">
        <v>27</v>
      </c>
      <c r="F6269" s="2" t="s">
        <v>21662</v>
      </c>
      <c r="H6269" s="2" t="s">
        <v>17</v>
      </c>
      <c r="K6269" s="4" t="s">
        <v>21663</v>
      </c>
      <c r="L6269" s="4">
        <v>11800</v>
      </c>
      <c r="M6269" s="2" t="s">
        <v>91</v>
      </c>
      <c r="N6269" s="2" t="s">
        <v>677</v>
      </c>
    </row>
    <row r="6270" spans="1:14">
      <c r="A6270" s="2">
        <v>6269</v>
      </c>
      <c r="B6270" s="3" t="s">
        <v>21664</v>
      </c>
      <c r="C6270" s="2" t="s">
        <v>21665</v>
      </c>
      <c r="D6270" s="2">
        <v>22</v>
      </c>
      <c r="E6270" s="2">
        <v>27</v>
      </c>
      <c r="F6270" s="2" t="s">
        <v>21666</v>
      </c>
      <c r="H6270" s="2" t="s">
        <v>17</v>
      </c>
      <c r="K6270" s="4" t="s">
        <v>21667</v>
      </c>
      <c r="L6270" s="4">
        <v>2557</v>
      </c>
      <c r="M6270" s="2" t="s">
        <v>170</v>
      </c>
      <c r="N6270" s="2" t="s">
        <v>323</v>
      </c>
    </row>
    <row r="6271" spans="1:14">
      <c r="A6271" s="2">
        <v>6270</v>
      </c>
      <c r="B6271" s="3" t="s">
        <v>21668</v>
      </c>
      <c r="C6271" s="2" t="s">
        <v>21669</v>
      </c>
      <c r="D6271" s="2">
        <v>26</v>
      </c>
      <c r="E6271" s="2">
        <v>27</v>
      </c>
      <c r="F6271" s="2" t="s">
        <v>21670</v>
      </c>
      <c r="H6271" s="2" t="s">
        <v>17</v>
      </c>
      <c r="K6271" s="4" t="s">
        <v>20875</v>
      </c>
      <c r="M6271" s="2" t="s">
        <v>40</v>
      </c>
      <c r="N6271" s="2" t="s">
        <v>41</v>
      </c>
    </row>
    <row r="6272" spans="1:14">
      <c r="A6272" s="2">
        <v>6271</v>
      </c>
      <c r="B6272" s="3" t="s">
        <v>21671</v>
      </c>
      <c r="C6272" s="2" t="s">
        <v>21672</v>
      </c>
      <c r="D6272" s="2">
        <v>27</v>
      </c>
      <c r="E6272" s="2">
        <v>27</v>
      </c>
      <c r="F6272" s="2" t="s">
        <v>21673</v>
      </c>
      <c r="H6272" s="2" t="s">
        <v>17</v>
      </c>
    </row>
    <row r="6273" spans="1:14">
      <c r="A6273" s="2">
        <v>6272</v>
      </c>
      <c r="B6273" s="3" t="s">
        <v>21674</v>
      </c>
      <c r="C6273" s="2" t="s">
        <v>21675</v>
      </c>
      <c r="D6273" s="2">
        <v>23</v>
      </c>
      <c r="E6273" s="2">
        <v>27</v>
      </c>
      <c r="F6273" s="2" t="s">
        <v>21676</v>
      </c>
      <c r="H6273" s="2" t="s">
        <v>17</v>
      </c>
      <c r="K6273" s="4" t="s">
        <v>21677</v>
      </c>
      <c r="M6273" s="2" t="s">
        <v>40</v>
      </c>
    </row>
    <row r="6274" spans="1:14">
      <c r="A6274" s="2">
        <v>6273</v>
      </c>
      <c r="B6274" s="3" t="s">
        <v>21678</v>
      </c>
      <c r="C6274" s="2" t="s">
        <v>21679</v>
      </c>
      <c r="D6274" s="2">
        <v>27</v>
      </c>
      <c r="E6274" s="2">
        <v>27</v>
      </c>
      <c r="F6274" s="2" t="s">
        <v>21680</v>
      </c>
      <c r="H6274" s="2" t="s">
        <v>17</v>
      </c>
      <c r="K6274" s="4" t="s">
        <v>21681</v>
      </c>
      <c r="L6274" s="4">
        <v>7491</v>
      </c>
      <c r="M6274" s="2" t="s">
        <v>85</v>
      </c>
      <c r="N6274" s="2" t="s">
        <v>86</v>
      </c>
    </row>
    <row r="6275" spans="1:14">
      <c r="A6275" s="2">
        <v>6274</v>
      </c>
      <c r="B6275" s="3" t="s">
        <v>21682</v>
      </c>
      <c r="C6275" s="2" t="s">
        <v>21683</v>
      </c>
      <c r="D6275" s="2">
        <v>27</v>
      </c>
      <c r="E6275" s="2">
        <v>27</v>
      </c>
      <c r="F6275" s="2" t="s">
        <v>21684</v>
      </c>
      <c r="H6275" s="2" t="s">
        <v>17</v>
      </c>
      <c r="K6275" s="4" t="s">
        <v>21685</v>
      </c>
      <c r="L6275" s="4">
        <v>3185</v>
      </c>
      <c r="M6275" s="2" t="s">
        <v>40</v>
      </c>
      <c r="N6275" s="2" t="s">
        <v>41</v>
      </c>
    </row>
    <row r="6276" spans="1:14">
      <c r="A6276" s="2">
        <v>6275</v>
      </c>
      <c r="B6276" s="3" t="s">
        <v>21686</v>
      </c>
      <c r="C6276" s="2" t="s">
        <v>21687</v>
      </c>
      <c r="D6276" s="2">
        <v>22</v>
      </c>
      <c r="E6276" s="2">
        <v>27</v>
      </c>
      <c r="F6276" s="2" t="s">
        <v>21688</v>
      </c>
      <c r="H6276" s="2" t="s">
        <v>17</v>
      </c>
      <c r="K6276" s="4" t="s">
        <v>21689</v>
      </c>
      <c r="L6276" s="4">
        <v>7985</v>
      </c>
    </row>
    <row r="6277" spans="1:14">
      <c r="A6277" s="2">
        <v>6276</v>
      </c>
      <c r="B6277" s="3" t="s">
        <v>21690</v>
      </c>
      <c r="C6277" s="2" t="s">
        <v>21691</v>
      </c>
      <c r="D6277" s="2">
        <v>27</v>
      </c>
      <c r="E6277" s="2">
        <v>27</v>
      </c>
      <c r="F6277" s="2" t="s">
        <v>21692</v>
      </c>
      <c r="H6277" s="2" t="s">
        <v>17</v>
      </c>
      <c r="K6277" s="4" t="s">
        <v>21693</v>
      </c>
      <c r="M6277" s="2" t="s">
        <v>146</v>
      </c>
    </row>
    <row r="6278" spans="1:14">
      <c r="A6278" s="2">
        <v>6277</v>
      </c>
      <c r="B6278" s="3" t="s">
        <v>21694</v>
      </c>
      <c r="C6278" s="2" t="s">
        <v>21695</v>
      </c>
      <c r="D6278" s="2">
        <v>26</v>
      </c>
      <c r="E6278" s="2">
        <v>27</v>
      </c>
      <c r="F6278" s="2" t="s">
        <v>21696</v>
      </c>
      <c r="H6278" s="2" t="s">
        <v>17</v>
      </c>
    </row>
    <row r="6279" spans="1:14">
      <c r="A6279" s="2">
        <v>6278</v>
      </c>
      <c r="B6279" s="3" t="s">
        <v>21697</v>
      </c>
      <c r="C6279" s="2" t="s">
        <v>21698</v>
      </c>
      <c r="D6279" s="2">
        <v>22</v>
      </c>
      <c r="E6279" s="2">
        <v>27</v>
      </c>
      <c r="F6279" s="2" t="s">
        <v>21699</v>
      </c>
      <c r="H6279" s="2" t="s">
        <v>17</v>
      </c>
      <c r="K6279" s="4" t="s">
        <v>21700</v>
      </c>
      <c r="L6279" s="4">
        <v>3401</v>
      </c>
      <c r="M6279" s="2" t="s">
        <v>40</v>
      </c>
      <c r="N6279" s="2" t="s">
        <v>41</v>
      </c>
    </row>
    <row r="6280" spans="1:14">
      <c r="A6280" s="2">
        <v>6279</v>
      </c>
      <c r="B6280" s="3" t="s">
        <v>21701</v>
      </c>
      <c r="C6280" s="2" t="s">
        <v>21702</v>
      </c>
      <c r="D6280" s="2">
        <v>22</v>
      </c>
      <c r="E6280" s="2">
        <v>27</v>
      </c>
      <c r="F6280" s="2" t="s">
        <v>21703</v>
      </c>
      <c r="H6280" s="2" t="s">
        <v>17</v>
      </c>
      <c r="K6280" s="4" t="s">
        <v>21704</v>
      </c>
      <c r="L6280" s="4">
        <v>3219</v>
      </c>
    </row>
    <row r="6281" spans="1:14">
      <c r="A6281" s="2">
        <v>6280</v>
      </c>
      <c r="B6281" s="3" t="s">
        <v>21705</v>
      </c>
      <c r="C6281" s="2" t="s">
        <v>21706</v>
      </c>
      <c r="D6281" s="2">
        <v>27</v>
      </c>
      <c r="E6281" s="2">
        <v>27</v>
      </c>
      <c r="F6281" s="2" t="s">
        <v>21707</v>
      </c>
      <c r="H6281" s="2" t="s">
        <v>17</v>
      </c>
      <c r="K6281" s="4" t="s">
        <v>21708</v>
      </c>
      <c r="L6281" s="4">
        <v>9672</v>
      </c>
      <c r="M6281" s="2" t="s">
        <v>40</v>
      </c>
      <c r="N6281" s="2" t="s">
        <v>1528</v>
      </c>
    </row>
    <row r="6282" spans="1:14">
      <c r="A6282" s="2">
        <v>6281</v>
      </c>
      <c r="B6282" s="3" t="s">
        <v>21709</v>
      </c>
      <c r="C6282" s="2" t="s">
        <v>16111</v>
      </c>
      <c r="D6282" s="2">
        <v>25</v>
      </c>
      <c r="E6282" s="2">
        <v>27</v>
      </c>
      <c r="F6282" s="2" t="s">
        <v>21710</v>
      </c>
      <c r="H6282" s="2" t="s">
        <v>17</v>
      </c>
    </row>
    <row r="6283" spans="1:14">
      <c r="A6283" s="2">
        <v>6282</v>
      </c>
      <c r="B6283" s="3" t="s">
        <v>21711</v>
      </c>
      <c r="C6283" s="2" t="s">
        <v>21712</v>
      </c>
      <c r="D6283" s="2">
        <v>25</v>
      </c>
      <c r="E6283" s="2">
        <v>27</v>
      </c>
      <c r="F6283" s="2" t="s">
        <v>21713</v>
      </c>
      <c r="H6283" s="2" t="s">
        <v>17</v>
      </c>
      <c r="K6283" s="4" t="s">
        <v>21714</v>
      </c>
      <c r="L6283" s="4">
        <v>8211</v>
      </c>
      <c r="M6283" s="2" t="s">
        <v>40</v>
      </c>
      <c r="N6283" s="2" t="s">
        <v>41</v>
      </c>
    </row>
    <row r="6284" spans="1:14">
      <c r="A6284" s="2">
        <v>6283</v>
      </c>
      <c r="B6284" s="3" t="s">
        <v>21715</v>
      </c>
      <c r="C6284" s="2" t="s">
        <v>21716</v>
      </c>
      <c r="D6284" s="2">
        <v>25</v>
      </c>
      <c r="E6284" s="2">
        <v>27</v>
      </c>
      <c r="F6284" s="2" t="s">
        <v>21717</v>
      </c>
      <c r="H6284" s="2" t="s">
        <v>17</v>
      </c>
      <c r="K6284" s="4" t="s">
        <v>20585</v>
      </c>
      <c r="L6284" s="4">
        <v>2425</v>
      </c>
    </row>
    <row r="6285" spans="1:14">
      <c r="A6285" s="2">
        <v>6284</v>
      </c>
      <c r="B6285" s="3" t="s">
        <v>21718</v>
      </c>
      <c r="C6285" s="2" t="s">
        <v>21719</v>
      </c>
      <c r="D6285" s="2">
        <v>27</v>
      </c>
      <c r="E6285" s="2">
        <v>27</v>
      </c>
      <c r="F6285" s="2" t="s">
        <v>21720</v>
      </c>
      <c r="H6285" s="2" t="s">
        <v>17</v>
      </c>
      <c r="K6285" s="4" t="s">
        <v>21721</v>
      </c>
      <c r="L6285" s="4">
        <v>10321</v>
      </c>
      <c r="M6285" s="2" t="s">
        <v>40</v>
      </c>
      <c r="N6285" s="2" t="s">
        <v>1381</v>
      </c>
    </row>
    <row r="6286" spans="1:14">
      <c r="A6286" s="2">
        <v>6285</v>
      </c>
      <c r="B6286" s="3" t="s">
        <v>21722</v>
      </c>
      <c r="C6286" s="2" t="s">
        <v>21723</v>
      </c>
      <c r="D6286" s="2">
        <v>27</v>
      </c>
      <c r="E6286" s="2">
        <v>27</v>
      </c>
      <c r="F6286" s="2" t="s">
        <v>21724</v>
      </c>
      <c r="H6286" s="2" t="s">
        <v>17</v>
      </c>
      <c r="K6286" s="4" t="s">
        <v>21725</v>
      </c>
      <c r="L6286" s="4">
        <v>12692</v>
      </c>
      <c r="M6286" s="2" t="s">
        <v>35</v>
      </c>
      <c r="N6286" s="2" t="s">
        <v>9672</v>
      </c>
    </row>
    <row r="6287" spans="1:14">
      <c r="A6287" s="2">
        <v>6286</v>
      </c>
      <c r="B6287" s="3" t="s">
        <v>21726</v>
      </c>
      <c r="C6287" s="2" t="s">
        <v>21727</v>
      </c>
      <c r="D6287" s="2">
        <v>18</v>
      </c>
      <c r="E6287" s="2">
        <v>27</v>
      </c>
      <c r="F6287" s="2" t="s">
        <v>21728</v>
      </c>
      <c r="H6287" s="2" t="s">
        <v>17</v>
      </c>
      <c r="K6287" s="4" t="s">
        <v>21729</v>
      </c>
      <c r="L6287" s="4">
        <v>7212</v>
      </c>
      <c r="M6287" s="2" t="s">
        <v>170</v>
      </c>
    </row>
    <row r="6288" spans="1:14">
      <c r="A6288" s="2">
        <v>6287</v>
      </c>
      <c r="B6288" s="3" t="s">
        <v>21730</v>
      </c>
      <c r="C6288" s="2" t="s">
        <v>21731</v>
      </c>
      <c r="D6288" s="2">
        <v>26</v>
      </c>
      <c r="E6288" s="2">
        <v>27</v>
      </c>
      <c r="F6288" s="2" t="s">
        <v>21732</v>
      </c>
      <c r="H6288" s="2" t="s">
        <v>17</v>
      </c>
    </row>
    <row r="6289" spans="1:14">
      <c r="A6289" s="2">
        <v>6288</v>
      </c>
      <c r="B6289" s="3" t="s">
        <v>21733</v>
      </c>
      <c r="C6289" s="2" t="s">
        <v>21734</v>
      </c>
      <c r="D6289" s="2">
        <v>24</v>
      </c>
      <c r="E6289" s="2">
        <v>27</v>
      </c>
      <c r="F6289" s="2" t="s">
        <v>21735</v>
      </c>
      <c r="H6289" s="2" t="s">
        <v>17</v>
      </c>
      <c r="K6289" s="4" t="s">
        <v>21736</v>
      </c>
      <c r="L6289" s="4">
        <v>17356</v>
      </c>
      <c r="M6289" s="2" t="s">
        <v>170</v>
      </c>
      <c r="N6289" s="2" t="s">
        <v>323</v>
      </c>
    </row>
    <row r="6290" spans="1:14">
      <c r="A6290" s="2">
        <v>6289</v>
      </c>
      <c r="B6290" s="3" t="s">
        <v>21737</v>
      </c>
      <c r="C6290" s="2" t="s">
        <v>21738</v>
      </c>
      <c r="D6290" s="2">
        <v>27</v>
      </c>
      <c r="E6290" s="2">
        <v>27</v>
      </c>
      <c r="F6290" s="2" t="s">
        <v>21739</v>
      </c>
      <c r="H6290" s="2" t="s">
        <v>17</v>
      </c>
      <c r="K6290" s="4" t="s">
        <v>21740</v>
      </c>
      <c r="L6290" s="4">
        <v>9851</v>
      </c>
      <c r="M6290" s="2" t="s">
        <v>185</v>
      </c>
      <c r="N6290" s="2" t="s">
        <v>820</v>
      </c>
    </row>
    <row r="6291" spans="1:14">
      <c r="A6291" s="2">
        <v>6290</v>
      </c>
      <c r="B6291" s="3" t="s">
        <v>21741</v>
      </c>
      <c r="C6291" s="2" t="s">
        <v>21742</v>
      </c>
      <c r="D6291" s="2">
        <v>22</v>
      </c>
      <c r="E6291" s="2">
        <v>27</v>
      </c>
      <c r="F6291" s="2" t="s">
        <v>21743</v>
      </c>
      <c r="H6291" s="2" t="s">
        <v>17</v>
      </c>
      <c r="K6291" s="4" t="s">
        <v>21744</v>
      </c>
      <c r="L6291" s="4">
        <v>7156</v>
      </c>
      <c r="M6291" s="2" t="s">
        <v>40</v>
      </c>
      <c r="N6291" s="2" t="s">
        <v>1528</v>
      </c>
    </row>
    <row r="6292" spans="1:14">
      <c r="A6292" s="2">
        <v>6291</v>
      </c>
      <c r="B6292" s="3" t="s">
        <v>21745</v>
      </c>
      <c r="C6292" s="2" t="s">
        <v>21746</v>
      </c>
      <c r="D6292" s="2">
        <v>23</v>
      </c>
      <c r="E6292" s="2">
        <v>27</v>
      </c>
      <c r="F6292" s="2" t="s">
        <v>21747</v>
      </c>
      <c r="H6292" s="2" t="s">
        <v>17</v>
      </c>
      <c r="K6292" s="4" t="s">
        <v>21748</v>
      </c>
      <c r="L6292" s="4">
        <v>8957</v>
      </c>
      <c r="M6292" s="2" t="s">
        <v>198</v>
      </c>
      <c r="N6292" s="2" t="s">
        <v>5846</v>
      </c>
    </row>
    <row r="6293" spans="1:14">
      <c r="A6293" s="2">
        <v>6292</v>
      </c>
      <c r="B6293" s="3" t="s">
        <v>21749</v>
      </c>
      <c r="C6293" s="2" t="s">
        <v>21750</v>
      </c>
      <c r="D6293" s="2">
        <v>22</v>
      </c>
      <c r="E6293" s="2">
        <v>27</v>
      </c>
      <c r="F6293" s="2" t="s">
        <v>21751</v>
      </c>
      <c r="H6293" s="2" t="s">
        <v>17</v>
      </c>
      <c r="K6293" s="4" t="s">
        <v>21752</v>
      </c>
      <c r="L6293" s="4">
        <v>7456</v>
      </c>
    </row>
    <row r="6294" spans="1:14">
      <c r="A6294" s="2">
        <v>6293</v>
      </c>
      <c r="B6294" s="3" t="s">
        <v>21753</v>
      </c>
      <c r="C6294" s="2" t="s">
        <v>21754</v>
      </c>
      <c r="D6294" s="2">
        <v>27</v>
      </c>
      <c r="E6294" s="2">
        <v>27</v>
      </c>
      <c r="F6294" s="2" t="s">
        <v>21755</v>
      </c>
      <c r="H6294" s="2" t="s">
        <v>17</v>
      </c>
      <c r="K6294" s="4" t="s">
        <v>21756</v>
      </c>
      <c r="L6294" s="4">
        <v>12646</v>
      </c>
      <c r="M6294" s="2" t="s">
        <v>198</v>
      </c>
      <c r="N6294" s="2" t="s">
        <v>199</v>
      </c>
    </row>
    <row r="6295" spans="1:14">
      <c r="A6295" s="2">
        <v>6294</v>
      </c>
      <c r="B6295" s="3" t="s">
        <v>21757</v>
      </c>
      <c r="C6295" s="2" t="s">
        <v>21758</v>
      </c>
      <c r="D6295" s="2">
        <v>25</v>
      </c>
      <c r="E6295" s="2">
        <v>27</v>
      </c>
      <c r="F6295" s="2" t="s">
        <v>21759</v>
      </c>
      <c r="H6295" s="2" t="s">
        <v>17</v>
      </c>
      <c r="K6295" s="4" t="s">
        <v>21760</v>
      </c>
      <c r="L6295" s="4">
        <v>3852</v>
      </c>
      <c r="M6295" s="2" t="s">
        <v>35</v>
      </c>
      <c r="N6295" s="2" t="s">
        <v>1032</v>
      </c>
    </row>
    <row r="6296" spans="1:14">
      <c r="A6296" s="2">
        <v>6295</v>
      </c>
      <c r="B6296" s="3" t="s">
        <v>21761</v>
      </c>
      <c r="C6296" s="2" t="s">
        <v>21762</v>
      </c>
      <c r="D6296" s="2">
        <v>27</v>
      </c>
      <c r="E6296" s="2">
        <v>27</v>
      </c>
      <c r="F6296" s="2" t="s">
        <v>21763</v>
      </c>
      <c r="H6296" s="2" t="s">
        <v>17</v>
      </c>
      <c r="K6296" s="4" t="s">
        <v>21764</v>
      </c>
      <c r="L6296" s="4">
        <v>19392</v>
      </c>
      <c r="M6296" s="2" t="s">
        <v>154</v>
      </c>
      <c r="N6296" s="2" t="s">
        <v>10100</v>
      </c>
    </row>
    <row r="6297" spans="1:14">
      <c r="A6297" s="2">
        <v>6296</v>
      </c>
      <c r="B6297" s="3" t="s">
        <v>21765</v>
      </c>
      <c r="C6297" s="2" t="s">
        <v>21766</v>
      </c>
      <c r="D6297" s="2">
        <v>26</v>
      </c>
      <c r="E6297" s="2">
        <v>27</v>
      </c>
      <c r="F6297" s="2" t="s">
        <v>21767</v>
      </c>
      <c r="H6297" s="2" t="s">
        <v>17</v>
      </c>
      <c r="K6297" s="4" t="s">
        <v>21768</v>
      </c>
      <c r="L6297" s="4">
        <v>24242</v>
      </c>
      <c r="M6297" s="2" t="s">
        <v>35</v>
      </c>
      <c r="N6297" s="2" t="s">
        <v>21769</v>
      </c>
    </row>
    <row r="6298" spans="1:14">
      <c r="A6298" s="2">
        <v>6297</v>
      </c>
      <c r="B6298" s="3" t="s">
        <v>21770</v>
      </c>
      <c r="C6298" s="2" t="s">
        <v>21771</v>
      </c>
      <c r="D6298" s="2">
        <v>25</v>
      </c>
      <c r="E6298" s="2">
        <v>27</v>
      </c>
      <c r="F6298" s="2" t="s">
        <v>21772</v>
      </c>
      <c r="H6298" s="2" t="s">
        <v>17</v>
      </c>
      <c r="K6298" s="4" t="s">
        <v>21773</v>
      </c>
      <c r="L6298" s="4">
        <v>20491</v>
      </c>
      <c r="M6298" s="2" t="s">
        <v>53</v>
      </c>
      <c r="N6298" s="2" t="s">
        <v>54</v>
      </c>
    </row>
    <row r="6299" spans="1:14">
      <c r="A6299" s="2">
        <v>6298</v>
      </c>
      <c r="B6299" s="3" t="s">
        <v>21774</v>
      </c>
      <c r="C6299" s="2" t="s">
        <v>21775</v>
      </c>
      <c r="D6299" s="2">
        <v>17</v>
      </c>
      <c r="E6299" s="2">
        <v>26</v>
      </c>
      <c r="F6299" s="2" t="s">
        <v>21776</v>
      </c>
      <c r="H6299" s="2" t="s">
        <v>17</v>
      </c>
      <c r="K6299" s="4" t="s">
        <v>21777</v>
      </c>
      <c r="L6299" s="4">
        <v>1103</v>
      </c>
      <c r="M6299" s="2" t="s">
        <v>76</v>
      </c>
      <c r="N6299" s="2" t="s">
        <v>14023</v>
      </c>
    </row>
    <row r="6300" spans="1:14">
      <c r="A6300" s="2">
        <v>6299</v>
      </c>
      <c r="B6300" s="3" t="s">
        <v>21778</v>
      </c>
      <c r="C6300" s="2" t="s">
        <v>21779</v>
      </c>
      <c r="D6300" s="2">
        <v>26</v>
      </c>
      <c r="E6300" s="2">
        <v>26</v>
      </c>
      <c r="F6300" s="2" t="s">
        <v>21780</v>
      </c>
      <c r="H6300" s="2" t="s">
        <v>17</v>
      </c>
      <c r="L6300" s="4">
        <v>1717</v>
      </c>
      <c r="M6300" s="2" t="s">
        <v>170</v>
      </c>
    </row>
    <row r="6301" spans="1:14">
      <c r="A6301" s="2">
        <v>6300</v>
      </c>
      <c r="B6301" s="3" t="s">
        <v>21781</v>
      </c>
      <c r="C6301" s="2" t="s">
        <v>21782</v>
      </c>
      <c r="D6301" s="2">
        <v>24</v>
      </c>
      <c r="E6301" s="2">
        <v>26</v>
      </c>
      <c r="F6301" s="2" t="s">
        <v>21783</v>
      </c>
      <c r="H6301" s="2" t="s">
        <v>17</v>
      </c>
      <c r="K6301" s="4" t="s">
        <v>21784</v>
      </c>
      <c r="L6301" s="4">
        <v>1276</v>
      </c>
      <c r="M6301" s="2" t="s">
        <v>40</v>
      </c>
      <c r="N6301" s="2" t="s">
        <v>2157</v>
      </c>
    </row>
    <row r="6302" spans="1:14">
      <c r="A6302" s="2">
        <v>6301</v>
      </c>
      <c r="B6302" s="3" t="s">
        <v>21785</v>
      </c>
      <c r="C6302" s="2" t="s">
        <v>21786</v>
      </c>
      <c r="D6302" s="2">
        <v>19</v>
      </c>
      <c r="E6302" s="2">
        <v>26</v>
      </c>
      <c r="F6302" s="2" t="s">
        <v>21787</v>
      </c>
      <c r="H6302" s="2" t="s">
        <v>17</v>
      </c>
      <c r="L6302" s="4">
        <v>2377</v>
      </c>
    </row>
    <row r="6303" spans="1:14">
      <c r="A6303" s="2">
        <v>6302</v>
      </c>
      <c r="B6303" s="3" t="s">
        <v>21788</v>
      </c>
      <c r="C6303" s="2" t="s">
        <v>21789</v>
      </c>
      <c r="D6303" s="2">
        <v>26</v>
      </c>
      <c r="E6303" s="2">
        <v>26</v>
      </c>
      <c r="F6303" s="2" t="s">
        <v>21790</v>
      </c>
      <c r="H6303" s="2" t="s">
        <v>17</v>
      </c>
    </row>
    <row r="6304" spans="1:14">
      <c r="A6304" s="2">
        <v>6303</v>
      </c>
      <c r="B6304" s="3" t="s">
        <v>21791</v>
      </c>
      <c r="C6304" s="2" t="s">
        <v>21792</v>
      </c>
      <c r="D6304" s="2">
        <v>25</v>
      </c>
      <c r="E6304" s="2">
        <v>26</v>
      </c>
      <c r="F6304" s="2" t="s">
        <v>21793</v>
      </c>
      <c r="H6304" s="2" t="s">
        <v>17</v>
      </c>
      <c r="K6304" s="4" t="s">
        <v>21794</v>
      </c>
      <c r="L6304" s="4">
        <v>15914</v>
      </c>
      <c r="M6304" s="2" t="s">
        <v>66</v>
      </c>
      <c r="N6304" s="2" t="s">
        <v>17431</v>
      </c>
    </row>
    <row r="6305" spans="1:14">
      <c r="A6305" s="2">
        <v>6304</v>
      </c>
      <c r="B6305" s="3" t="s">
        <v>21795</v>
      </c>
      <c r="C6305" s="2" t="s">
        <v>21796</v>
      </c>
      <c r="D6305" s="2">
        <v>26</v>
      </c>
      <c r="E6305" s="2">
        <v>26</v>
      </c>
      <c r="F6305" s="2" t="s">
        <v>21797</v>
      </c>
      <c r="H6305" s="2" t="s">
        <v>17</v>
      </c>
      <c r="K6305" s="4" t="s">
        <v>21798</v>
      </c>
      <c r="L6305" s="4" t="s">
        <v>21799</v>
      </c>
      <c r="M6305" s="2" t="s">
        <v>47</v>
      </c>
      <c r="N6305" s="2" t="s">
        <v>48</v>
      </c>
    </row>
    <row r="6306" spans="1:14">
      <c r="A6306" s="2">
        <v>6305</v>
      </c>
      <c r="B6306" s="3" t="s">
        <v>21800</v>
      </c>
      <c r="C6306" s="2" t="s">
        <v>21801</v>
      </c>
      <c r="D6306" s="2">
        <v>25</v>
      </c>
      <c r="E6306" s="2">
        <v>26</v>
      </c>
      <c r="F6306" s="2" t="s">
        <v>21802</v>
      </c>
      <c r="H6306" s="2" t="s">
        <v>17</v>
      </c>
      <c r="K6306" s="4" t="s">
        <v>21803</v>
      </c>
      <c r="L6306" s="4">
        <v>2721</v>
      </c>
      <c r="M6306" s="2" t="s">
        <v>40</v>
      </c>
    </row>
    <row r="6307" spans="1:14">
      <c r="A6307" s="2">
        <v>6306</v>
      </c>
      <c r="B6307" s="3" t="s">
        <v>21804</v>
      </c>
      <c r="C6307" s="2" t="s">
        <v>21805</v>
      </c>
      <c r="D6307" s="2">
        <v>26</v>
      </c>
      <c r="E6307" s="2">
        <v>26</v>
      </c>
      <c r="F6307" s="2" t="s">
        <v>21806</v>
      </c>
      <c r="H6307" s="2" t="s">
        <v>17</v>
      </c>
      <c r="M6307" s="2" t="s">
        <v>969</v>
      </c>
    </row>
    <row r="6308" spans="1:14">
      <c r="A6308" s="2">
        <v>6307</v>
      </c>
      <c r="B6308" s="3" t="s">
        <v>21807</v>
      </c>
      <c r="C6308" s="2" t="s">
        <v>21808</v>
      </c>
      <c r="D6308" s="2">
        <v>23</v>
      </c>
      <c r="E6308" s="2">
        <v>26</v>
      </c>
      <c r="F6308" s="2" t="s">
        <v>21809</v>
      </c>
      <c r="H6308" s="2" t="s">
        <v>17</v>
      </c>
      <c r="L6308" s="4">
        <v>3628</v>
      </c>
      <c r="M6308" s="2" t="s">
        <v>140</v>
      </c>
      <c r="N6308" s="2" t="s">
        <v>294</v>
      </c>
    </row>
    <row r="6309" spans="1:14">
      <c r="A6309" s="2">
        <v>6308</v>
      </c>
      <c r="B6309" s="3" t="s">
        <v>21810</v>
      </c>
      <c r="C6309" s="2" t="s">
        <v>21811</v>
      </c>
      <c r="D6309" s="2">
        <v>24</v>
      </c>
      <c r="E6309" s="2">
        <v>26</v>
      </c>
      <c r="F6309" s="2" t="s">
        <v>21812</v>
      </c>
      <c r="H6309" s="2" t="s">
        <v>17</v>
      </c>
      <c r="K6309" s="4" t="s">
        <v>21813</v>
      </c>
      <c r="L6309" s="4">
        <v>2130</v>
      </c>
      <c r="M6309" s="2" t="s">
        <v>35</v>
      </c>
      <c r="N6309" s="2" t="s">
        <v>2327</v>
      </c>
    </row>
    <row r="6310" spans="1:14">
      <c r="A6310" s="2">
        <v>6309</v>
      </c>
      <c r="B6310" s="3" t="s">
        <v>21814</v>
      </c>
      <c r="C6310" s="2" t="s">
        <v>21815</v>
      </c>
      <c r="D6310" s="2">
        <v>26</v>
      </c>
      <c r="E6310" s="2">
        <v>26</v>
      </c>
      <c r="F6310" s="2" t="s">
        <v>21816</v>
      </c>
      <c r="H6310" s="2" t="s">
        <v>17</v>
      </c>
    </row>
    <row r="6311" spans="1:14">
      <c r="A6311" s="2">
        <v>6310</v>
      </c>
      <c r="B6311" s="3" t="s">
        <v>21817</v>
      </c>
      <c r="C6311" s="2" t="s">
        <v>21818</v>
      </c>
      <c r="D6311" s="2">
        <v>23</v>
      </c>
      <c r="E6311" s="2">
        <v>26</v>
      </c>
      <c r="F6311" s="2" t="s">
        <v>21819</v>
      </c>
      <c r="H6311" s="2" t="s">
        <v>17</v>
      </c>
      <c r="L6311" s="4">
        <v>1382</v>
      </c>
      <c r="M6311" s="2" t="s">
        <v>35</v>
      </c>
    </row>
    <row r="6312" spans="1:14">
      <c r="A6312" s="2">
        <v>6311</v>
      </c>
      <c r="B6312" s="3" t="s">
        <v>21820</v>
      </c>
      <c r="C6312" s="2" t="s">
        <v>21821</v>
      </c>
      <c r="D6312" s="2">
        <v>24</v>
      </c>
      <c r="E6312" s="2">
        <v>26</v>
      </c>
      <c r="F6312" s="2" t="s">
        <v>21822</v>
      </c>
      <c r="H6312" s="2" t="s">
        <v>17</v>
      </c>
      <c r="K6312" s="4" t="s">
        <v>21823</v>
      </c>
      <c r="L6312" s="4">
        <v>5823</v>
      </c>
    </row>
    <row r="6313" spans="1:14">
      <c r="A6313" s="2">
        <v>6312</v>
      </c>
      <c r="B6313" s="3" t="s">
        <v>21824</v>
      </c>
      <c r="C6313" s="2" t="s">
        <v>21825</v>
      </c>
      <c r="D6313" s="2">
        <v>25</v>
      </c>
      <c r="E6313" s="2">
        <v>26</v>
      </c>
      <c r="F6313" s="2" t="s">
        <v>21826</v>
      </c>
      <c r="H6313" s="2" t="s">
        <v>17</v>
      </c>
      <c r="K6313" s="4" t="s">
        <v>21827</v>
      </c>
      <c r="L6313" s="4">
        <v>15850</v>
      </c>
    </row>
    <row r="6314" spans="1:14">
      <c r="A6314" s="2">
        <v>6313</v>
      </c>
      <c r="B6314" s="3" t="s">
        <v>21828</v>
      </c>
      <c r="C6314" s="2" t="s">
        <v>21829</v>
      </c>
      <c r="D6314" s="2">
        <v>23</v>
      </c>
      <c r="E6314" s="2">
        <v>26</v>
      </c>
      <c r="F6314" s="2" t="s">
        <v>21830</v>
      </c>
      <c r="H6314" s="2" t="s">
        <v>17</v>
      </c>
      <c r="K6314" s="4" t="s">
        <v>21831</v>
      </c>
      <c r="L6314" s="4">
        <v>4570</v>
      </c>
      <c r="M6314" s="2" t="s">
        <v>170</v>
      </c>
      <c r="N6314" s="2" t="s">
        <v>1712</v>
      </c>
    </row>
    <row r="6315" spans="1:14">
      <c r="A6315" s="2">
        <v>6314</v>
      </c>
      <c r="B6315" s="3" t="s">
        <v>21832</v>
      </c>
      <c r="C6315" s="2" t="s">
        <v>21833</v>
      </c>
      <c r="D6315" s="2">
        <v>26</v>
      </c>
      <c r="E6315" s="2">
        <v>26</v>
      </c>
      <c r="F6315" s="2" t="s">
        <v>21834</v>
      </c>
      <c r="H6315" s="2" t="s">
        <v>17</v>
      </c>
    </row>
    <row r="6316" spans="1:14">
      <c r="A6316" s="2">
        <v>6315</v>
      </c>
      <c r="B6316" s="3" t="s">
        <v>21835</v>
      </c>
      <c r="C6316" s="2" t="s">
        <v>21836</v>
      </c>
      <c r="D6316" s="2">
        <v>26</v>
      </c>
      <c r="E6316" s="2">
        <v>26</v>
      </c>
      <c r="F6316" s="2" t="s">
        <v>21837</v>
      </c>
      <c r="H6316" s="2" t="s">
        <v>17</v>
      </c>
      <c r="K6316" s="4" t="s">
        <v>21838</v>
      </c>
    </row>
    <row r="6317" spans="1:14">
      <c r="A6317" s="2">
        <v>6316</v>
      </c>
      <c r="B6317" s="3" t="s">
        <v>21839</v>
      </c>
      <c r="C6317" s="2" t="s">
        <v>21840</v>
      </c>
      <c r="D6317" s="2">
        <v>23</v>
      </c>
      <c r="E6317" s="2">
        <v>26</v>
      </c>
      <c r="F6317" s="2" t="s">
        <v>21841</v>
      </c>
      <c r="H6317" s="2" t="s">
        <v>17</v>
      </c>
      <c r="K6317" s="4" t="s">
        <v>21842</v>
      </c>
      <c r="L6317" s="4">
        <v>18980</v>
      </c>
      <c r="M6317" s="2" t="s">
        <v>164</v>
      </c>
      <c r="N6317" s="2" t="s">
        <v>165</v>
      </c>
    </row>
    <row r="6318" spans="1:14">
      <c r="A6318" s="2">
        <v>6317</v>
      </c>
      <c r="B6318" s="3" t="s">
        <v>21843</v>
      </c>
      <c r="C6318" s="2" t="s">
        <v>21844</v>
      </c>
      <c r="D6318" s="2">
        <v>26</v>
      </c>
      <c r="E6318" s="2">
        <v>26</v>
      </c>
      <c r="F6318" s="2" t="s">
        <v>21845</v>
      </c>
      <c r="H6318" s="2" t="s">
        <v>17</v>
      </c>
      <c r="K6318" s="4" t="s">
        <v>21846</v>
      </c>
      <c r="L6318" s="4">
        <v>6628</v>
      </c>
      <c r="M6318" s="2" t="s">
        <v>154</v>
      </c>
      <c r="N6318" s="2" t="s">
        <v>4862</v>
      </c>
    </row>
    <row r="6319" spans="1:14">
      <c r="A6319" s="2">
        <v>6318</v>
      </c>
      <c r="B6319" s="3" t="s">
        <v>21847</v>
      </c>
      <c r="C6319" s="2" t="s">
        <v>21848</v>
      </c>
      <c r="D6319" s="2">
        <v>26</v>
      </c>
      <c r="E6319" s="2">
        <v>26</v>
      </c>
      <c r="F6319" s="2" t="s">
        <v>21849</v>
      </c>
      <c r="H6319" s="2" t="s">
        <v>17</v>
      </c>
      <c r="K6319" s="4" t="s">
        <v>21850</v>
      </c>
      <c r="L6319" s="4">
        <v>12713</v>
      </c>
      <c r="M6319" s="2" t="s">
        <v>47</v>
      </c>
      <c r="N6319" s="2" t="s">
        <v>48</v>
      </c>
    </row>
    <row r="6320" spans="1:14">
      <c r="A6320" s="2">
        <v>6319</v>
      </c>
      <c r="B6320" s="3" t="s">
        <v>21851</v>
      </c>
      <c r="C6320" s="2" t="s">
        <v>21852</v>
      </c>
      <c r="D6320" s="2">
        <v>22</v>
      </c>
      <c r="E6320" s="2">
        <v>26</v>
      </c>
      <c r="F6320" s="2" t="s">
        <v>21853</v>
      </c>
      <c r="H6320" s="2" t="s">
        <v>17</v>
      </c>
      <c r="K6320" s="4" t="s">
        <v>21854</v>
      </c>
      <c r="L6320" s="4">
        <v>5790</v>
      </c>
    </row>
    <row r="6321" spans="1:14">
      <c r="A6321" s="2">
        <v>6320</v>
      </c>
      <c r="B6321" s="3" t="s">
        <v>21855</v>
      </c>
      <c r="C6321" s="2" t="s">
        <v>21856</v>
      </c>
      <c r="D6321" s="2">
        <v>25</v>
      </c>
      <c r="E6321" s="2">
        <v>26</v>
      </c>
      <c r="F6321" s="2" t="s">
        <v>21857</v>
      </c>
      <c r="H6321" s="2" t="s">
        <v>17</v>
      </c>
      <c r="K6321" s="4" t="s">
        <v>21858</v>
      </c>
      <c r="L6321" s="4">
        <v>7142</v>
      </c>
      <c r="M6321" s="2" t="s">
        <v>35</v>
      </c>
      <c r="N6321" s="2" t="s">
        <v>11401</v>
      </c>
    </row>
    <row r="6322" spans="1:14">
      <c r="A6322" s="2">
        <v>6321</v>
      </c>
      <c r="B6322" s="3" t="s">
        <v>21859</v>
      </c>
      <c r="C6322" s="2" t="s">
        <v>20243</v>
      </c>
      <c r="D6322" s="2">
        <v>24</v>
      </c>
      <c r="E6322" s="2">
        <v>26</v>
      </c>
      <c r="F6322" s="2" t="s">
        <v>21860</v>
      </c>
      <c r="H6322" s="2" t="s">
        <v>17</v>
      </c>
      <c r="K6322" s="4" t="s">
        <v>21861</v>
      </c>
      <c r="L6322" s="4">
        <v>13806</v>
      </c>
      <c r="M6322" s="2" t="s">
        <v>40</v>
      </c>
      <c r="N6322" s="2" t="s">
        <v>41</v>
      </c>
    </row>
    <row r="6323" spans="1:14">
      <c r="A6323" s="2">
        <v>6322</v>
      </c>
      <c r="B6323" s="3" t="s">
        <v>21862</v>
      </c>
      <c r="C6323" s="2" t="s">
        <v>21863</v>
      </c>
      <c r="D6323" s="2">
        <v>25</v>
      </c>
      <c r="E6323" s="2">
        <v>26</v>
      </c>
      <c r="F6323" s="2" t="s">
        <v>21864</v>
      </c>
      <c r="H6323" s="2" t="s">
        <v>17</v>
      </c>
      <c r="K6323" s="4" t="s">
        <v>21865</v>
      </c>
      <c r="L6323" s="4">
        <v>11239</v>
      </c>
      <c r="M6323" s="2" t="s">
        <v>198</v>
      </c>
      <c r="N6323" s="2" t="s">
        <v>199</v>
      </c>
    </row>
    <row r="6324" spans="1:14">
      <c r="A6324" s="2">
        <v>6323</v>
      </c>
      <c r="B6324" s="3" t="s">
        <v>21866</v>
      </c>
      <c r="C6324" s="2" t="s">
        <v>21867</v>
      </c>
      <c r="D6324" s="2">
        <v>26</v>
      </c>
      <c r="E6324" s="2">
        <v>26</v>
      </c>
      <c r="F6324" s="2" t="s">
        <v>21868</v>
      </c>
      <c r="H6324" s="2" t="s">
        <v>17</v>
      </c>
    </row>
    <row r="6325" spans="1:14">
      <c r="A6325" s="2">
        <v>6324</v>
      </c>
      <c r="B6325" s="3" t="s">
        <v>21869</v>
      </c>
      <c r="C6325" s="2" t="s">
        <v>17062</v>
      </c>
      <c r="D6325" s="2">
        <v>26</v>
      </c>
      <c r="E6325" s="2">
        <v>26</v>
      </c>
      <c r="F6325" s="2" t="s">
        <v>21870</v>
      </c>
      <c r="H6325" s="2" t="s">
        <v>17</v>
      </c>
    </row>
    <row r="6326" spans="1:14">
      <c r="A6326" s="2">
        <v>6325</v>
      </c>
      <c r="B6326" s="3" t="s">
        <v>21871</v>
      </c>
      <c r="C6326" s="2" t="s">
        <v>21872</v>
      </c>
      <c r="D6326" s="2">
        <v>26</v>
      </c>
      <c r="E6326" s="2">
        <v>26</v>
      </c>
      <c r="F6326" s="2" t="s">
        <v>21873</v>
      </c>
      <c r="H6326" s="2" t="s">
        <v>17</v>
      </c>
      <c r="K6326" s="4" t="s">
        <v>21874</v>
      </c>
    </row>
    <row r="6327" spans="1:14">
      <c r="A6327" s="2">
        <v>6326</v>
      </c>
      <c r="B6327" s="3" t="s">
        <v>21875</v>
      </c>
      <c r="C6327" s="2" t="s">
        <v>21876</v>
      </c>
      <c r="D6327" s="2">
        <v>26</v>
      </c>
      <c r="E6327" s="2">
        <v>26</v>
      </c>
      <c r="F6327" s="2" t="s">
        <v>21877</v>
      </c>
      <c r="H6327" s="2" t="s">
        <v>17</v>
      </c>
    </row>
    <row r="6328" spans="1:14">
      <c r="A6328" s="2">
        <v>6327</v>
      </c>
      <c r="B6328" s="3" t="s">
        <v>21878</v>
      </c>
      <c r="C6328" s="2" t="s">
        <v>21879</v>
      </c>
      <c r="D6328" s="2">
        <v>23</v>
      </c>
      <c r="E6328" s="2">
        <v>26</v>
      </c>
      <c r="F6328" s="2" t="s">
        <v>21880</v>
      </c>
      <c r="H6328" s="2" t="s">
        <v>17</v>
      </c>
      <c r="K6328" s="4" t="s">
        <v>21881</v>
      </c>
      <c r="L6328" s="4">
        <v>2068</v>
      </c>
      <c r="M6328" s="2" t="s">
        <v>40</v>
      </c>
      <c r="N6328" s="2" t="s">
        <v>6787</v>
      </c>
    </row>
    <row r="6329" spans="1:14">
      <c r="A6329" s="2">
        <v>6328</v>
      </c>
      <c r="B6329" s="3" t="s">
        <v>21882</v>
      </c>
      <c r="C6329" s="2" t="s">
        <v>21883</v>
      </c>
      <c r="D6329" s="2">
        <v>24</v>
      </c>
      <c r="E6329" s="2">
        <v>26</v>
      </c>
      <c r="F6329" s="2" t="s">
        <v>21884</v>
      </c>
      <c r="H6329" s="2" t="s">
        <v>17</v>
      </c>
      <c r="L6329" s="4">
        <v>1487</v>
      </c>
      <c r="M6329" s="2" t="s">
        <v>35</v>
      </c>
      <c r="N6329" s="2" t="s">
        <v>11458</v>
      </c>
    </row>
    <row r="6330" spans="1:14">
      <c r="A6330" s="2">
        <v>6329</v>
      </c>
      <c r="B6330" s="3" t="s">
        <v>21885</v>
      </c>
      <c r="C6330" s="2" t="s">
        <v>21886</v>
      </c>
      <c r="D6330" s="2">
        <v>23</v>
      </c>
      <c r="E6330" s="2">
        <v>26</v>
      </c>
      <c r="F6330" s="2" t="s">
        <v>21887</v>
      </c>
      <c r="H6330" s="2" t="s">
        <v>17</v>
      </c>
      <c r="K6330" s="4" t="s">
        <v>21888</v>
      </c>
      <c r="L6330" s="4">
        <v>8536</v>
      </c>
      <c r="M6330" s="2" t="s">
        <v>40</v>
      </c>
      <c r="N6330" s="2" t="s">
        <v>41</v>
      </c>
    </row>
    <row r="6331" spans="1:14">
      <c r="A6331" s="2">
        <v>6330</v>
      </c>
      <c r="B6331" s="3" t="s">
        <v>21889</v>
      </c>
      <c r="C6331" s="2" t="s">
        <v>21890</v>
      </c>
      <c r="D6331" s="2">
        <v>25</v>
      </c>
      <c r="E6331" s="2">
        <v>26</v>
      </c>
      <c r="F6331" s="2" t="s">
        <v>21891</v>
      </c>
      <c r="H6331" s="2" t="s">
        <v>17</v>
      </c>
      <c r="K6331" s="4" t="s">
        <v>21892</v>
      </c>
      <c r="L6331" s="4">
        <v>8189</v>
      </c>
      <c r="M6331" s="2" t="s">
        <v>198</v>
      </c>
      <c r="N6331" s="2" t="s">
        <v>5846</v>
      </c>
    </row>
    <row r="6332" spans="1:14">
      <c r="A6332" s="2">
        <v>6331</v>
      </c>
      <c r="B6332" s="3" t="s">
        <v>21893</v>
      </c>
      <c r="C6332" s="2" t="s">
        <v>21894</v>
      </c>
      <c r="D6332" s="2">
        <v>23</v>
      </c>
      <c r="E6332" s="2">
        <v>26</v>
      </c>
      <c r="F6332" s="2" t="s">
        <v>21895</v>
      </c>
      <c r="H6332" s="2" t="s">
        <v>17</v>
      </c>
      <c r="K6332" s="4" t="s">
        <v>21896</v>
      </c>
      <c r="L6332" s="4">
        <v>7123</v>
      </c>
      <c r="M6332" s="2" t="s">
        <v>164</v>
      </c>
      <c r="N6332" s="2" t="s">
        <v>6164</v>
      </c>
    </row>
    <row r="6333" spans="1:14">
      <c r="A6333" s="2">
        <v>6332</v>
      </c>
      <c r="B6333" s="3" t="s">
        <v>21897</v>
      </c>
      <c r="C6333" s="2" t="s">
        <v>21898</v>
      </c>
      <c r="D6333" s="2">
        <v>24</v>
      </c>
      <c r="E6333" s="2">
        <v>26</v>
      </c>
      <c r="F6333" s="2" t="s">
        <v>21899</v>
      </c>
      <c r="H6333" s="2" t="s">
        <v>17</v>
      </c>
      <c r="K6333" s="4" t="s">
        <v>21900</v>
      </c>
      <c r="L6333" s="4">
        <v>1559</v>
      </c>
      <c r="M6333" s="2" t="s">
        <v>198</v>
      </c>
      <c r="N6333" s="2" t="s">
        <v>12284</v>
      </c>
    </row>
    <row r="6334" spans="1:14">
      <c r="A6334" s="2">
        <v>6333</v>
      </c>
      <c r="B6334" s="3" t="s">
        <v>21901</v>
      </c>
      <c r="C6334" s="2" t="s">
        <v>21902</v>
      </c>
      <c r="D6334" s="2">
        <v>25</v>
      </c>
      <c r="E6334" s="2">
        <v>26</v>
      </c>
      <c r="F6334" s="2" t="s">
        <v>21903</v>
      </c>
      <c r="H6334" s="2" t="s">
        <v>17</v>
      </c>
      <c r="K6334" s="4" t="s">
        <v>21904</v>
      </c>
      <c r="L6334" s="4">
        <v>3179</v>
      </c>
      <c r="M6334" s="2" t="s">
        <v>35</v>
      </c>
      <c r="N6334" s="2" t="s">
        <v>10316</v>
      </c>
    </row>
    <row r="6335" spans="1:14">
      <c r="A6335" s="2">
        <v>6334</v>
      </c>
      <c r="B6335" s="3" t="s">
        <v>21905</v>
      </c>
      <c r="C6335" s="2" t="s">
        <v>21906</v>
      </c>
      <c r="D6335" s="2">
        <v>25</v>
      </c>
      <c r="E6335" s="2">
        <v>26</v>
      </c>
      <c r="F6335" s="2" t="s">
        <v>21907</v>
      </c>
      <c r="H6335" s="2" t="s">
        <v>17</v>
      </c>
      <c r="K6335" s="4" t="s">
        <v>21908</v>
      </c>
      <c r="L6335" s="4">
        <v>2584</v>
      </c>
      <c r="M6335" s="2" t="s">
        <v>40</v>
      </c>
      <c r="N6335" s="2" t="s">
        <v>8172</v>
      </c>
    </row>
    <row r="6336" spans="1:14">
      <c r="A6336" s="2">
        <v>6335</v>
      </c>
      <c r="B6336" s="3" t="s">
        <v>21909</v>
      </c>
      <c r="C6336" s="2" t="s">
        <v>21910</v>
      </c>
      <c r="D6336" s="2">
        <v>24</v>
      </c>
      <c r="E6336" s="2">
        <v>26</v>
      </c>
      <c r="F6336" s="2" t="s">
        <v>21911</v>
      </c>
      <c r="H6336" s="2" t="s">
        <v>17</v>
      </c>
      <c r="K6336" s="4" t="s">
        <v>19970</v>
      </c>
      <c r="L6336" s="4">
        <v>13813</v>
      </c>
      <c r="M6336" s="2" t="s">
        <v>47</v>
      </c>
      <c r="N6336" s="2" t="s">
        <v>11282</v>
      </c>
    </row>
    <row r="6337" spans="1:14">
      <c r="A6337" s="2">
        <v>6336</v>
      </c>
      <c r="B6337" s="3" t="s">
        <v>21912</v>
      </c>
      <c r="C6337" s="2" t="s">
        <v>21913</v>
      </c>
      <c r="D6337" s="2">
        <v>22</v>
      </c>
      <c r="E6337" s="2">
        <v>26</v>
      </c>
      <c r="F6337" s="2" t="s">
        <v>21914</v>
      </c>
      <c r="H6337" s="2" t="s">
        <v>17</v>
      </c>
      <c r="K6337" s="4" t="s">
        <v>21915</v>
      </c>
      <c r="L6337" s="4">
        <v>2035</v>
      </c>
    </row>
    <row r="6338" spans="1:14">
      <c r="A6338" s="2">
        <v>6337</v>
      </c>
      <c r="B6338" s="3" t="s">
        <v>21916</v>
      </c>
      <c r="C6338" s="2" t="s">
        <v>21917</v>
      </c>
      <c r="D6338" s="2">
        <v>26</v>
      </c>
      <c r="E6338" s="2">
        <v>26</v>
      </c>
      <c r="F6338" s="2" t="s">
        <v>21918</v>
      </c>
      <c r="H6338" s="2" t="s">
        <v>17</v>
      </c>
      <c r="K6338" s="4" t="s">
        <v>21474</v>
      </c>
    </row>
    <row r="6339" spans="1:14">
      <c r="A6339" s="2">
        <v>6338</v>
      </c>
      <c r="B6339" s="3" t="s">
        <v>21919</v>
      </c>
      <c r="C6339" s="2" t="s">
        <v>21920</v>
      </c>
      <c r="D6339" s="2">
        <v>24</v>
      </c>
      <c r="E6339" s="2">
        <v>26</v>
      </c>
      <c r="F6339" s="2" t="s">
        <v>21921</v>
      </c>
      <c r="H6339" s="2" t="s">
        <v>17</v>
      </c>
      <c r="K6339" s="4" t="s">
        <v>21922</v>
      </c>
      <c r="L6339" s="4">
        <v>13263</v>
      </c>
      <c r="M6339" s="2" t="s">
        <v>35</v>
      </c>
      <c r="N6339" s="2" t="s">
        <v>21923</v>
      </c>
    </row>
    <row r="6340" spans="1:14">
      <c r="A6340" s="2">
        <v>6339</v>
      </c>
      <c r="B6340" s="3" t="s">
        <v>21924</v>
      </c>
      <c r="C6340" s="2" t="s">
        <v>21925</v>
      </c>
      <c r="D6340" s="2">
        <v>23</v>
      </c>
      <c r="E6340" s="2">
        <v>26</v>
      </c>
      <c r="F6340" s="2" t="s">
        <v>21926</v>
      </c>
      <c r="H6340" s="2" t="s">
        <v>17</v>
      </c>
      <c r="K6340" s="4" t="s">
        <v>21927</v>
      </c>
      <c r="L6340" s="4">
        <v>1506</v>
      </c>
      <c r="M6340" s="2" t="s">
        <v>423</v>
      </c>
      <c r="N6340" s="2" t="s">
        <v>6168</v>
      </c>
    </row>
    <row r="6341" spans="1:14">
      <c r="A6341" s="2">
        <v>6340</v>
      </c>
      <c r="B6341" s="3" t="s">
        <v>21928</v>
      </c>
      <c r="C6341" s="2" t="s">
        <v>21929</v>
      </c>
      <c r="D6341" s="2">
        <v>23</v>
      </c>
      <c r="E6341" s="2">
        <v>26</v>
      </c>
      <c r="F6341" s="2" t="s">
        <v>21930</v>
      </c>
      <c r="H6341" s="2" t="s">
        <v>17</v>
      </c>
      <c r="K6341" s="4" t="s">
        <v>21931</v>
      </c>
      <c r="L6341" s="4">
        <v>3389</v>
      </c>
      <c r="M6341" s="2" t="s">
        <v>198</v>
      </c>
      <c r="N6341" s="2" t="s">
        <v>19550</v>
      </c>
    </row>
    <row r="6342" spans="1:14">
      <c r="A6342" s="2">
        <v>6341</v>
      </c>
      <c r="B6342" s="3" t="s">
        <v>21932</v>
      </c>
      <c r="C6342" s="2" t="s">
        <v>21933</v>
      </c>
      <c r="D6342" s="2">
        <v>25</v>
      </c>
      <c r="E6342" s="2">
        <v>26</v>
      </c>
      <c r="F6342" s="2" t="s">
        <v>21934</v>
      </c>
      <c r="H6342" s="2" t="s">
        <v>17</v>
      </c>
      <c r="K6342" s="4" t="s">
        <v>21935</v>
      </c>
      <c r="L6342" s="4">
        <v>10046</v>
      </c>
      <c r="M6342" s="2" t="s">
        <v>35</v>
      </c>
      <c r="N6342" s="2" t="s">
        <v>11552</v>
      </c>
    </row>
    <row r="6343" spans="1:14">
      <c r="A6343" s="2">
        <v>6342</v>
      </c>
      <c r="B6343" s="3" t="s">
        <v>21936</v>
      </c>
      <c r="C6343" s="2" t="s">
        <v>21937</v>
      </c>
      <c r="D6343" s="2">
        <v>24</v>
      </c>
      <c r="E6343" s="2">
        <v>26</v>
      </c>
      <c r="F6343" s="2" t="s">
        <v>21938</v>
      </c>
      <c r="H6343" s="2" t="s">
        <v>17</v>
      </c>
      <c r="L6343" s="4">
        <v>1800</v>
      </c>
      <c r="M6343" s="2" t="s">
        <v>185</v>
      </c>
      <c r="N6343" s="2" t="s">
        <v>14459</v>
      </c>
    </row>
    <row r="6344" spans="1:14">
      <c r="A6344" s="2">
        <v>6343</v>
      </c>
      <c r="B6344" s="3" t="s">
        <v>21939</v>
      </c>
      <c r="C6344" s="2" t="s">
        <v>21940</v>
      </c>
      <c r="D6344" s="2">
        <v>26</v>
      </c>
      <c r="E6344" s="2">
        <v>26</v>
      </c>
      <c r="F6344" s="2" t="s">
        <v>21941</v>
      </c>
      <c r="H6344" s="2" t="s">
        <v>17</v>
      </c>
      <c r="K6344" s="4" t="s">
        <v>21942</v>
      </c>
      <c r="M6344" s="2" t="s">
        <v>66</v>
      </c>
      <c r="N6344" s="2" t="s">
        <v>17431</v>
      </c>
    </row>
    <row r="6345" spans="1:14">
      <c r="A6345" s="2">
        <v>6344</v>
      </c>
      <c r="B6345" s="3" t="s">
        <v>21943</v>
      </c>
      <c r="C6345" s="2" t="s">
        <v>21944</v>
      </c>
      <c r="D6345" s="2">
        <v>22</v>
      </c>
      <c r="E6345" s="2">
        <v>26</v>
      </c>
      <c r="F6345" s="2" t="s">
        <v>21945</v>
      </c>
      <c r="H6345" s="2" t="s">
        <v>17</v>
      </c>
      <c r="K6345" s="4" t="s">
        <v>21946</v>
      </c>
      <c r="L6345" s="4">
        <v>12134</v>
      </c>
    </row>
    <row r="6346" spans="1:14">
      <c r="A6346" s="2">
        <v>6345</v>
      </c>
      <c r="B6346" s="3" t="s">
        <v>21947</v>
      </c>
      <c r="C6346" s="2" t="s">
        <v>21948</v>
      </c>
      <c r="D6346" s="2">
        <v>26</v>
      </c>
      <c r="E6346" s="2">
        <v>26</v>
      </c>
      <c r="F6346" s="2" t="s">
        <v>21949</v>
      </c>
      <c r="H6346" s="2" t="s">
        <v>17</v>
      </c>
    </row>
    <row r="6347" spans="1:14">
      <c r="A6347" s="2">
        <v>6346</v>
      </c>
      <c r="B6347" s="3" t="s">
        <v>21950</v>
      </c>
      <c r="C6347" s="2" t="s">
        <v>21951</v>
      </c>
      <c r="D6347" s="2">
        <v>25</v>
      </c>
      <c r="E6347" s="2">
        <v>26</v>
      </c>
      <c r="F6347" s="2" t="s">
        <v>21952</v>
      </c>
      <c r="H6347" s="2" t="s">
        <v>17</v>
      </c>
      <c r="K6347" s="4" t="s">
        <v>21953</v>
      </c>
      <c r="M6347" s="2" t="s">
        <v>53</v>
      </c>
      <c r="N6347" s="2" t="s">
        <v>21954</v>
      </c>
    </row>
    <row r="6348" spans="1:14">
      <c r="A6348" s="2">
        <v>6347</v>
      </c>
      <c r="B6348" s="3" t="s">
        <v>21955</v>
      </c>
      <c r="C6348" s="2" t="s">
        <v>21956</v>
      </c>
      <c r="D6348" s="2">
        <v>26</v>
      </c>
      <c r="E6348" s="2">
        <v>26</v>
      </c>
      <c r="F6348" s="2" t="s">
        <v>21957</v>
      </c>
      <c r="H6348" s="2" t="s">
        <v>17</v>
      </c>
      <c r="K6348" s="4" t="s">
        <v>21958</v>
      </c>
      <c r="L6348" s="4">
        <v>3540</v>
      </c>
      <c r="M6348" s="2" t="s">
        <v>66</v>
      </c>
    </row>
    <row r="6349" spans="1:14">
      <c r="A6349" s="2">
        <v>6348</v>
      </c>
      <c r="B6349" s="3" t="s">
        <v>21959</v>
      </c>
      <c r="C6349" s="2" t="s">
        <v>21960</v>
      </c>
      <c r="D6349" s="2">
        <v>26</v>
      </c>
      <c r="E6349" s="2">
        <v>26</v>
      </c>
      <c r="F6349" s="2" t="s">
        <v>21961</v>
      </c>
      <c r="H6349" s="2" t="s">
        <v>17</v>
      </c>
      <c r="K6349" s="4" t="s">
        <v>21962</v>
      </c>
      <c r="L6349" s="4">
        <v>1817</v>
      </c>
    </row>
    <row r="6350" spans="1:14">
      <c r="A6350" s="2">
        <v>6349</v>
      </c>
      <c r="B6350" s="3" t="s">
        <v>21963</v>
      </c>
      <c r="C6350" s="2" t="s">
        <v>21964</v>
      </c>
      <c r="D6350" s="2">
        <v>26</v>
      </c>
      <c r="E6350" s="2">
        <v>26</v>
      </c>
      <c r="F6350" s="2" t="s">
        <v>21965</v>
      </c>
      <c r="H6350" s="2" t="s">
        <v>17</v>
      </c>
    </row>
    <row r="6351" spans="1:14">
      <c r="A6351" s="2">
        <v>6350</v>
      </c>
      <c r="B6351" s="3" t="s">
        <v>21966</v>
      </c>
      <c r="C6351" s="2" t="s">
        <v>21967</v>
      </c>
      <c r="D6351" s="2">
        <v>26</v>
      </c>
      <c r="E6351" s="2">
        <v>26</v>
      </c>
      <c r="F6351" s="2" t="s">
        <v>21968</v>
      </c>
      <c r="H6351" s="2" t="s">
        <v>17</v>
      </c>
      <c r="K6351" s="4" t="s">
        <v>21969</v>
      </c>
    </row>
    <row r="6352" spans="1:14">
      <c r="A6352" s="2">
        <v>6351</v>
      </c>
      <c r="B6352" s="3" t="s">
        <v>21970</v>
      </c>
      <c r="C6352" s="2" t="s">
        <v>21971</v>
      </c>
      <c r="D6352" s="2">
        <v>22</v>
      </c>
      <c r="E6352" s="2">
        <v>26</v>
      </c>
      <c r="F6352" s="2" t="s">
        <v>21972</v>
      </c>
      <c r="H6352" s="2" t="s">
        <v>17</v>
      </c>
      <c r="K6352" s="4" t="s">
        <v>21973</v>
      </c>
      <c r="L6352" s="4">
        <v>11998</v>
      </c>
      <c r="M6352" s="2" t="s">
        <v>35</v>
      </c>
      <c r="N6352" s="2" t="s">
        <v>10316</v>
      </c>
    </row>
    <row r="6353" spans="1:14">
      <c r="A6353" s="2">
        <v>6352</v>
      </c>
      <c r="B6353" s="3" t="s">
        <v>21974</v>
      </c>
      <c r="C6353" s="2" t="s">
        <v>21975</v>
      </c>
      <c r="D6353" s="2">
        <v>25</v>
      </c>
      <c r="E6353" s="2">
        <v>26</v>
      </c>
      <c r="F6353" s="2" t="s">
        <v>21976</v>
      </c>
      <c r="H6353" s="2" t="s">
        <v>17</v>
      </c>
      <c r="K6353" s="4" t="s">
        <v>21977</v>
      </c>
      <c r="L6353" s="4">
        <v>11064</v>
      </c>
      <c r="M6353" s="2" t="s">
        <v>18</v>
      </c>
      <c r="N6353" s="2" t="s">
        <v>19</v>
      </c>
    </row>
    <row r="6354" spans="1:14">
      <c r="A6354" s="2">
        <v>6353</v>
      </c>
      <c r="B6354" s="3" t="s">
        <v>21978</v>
      </c>
      <c r="C6354" s="2" t="s">
        <v>21979</v>
      </c>
      <c r="D6354" s="2">
        <v>25</v>
      </c>
      <c r="E6354" s="2">
        <v>26</v>
      </c>
      <c r="F6354" s="2" t="s">
        <v>21980</v>
      </c>
      <c r="H6354" s="2" t="s">
        <v>17</v>
      </c>
      <c r="K6354" s="4" t="s">
        <v>21981</v>
      </c>
      <c r="L6354" s="4">
        <v>8819</v>
      </c>
      <c r="M6354" s="2" t="s">
        <v>170</v>
      </c>
      <c r="N6354" s="2" t="s">
        <v>385</v>
      </c>
    </row>
    <row r="6355" spans="1:14">
      <c r="A6355" s="2">
        <v>6354</v>
      </c>
      <c r="B6355" s="3" t="s">
        <v>21982</v>
      </c>
      <c r="C6355" s="2" t="s">
        <v>21983</v>
      </c>
      <c r="D6355" s="2">
        <v>16</v>
      </c>
      <c r="E6355" s="2">
        <v>26</v>
      </c>
      <c r="F6355" s="2" t="s">
        <v>21984</v>
      </c>
      <c r="H6355" s="2" t="s">
        <v>17</v>
      </c>
      <c r="K6355" s="4" t="s">
        <v>21985</v>
      </c>
      <c r="L6355" s="4">
        <v>2930</v>
      </c>
      <c r="M6355" s="2" t="s">
        <v>40</v>
      </c>
    </row>
    <row r="6356" spans="1:14">
      <c r="A6356" s="2">
        <v>6355</v>
      </c>
      <c r="B6356" s="3" t="s">
        <v>21986</v>
      </c>
      <c r="C6356" s="2" t="s">
        <v>21987</v>
      </c>
      <c r="D6356" s="2">
        <v>26</v>
      </c>
      <c r="E6356" s="2">
        <v>26</v>
      </c>
      <c r="F6356" s="2" t="s">
        <v>21988</v>
      </c>
      <c r="H6356" s="2" t="s">
        <v>17</v>
      </c>
    </row>
    <row r="6357" spans="1:14">
      <c r="A6357" s="2">
        <v>6356</v>
      </c>
      <c r="B6357" s="3" t="s">
        <v>21989</v>
      </c>
      <c r="C6357" s="2" t="s">
        <v>21990</v>
      </c>
      <c r="D6357" s="2">
        <v>20</v>
      </c>
      <c r="E6357" s="2">
        <v>26</v>
      </c>
      <c r="F6357" s="2" t="s">
        <v>21991</v>
      </c>
      <c r="H6357" s="2" t="s">
        <v>17</v>
      </c>
      <c r="K6357" s="4" t="s">
        <v>21992</v>
      </c>
      <c r="L6357" s="4">
        <v>1487</v>
      </c>
      <c r="M6357" s="2" t="s">
        <v>40</v>
      </c>
      <c r="N6357" s="2" t="s">
        <v>1528</v>
      </c>
    </row>
    <row r="6358" spans="1:14">
      <c r="A6358" s="2">
        <v>6357</v>
      </c>
      <c r="B6358" s="3" t="s">
        <v>21993</v>
      </c>
      <c r="C6358" s="2" t="s">
        <v>21994</v>
      </c>
      <c r="D6358" s="2">
        <v>24</v>
      </c>
      <c r="E6358" s="2">
        <v>26</v>
      </c>
      <c r="F6358" s="2" t="s">
        <v>21995</v>
      </c>
      <c r="H6358" s="2" t="s">
        <v>17</v>
      </c>
      <c r="K6358" s="4" t="s">
        <v>21996</v>
      </c>
      <c r="L6358" s="4">
        <v>3349</v>
      </c>
      <c r="M6358" s="2" t="s">
        <v>198</v>
      </c>
      <c r="N6358" s="2" t="s">
        <v>199</v>
      </c>
    </row>
    <row r="6359" spans="1:14">
      <c r="A6359" s="2">
        <v>6358</v>
      </c>
      <c r="B6359" s="3" t="s">
        <v>21997</v>
      </c>
      <c r="C6359" s="2" t="s">
        <v>21998</v>
      </c>
      <c r="D6359" s="2">
        <v>22</v>
      </c>
      <c r="E6359" s="2">
        <v>26</v>
      </c>
      <c r="F6359" s="2" t="s">
        <v>21999</v>
      </c>
      <c r="H6359" s="2" t="s">
        <v>17</v>
      </c>
      <c r="K6359" s="4" t="s">
        <v>22000</v>
      </c>
      <c r="L6359" s="4">
        <v>7368</v>
      </c>
    </row>
    <row r="6360" spans="1:14">
      <c r="A6360" s="2">
        <v>6359</v>
      </c>
      <c r="B6360" s="3" t="s">
        <v>22001</v>
      </c>
      <c r="C6360" s="2" t="s">
        <v>22002</v>
      </c>
      <c r="D6360" s="2">
        <v>26</v>
      </c>
      <c r="E6360" s="2">
        <v>26</v>
      </c>
      <c r="F6360" s="2" t="s">
        <v>22003</v>
      </c>
      <c r="H6360" s="2" t="s">
        <v>17</v>
      </c>
    </row>
    <row r="6361" spans="1:14">
      <c r="A6361" s="2">
        <v>6360</v>
      </c>
      <c r="B6361" s="3" t="s">
        <v>22004</v>
      </c>
      <c r="C6361" s="2" t="s">
        <v>22005</v>
      </c>
      <c r="D6361" s="2">
        <v>22</v>
      </c>
      <c r="E6361" s="2">
        <v>26</v>
      </c>
      <c r="F6361" s="2" t="s">
        <v>22006</v>
      </c>
      <c r="H6361" s="2" t="s">
        <v>17</v>
      </c>
      <c r="K6361" s="4" t="s">
        <v>20793</v>
      </c>
      <c r="M6361" s="2" t="s">
        <v>140</v>
      </c>
    </row>
    <row r="6362" spans="1:14">
      <c r="A6362" s="2">
        <v>6361</v>
      </c>
      <c r="B6362" s="3" t="s">
        <v>22007</v>
      </c>
      <c r="C6362" s="2" t="s">
        <v>22008</v>
      </c>
      <c r="D6362" s="2">
        <v>26</v>
      </c>
      <c r="E6362" s="2">
        <v>26</v>
      </c>
      <c r="F6362" s="2" t="s">
        <v>22009</v>
      </c>
      <c r="H6362" s="2" t="s">
        <v>17</v>
      </c>
    </row>
    <row r="6363" spans="1:14">
      <c r="A6363" s="2">
        <v>6362</v>
      </c>
      <c r="B6363" s="3" t="s">
        <v>22010</v>
      </c>
      <c r="C6363" s="2" t="s">
        <v>22011</v>
      </c>
      <c r="D6363" s="2">
        <v>25</v>
      </c>
      <c r="E6363" s="2">
        <v>26</v>
      </c>
      <c r="F6363" s="2" t="s">
        <v>22012</v>
      </c>
      <c r="H6363" s="2" t="s">
        <v>17</v>
      </c>
      <c r="K6363" s="4" t="s">
        <v>22013</v>
      </c>
      <c r="L6363" s="4">
        <v>4686</v>
      </c>
      <c r="M6363" s="2" t="s">
        <v>170</v>
      </c>
      <c r="N6363" s="2" t="s">
        <v>323</v>
      </c>
    </row>
    <row r="6364" spans="1:14">
      <c r="A6364" s="2">
        <v>6363</v>
      </c>
      <c r="B6364" s="3" t="s">
        <v>22014</v>
      </c>
      <c r="C6364" s="2" t="s">
        <v>22015</v>
      </c>
      <c r="D6364" s="2">
        <v>23</v>
      </c>
      <c r="E6364" s="2">
        <v>26</v>
      </c>
      <c r="F6364" s="2" t="s">
        <v>22016</v>
      </c>
      <c r="H6364" s="2" t="s">
        <v>17</v>
      </c>
      <c r="K6364" s="4" t="s">
        <v>22017</v>
      </c>
      <c r="L6364" s="4">
        <v>13234</v>
      </c>
      <c r="M6364" s="2" t="s">
        <v>170</v>
      </c>
      <c r="N6364" s="2" t="s">
        <v>323</v>
      </c>
    </row>
    <row r="6365" spans="1:14">
      <c r="A6365" s="2">
        <v>6364</v>
      </c>
      <c r="B6365" s="3" t="s">
        <v>22018</v>
      </c>
      <c r="C6365" s="2" t="s">
        <v>22019</v>
      </c>
      <c r="D6365" s="2">
        <v>24</v>
      </c>
      <c r="E6365" s="2">
        <v>26</v>
      </c>
      <c r="F6365" s="2" t="s">
        <v>22020</v>
      </c>
      <c r="H6365" s="2" t="s">
        <v>17</v>
      </c>
      <c r="K6365" s="4" t="s">
        <v>22021</v>
      </c>
      <c r="L6365" s="4">
        <v>9813</v>
      </c>
    </row>
    <row r="6366" spans="1:14">
      <c r="A6366" s="2">
        <v>6365</v>
      </c>
      <c r="B6366" s="3" t="s">
        <v>22022</v>
      </c>
      <c r="C6366" s="2" t="s">
        <v>22023</v>
      </c>
      <c r="D6366" s="2">
        <v>23</v>
      </c>
      <c r="E6366" s="2">
        <v>26</v>
      </c>
      <c r="F6366" s="2" t="s">
        <v>22024</v>
      </c>
      <c r="H6366" s="2" t="s">
        <v>17</v>
      </c>
    </row>
    <row r="6367" spans="1:14">
      <c r="A6367" s="2">
        <v>6366</v>
      </c>
      <c r="B6367" s="3" t="s">
        <v>22025</v>
      </c>
      <c r="C6367" s="2" t="s">
        <v>22026</v>
      </c>
      <c r="D6367" s="2">
        <v>26</v>
      </c>
      <c r="E6367" s="2">
        <v>26</v>
      </c>
      <c r="F6367" s="2" t="s">
        <v>22027</v>
      </c>
      <c r="H6367" s="2" t="s">
        <v>17</v>
      </c>
    </row>
    <row r="6368" spans="1:14">
      <c r="A6368" s="2">
        <v>6367</v>
      </c>
      <c r="B6368" s="3" t="s">
        <v>22028</v>
      </c>
      <c r="C6368" s="2" t="s">
        <v>22029</v>
      </c>
      <c r="D6368" s="2">
        <v>22</v>
      </c>
      <c r="E6368" s="2">
        <v>26</v>
      </c>
      <c r="F6368" s="2" t="s">
        <v>22030</v>
      </c>
      <c r="H6368" s="2" t="s">
        <v>17</v>
      </c>
      <c r="L6368" s="4">
        <v>1623</v>
      </c>
      <c r="M6368" s="2" t="s">
        <v>185</v>
      </c>
    </row>
    <row r="6369" spans="1:14">
      <c r="A6369" s="2">
        <v>6368</v>
      </c>
      <c r="B6369" s="3" t="s">
        <v>22031</v>
      </c>
      <c r="C6369" s="2" t="s">
        <v>22032</v>
      </c>
      <c r="D6369" s="2">
        <v>23</v>
      </c>
      <c r="E6369" s="2">
        <v>26</v>
      </c>
      <c r="F6369" s="2" t="s">
        <v>22033</v>
      </c>
      <c r="H6369" s="2" t="s">
        <v>17</v>
      </c>
      <c r="K6369" s="4" t="s">
        <v>22034</v>
      </c>
      <c r="L6369" s="4">
        <v>17640</v>
      </c>
      <c r="M6369" s="2" t="s">
        <v>170</v>
      </c>
      <c r="N6369" s="2" t="s">
        <v>323</v>
      </c>
    </row>
    <row r="6370" spans="1:14">
      <c r="A6370" s="2">
        <v>6369</v>
      </c>
      <c r="B6370" s="3" t="s">
        <v>22035</v>
      </c>
      <c r="C6370" s="2" t="s">
        <v>22036</v>
      </c>
      <c r="D6370" s="2">
        <v>19</v>
      </c>
      <c r="E6370" s="2">
        <v>26</v>
      </c>
      <c r="F6370" s="2" t="s">
        <v>22037</v>
      </c>
      <c r="H6370" s="2" t="s">
        <v>17</v>
      </c>
      <c r="K6370" s="4" t="s">
        <v>22038</v>
      </c>
      <c r="L6370" s="4">
        <v>4979</v>
      </c>
      <c r="M6370" s="2" t="s">
        <v>40</v>
      </c>
      <c r="N6370" s="2" t="s">
        <v>12371</v>
      </c>
    </row>
    <row r="6371" spans="1:14">
      <c r="A6371" s="2">
        <v>6370</v>
      </c>
      <c r="B6371" s="3" t="s">
        <v>22039</v>
      </c>
      <c r="C6371" s="2" t="s">
        <v>22040</v>
      </c>
      <c r="D6371" s="2">
        <v>25</v>
      </c>
      <c r="E6371" s="2">
        <v>26</v>
      </c>
      <c r="F6371" s="2" t="s">
        <v>22041</v>
      </c>
      <c r="H6371" s="2" t="s">
        <v>17</v>
      </c>
      <c r="K6371" s="4" t="s">
        <v>22042</v>
      </c>
      <c r="L6371" s="4">
        <v>1431</v>
      </c>
      <c r="M6371" s="2" t="s">
        <v>76</v>
      </c>
      <c r="N6371" s="2" t="s">
        <v>906</v>
      </c>
    </row>
    <row r="6372" spans="1:14">
      <c r="A6372" s="2">
        <v>6371</v>
      </c>
      <c r="B6372" s="3" t="s">
        <v>22043</v>
      </c>
      <c r="C6372" s="2" t="s">
        <v>22044</v>
      </c>
      <c r="D6372" s="2">
        <v>23</v>
      </c>
      <c r="E6372" s="2">
        <v>26</v>
      </c>
      <c r="F6372" s="2" t="s">
        <v>22045</v>
      </c>
      <c r="H6372" s="2" t="s">
        <v>17</v>
      </c>
      <c r="K6372" s="4" t="s">
        <v>22046</v>
      </c>
      <c r="L6372" s="4">
        <v>21540</v>
      </c>
    </row>
    <row r="6373" spans="1:14">
      <c r="A6373" s="2">
        <v>6372</v>
      </c>
      <c r="B6373" s="3" t="s">
        <v>22047</v>
      </c>
      <c r="C6373" s="2" t="s">
        <v>22048</v>
      </c>
      <c r="D6373" s="2">
        <v>23</v>
      </c>
      <c r="E6373" s="2">
        <v>26</v>
      </c>
      <c r="F6373" s="2" t="s">
        <v>22049</v>
      </c>
      <c r="H6373" s="2" t="s">
        <v>17</v>
      </c>
      <c r="K6373" s="4" t="s">
        <v>22050</v>
      </c>
      <c r="L6373" s="4">
        <v>5652</v>
      </c>
      <c r="M6373" s="2" t="s">
        <v>40</v>
      </c>
      <c r="N6373" s="2" t="s">
        <v>22051</v>
      </c>
    </row>
    <row r="6374" spans="1:14">
      <c r="A6374" s="2">
        <v>6373</v>
      </c>
      <c r="B6374" s="3" t="s">
        <v>22052</v>
      </c>
      <c r="C6374" s="2" t="s">
        <v>22053</v>
      </c>
      <c r="D6374" s="2">
        <v>23</v>
      </c>
      <c r="E6374" s="2">
        <v>26</v>
      </c>
      <c r="F6374" s="2" t="s">
        <v>22054</v>
      </c>
      <c r="H6374" s="2" t="s">
        <v>17</v>
      </c>
      <c r="K6374" s="4" t="s">
        <v>22055</v>
      </c>
      <c r="L6374" s="4">
        <v>4083</v>
      </c>
      <c r="M6374" s="2" t="s">
        <v>76</v>
      </c>
      <c r="N6374" s="2" t="s">
        <v>77</v>
      </c>
    </row>
    <row r="6375" spans="1:14">
      <c r="A6375" s="2">
        <v>6374</v>
      </c>
      <c r="B6375" s="3" t="s">
        <v>22056</v>
      </c>
      <c r="C6375" s="2" t="s">
        <v>22057</v>
      </c>
      <c r="D6375" s="2">
        <v>24</v>
      </c>
      <c r="E6375" s="2">
        <v>26</v>
      </c>
      <c r="F6375" s="2" t="s">
        <v>22058</v>
      </c>
      <c r="H6375" s="2" t="s">
        <v>17</v>
      </c>
      <c r="K6375" s="4" t="s">
        <v>22059</v>
      </c>
      <c r="L6375" s="4">
        <v>8163</v>
      </c>
      <c r="M6375" s="2" t="s">
        <v>185</v>
      </c>
    </row>
    <row r="6376" spans="1:14">
      <c r="A6376" s="2">
        <v>6375</v>
      </c>
      <c r="B6376" s="3" t="s">
        <v>22060</v>
      </c>
      <c r="C6376" s="2" t="s">
        <v>19861</v>
      </c>
      <c r="D6376" s="2">
        <v>18</v>
      </c>
      <c r="E6376" s="2">
        <v>26</v>
      </c>
      <c r="F6376" s="2" t="s">
        <v>22061</v>
      </c>
      <c r="H6376" s="2" t="s">
        <v>17</v>
      </c>
      <c r="K6376" s="4" t="s">
        <v>22062</v>
      </c>
      <c r="L6376" s="4">
        <v>1769</v>
      </c>
      <c r="M6376" s="2" t="s">
        <v>35</v>
      </c>
      <c r="N6376" s="2" t="s">
        <v>5778</v>
      </c>
    </row>
    <row r="6377" spans="1:14">
      <c r="A6377" s="2">
        <v>6376</v>
      </c>
      <c r="B6377" s="3" t="s">
        <v>22063</v>
      </c>
      <c r="C6377" s="2" t="s">
        <v>22064</v>
      </c>
      <c r="D6377" s="2">
        <v>23</v>
      </c>
      <c r="E6377" s="2">
        <v>26</v>
      </c>
      <c r="F6377" s="2" t="s">
        <v>22065</v>
      </c>
      <c r="H6377" s="2" t="s">
        <v>17</v>
      </c>
      <c r="K6377" s="4" t="s">
        <v>22066</v>
      </c>
      <c r="L6377" s="4">
        <v>16688</v>
      </c>
      <c r="M6377" s="2" t="s">
        <v>40</v>
      </c>
      <c r="N6377" s="2" t="s">
        <v>13336</v>
      </c>
    </row>
    <row r="6378" spans="1:14">
      <c r="A6378" s="2">
        <v>6377</v>
      </c>
      <c r="B6378" s="3" t="s">
        <v>22067</v>
      </c>
      <c r="C6378" s="2" t="s">
        <v>22068</v>
      </c>
      <c r="D6378" s="2">
        <v>26</v>
      </c>
      <c r="E6378" s="2">
        <v>26</v>
      </c>
      <c r="F6378" s="2" t="s">
        <v>22069</v>
      </c>
      <c r="H6378" s="2" t="s">
        <v>17</v>
      </c>
      <c r="K6378" s="4" t="s">
        <v>22070</v>
      </c>
      <c r="M6378" s="2" t="s">
        <v>146</v>
      </c>
      <c r="N6378" s="2" t="s">
        <v>22071</v>
      </c>
    </row>
    <row r="6379" spans="1:14">
      <c r="A6379" s="2">
        <v>6378</v>
      </c>
      <c r="B6379" s="3" t="s">
        <v>22072</v>
      </c>
      <c r="C6379" s="2" t="s">
        <v>22073</v>
      </c>
      <c r="D6379" s="2">
        <v>23</v>
      </c>
      <c r="E6379" s="2">
        <v>26</v>
      </c>
      <c r="F6379" s="2" t="s">
        <v>22074</v>
      </c>
      <c r="H6379" s="2" t="s">
        <v>17</v>
      </c>
      <c r="K6379" s="4" t="s">
        <v>22075</v>
      </c>
      <c r="L6379" s="4">
        <v>1595</v>
      </c>
      <c r="M6379" s="2" t="s">
        <v>18</v>
      </c>
      <c r="N6379" s="2" t="s">
        <v>19</v>
      </c>
    </row>
    <row r="6380" spans="1:14">
      <c r="A6380" s="2">
        <v>6379</v>
      </c>
      <c r="B6380" s="3" t="s">
        <v>22076</v>
      </c>
      <c r="C6380" s="2" t="s">
        <v>22077</v>
      </c>
      <c r="D6380" s="2">
        <v>24</v>
      </c>
      <c r="E6380" s="2">
        <v>25</v>
      </c>
      <c r="F6380" s="2" t="s">
        <v>22078</v>
      </c>
      <c r="H6380" s="2" t="s">
        <v>17</v>
      </c>
      <c r="K6380" s="4" t="s">
        <v>22079</v>
      </c>
      <c r="L6380" s="4">
        <v>15860</v>
      </c>
    </row>
    <row r="6381" spans="1:14">
      <c r="A6381" s="2">
        <v>6380</v>
      </c>
      <c r="B6381" s="3" t="s">
        <v>22080</v>
      </c>
      <c r="C6381" s="2" t="s">
        <v>22081</v>
      </c>
      <c r="D6381" s="2">
        <v>22</v>
      </c>
      <c r="E6381" s="2">
        <v>25</v>
      </c>
      <c r="F6381" s="2" t="s">
        <v>22082</v>
      </c>
      <c r="H6381" s="2" t="s">
        <v>17</v>
      </c>
      <c r="K6381" s="4" t="s">
        <v>22083</v>
      </c>
      <c r="L6381" s="4">
        <v>1087</v>
      </c>
      <c r="M6381" s="2" t="s">
        <v>47</v>
      </c>
      <c r="N6381" s="2" t="s">
        <v>48</v>
      </c>
    </row>
    <row r="6382" spans="1:14">
      <c r="A6382" s="2">
        <v>6381</v>
      </c>
      <c r="B6382" s="3" t="s">
        <v>22084</v>
      </c>
      <c r="C6382" s="2" t="s">
        <v>22085</v>
      </c>
      <c r="D6382" s="2">
        <v>24</v>
      </c>
      <c r="E6382" s="2">
        <v>25</v>
      </c>
      <c r="F6382" s="2" t="s">
        <v>22086</v>
      </c>
      <c r="H6382" s="2" t="s">
        <v>17</v>
      </c>
      <c r="K6382" s="4" t="s">
        <v>22087</v>
      </c>
      <c r="L6382" s="4">
        <v>8590</v>
      </c>
      <c r="M6382" s="2" t="s">
        <v>198</v>
      </c>
      <c r="N6382" s="2" t="s">
        <v>199</v>
      </c>
    </row>
    <row r="6383" spans="1:14">
      <c r="A6383" s="2">
        <v>6382</v>
      </c>
      <c r="B6383" s="3" t="s">
        <v>22088</v>
      </c>
      <c r="C6383" s="2" t="s">
        <v>22089</v>
      </c>
      <c r="D6383" s="2">
        <v>25</v>
      </c>
      <c r="E6383" s="2">
        <v>25</v>
      </c>
      <c r="F6383" s="2" t="s">
        <v>22090</v>
      </c>
      <c r="H6383" s="2" t="s">
        <v>17</v>
      </c>
      <c r="K6383" s="4" t="s">
        <v>22091</v>
      </c>
      <c r="L6383" s="4">
        <v>11098</v>
      </c>
      <c r="M6383" s="2" t="s">
        <v>47</v>
      </c>
      <c r="N6383" s="2" t="s">
        <v>48</v>
      </c>
    </row>
    <row r="6384" spans="1:14">
      <c r="A6384" s="2">
        <v>6383</v>
      </c>
      <c r="B6384" s="3" t="s">
        <v>22092</v>
      </c>
      <c r="C6384" s="2" t="s">
        <v>22093</v>
      </c>
      <c r="D6384" s="2">
        <v>24</v>
      </c>
      <c r="E6384" s="2">
        <v>25</v>
      </c>
      <c r="F6384" s="2" t="s">
        <v>22094</v>
      </c>
      <c r="H6384" s="2" t="s">
        <v>17</v>
      </c>
      <c r="L6384" s="4">
        <v>1378</v>
      </c>
    </row>
    <row r="6385" spans="1:14">
      <c r="A6385" s="2">
        <v>6384</v>
      </c>
      <c r="B6385" s="3" t="s">
        <v>22095</v>
      </c>
      <c r="C6385" s="2" t="s">
        <v>22096</v>
      </c>
      <c r="D6385" s="2">
        <v>25</v>
      </c>
      <c r="E6385" s="2">
        <v>25</v>
      </c>
      <c r="F6385" s="2" t="s">
        <v>22097</v>
      </c>
      <c r="H6385" s="2" t="s">
        <v>17</v>
      </c>
      <c r="M6385" s="2" t="s">
        <v>170</v>
      </c>
      <c r="N6385" s="2" t="s">
        <v>1624</v>
      </c>
    </row>
    <row r="6386" spans="1:14">
      <c r="A6386" s="2">
        <v>6385</v>
      </c>
      <c r="B6386" s="3" t="s">
        <v>22098</v>
      </c>
      <c r="C6386" s="2" t="s">
        <v>22099</v>
      </c>
      <c r="D6386" s="2">
        <v>25</v>
      </c>
      <c r="E6386" s="2">
        <v>25</v>
      </c>
      <c r="F6386" s="2" t="s">
        <v>22100</v>
      </c>
      <c r="H6386" s="2" t="s">
        <v>17</v>
      </c>
      <c r="M6386" s="2" t="s">
        <v>47</v>
      </c>
      <c r="N6386" s="2" t="s">
        <v>48</v>
      </c>
    </row>
    <row r="6387" spans="1:14">
      <c r="A6387" s="2">
        <v>6386</v>
      </c>
      <c r="B6387" s="3" t="s">
        <v>22101</v>
      </c>
      <c r="C6387" s="2" t="s">
        <v>22102</v>
      </c>
      <c r="D6387" s="2">
        <v>24</v>
      </c>
      <c r="E6387" s="2">
        <v>25</v>
      </c>
      <c r="F6387" s="2" t="s">
        <v>22103</v>
      </c>
      <c r="H6387" s="2" t="s">
        <v>17</v>
      </c>
      <c r="K6387" s="4" t="s">
        <v>22104</v>
      </c>
      <c r="L6387" s="4">
        <v>16897</v>
      </c>
      <c r="M6387" s="2" t="s">
        <v>47</v>
      </c>
      <c r="N6387" s="2" t="s">
        <v>691</v>
      </c>
    </row>
    <row r="6388" spans="1:14">
      <c r="A6388" s="2">
        <v>6387</v>
      </c>
      <c r="B6388" s="3" t="s">
        <v>22105</v>
      </c>
      <c r="C6388" s="2" t="s">
        <v>22106</v>
      </c>
      <c r="D6388" s="2">
        <v>22</v>
      </c>
      <c r="E6388" s="2">
        <v>25</v>
      </c>
      <c r="F6388" s="2" t="s">
        <v>22107</v>
      </c>
      <c r="H6388" s="2" t="s">
        <v>17</v>
      </c>
      <c r="K6388" s="4" t="s">
        <v>22108</v>
      </c>
      <c r="L6388" s="4">
        <v>5700</v>
      </c>
    </row>
    <row r="6389" spans="1:14">
      <c r="A6389" s="2">
        <v>6388</v>
      </c>
      <c r="B6389" s="3" t="s">
        <v>22109</v>
      </c>
      <c r="C6389" s="2" t="s">
        <v>22110</v>
      </c>
      <c r="D6389" s="2">
        <v>22</v>
      </c>
      <c r="E6389" s="2">
        <v>25</v>
      </c>
      <c r="F6389" s="2" t="s">
        <v>22111</v>
      </c>
      <c r="H6389" s="2" t="s">
        <v>17</v>
      </c>
      <c r="K6389" s="4" t="s">
        <v>22112</v>
      </c>
      <c r="L6389" s="4">
        <v>863</v>
      </c>
      <c r="M6389" s="2" t="s">
        <v>336</v>
      </c>
      <c r="N6389" s="2" t="s">
        <v>13729</v>
      </c>
    </row>
    <row r="6390" spans="1:14">
      <c r="A6390" s="2">
        <v>6389</v>
      </c>
      <c r="B6390" s="3" t="s">
        <v>22113</v>
      </c>
      <c r="C6390" s="2" t="s">
        <v>22114</v>
      </c>
      <c r="D6390" s="2">
        <v>23</v>
      </c>
      <c r="E6390" s="2">
        <v>25</v>
      </c>
      <c r="F6390" s="2" t="s">
        <v>22115</v>
      </c>
      <c r="H6390" s="2" t="s">
        <v>17</v>
      </c>
      <c r="K6390" s="4" t="s">
        <v>22116</v>
      </c>
      <c r="L6390" s="4">
        <v>5265</v>
      </c>
      <c r="M6390" s="2" t="s">
        <v>66</v>
      </c>
      <c r="N6390" s="2" t="s">
        <v>14510</v>
      </c>
    </row>
    <row r="6391" spans="1:14">
      <c r="A6391" s="2">
        <v>6390</v>
      </c>
      <c r="B6391" s="3" t="s">
        <v>22117</v>
      </c>
      <c r="C6391" s="2" t="s">
        <v>22118</v>
      </c>
      <c r="D6391" s="2">
        <v>25</v>
      </c>
      <c r="E6391" s="2">
        <v>25</v>
      </c>
      <c r="F6391" s="2" t="s">
        <v>22119</v>
      </c>
      <c r="H6391" s="2" t="s">
        <v>17</v>
      </c>
      <c r="K6391" s="4" t="s">
        <v>22120</v>
      </c>
      <c r="L6391" s="4">
        <v>1674</v>
      </c>
      <c r="M6391" s="2" t="s">
        <v>85</v>
      </c>
      <c r="N6391" s="2" t="s">
        <v>1356</v>
      </c>
    </row>
    <row r="6392" spans="1:14">
      <c r="A6392" s="2">
        <v>6391</v>
      </c>
      <c r="B6392" s="3" t="s">
        <v>22121</v>
      </c>
      <c r="C6392" s="2" t="s">
        <v>20213</v>
      </c>
      <c r="D6392" s="2">
        <v>24</v>
      </c>
      <c r="E6392" s="2">
        <v>25</v>
      </c>
      <c r="F6392" s="2" t="s">
        <v>22122</v>
      </c>
      <c r="H6392" s="2" t="s">
        <v>17</v>
      </c>
      <c r="L6392" s="4">
        <v>169</v>
      </c>
      <c r="M6392" s="2" t="s">
        <v>170</v>
      </c>
    </row>
    <row r="6393" spans="1:14">
      <c r="A6393" s="2">
        <v>6392</v>
      </c>
      <c r="B6393" s="3" t="s">
        <v>22123</v>
      </c>
      <c r="C6393" s="2" t="s">
        <v>22124</v>
      </c>
      <c r="D6393" s="2">
        <v>25</v>
      </c>
      <c r="E6393" s="2">
        <v>25</v>
      </c>
      <c r="F6393" s="2" t="s">
        <v>22125</v>
      </c>
      <c r="H6393" s="2" t="s">
        <v>17</v>
      </c>
      <c r="M6393" s="2" t="s">
        <v>40</v>
      </c>
    </row>
    <row r="6394" spans="1:14">
      <c r="A6394" s="2">
        <v>6393</v>
      </c>
      <c r="B6394" s="3" t="s">
        <v>22126</v>
      </c>
      <c r="C6394" s="2" t="s">
        <v>22127</v>
      </c>
      <c r="D6394" s="2">
        <v>24</v>
      </c>
      <c r="E6394" s="2">
        <v>25</v>
      </c>
      <c r="F6394" s="2" t="s">
        <v>22128</v>
      </c>
      <c r="H6394" s="2" t="s">
        <v>17</v>
      </c>
      <c r="K6394" s="4" t="s">
        <v>22129</v>
      </c>
      <c r="L6394" s="4">
        <v>1615</v>
      </c>
      <c r="M6394" s="2" t="s">
        <v>30</v>
      </c>
      <c r="N6394" s="2" t="s">
        <v>31</v>
      </c>
    </row>
    <row r="6395" spans="1:14">
      <c r="A6395" s="2">
        <v>6394</v>
      </c>
      <c r="B6395" s="3" t="s">
        <v>22130</v>
      </c>
      <c r="C6395" s="2" t="s">
        <v>22131</v>
      </c>
      <c r="D6395" s="2">
        <v>25</v>
      </c>
      <c r="E6395" s="2">
        <v>25</v>
      </c>
      <c r="F6395" s="2" t="s">
        <v>22132</v>
      </c>
      <c r="H6395" s="2" t="s">
        <v>17</v>
      </c>
      <c r="L6395" s="4">
        <v>2757</v>
      </c>
      <c r="M6395" s="2" t="s">
        <v>170</v>
      </c>
      <c r="N6395" s="2" t="s">
        <v>323</v>
      </c>
    </row>
    <row r="6396" spans="1:14">
      <c r="A6396" s="2">
        <v>6395</v>
      </c>
      <c r="B6396" s="3" t="s">
        <v>22133</v>
      </c>
      <c r="C6396" s="2" t="s">
        <v>22134</v>
      </c>
      <c r="D6396" s="2">
        <v>24</v>
      </c>
      <c r="E6396" s="2">
        <v>25</v>
      </c>
      <c r="F6396" s="2" t="s">
        <v>22135</v>
      </c>
      <c r="H6396" s="2" t="s">
        <v>17</v>
      </c>
      <c r="K6396" s="4" t="s">
        <v>22136</v>
      </c>
      <c r="L6396" s="4">
        <v>5895</v>
      </c>
      <c r="M6396" s="2" t="s">
        <v>185</v>
      </c>
      <c r="N6396" s="2" t="s">
        <v>186</v>
      </c>
    </row>
    <row r="6397" spans="1:14">
      <c r="A6397" s="2">
        <v>6396</v>
      </c>
      <c r="B6397" s="3" t="s">
        <v>22137</v>
      </c>
      <c r="C6397" s="2" t="s">
        <v>22138</v>
      </c>
      <c r="D6397" s="2">
        <v>25</v>
      </c>
      <c r="E6397" s="2">
        <v>25</v>
      </c>
      <c r="F6397" s="2" t="s">
        <v>22139</v>
      </c>
      <c r="H6397" s="2" t="s">
        <v>17</v>
      </c>
      <c r="M6397" s="2" t="s">
        <v>170</v>
      </c>
    </row>
    <row r="6398" spans="1:14">
      <c r="A6398" s="2">
        <v>6397</v>
      </c>
      <c r="B6398" s="3" t="s">
        <v>22140</v>
      </c>
      <c r="C6398" s="2" t="s">
        <v>22141</v>
      </c>
      <c r="D6398" s="2">
        <v>24</v>
      </c>
      <c r="E6398" s="2">
        <v>25</v>
      </c>
      <c r="F6398" s="2" t="s">
        <v>22142</v>
      </c>
      <c r="H6398" s="2" t="s">
        <v>17</v>
      </c>
    </row>
    <row r="6399" spans="1:14">
      <c r="A6399" s="2">
        <v>6398</v>
      </c>
      <c r="B6399" s="3" t="s">
        <v>22143</v>
      </c>
      <c r="C6399" s="2" t="s">
        <v>22144</v>
      </c>
      <c r="D6399" s="2">
        <v>23</v>
      </c>
      <c r="E6399" s="2">
        <v>25</v>
      </c>
      <c r="F6399" s="2" t="s">
        <v>22145</v>
      </c>
      <c r="H6399" s="2" t="s">
        <v>17</v>
      </c>
      <c r="K6399" s="4" t="s">
        <v>22146</v>
      </c>
      <c r="L6399" s="4">
        <v>11381</v>
      </c>
      <c r="M6399" s="2" t="s">
        <v>47</v>
      </c>
      <c r="N6399" s="2" t="s">
        <v>3765</v>
      </c>
    </row>
    <row r="6400" spans="1:14">
      <c r="A6400" s="2">
        <v>6399</v>
      </c>
      <c r="B6400" s="3" t="s">
        <v>22147</v>
      </c>
      <c r="C6400" s="2" t="s">
        <v>21037</v>
      </c>
      <c r="D6400" s="2">
        <v>22</v>
      </c>
      <c r="E6400" s="2">
        <v>25</v>
      </c>
      <c r="F6400" s="2" t="s">
        <v>22148</v>
      </c>
      <c r="H6400" s="2" t="s">
        <v>17</v>
      </c>
      <c r="K6400" s="4" t="s">
        <v>22149</v>
      </c>
      <c r="L6400" s="4">
        <v>3700</v>
      </c>
      <c r="M6400" s="2" t="s">
        <v>40</v>
      </c>
      <c r="N6400" s="2" t="s">
        <v>22150</v>
      </c>
    </row>
    <row r="6401" spans="1:14">
      <c r="A6401" s="2">
        <v>6400</v>
      </c>
      <c r="B6401" s="3" t="s">
        <v>22151</v>
      </c>
      <c r="C6401" s="2" t="s">
        <v>22152</v>
      </c>
      <c r="D6401" s="2">
        <v>23</v>
      </c>
      <c r="E6401" s="2">
        <v>25</v>
      </c>
      <c r="F6401" s="2" t="s">
        <v>22153</v>
      </c>
      <c r="H6401" s="2" t="s">
        <v>17</v>
      </c>
      <c r="L6401" s="4">
        <v>5586</v>
      </c>
      <c r="M6401" s="2" t="s">
        <v>47</v>
      </c>
    </row>
    <row r="6402" spans="1:14">
      <c r="A6402" s="2">
        <v>6401</v>
      </c>
      <c r="B6402" s="3" t="s">
        <v>22154</v>
      </c>
      <c r="C6402" s="2" t="s">
        <v>22155</v>
      </c>
      <c r="D6402" s="2">
        <v>24</v>
      </c>
      <c r="E6402" s="2">
        <v>25</v>
      </c>
      <c r="F6402" s="2" t="s">
        <v>22156</v>
      </c>
      <c r="H6402" s="2" t="s">
        <v>17</v>
      </c>
      <c r="K6402" s="4" t="s">
        <v>22157</v>
      </c>
      <c r="L6402" s="4">
        <v>451</v>
      </c>
      <c r="M6402" s="2" t="s">
        <v>47</v>
      </c>
      <c r="N6402" s="2" t="s">
        <v>9901</v>
      </c>
    </row>
    <row r="6403" spans="1:14">
      <c r="A6403" s="2">
        <v>6402</v>
      </c>
      <c r="B6403" s="3" t="s">
        <v>22158</v>
      </c>
      <c r="C6403" s="2" t="s">
        <v>22159</v>
      </c>
      <c r="D6403" s="2">
        <v>25</v>
      </c>
      <c r="E6403" s="2">
        <v>25</v>
      </c>
      <c r="F6403" s="2" t="s">
        <v>22160</v>
      </c>
      <c r="H6403" s="2" t="s">
        <v>17</v>
      </c>
      <c r="K6403" s="4" t="s">
        <v>22161</v>
      </c>
    </row>
    <row r="6404" spans="1:14">
      <c r="A6404" s="2">
        <v>6403</v>
      </c>
      <c r="B6404" s="3" t="s">
        <v>22162</v>
      </c>
      <c r="C6404" s="2" t="s">
        <v>22163</v>
      </c>
      <c r="D6404" s="2">
        <v>25</v>
      </c>
      <c r="E6404" s="2">
        <v>25</v>
      </c>
      <c r="F6404" s="2" t="s">
        <v>22164</v>
      </c>
      <c r="H6404" s="2" t="s">
        <v>17</v>
      </c>
      <c r="K6404" s="4" t="s">
        <v>22165</v>
      </c>
      <c r="L6404" s="4">
        <v>9858</v>
      </c>
      <c r="M6404" s="2" t="s">
        <v>35</v>
      </c>
      <c r="N6404" s="2" t="s">
        <v>10783</v>
      </c>
    </row>
    <row r="6405" spans="1:14">
      <c r="A6405" s="2">
        <v>6404</v>
      </c>
      <c r="B6405" s="3" t="s">
        <v>22166</v>
      </c>
      <c r="C6405" s="2" t="s">
        <v>22167</v>
      </c>
      <c r="D6405" s="2">
        <v>17</v>
      </c>
      <c r="E6405" s="2">
        <v>25</v>
      </c>
      <c r="F6405" s="2" t="s">
        <v>22168</v>
      </c>
      <c r="H6405" s="2" t="s">
        <v>17</v>
      </c>
      <c r="K6405" s="4" t="s">
        <v>22169</v>
      </c>
      <c r="L6405" s="4">
        <v>1002</v>
      </c>
      <c r="M6405" s="2" t="s">
        <v>40</v>
      </c>
      <c r="N6405" s="2" t="s">
        <v>41</v>
      </c>
    </row>
    <row r="6406" spans="1:14">
      <c r="A6406" s="2">
        <v>6405</v>
      </c>
      <c r="B6406" s="3" t="s">
        <v>22170</v>
      </c>
      <c r="C6406" s="2" t="s">
        <v>22171</v>
      </c>
      <c r="D6406" s="2">
        <v>25</v>
      </c>
      <c r="E6406" s="2">
        <v>25</v>
      </c>
      <c r="F6406" s="2" t="s">
        <v>22172</v>
      </c>
      <c r="H6406" s="2" t="s">
        <v>17</v>
      </c>
      <c r="K6406" s="4" t="s">
        <v>22173</v>
      </c>
      <c r="M6406" s="2" t="s">
        <v>47</v>
      </c>
      <c r="N6406" s="2" t="s">
        <v>18887</v>
      </c>
    </row>
    <row r="6407" spans="1:14">
      <c r="A6407" s="2">
        <v>6406</v>
      </c>
      <c r="B6407" s="3" t="s">
        <v>22174</v>
      </c>
      <c r="C6407" s="2" t="s">
        <v>22175</v>
      </c>
      <c r="D6407" s="2">
        <v>23</v>
      </c>
      <c r="E6407" s="2">
        <v>25</v>
      </c>
      <c r="F6407" s="2" t="s">
        <v>22176</v>
      </c>
      <c r="H6407" s="2" t="s">
        <v>17</v>
      </c>
      <c r="L6407" s="4">
        <v>2364</v>
      </c>
    </row>
    <row r="6408" spans="1:14">
      <c r="A6408" s="2">
        <v>6407</v>
      </c>
      <c r="B6408" s="3" t="s">
        <v>22177</v>
      </c>
      <c r="C6408" s="2" t="s">
        <v>22178</v>
      </c>
      <c r="D6408" s="2">
        <v>25</v>
      </c>
      <c r="E6408" s="2">
        <v>25</v>
      </c>
      <c r="F6408" s="2" t="s">
        <v>22179</v>
      </c>
      <c r="H6408" s="2" t="s">
        <v>17</v>
      </c>
      <c r="K6408" s="4" t="s">
        <v>22180</v>
      </c>
      <c r="L6408" s="4">
        <v>4023</v>
      </c>
      <c r="M6408" s="2" t="s">
        <v>170</v>
      </c>
    </row>
    <row r="6409" spans="1:14">
      <c r="A6409" s="2">
        <v>6408</v>
      </c>
      <c r="B6409" s="3" t="s">
        <v>22181</v>
      </c>
      <c r="C6409" s="2" t="s">
        <v>10278</v>
      </c>
      <c r="D6409" s="2">
        <v>25</v>
      </c>
      <c r="E6409" s="2">
        <v>25</v>
      </c>
      <c r="F6409" s="2" t="s">
        <v>22182</v>
      </c>
      <c r="H6409" s="2" t="s">
        <v>17</v>
      </c>
      <c r="K6409" s="4" t="s">
        <v>22183</v>
      </c>
      <c r="L6409" s="4">
        <v>12070</v>
      </c>
      <c r="M6409" s="2" t="s">
        <v>35</v>
      </c>
      <c r="N6409" s="2" t="s">
        <v>3929</v>
      </c>
    </row>
    <row r="6410" spans="1:14">
      <c r="A6410" s="2">
        <v>6409</v>
      </c>
      <c r="B6410" s="3" t="s">
        <v>22184</v>
      </c>
      <c r="C6410" s="2" t="s">
        <v>22185</v>
      </c>
      <c r="D6410" s="2">
        <v>13</v>
      </c>
      <c r="E6410" s="2">
        <v>25</v>
      </c>
      <c r="F6410" s="2" t="s">
        <v>22186</v>
      </c>
      <c r="H6410" s="2" t="s">
        <v>17</v>
      </c>
      <c r="K6410" s="4" t="s">
        <v>22187</v>
      </c>
      <c r="L6410" s="4">
        <v>1233</v>
      </c>
      <c r="M6410" s="2" t="s">
        <v>40</v>
      </c>
      <c r="N6410" s="2" t="s">
        <v>9352</v>
      </c>
    </row>
    <row r="6411" spans="1:14">
      <c r="A6411" s="2">
        <v>6410</v>
      </c>
      <c r="B6411" s="3" t="s">
        <v>22188</v>
      </c>
      <c r="C6411" s="2" t="s">
        <v>22189</v>
      </c>
      <c r="D6411" s="2">
        <v>22</v>
      </c>
      <c r="E6411" s="2">
        <v>25</v>
      </c>
      <c r="F6411" s="2" t="s">
        <v>22190</v>
      </c>
      <c r="H6411" s="2" t="s">
        <v>17</v>
      </c>
      <c r="K6411" s="4" t="s">
        <v>22191</v>
      </c>
      <c r="L6411" s="4">
        <v>5641</v>
      </c>
      <c r="M6411" s="2" t="s">
        <v>30</v>
      </c>
    </row>
    <row r="6412" spans="1:14">
      <c r="A6412" s="2">
        <v>6411</v>
      </c>
      <c r="B6412" s="3" t="s">
        <v>22192</v>
      </c>
      <c r="C6412" s="2" t="s">
        <v>17184</v>
      </c>
      <c r="D6412" s="2">
        <v>25</v>
      </c>
      <c r="E6412" s="2">
        <v>25</v>
      </c>
      <c r="F6412" s="2" t="s">
        <v>22193</v>
      </c>
      <c r="H6412" s="2" t="s">
        <v>17</v>
      </c>
      <c r="K6412" s="4" t="s">
        <v>22194</v>
      </c>
      <c r="M6412" s="2" t="s">
        <v>85</v>
      </c>
      <c r="N6412" s="2" t="s">
        <v>4522</v>
      </c>
    </row>
    <row r="6413" spans="1:14">
      <c r="A6413" s="2">
        <v>6412</v>
      </c>
      <c r="B6413" s="3" t="s">
        <v>22195</v>
      </c>
      <c r="C6413" s="2" t="s">
        <v>22196</v>
      </c>
      <c r="D6413" s="2">
        <v>24</v>
      </c>
      <c r="E6413" s="2">
        <v>25</v>
      </c>
      <c r="F6413" s="2" t="s">
        <v>22197</v>
      </c>
      <c r="H6413" s="2" t="s">
        <v>17</v>
      </c>
      <c r="K6413" s="4" t="s">
        <v>22198</v>
      </c>
      <c r="L6413" s="4">
        <v>253</v>
      </c>
    </row>
    <row r="6414" spans="1:14">
      <c r="A6414" s="2">
        <v>6413</v>
      </c>
      <c r="B6414" s="3" t="s">
        <v>22199</v>
      </c>
      <c r="C6414" s="2" t="s">
        <v>22200</v>
      </c>
      <c r="D6414" s="2">
        <v>23</v>
      </c>
      <c r="E6414" s="2">
        <v>25</v>
      </c>
      <c r="F6414" s="2" t="s">
        <v>22201</v>
      </c>
      <c r="H6414" s="2" t="s">
        <v>17</v>
      </c>
      <c r="K6414" s="4" t="s">
        <v>22202</v>
      </c>
      <c r="L6414" s="4">
        <v>8775</v>
      </c>
      <c r="M6414" s="2" t="s">
        <v>47</v>
      </c>
      <c r="N6414" s="2" t="s">
        <v>4066</v>
      </c>
    </row>
    <row r="6415" spans="1:14">
      <c r="A6415" s="2">
        <v>6414</v>
      </c>
      <c r="B6415" s="3" t="s">
        <v>22203</v>
      </c>
      <c r="C6415" s="2" t="s">
        <v>22204</v>
      </c>
      <c r="D6415" s="2">
        <v>25</v>
      </c>
      <c r="E6415" s="2">
        <v>25</v>
      </c>
      <c r="F6415" s="2" t="s">
        <v>22205</v>
      </c>
      <c r="H6415" s="2" t="s">
        <v>17</v>
      </c>
      <c r="K6415" s="4" t="s">
        <v>19148</v>
      </c>
      <c r="L6415" s="4">
        <v>13709</v>
      </c>
      <c r="M6415" s="2" t="s">
        <v>969</v>
      </c>
      <c r="N6415" s="2" t="s">
        <v>323</v>
      </c>
    </row>
    <row r="6416" spans="1:14">
      <c r="A6416" s="2">
        <v>6415</v>
      </c>
      <c r="B6416" s="3" t="s">
        <v>22206</v>
      </c>
      <c r="C6416" s="2" t="s">
        <v>22207</v>
      </c>
      <c r="D6416" s="2">
        <v>25</v>
      </c>
      <c r="E6416" s="2">
        <v>25</v>
      </c>
      <c r="F6416" s="2" t="s">
        <v>22208</v>
      </c>
      <c r="H6416" s="2" t="s">
        <v>17</v>
      </c>
      <c r="K6416" s="4" t="s">
        <v>22209</v>
      </c>
      <c r="L6416" s="4">
        <v>9060</v>
      </c>
      <c r="M6416" s="2" t="s">
        <v>423</v>
      </c>
      <c r="N6416" s="2" t="s">
        <v>8313</v>
      </c>
    </row>
    <row r="6417" spans="1:14">
      <c r="A6417" s="2">
        <v>6416</v>
      </c>
      <c r="B6417" s="3" t="s">
        <v>22210</v>
      </c>
      <c r="C6417" s="2" t="s">
        <v>22211</v>
      </c>
      <c r="D6417" s="2">
        <v>23</v>
      </c>
      <c r="E6417" s="2">
        <v>25</v>
      </c>
      <c r="F6417" s="2" t="s">
        <v>22212</v>
      </c>
      <c r="H6417" s="2" t="s">
        <v>17</v>
      </c>
      <c r="K6417" s="4" t="s">
        <v>20252</v>
      </c>
      <c r="L6417" s="4">
        <v>5923</v>
      </c>
      <c r="M6417" s="2" t="s">
        <v>198</v>
      </c>
      <c r="N6417" s="2" t="s">
        <v>12284</v>
      </c>
    </row>
    <row r="6418" spans="1:14">
      <c r="A6418" s="2">
        <v>6417</v>
      </c>
      <c r="B6418" s="3" t="s">
        <v>22213</v>
      </c>
      <c r="C6418" s="2" t="s">
        <v>22214</v>
      </c>
      <c r="D6418" s="2">
        <v>24</v>
      </c>
      <c r="E6418" s="2">
        <v>25</v>
      </c>
      <c r="F6418" s="2" t="s">
        <v>22215</v>
      </c>
      <c r="H6418" s="2" t="s">
        <v>17</v>
      </c>
      <c r="K6418" s="4" t="s">
        <v>22216</v>
      </c>
      <c r="L6418" s="4">
        <v>10084</v>
      </c>
      <c r="M6418" s="2" t="s">
        <v>35</v>
      </c>
    </row>
    <row r="6419" spans="1:14">
      <c r="A6419" s="2">
        <v>6418</v>
      </c>
      <c r="B6419" s="3" t="s">
        <v>22217</v>
      </c>
      <c r="C6419" s="2" t="s">
        <v>22218</v>
      </c>
      <c r="D6419" s="2">
        <v>24</v>
      </c>
      <c r="E6419" s="2">
        <v>25</v>
      </c>
      <c r="F6419" s="2" t="s">
        <v>22219</v>
      </c>
      <c r="H6419" s="2" t="s">
        <v>17</v>
      </c>
      <c r="K6419" s="4" t="s">
        <v>22220</v>
      </c>
      <c r="L6419" s="4">
        <v>158</v>
      </c>
      <c r="M6419" s="2" t="s">
        <v>40</v>
      </c>
      <c r="N6419" s="2" t="s">
        <v>22221</v>
      </c>
    </row>
    <row r="6420" spans="1:14">
      <c r="A6420" s="2">
        <v>6419</v>
      </c>
      <c r="B6420" s="3" t="s">
        <v>22222</v>
      </c>
      <c r="C6420" s="2" t="s">
        <v>22223</v>
      </c>
      <c r="D6420" s="2">
        <v>25</v>
      </c>
      <c r="E6420" s="2">
        <v>25</v>
      </c>
      <c r="F6420" s="2" t="s">
        <v>22224</v>
      </c>
      <c r="H6420" s="2" t="s">
        <v>17</v>
      </c>
      <c r="K6420" s="4" t="s">
        <v>22225</v>
      </c>
      <c r="L6420" s="4">
        <v>17573</v>
      </c>
      <c r="M6420" s="2" t="s">
        <v>154</v>
      </c>
      <c r="N6420" s="2" t="s">
        <v>10100</v>
      </c>
    </row>
    <row r="6421" spans="1:14">
      <c r="A6421" s="2">
        <v>6420</v>
      </c>
      <c r="B6421" s="3" t="s">
        <v>22226</v>
      </c>
      <c r="C6421" s="2" t="s">
        <v>22227</v>
      </c>
      <c r="D6421" s="2">
        <v>25</v>
      </c>
      <c r="E6421" s="2">
        <v>25</v>
      </c>
      <c r="F6421" s="2" t="s">
        <v>22228</v>
      </c>
      <c r="H6421" s="2" t="s">
        <v>17</v>
      </c>
      <c r="K6421" s="4" t="s">
        <v>22229</v>
      </c>
      <c r="L6421" s="4">
        <v>19332</v>
      </c>
      <c r="M6421" s="2" t="s">
        <v>47</v>
      </c>
      <c r="N6421" s="2" t="s">
        <v>442</v>
      </c>
    </row>
    <row r="6422" spans="1:14">
      <c r="A6422" s="2">
        <v>6421</v>
      </c>
      <c r="B6422" s="3" t="s">
        <v>22230</v>
      </c>
      <c r="C6422" s="2" t="s">
        <v>22231</v>
      </c>
      <c r="D6422" s="2">
        <v>17</v>
      </c>
      <c r="E6422" s="2">
        <v>25</v>
      </c>
      <c r="F6422" s="2" t="s">
        <v>22232</v>
      </c>
      <c r="H6422" s="2" t="s">
        <v>17</v>
      </c>
      <c r="K6422" s="4" t="s">
        <v>22233</v>
      </c>
      <c r="L6422" s="4">
        <v>4562</v>
      </c>
      <c r="M6422" s="2" t="s">
        <v>170</v>
      </c>
      <c r="N6422" s="2" t="s">
        <v>9901</v>
      </c>
    </row>
    <row r="6423" spans="1:14">
      <c r="A6423" s="2">
        <v>6422</v>
      </c>
      <c r="B6423" s="3" t="s">
        <v>22234</v>
      </c>
      <c r="C6423" s="2" t="s">
        <v>22235</v>
      </c>
      <c r="D6423" s="2">
        <v>25</v>
      </c>
      <c r="E6423" s="2">
        <v>25</v>
      </c>
      <c r="F6423" s="2" t="s">
        <v>22236</v>
      </c>
      <c r="H6423" s="2" t="s">
        <v>17</v>
      </c>
    </row>
    <row r="6424" spans="1:14">
      <c r="A6424" s="2">
        <v>6423</v>
      </c>
      <c r="B6424" s="3" t="s">
        <v>22237</v>
      </c>
      <c r="C6424" s="2" t="s">
        <v>22238</v>
      </c>
      <c r="D6424" s="2">
        <v>13</v>
      </c>
      <c r="E6424" s="2">
        <v>25</v>
      </c>
      <c r="F6424" s="2" t="s">
        <v>22239</v>
      </c>
      <c r="H6424" s="2" t="s">
        <v>17</v>
      </c>
      <c r="K6424" s="4" t="s">
        <v>22240</v>
      </c>
      <c r="L6424" s="4">
        <v>567</v>
      </c>
      <c r="M6424" s="2" t="s">
        <v>85</v>
      </c>
      <c r="N6424" s="2" t="s">
        <v>1356</v>
      </c>
    </row>
    <row r="6425" spans="1:14">
      <c r="A6425" s="2">
        <v>6424</v>
      </c>
      <c r="B6425" s="3" t="s">
        <v>22241</v>
      </c>
      <c r="C6425" s="2" t="s">
        <v>22242</v>
      </c>
      <c r="D6425" s="2">
        <v>25</v>
      </c>
      <c r="E6425" s="2">
        <v>25</v>
      </c>
      <c r="F6425" s="2" t="s">
        <v>22243</v>
      </c>
      <c r="H6425" s="2" t="s">
        <v>17</v>
      </c>
      <c r="K6425" s="4" t="s">
        <v>22244</v>
      </c>
      <c r="L6425" s="4">
        <v>12427</v>
      </c>
      <c r="M6425" s="2" t="s">
        <v>423</v>
      </c>
      <c r="N6425" s="2" t="s">
        <v>11844</v>
      </c>
    </row>
    <row r="6426" spans="1:14">
      <c r="A6426" s="2">
        <v>6425</v>
      </c>
      <c r="B6426" s="3" t="s">
        <v>22245</v>
      </c>
      <c r="C6426" s="2" t="s">
        <v>22246</v>
      </c>
      <c r="D6426" s="2">
        <v>25</v>
      </c>
      <c r="E6426" s="2">
        <v>25</v>
      </c>
      <c r="F6426" s="2" t="s">
        <v>22247</v>
      </c>
      <c r="H6426" s="2" t="s">
        <v>17</v>
      </c>
      <c r="K6426" s="4" t="s">
        <v>22248</v>
      </c>
      <c r="L6426" s="4">
        <v>6967</v>
      </c>
      <c r="M6426" s="2" t="s">
        <v>146</v>
      </c>
      <c r="N6426" s="2" t="s">
        <v>147</v>
      </c>
    </row>
    <row r="6427" spans="1:14">
      <c r="A6427" s="2">
        <v>6426</v>
      </c>
      <c r="B6427" s="3" t="s">
        <v>22249</v>
      </c>
      <c r="C6427" s="2" t="s">
        <v>20319</v>
      </c>
      <c r="D6427" s="2">
        <v>24</v>
      </c>
      <c r="E6427" s="2">
        <v>25</v>
      </c>
      <c r="F6427" s="2" t="s">
        <v>22250</v>
      </c>
      <c r="H6427" s="2" t="s">
        <v>17</v>
      </c>
      <c r="K6427" s="4" t="s">
        <v>22251</v>
      </c>
      <c r="M6427" s="2" t="s">
        <v>198</v>
      </c>
      <c r="N6427" s="2" t="s">
        <v>199</v>
      </c>
    </row>
    <row r="6428" spans="1:14">
      <c r="A6428" s="2">
        <v>6427</v>
      </c>
      <c r="B6428" s="3" t="s">
        <v>22252</v>
      </c>
      <c r="C6428" s="2" t="s">
        <v>22253</v>
      </c>
      <c r="D6428" s="2">
        <v>14</v>
      </c>
      <c r="E6428" s="2">
        <v>25</v>
      </c>
      <c r="F6428" s="2" t="s">
        <v>22254</v>
      </c>
      <c r="H6428" s="2" t="s">
        <v>17</v>
      </c>
      <c r="L6428" s="4">
        <v>487</v>
      </c>
      <c r="M6428" s="2" t="s">
        <v>198</v>
      </c>
    </row>
    <row r="6429" spans="1:14">
      <c r="A6429" s="2">
        <v>6428</v>
      </c>
      <c r="B6429" s="3" t="s">
        <v>22255</v>
      </c>
      <c r="C6429" s="2" t="s">
        <v>22256</v>
      </c>
      <c r="D6429" s="2">
        <v>23</v>
      </c>
      <c r="E6429" s="2">
        <v>25</v>
      </c>
      <c r="F6429" s="2" t="s">
        <v>22257</v>
      </c>
      <c r="H6429" s="2" t="s">
        <v>17</v>
      </c>
      <c r="M6429" s="2" t="s">
        <v>35</v>
      </c>
    </row>
    <row r="6430" spans="1:14">
      <c r="A6430" s="2">
        <v>6429</v>
      </c>
      <c r="B6430" s="3" t="s">
        <v>22258</v>
      </c>
      <c r="C6430" s="2" t="s">
        <v>22259</v>
      </c>
      <c r="D6430" s="2">
        <v>25</v>
      </c>
      <c r="E6430" s="2">
        <v>25</v>
      </c>
      <c r="F6430" s="2" t="s">
        <v>22260</v>
      </c>
      <c r="H6430" s="2" t="s">
        <v>17</v>
      </c>
    </row>
    <row r="6431" spans="1:14">
      <c r="A6431" s="2">
        <v>6430</v>
      </c>
      <c r="B6431" s="3" t="s">
        <v>22261</v>
      </c>
      <c r="C6431" s="2" t="s">
        <v>22262</v>
      </c>
      <c r="D6431" s="2">
        <v>25</v>
      </c>
      <c r="E6431" s="2">
        <v>25</v>
      </c>
      <c r="F6431" s="2" t="s">
        <v>22263</v>
      </c>
      <c r="H6431" s="2" t="s">
        <v>17</v>
      </c>
      <c r="K6431" s="4" t="s">
        <v>22264</v>
      </c>
      <c r="L6431" s="4">
        <v>8588</v>
      </c>
      <c r="M6431" s="2" t="s">
        <v>47</v>
      </c>
      <c r="N6431" s="2" t="s">
        <v>22265</v>
      </c>
    </row>
    <row r="6432" spans="1:14">
      <c r="A6432" s="2">
        <v>6431</v>
      </c>
      <c r="B6432" s="3" t="s">
        <v>22266</v>
      </c>
      <c r="C6432" s="2" t="s">
        <v>22267</v>
      </c>
      <c r="D6432" s="2">
        <v>25</v>
      </c>
      <c r="E6432" s="2">
        <v>25</v>
      </c>
      <c r="F6432" s="2" t="s">
        <v>22268</v>
      </c>
      <c r="H6432" s="2" t="s">
        <v>17</v>
      </c>
      <c r="L6432" s="4">
        <v>929</v>
      </c>
    </row>
    <row r="6433" spans="1:14">
      <c r="A6433" s="2">
        <v>6432</v>
      </c>
      <c r="B6433" s="3" t="s">
        <v>22269</v>
      </c>
      <c r="C6433" s="2" t="s">
        <v>22270</v>
      </c>
      <c r="D6433" s="2">
        <v>25</v>
      </c>
      <c r="E6433" s="2">
        <v>25</v>
      </c>
      <c r="F6433" s="2" t="s">
        <v>22271</v>
      </c>
      <c r="H6433" s="2" t="s">
        <v>17</v>
      </c>
      <c r="L6433" s="4">
        <v>1329</v>
      </c>
    </row>
    <row r="6434" spans="1:14">
      <c r="A6434" s="2">
        <v>6433</v>
      </c>
      <c r="B6434" s="3" t="s">
        <v>22272</v>
      </c>
      <c r="C6434" s="2" t="s">
        <v>22273</v>
      </c>
      <c r="D6434" s="2">
        <v>22</v>
      </c>
      <c r="E6434" s="2">
        <v>25</v>
      </c>
      <c r="F6434" s="2" t="s">
        <v>22274</v>
      </c>
      <c r="H6434" s="2" t="s">
        <v>17</v>
      </c>
      <c r="K6434" s="4" t="s">
        <v>22275</v>
      </c>
      <c r="L6434" s="4">
        <v>1961</v>
      </c>
      <c r="M6434" s="2" t="s">
        <v>40</v>
      </c>
      <c r="N6434" s="2" t="s">
        <v>22276</v>
      </c>
    </row>
    <row r="6435" spans="1:14">
      <c r="A6435" s="2">
        <v>6434</v>
      </c>
      <c r="B6435" s="3" t="s">
        <v>22277</v>
      </c>
      <c r="C6435" s="2" t="s">
        <v>22278</v>
      </c>
      <c r="D6435" s="2">
        <v>25</v>
      </c>
      <c r="E6435" s="2">
        <v>25</v>
      </c>
      <c r="F6435" s="2" t="s">
        <v>22279</v>
      </c>
      <c r="H6435" s="2" t="s">
        <v>17</v>
      </c>
      <c r="L6435" s="4">
        <v>171</v>
      </c>
    </row>
    <row r="6436" spans="1:14">
      <c r="A6436" s="2">
        <v>6435</v>
      </c>
      <c r="B6436" s="3" t="s">
        <v>22280</v>
      </c>
      <c r="C6436" s="2" t="s">
        <v>22281</v>
      </c>
      <c r="D6436" s="2">
        <v>25</v>
      </c>
      <c r="E6436" s="2">
        <v>25</v>
      </c>
      <c r="F6436" s="2" t="s">
        <v>22282</v>
      </c>
      <c r="H6436" s="2" t="s">
        <v>17</v>
      </c>
      <c r="K6436" s="4" t="s">
        <v>22283</v>
      </c>
      <c r="L6436" s="4">
        <v>5696</v>
      </c>
      <c r="M6436" s="2" t="s">
        <v>170</v>
      </c>
      <c r="N6436" s="2" t="s">
        <v>5034</v>
      </c>
    </row>
    <row r="6437" spans="1:14">
      <c r="A6437" s="2">
        <v>6436</v>
      </c>
      <c r="B6437" s="3" t="s">
        <v>22284</v>
      </c>
      <c r="C6437" s="2" t="s">
        <v>22285</v>
      </c>
      <c r="D6437" s="2">
        <v>25</v>
      </c>
      <c r="E6437" s="2">
        <v>25</v>
      </c>
      <c r="F6437" s="2" t="s">
        <v>22286</v>
      </c>
      <c r="H6437" s="2" t="s">
        <v>17</v>
      </c>
      <c r="K6437" s="4" t="s">
        <v>22287</v>
      </c>
      <c r="L6437" s="4">
        <v>2453</v>
      </c>
      <c r="M6437" s="2" t="s">
        <v>170</v>
      </c>
      <c r="N6437" s="2" t="s">
        <v>7755</v>
      </c>
    </row>
    <row r="6438" spans="1:14">
      <c r="A6438" s="2">
        <v>6437</v>
      </c>
      <c r="B6438" s="3" t="s">
        <v>22288</v>
      </c>
      <c r="C6438" s="2" t="s">
        <v>13893</v>
      </c>
      <c r="D6438" s="2">
        <v>18</v>
      </c>
      <c r="E6438" s="2">
        <v>25</v>
      </c>
      <c r="F6438" s="2" t="s">
        <v>22289</v>
      </c>
      <c r="H6438" s="2" t="s">
        <v>17</v>
      </c>
      <c r="K6438" s="4" t="s">
        <v>22290</v>
      </c>
      <c r="L6438" s="4">
        <v>403</v>
      </c>
      <c r="M6438" s="2" t="s">
        <v>35</v>
      </c>
      <c r="N6438" s="2" t="s">
        <v>10783</v>
      </c>
    </row>
    <row r="6439" spans="1:14">
      <c r="A6439" s="2">
        <v>6438</v>
      </c>
      <c r="B6439" s="3" t="s">
        <v>22291</v>
      </c>
      <c r="C6439" s="2" t="s">
        <v>22292</v>
      </c>
      <c r="D6439" s="2">
        <v>25</v>
      </c>
      <c r="E6439" s="2">
        <v>25</v>
      </c>
      <c r="F6439" s="2" t="s">
        <v>22293</v>
      </c>
      <c r="H6439" s="2" t="s">
        <v>17</v>
      </c>
      <c r="K6439" s="4" t="s">
        <v>22294</v>
      </c>
      <c r="L6439" s="4">
        <v>2618</v>
      </c>
      <c r="M6439" s="2" t="s">
        <v>47</v>
      </c>
      <c r="N6439" s="2" t="s">
        <v>1181</v>
      </c>
    </row>
    <row r="6440" spans="1:14">
      <c r="A6440" s="2">
        <v>6439</v>
      </c>
      <c r="B6440" s="3" t="s">
        <v>22295</v>
      </c>
      <c r="C6440" s="2" t="s">
        <v>22296</v>
      </c>
      <c r="D6440" s="2">
        <v>25</v>
      </c>
      <c r="E6440" s="2">
        <v>25</v>
      </c>
      <c r="F6440" s="2" t="s">
        <v>22297</v>
      </c>
      <c r="H6440" s="2" t="s">
        <v>17</v>
      </c>
      <c r="L6440" s="4">
        <v>7695</v>
      </c>
    </row>
    <row r="6441" spans="1:14">
      <c r="A6441" s="2">
        <v>6440</v>
      </c>
      <c r="B6441" s="3" t="s">
        <v>22298</v>
      </c>
      <c r="C6441" s="2" t="s">
        <v>13224</v>
      </c>
      <c r="D6441" s="2">
        <v>23</v>
      </c>
      <c r="E6441" s="2">
        <v>25</v>
      </c>
      <c r="F6441" s="2" t="s">
        <v>22299</v>
      </c>
      <c r="H6441" s="2" t="s">
        <v>17</v>
      </c>
    </row>
    <row r="6442" spans="1:14">
      <c r="A6442" s="2">
        <v>6441</v>
      </c>
      <c r="B6442" s="3" t="s">
        <v>22300</v>
      </c>
      <c r="C6442" s="2" t="s">
        <v>22301</v>
      </c>
      <c r="D6442" s="2">
        <v>22</v>
      </c>
      <c r="E6442" s="2">
        <v>25</v>
      </c>
      <c r="F6442" s="2" t="s">
        <v>22302</v>
      </c>
      <c r="H6442" s="2" t="s">
        <v>17</v>
      </c>
      <c r="K6442" s="4" t="s">
        <v>22303</v>
      </c>
      <c r="L6442" s="4">
        <v>6698</v>
      </c>
      <c r="M6442" s="2" t="s">
        <v>192</v>
      </c>
      <c r="N6442" s="2" t="s">
        <v>193</v>
      </c>
    </row>
    <row r="6443" spans="1:14">
      <c r="A6443" s="2">
        <v>6442</v>
      </c>
      <c r="B6443" s="3" t="s">
        <v>22304</v>
      </c>
      <c r="C6443" s="2" t="s">
        <v>22305</v>
      </c>
      <c r="D6443" s="2">
        <v>22</v>
      </c>
      <c r="E6443" s="2">
        <v>25</v>
      </c>
      <c r="F6443" s="2" t="s">
        <v>22306</v>
      </c>
      <c r="H6443" s="2" t="s">
        <v>17</v>
      </c>
      <c r="K6443" s="4" t="s">
        <v>22307</v>
      </c>
      <c r="L6443" s="4">
        <v>680</v>
      </c>
      <c r="M6443" s="2" t="s">
        <v>35</v>
      </c>
      <c r="N6443" s="2" t="s">
        <v>15517</v>
      </c>
    </row>
    <row r="6444" spans="1:14">
      <c r="A6444" s="2">
        <v>6443</v>
      </c>
      <c r="B6444" s="3" t="s">
        <v>22308</v>
      </c>
      <c r="C6444" s="2" t="s">
        <v>22309</v>
      </c>
      <c r="D6444" s="2">
        <v>22</v>
      </c>
      <c r="E6444" s="2">
        <v>25</v>
      </c>
      <c r="F6444" s="2" t="s">
        <v>22310</v>
      </c>
      <c r="H6444" s="2" t="s">
        <v>17</v>
      </c>
      <c r="K6444" s="4" t="s">
        <v>22311</v>
      </c>
      <c r="L6444" s="4">
        <v>8857</v>
      </c>
    </row>
    <row r="6445" spans="1:14">
      <c r="A6445" s="2">
        <v>6444</v>
      </c>
      <c r="B6445" s="3" t="s">
        <v>22312</v>
      </c>
      <c r="C6445" s="2" t="s">
        <v>22313</v>
      </c>
      <c r="D6445" s="2">
        <v>17</v>
      </c>
      <c r="E6445" s="2">
        <v>25</v>
      </c>
      <c r="F6445" s="2" t="s">
        <v>22314</v>
      </c>
      <c r="H6445" s="2" t="s">
        <v>17</v>
      </c>
      <c r="K6445" s="4" t="s">
        <v>22315</v>
      </c>
      <c r="L6445" s="4">
        <v>7765</v>
      </c>
      <c r="M6445" s="2" t="s">
        <v>85</v>
      </c>
    </row>
    <row r="6446" spans="1:14">
      <c r="A6446" s="2">
        <v>6445</v>
      </c>
      <c r="B6446" s="3" t="s">
        <v>22316</v>
      </c>
      <c r="C6446" s="2" t="s">
        <v>22317</v>
      </c>
      <c r="D6446" s="2">
        <v>24</v>
      </c>
      <c r="E6446" s="2">
        <v>25</v>
      </c>
      <c r="F6446" s="2" t="s">
        <v>22318</v>
      </c>
      <c r="H6446" s="2" t="s">
        <v>17</v>
      </c>
      <c r="K6446" s="4" t="s">
        <v>20336</v>
      </c>
      <c r="L6446" s="4">
        <v>1140</v>
      </c>
      <c r="M6446" s="2" t="s">
        <v>35</v>
      </c>
      <c r="N6446" s="2" t="s">
        <v>36</v>
      </c>
    </row>
    <row r="6447" spans="1:14">
      <c r="A6447" s="2">
        <v>6446</v>
      </c>
      <c r="B6447" s="3" t="s">
        <v>22319</v>
      </c>
      <c r="C6447" s="2" t="s">
        <v>22320</v>
      </c>
      <c r="D6447" s="2">
        <v>25</v>
      </c>
      <c r="E6447" s="2">
        <v>25</v>
      </c>
      <c r="F6447" s="2" t="s">
        <v>22321</v>
      </c>
      <c r="H6447" s="2" t="s">
        <v>17</v>
      </c>
      <c r="K6447" s="4" t="s">
        <v>22322</v>
      </c>
      <c r="L6447" s="4">
        <v>5622</v>
      </c>
      <c r="M6447" s="2" t="s">
        <v>170</v>
      </c>
      <c r="N6447" s="2" t="s">
        <v>171</v>
      </c>
    </row>
    <row r="6448" spans="1:14">
      <c r="A6448" s="2">
        <v>6447</v>
      </c>
      <c r="B6448" s="3" t="s">
        <v>22323</v>
      </c>
      <c r="C6448" s="2" t="s">
        <v>22324</v>
      </c>
      <c r="D6448" s="2">
        <v>23</v>
      </c>
      <c r="E6448" s="2">
        <v>25</v>
      </c>
      <c r="F6448" s="2" t="s">
        <v>22325</v>
      </c>
      <c r="H6448" s="2" t="s">
        <v>17</v>
      </c>
      <c r="M6448" s="2" t="s">
        <v>47</v>
      </c>
      <c r="N6448" s="2" t="s">
        <v>4050</v>
      </c>
    </row>
    <row r="6449" spans="1:14">
      <c r="A6449" s="2">
        <v>6448</v>
      </c>
      <c r="B6449" s="3" t="s">
        <v>22326</v>
      </c>
      <c r="C6449" s="2" t="s">
        <v>22327</v>
      </c>
      <c r="D6449" s="2">
        <v>23</v>
      </c>
      <c r="E6449" s="2">
        <v>25</v>
      </c>
      <c r="F6449" s="2" t="s">
        <v>22328</v>
      </c>
      <c r="H6449" s="2" t="s">
        <v>17</v>
      </c>
    </row>
    <row r="6450" spans="1:14">
      <c r="A6450" s="2">
        <v>6449</v>
      </c>
      <c r="B6450" s="3" t="s">
        <v>22329</v>
      </c>
      <c r="C6450" s="2" t="s">
        <v>19822</v>
      </c>
      <c r="D6450" s="2">
        <v>23</v>
      </c>
      <c r="E6450" s="2">
        <v>25</v>
      </c>
      <c r="F6450" s="2" t="s">
        <v>22330</v>
      </c>
      <c r="H6450" s="2" t="s">
        <v>17</v>
      </c>
      <c r="K6450" s="4" t="s">
        <v>22331</v>
      </c>
      <c r="L6450" s="4">
        <v>8291</v>
      </c>
      <c r="M6450" s="2" t="s">
        <v>85</v>
      </c>
      <c r="N6450" s="2" t="s">
        <v>86</v>
      </c>
    </row>
    <row r="6451" spans="1:14">
      <c r="A6451" s="2">
        <v>6450</v>
      </c>
      <c r="B6451" s="3" t="s">
        <v>22332</v>
      </c>
      <c r="C6451" s="2" t="s">
        <v>22333</v>
      </c>
      <c r="D6451" s="2">
        <v>22</v>
      </c>
      <c r="E6451" s="2">
        <v>25</v>
      </c>
      <c r="F6451" s="2" t="s">
        <v>22334</v>
      </c>
      <c r="H6451" s="2" t="s">
        <v>17</v>
      </c>
      <c r="K6451" s="4" t="s">
        <v>22335</v>
      </c>
      <c r="L6451" s="4">
        <v>9589</v>
      </c>
      <c r="M6451" s="2" t="s">
        <v>164</v>
      </c>
      <c r="N6451" s="2" t="s">
        <v>165</v>
      </c>
    </row>
    <row r="6452" spans="1:14">
      <c r="A6452" s="2">
        <v>6451</v>
      </c>
      <c r="B6452" s="3" t="s">
        <v>22336</v>
      </c>
      <c r="C6452" s="2" t="s">
        <v>22337</v>
      </c>
      <c r="D6452" s="2">
        <v>24</v>
      </c>
      <c r="E6452" s="2">
        <v>25</v>
      </c>
      <c r="F6452" s="2" t="s">
        <v>22338</v>
      </c>
      <c r="H6452" s="2" t="s">
        <v>17</v>
      </c>
      <c r="K6452" s="4" t="s">
        <v>22339</v>
      </c>
      <c r="L6452" s="4">
        <v>695</v>
      </c>
      <c r="M6452" s="2" t="s">
        <v>170</v>
      </c>
      <c r="N6452" s="2" t="s">
        <v>12332</v>
      </c>
    </row>
    <row r="6453" spans="1:14">
      <c r="A6453" s="2">
        <v>6452</v>
      </c>
      <c r="B6453" s="3" t="s">
        <v>22340</v>
      </c>
      <c r="C6453" s="2" t="s">
        <v>22341</v>
      </c>
      <c r="D6453" s="2">
        <v>25</v>
      </c>
      <c r="E6453" s="2">
        <v>25</v>
      </c>
      <c r="F6453" s="2" t="s">
        <v>22342</v>
      </c>
      <c r="H6453" s="2" t="s">
        <v>17</v>
      </c>
      <c r="K6453" s="4" t="s">
        <v>21160</v>
      </c>
      <c r="L6453" s="4">
        <v>923</v>
      </c>
      <c r="M6453" s="2" t="s">
        <v>192</v>
      </c>
      <c r="N6453" s="2" t="s">
        <v>193</v>
      </c>
    </row>
    <row r="6454" spans="1:14">
      <c r="A6454" s="2">
        <v>6453</v>
      </c>
      <c r="B6454" s="3" t="s">
        <v>22343</v>
      </c>
      <c r="C6454" s="2" t="s">
        <v>22344</v>
      </c>
      <c r="D6454" s="2">
        <v>24</v>
      </c>
      <c r="E6454" s="2">
        <v>25</v>
      </c>
      <c r="F6454" s="2" t="s">
        <v>22345</v>
      </c>
      <c r="H6454" s="2" t="s">
        <v>17</v>
      </c>
      <c r="K6454" s="4" t="s">
        <v>22346</v>
      </c>
      <c r="L6454" s="4">
        <v>1172</v>
      </c>
      <c r="M6454" s="2" t="s">
        <v>170</v>
      </c>
    </row>
    <row r="6455" spans="1:14">
      <c r="A6455" s="2">
        <v>6454</v>
      </c>
      <c r="B6455" s="3" t="s">
        <v>22347</v>
      </c>
      <c r="C6455" s="2" t="s">
        <v>22348</v>
      </c>
      <c r="D6455" s="2">
        <v>22</v>
      </c>
      <c r="E6455" s="2">
        <v>25</v>
      </c>
      <c r="F6455" s="2" t="s">
        <v>22349</v>
      </c>
      <c r="H6455" s="2" t="s">
        <v>17</v>
      </c>
      <c r="K6455" s="4" t="s">
        <v>22350</v>
      </c>
      <c r="M6455" s="2" t="s">
        <v>35</v>
      </c>
      <c r="N6455" s="2" t="s">
        <v>14848</v>
      </c>
    </row>
    <row r="6456" spans="1:14">
      <c r="A6456" s="2">
        <v>6455</v>
      </c>
      <c r="B6456" s="3" t="s">
        <v>22351</v>
      </c>
      <c r="C6456" s="2" t="s">
        <v>22352</v>
      </c>
      <c r="D6456" s="2">
        <v>22</v>
      </c>
      <c r="E6456" s="2">
        <v>25</v>
      </c>
      <c r="F6456" s="2" t="s">
        <v>22353</v>
      </c>
      <c r="H6456" s="2" t="s">
        <v>17</v>
      </c>
      <c r="K6456" s="4" t="s">
        <v>22354</v>
      </c>
      <c r="L6456" s="4">
        <v>7002</v>
      </c>
    </row>
    <row r="6457" spans="1:14">
      <c r="A6457" s="2">
        <v>6456</v>
      </c>
      <c r="B6457" s="3" t="s">
        <v>22355</v>
      </c>
      <c r="C6457" s="2" t="s">
        <v>22356</v>
      </c>
      <c r="D6457" s="2">
        <v>23</v>
      </c>
      <c r="E6457" s="2">
        <v>25</v>
      </c>
      <c r="F6457" s="2" t="s">
        <v>10055</v>
      </c>
      <c r="H6457" s="2" t="s">
        <v>17</v>
      </c>
    </row>
    <row r="6458" spans="1:14">
      <c r="A6458" s="2">
        <v>6457</v>
      </c>
      <c r="B6458" s="3" t="s">
        <v>22357</v>
      </c>
      <c r="C6458" s="2" t="s">
        <v>22358</v>
      </c>
      <c r="D6458" s="2">
        <v>25</v>
      </c>
      <c r="E6458" s="2">
        <v>25</v>
      </c>
      <c r="F6458" s="2" t="s">
        <v>22359</v>
      </c>
      <c r="H6458" s="2" t="s">
        <v>17</v>
      </c>
      <c r="L6458" s="4">
        <v>597</v>
      </c>
    </row>
    <row r="6459" spans="1:14">
      <c r="A6459" s="2">
        <v>6458</v>
      </c>
      <c r="B6459" s="3" t="s">
        <v>22360</v>
      </c>
      <c r="C6459" s="2" t="s">
        <v>22361</v>
      </c>
      <c r="D6459" s="2">
        <v>25</v>
      </c>
      <c r="E6459" s="2">
        <v>25</v>
      </c>
      <c r="F6459" s="2" t="s">
        <v>22362</v>
      </c>
      <c r="H6459" s="2" t="s">
        <v>17</v>
      </c>
      <c r="K6459" s="4" t="s">
        <v>22363</v>
      </c>
      <c r="L6459" s="4">
        <v>5313</v>
      </c>
      <c r="M6459" s="2" t="s">
        <v>91</v>
      </c>
      <c r="N6459" s="2" t="s">
        <v>984</v>
      </c>
    </row>
    <row r="6460" spans="1:14">
      <c r="A6460" s="2">
        <v>6459</v>
      </c>
      <c r="B6460" s="3" t="s">
        <v>22364</v>
      </c>
      <c r="C6460" s="2" t="s">
        <v>22365</v>
      </c>
      <c r="D6460" s="2">
        <v>25</v>
      </c>
      <c r="E6460" s="2">
        <v>25</v>
      </c>
      <c r="F6460" s="2" t="s">
        <v>22366</v>
      </c>
      <c r="H6460" s="2" t="s">
        <v>17</v>
      </c>
      <c r="K6460" s="4" t="s">
        <v>22367</v>
      </c>
      <c r="L6460" s="4">
        <v>16102</v>
      </c>
      <c r="M6460" s="2" t="s">
        <v>35</v>
      </c>
      <c r="N6460" s="2" t="s">
        <v>372</v>
      </c>
    </row>
    <row r="6461" spans="1:14">
      <c r="A6461" s="2">
        <v>6460</v>
      </c>
      <c r="B6461" s="3" t="s">
        <v>22368</v>
      </c>
      <c r="C6461" s="2" t="s">
        <v>22369</v>
      </c>
      <c r="D6461" s="2">
        <v>22</v>
      </c>
      <c r="E6461" s="2">
        <v>25</v>
      </c>
      <c r="F6461" s="2" t="s">
        <v>22370</v>
      </c>
      <c r="H6461" s="2" t="s">
        <v>17</v>
      </c>
      <c r="K6461" s="4" t="s">
        <v>22371</v>
      </c>
      <c r="L6461" s="4">
        <v>9180</v>
      </c>
    </row>
    <row r="6462" spans="1:14">
      <c r="A6462" s="2">
        <v>6461</v>
      </c>
      <c r="B6462" s="3" t="s">
        <v>22372</v>
      </c>
      <c r="C6462" s="2" t="s">
        <v>22373</v>
      </c>
      <c r="D6462" s="2">
        <v>24</v>
      </c>
      <c r="E6462" s="2">
        <v>24</v>
      </c>
      <c r="F6462" s="2" t="s">
        <v>22374</v>
      </c>
      <c r="H6462" s="2" t="s">
        <v>17</v>
      </c>
      <c r="K6462" s="4" t="s">
        <v>21243</v>
      </c>
    </row>
    <row r="6463" spans="1:14">
      <c r="A6463" s="2">
        <v>6462</v>
      </c>
      <c r="B6463" s="3" t="s">
        <v>22375</v>
      </c>
      <c r="C6463" s="2" t="s">
        <v>22376</v>
      </c>
      <c r="D6463" s="2">
        <v>23</v>
      </c>
      <c r="E6463" s="2">
        <v>24</v>
      </c>
      <c r="F6463" s="2" t="s">
        <v>22377</v>
      </c>
      <c r="H6463" s="2" t="s">
        <v>17</v>
      </c>
      <c r="K6463" s="4" t="s">
        <v>22378</v>
      </c>
      <c r="L6463" s="4">
        <v>704</v>
      </c>
      <c r="M6463" s="2" t="s">
        <v>35</v>
      </c>
    </row>
    <row r="6464" spans="1:14">
      <c r="A6464" s="2">
        <v>6463</v>
      </c>
      <c r="B6464" s="3" t="s">
        <v>22379</v>
      </c>
      <c r="C6464" s="2" t="s">
        <v>22380</v>
      </c>
      <c r="D6464" s="2">
        <v>23</v>
      </c>
      <c r="E6464" s="2">
        <v>24</v>
      </c>
      <c r="F6464" s="2" t="s">
        <v>22381</v>
      </c>
      <c r="H6464" s="2" t="s">
        <v>17</v>
      </c>
      <c r="M6464" s="2" t="s">
        <v>35</v>
      </c>
      <c r="N6464" s="2" t="s">
        <v>14848</v>
      </c>
    </row>
    <row r="6465" spans="1:14">
      <c r="A6465" s="2">
        <v>6464</v>
      </c>
      <c r="B6465" s="3" t="s">
        <v>22382</v>
      </c>
      <c r="C6465" s="2" t="s">
        <v>22383</v>
      </c>
      <c r="D6465" s="2">
        <v>24</v>
      </c>
      <c r="E6465" s="2">
        <v>24</v>
      </c>
      <c r="F6465" s="2" t="s">
        <v>22384</v>
      </c>
      <c r="H6465" s="2" t="s">
        <v>17</v>
      </c>
      <c r="K6465" s="4" t="s">
        <v>22385</v>
      </c>
      <c r="L6465" s="4" t="s">
        <v>22386</v>
      </c>
      <c r="M6465" s="2" t="s">
        <v>170</v>
      </c>
      <c r="N6465" s="2" t="s">
        <v>22387</v>
      </c>
    </row>
    <row r="6466" spans="1:14">
      <c r="A6466" s="2">
        <v>6465</v>
      </c>
      <c r="B6466" s="3" t="s">
        <v>22388</v>
      </c>
      <c r="C6466" s="2" t="s">
        <v>22389</v>
      </c>
      <c r="D6466" s="2">
        <v>24</v>
      </c>
      <c r="E6466" s="2">
        <v>24</v>
      </c>
      <c r="F6466" s="2" t="s">
        <v>22390</v>
      </c>
      <c r="H6466" s="2" t="s">
        <v>17</v>
      </c>
      <c r="K6466" s="4" t="s">
        <v>22391</v>
      </c>
      <c r="L6466" s="4">
        <v>558</v>
      </c>
      <c r="M6466" s="2" t="s">
        <v>185</v>
      </c>
    </row>
    <row r="6467" spans="1:14">
      <c r="A6467" s="2">
        <v>6466</v>
      </c>
      <c r="B6467" s="3" t="s">
        <v>22392</v>
      </c>
      <c r="C6467" s="2" t="s">
        <v>22393</v>
      </c>
      <c r="D6467" s="2">
        <v>22</v>
      </c>
      <c r="E6467" s="2">
        <v>24</v>
      </c>
      <c r="F6467" s="2" t="s">
        <v>22394</v>
      </c>
      <c r="H6467" s="2" t="s">
        <v>17</v>
      </c>
      <c r="K6467" s="4" t="s">
        <v>22395</v>
      </c>
      <c r="L6467" s="4">
        <v>1415</v>
      </c>
      <c r="M6467" s="2" t="s">
        <v>40</v>
      </c>
    </row>
    <row r="6468" spans="1:14">
      <c r="A6468" s="2">
        <v>6467</v>
      </c>
      <c r="B6468" s="3" t="s">
        <v>22396</v>
      </c>
      <c r="C6468" s="2" t="s">
        <v>22397</v>
      </c>
      <c r="D6468" s="2">
        <v>23</v>
      </c>
      <c r="E6468" s="2">
        <v>24</v>
      </c>
      <c r="F6468" s="2" t="s">
        <v>22398</v>
      </c>
      <c r="H6468" s="2" t="s">
        <v>17</v>
      </c>
      <c r="K6468" s="4" t="s">
        <v>22399</v>
      </c>
      <c r="L6468" s="4">
        <v>3777</v>
      </c>
      <c r="M6468" s="2" t="s">
        <v>66</v>
      </c>
      <c r="N6468" s="2" t="s">
        <v>6179</v>
      </c>
    </row>
    <row r="6469" spans="1:14">
      <c r="A6469" s="2">
        <v>6468</v>
      </c>
      <c r="B6469" s="3" t="s">
        <v>22400</v>
      </c>
      <c r="C6469" s="2" t="s">
        <v>22401</v>
      </c>
      <c r="D6469" s="2">
        <v>23</v>
      </c>
      <c r="E6469" s="2">
        <v>24</v>
      </c>
      <c r="F6469" s="2" t="s">
        <v>22402</v>
      </c>
      <c r="H6469" s="2" t="s">
        <v>17</v>
      </c>
      <c r="L6469" s="4">
        <v>9387</v>
      </c>
      <c r="M6469" s="2" t="s">
        <v>40</v>
      </c>
    </row>
    <row r="6470" spans="1:14">
      <c r="A6470" s="2">
        <v>6469</v>
      </c>
      <c r="B6470" s="3" t="s">
        <v>22403</v>
      </c>
      <c r="C6470" s="2" t="s">
        <v>22404</v>
      </c>
      <c r="D6470" s="2">
        <v>24</v>
      </c>
      <c r="E6470" s="2">
        <v>24</v>
      </c>
      <c r="F6470" s="2" t="s">
        <v>22405</v>
      </c>
      <c r="H6470" s="2" t="s">
        <v>17</v>
      </c>
      <c r="K6470" s="4" t="s">
        <v>22406</v>
      </c>
      <c r="L6470" s="4">
        <v>16071</v>
      </c>
      <c r="M6470" s="2" t="s">
        <v>146</v>
      </c>
      <c r="N6470" s="2" t="s">
        <v>2196</v>
      </c>
    </row>
    <row r="6471" spans="1:14">
      <c r="A6471" s="2">
        <v>6470</v>
      </c>
      <c r="B6471" s="3" t="s">
        <v>22407</v>
      </c>
      <c r="C6471" s="2" t="s">
        <v>22408</v>
      </c>
      <c r="D6471" s="2">
        <v>22</v>
      </c>
      <c r="E6471" s="2">
        <v>24</v>
      </c>
      <c r="F6471" s="2" t="s">
        <v>22409</v>
      </c>
      <c r="H6471" s="2" t="s">
        <v>17</v>
      </c>
      <c r="K6471" s="4" t="s">
        <v>22233</v>
      </c>
      <c r="L6471" s="4">
        <v>2405</v>
      </c>
      <c r="M6471" s="2" t="s">
        <v>40</v>
      </c>
      <c r="N6471" s="2" t="s">
        <v>41</v>
      </c>
    </row>
    <row r="6472" spans="1:14">
      <c r="A6472" s="2">
        <v>6471</v>
      </c>
      <c r="B6472" s="3" t="s">
        <v>22410</v>
      </c>
      <c r="C6472" s="2" t="s">
        <v>22411</v>
      </c>
      <c r="D6472" s="2">
        <v>24</v>
      </c>
      <c r="E6472" s="2">
        <v>24</v>
      </c>
      <c r="F6472" s="2" t="s">
        <v>22412</v>
      </c>
      <c r="H6472" s="2" t="s">
        <v>17</v>
      </c>
      <c r="K6472" s="4" t="s">
        <v>22413</v>
      </c>
      <c r="L6472" s="4">
        <v>19194</v>
      </c>
      <c r="M6472" s="2" t="s">
        <v>35</v>
      </c>
      <c r="N6472" s="2" t="s">
        <v>11401</v>
      </c>
    </row>
    <row r="6473" spans="1:14">
      <c r="A6473" s="2">
        <v>6472</v>
      </c>
      <c r="B6473" s="3" t="s">
        <v>22414</v>
      </c>
      <c r="C6473" s="2" t="s">
        <v>22415</v>
      </c>
      <c r="D6473" s="2">
        <v>24</v>
      </c>
      <c r="E6473" s="2">
        <v>24</v>
      </c>
      <c r="F6473" s="2" t="s">
        <v>22416</v>
      </c>
      <c r="H6473" s="2" t="s">
        <v>17</v>
      </c>
      <c r="M6473" s="2" t="s">
        <v>170</v>
      </c>
      <c r="N6473" s="2" t="s">
        <v>5034</v>
      </c>
    </row>
    <row r="6474" spans="1:14">
      <c r="A6474" s="2">
        <v>6473</v>
      </c>
      <c r="B6474" s="3" t="s">
        <v>22417</v>
      </c>
      <c r="C6474" s="2" t="s">
        <v>22418</v>
      </c>
      <c r="D6474" s="2">
        <v>23</v>
      </c>
      <c r="E6474" s="2">
        <v>24</v>
      </c>
      <c r="F6474" s="2" t="s">
        <v>22419</v>
      </c>
      <c r="H6474" s="2" t="s">
        <v>17</v>
      </c>
      <c r="K6474" s="4" t="s">
        <v>22420</v>
      </c>
      <c r="L6474" s="4">
        <v>14822</v>
      </c>
      <c r="M6474" s="2" t="s">
        <v>154</v>
      </c>
      <c r="N6474" s="2" t="s">
        <v>208</v>
      </c>
    </row>
    <row r="6475" spans="1:14">
      <c r="A6475" s="2">
        <v>6474</v>
      </c>
      <c r="B6475" s="3" t="s">
        <v>22421</v>
      </c>
      <c r="C6475" s="2" t="s">
        <v>22422</v>
      </c>
      <c r="D6475" s="2">
        <v>23</v>
      </c>
      <c r="E6475" s="2">
        <v>24</v>
      </c>
      <c r="F6475" s="2" t="s">
        <v>22423</v>
      </c>
      <c r="H6475" s="2" t="s">
        <v>17</v>
      </c>
      <c r="K6475" s="4" t="s">
        <v>22424</v>
      </c>
      <c r="L6475" s="4">
        <v>12762</v>
      </c>
      <c r="M6475" s="2" t="s">
        <v>35</v>
      </c>
      <c r="N6475" s="2" t="s">
        <v>22425</v>
      </c>
    </row>
    <row r="6476" spans="1:14">
      <c r="A6476" s="2">
        <v>6475</v>
      </c>
      <c r="B6476" s="3" t="s">
        <v>22426</v>
      </c>
      <c r="C6476" s="2" t="s">
        <v>22427</v>
      </c>
      <c r="D6476" s="2">
        <v>23</v>
      </c>
      <c r="E6476" s="2">
        <v>24</v>
      </c>
      <c r="F6476" s="2" t="s">
        <v>22428</v>
      </c>
      <c r="H6476" s="2" t="s">
        <v>17</v>
      </c>
    </row>
    <row r="6477" spans="1:14">
      <c r="A6477" s="2">
        <v>6476</v>
      </c>
      <c r="B6477" s="3" t="s">
        <v>22429</v>
      </c>
      <c r="C6477" s="2" t="s">
        <v>22430</v>
      </c>
      <c r="D6477" s="2">
        <v>23</v>
      </c>
      <c r="E6477" s="2">
        <v>24</v>
      </c>
      <c r="F6477" s="2" t="s">
        <v>22431</v>
      </c>
      <c r="H6477" s="2" t="s">
        <v>17</v>
      </c>
      <c r="K6477" s="4" t="s">
        <v>22432</v>
      </c>
      <c r="L6477" s="4">
        <v>1046</v>
      </c>
      <c r="M6477" s="2" t="s">
        <v>35</v>
      </c>
      <c r="N6477" s="2" t="s">
        <v>11552</v>
      </c>
    </row>
    <row r="6478" spans="1:14">
      <c r="A6478" s="2">
        <v>6477</v>
      </c>
      <c r="B6478" s="3" t="s">
        <v>22433</v>
      </c>
      <c r="C6478" s="2" t="s">
        <v>22434</v>
      </c>
      <c r="D6478" s="2">
        <v>23</v>
      </c>
      <c r="E6478" s="2">
        <v>24</v>
      </c>
      <c r="F6478" s="2" t="s">
        <v>22435</v>
      </c>
      <c r="H6478" s="2" t="s">
        <v>17</v>
      </c>
      <c r="K6478" s="4" t="s">
        <v>22436</v>
      </c>
      <c r="L6478" s="4">
        <v>12417</v>
      </c>
      <c r="M6478" s="2" t="s">
        <v>40</v>
      </c>
      <c r="N6478" s="2" t="s">
        <v>41</v>
      </c>
    </row>
    <row r="6479" spans="1:14">
      <c r="A6479" s="2">
        <v>6478</v>
      </c>
      <c r="B6479" s="3" t="s">
        <v>22437</v>
      </c>
      <c r="C6479" s="2" t="s">
        <v>22438</v>
      </c>
      <c r="D6479" s="2">
        <v>24</v>
      </c>
      <c r="E6479" s="2">
        <v>24</v>
      </c>
      <c r="F6479" s="2" t="s">
        <v>22439</v>
      </c>
      <c r="H6479" s="2" t="s">
        <v>17</v>
      </c>
      <c r="L6479" s="4">
        <v>2045</v>
      </c>
    </row>
    <row r="6480" spans="1:14">
      <c r="A6480" s="2">
        <v>6479</v>
      </c>
      <c r="B6480" s="3" t="s">
        <v>22440</v>
      </c>
      <c r="C6480" s="2" t="s">
        <v>22441</v>
      </c>
      <c r="D6480" s="2">
        <v>23</v>
      </c>
      <c r="E6480" s="2">
        <v>24</v>
      </c>
      <c r="F6480" s="2" t="s">
        <v>22442</v>
      </c>
      <c r="H6480" s="2" t="s">
        <v>17</v>
      </c>
      <c r="K6480" s="4" t="s">
        <v>22443</v>
      </c>
      <c r="L6480" s="4">
        <v>14469</v>
      </c>
      <c r="M6480" s="2" t="s">
        <v>198</v>
      </c>
      <c r="N6480" s="2" t="s">
        <v>199</v>
      </c>
    </row>
    <row r="6481" spans="1:14">
      <c r="A6481" s="2">
        <v>6480</v>
      </c>
      <c r="B6481" s="3" t="s">
        <v>22444</v>
      </c>
      <c r="C6481" s="2" t="s">
        <v>22445</v>
      </c>
      <c r="D6481" s="2">
        <v>23</v>
      </c>
      <c r="E6481" s="2">
        <v>24</v>
      </c>
      <c r="F6481" s="2" t="s">
        <v>22446</v>
      </c>
      <c r="H6481" s="2" t="s">
        <v>17</v>
      </c>
      <c r="K6481" s="4" t="s">
        <v>22447</v>
      </c>
      <c r="L6481" s="4">
        <v>6767</v>
      </c>
      <c r="M6481" s="2" t="s">
        <v>76</v>
      </c>
      <c r="N6481" s="2" t="s">
        <v>14023</v>
      </c>
    </row>
    <row r="6482" spans="1:14">
      <c r="A6482" s="2">
        <v>6481</v>
      </c>
      <c r="B6482" s="3" t="s">
        <v>22448</v>
      </c>
      <c r="C6482" s="2" t="s">
        <v>22449</v>
      </c>
      <c r="D6482" s="2">
        <v>23</v>
      </c>
      <c r="E6482" s="2">
        <v>24</v>
      </c>
      <c r="F6482" s="2" t="s">
        <v>22450</v>
      </c>
      <c r="H6482" s="2" t="s">
        <v>17</v>
      </c>
      <c r="L6482" s="4">
        <v>1537</v>
      </c>
      <c r="M6482" s="2" t="s">
        <v>35</v>
      </c>
    </row>
    <row r="6483" spans="1:14">
      <c r="A6483" s="2">
        <v>6482</v>
      </c>
      <c r="B6483" s="3" t="s">
        <v>22451</v>
      </c>
      <c r="C6483" s="2" t="s">
        <v>22452</v>
      </c>
      <c r="D6483" s="2">
        <v>23</v>
      </c>
      <c r="E6483" s="2">
        <v>24</v>
      </c>
      <c r="F6483" s="2" t="s">
        <v>22453</v>
      </c>
      <c r="H6483" s="2" t="s">
        <v>17</v>
      </c>
      <c r="L6483" s="4">
        <v>5852</v>
      </c>
      <c r="M6483" s="2" t="s">
        <v>185</v>
      </c>
      <c r="N6483" s="2" t="s">
        <v>186</v>
      </c>
    </row>
    <row r="6484" spans="1:14">
      <c r="A6484" s="2">
        <v>6483</v>
      </c>
      <c r="B6484" s="3" t="s">
        <v>22454</v>
      </c>
      <c r="C6484" s="2" t="s">
        <v>22455</v>
      </c>
      <c r="D6484" s="2">
        <v>23</v>
      </c>
      <c r="E6484" s="2">
        <v>24</v>
      </c>
      <c r="F6484" s="2" t="s">
        <v>22456</v>
      </c>
      <c r="H6484" s="2" t="s">
        <v>17</v>
      </c>
      <c r="L6484" s="4">
        <v>3136</v>
      </c>
      <c r="M6484" s="2" t="s">
        <v>170</v>
      </c>
    </row>
    <row r="6485" spans="1:14">
      <c r="A6485" s="2">
        <v>6484</v>
      </c>
      <c r="B6485" s="3" t="s">
        <v>22457</v>
      </c>
      <c r="C6485" s="2" t="s">
        <v>22458</v>
      </c>
      <c r="D6485" s="2">
        <v>24</v>
      </c>
      <c r="E6485" s="2">
        <v>24</v>
      </c>
      <c r="F6485" s="2" t="s">
        <v>22459</v>
      </c>
      <c r="H6485" s="2" t="s">
        <v>17</v>
      </c>
      <c r="L6485" s="4" t="s">
        <v>22460</v>
      </c>
    </row>
    <row r="6486" spans="1:14">
      <c r="A6486" s="2">
        <v>6485</v>
      </c>
      <c r="B6486" s="3" t="s">
        <v>22461</v>
      </c>
      <c r="C6486" s="2" t="s">
        <v>22462</v>
      </c>
      <c r="D6486" s="2">
        <v>22</v>
      </c>
      <c r="E6486" s="2">
        <v>24</v>
      </c>
      <c r="F6486" s="2" t="s">
        <v>22463</v>
      </c>
      <c r="H6486" s="2" t="s">
        <v>17</v>
      </c>
      <c r="K6486" s="4" t="s">
        <v>22464</v>
      </c>
      <c r="L6486" s="4">
        <v>4533</v>
      </c>
      <c r="M6486" s="2" t="s">
        <v>35</v>
      </c>
      <c r="N6486" s="2" t="s">
        <v>11458</v>
      </c>
    </row>
    <row r="6487" spans="1:14">
      <c r="A6487" s="2">
        <v>6486</v>
      </c>
      <c r="B6487" s="3" t="s">
        <v>22465</v>
      </c>
      <c r="C6487" s="2" t="s">
        <v>22466</v>
      </c>
      <c r="D6487" s="2">
        <v>23</v>
      </c>
      <c r="E6487" s="2">
        <v>24</v>
      </c>
      <c r="F6487" s="2" t="s">
        <v>22467</v>
      </c>
      <c r="H6487" s="2" t="s">
        <v>17</v>
      </c>
      <c r="L6487" s="4">
        <v>4333</v>
      </c>
      <c r="M6487" s="2" t="s">
        <v>170</v>
      </c>
      <c r="N6487" s="2" t="s">
        <v>9069</v>
      </c>
    </row>
    <row r="6488" spans="1:14">
      <c r="A6488" s="2">
        <v>6487</v>
      </c>
      <c r="B6488" s="3" t="s">
        <v>22468</v>
      </c>
      <c r="C6488" s="2" t="s">
        <v>22469</v>
      </c>
      <c r="D6488" s="2">
        <v>22</v>
      </c>
      <c r="E6488" s="2">
        <v>24</v>
      </c>
      <c r="F6488" s="2" t="s">
        <v>22470</v>
      </c>
      <c r="H6488" s="2" t="s">
        <v>17</v>
      </c>
      <c r="K6488" s="4" t="s">
        <v>22471</v>
      </c>
      <c r="L6488" s="4">
        <v>5947</v>
      </c>
    </row>
    <row r="6489" spans="1:14">
      <c r="A6489" s="2">
        <v>6488</v>
      </c>
      <c r="B6489" s="3" t="s">
        <v>22472</v>
      </c>
      <c r="C6489" s="2" t="s">
        <v>22473</v>
      </c>
      <c r="D6489" s="2">
        <v>23</v>
      </c>
      <c r="E6489" s="2">
        <v>24</v>
      </c>
      <c r="F6489" s="2" t="s">
        <v>22474</v>
      </c>
      <c r="H6489" s="2" t="s">
        <v>17</v>
      </c>
      <c r="K6489" s="4" t="s">
        <v>22475</v>
      </c>
      <c r="L6489" s="4">
        <v>3660</v>
      </c>
      <c r="M6489" s="2" t="s">
        <v>336</v>
      </c>
      <c r="N6489" s="2" t="s">
        <v>10334</v>
      </c>
    </row>
    <row r="6490" spans="1:14">
      <c r="A6490" s="2">
        <v>6489</v>
      </c>
      <c r="B6490" s="3" t="s">
        <v>22476</v>
      </c>
      <c r="C6490" s="2" t="s">
        <v>22477</v>
      </c>
      <c r="D6490" s="2">
        <v>18</v>
      </c>
      <c r="E6490" s="2">
        <v>24</v>
      </c>
      <c r="F6490" s="2" t="s">
        <v>22478</v>
      </c>
      <c r="H6490" s="2" t="s">
        <v>17</v>
      </c>
      <c r="K6490" s="4" t="s">
        <v>22479</v>
      </c>
      <c r="L6490" s="4">
        <v>1603</v>
      </c>
      <c r="M6490" s="2" t="s">
        <v>91</v>
      </c>
      <c r="N6490" s="2" t="s">
        <v>22480</v>
      </c>
    </row>
    <row r="6491" spans="1:14">
      <c r="A6491" s="2">
        <v>6490</v>
      </c>
      <c r="B6491" s="3" t="s">
        <v>22481</v>
      </c>
      <c r="C6491" s="2" t="s">
        <v>22482</v>
      </c>
      <c r="D6491" s="2">
        <v>22</v>
      </c>
      <c r="E6491" s="2">
        <v>24</v>
      </c>
      <c r="F6491" s="2" t="s">
        <v>22483</v>
      </c>
      <c r="H6491" s="2" t="s">
        <v>17</v>
      </c>
      <c r="M6491" s="2" t="s">
        <v>170</v>
      </c>
    </row>
    <row r="6492" spans="1:14">
      <c r="A6492" s="2">
        <v>6491</v>
      </c>
      <c r="B6492" s="3" t="s">
        <v>22484</v>
      </c>
      <c r="C6492" s="2" t="s">
        <v>22485</v>
      </c>
      <c r="D6492" s="2">
        <v>24</v>
      </c>
      <c r="E6492" s="2">
        <v>24</v>
      </c>
      <c r="F6492" s="2" t="s">
        <v>22486</v>
      </c>
      <c r="H6492" s="2" t="s">
        <v>17</v>
      </c>
      <c r="L6492" s="4" t="s">
        <v>22487</v>
      </c>
      <c r="M6492" s="2" t="s">
        <v>47</v>
      </c>
    </row>
    <row r="6493" spans="1:14">
      <c r="A6493" s="2">
        <v>6492</v>
      </c>
      <c r="B6493" s="3" t="s">
        <v>22488</v>
      </c>
      <c r="C6493" s="2" t="s">
        <v>22489</v>
      </c>
      <c r="D6493" s="2">
        <v>23</v>
      </c>
      <c r="E6493" s="2">
        <v>24</v>
      </c>
      <c r="F6493" s="2" t="s">
        <v>22490</v>
      </c>
      <c r="H6493" s="2" t="s">
        <v>17</v>
      </c>
      <c r="L6493" s="4" t="s">
        <v>22491</v>
      </c>
    </row>
    <row r="6494" spans="1:14">
      <c r="A6494" s="2">
        <v>6493</v>
      </c>
      <c r="B6494" s="3" t="s">
        <v>22492</v>
      </c>
      <c r="C6494" s="2" t="s">
        <v>22493</v>
      </c>
      <c r="D6494" s="2">
        <v>23</v>
      </c>
      <c r="E6494" s="2">
        <v>24</v>
      </c>
      <c r="F6494" s="2" t="s">
        <v>22494</v>
      </c>
      <c r="H6494" s="2" t="s">
        <v>17</v>
      </c>
      <c r="K6494" s="4" t="s">
        <v>22495</v>
      </c>
      <c r="L6494" s="4">
        <v>15015</v>
      </c>
    </row>
    <row r="6495" spans="1:14">
      <c r="A6495" s="2">
        <v>6494</v>
      </c>
      <c r="B6495" s="3" t="s">
        <v>22496</v>
      </c>
      <c r="C6495" s="2" t="s">
        <v>22497</v>
      </c>
      <c r="D6495" s="2">
        <v>24</v>
      </c>
      <c r="E6495" s="2">
        <v>24</v>
      </c>
      <c r="F6495" s="2" t="s">
        <v>22498</v>
      </c>
      <c r="H6495" s="2" t="s">
        <v>17</v>
      </c>
      <c r="K6495" s="4" t="s">
        <v>22499</v>
      </c>
      <c r="L6495" s="4">
        <v>1408</v>
      </c>
      <c r="M6495" s="2" t="s">
        <v>140</v>
      </c>
    </row>
    <row r="6496" spans="1:14">
      <c r="A6496" s="2">
        <v>6495</v>
      </c>
      <c r="B6496" s="3" t="s">
        <v>22500</v>
      </c>
      <c r="C6496" s="2" t="s">
        <v>22501</v>
      </c>
      <c r="D6496" s="2">
        <v>24</v>
      </c>
      <c r="E6496" s="2">
        <v>24</v>
      </c>
      <c r="F6496" s="2" t="s">
        <v>22502</v>
      </c>
      <c r="H6496" s="2" t="s">
        <v>17</v>
      </c>
      <c r="L6496" s="4">
        <v>1979</v>
      </c>
      <c r="M6496" s="2" t="s">
        <v>35</v>
      </c>
      <c r="N6496" s="2" t="s">
        <v>1462</v>
      </c>
    </row>
    <row r="6497" spans="1:14">
      <c r="A6497" s="2">
        <v>6496</v>
      </c>
      <c r="B6497" s="3" t="s">
        <v>22503</v>
      </c>
      <c r="C6497" s="2" t="s">
        <v>22504</v>
      </c>
      <c r="D6497" s="2">
        <v>23</v>
      </c>
      <c r="E6497" s="2">
        <v>24</v>
      </c>
      <c r="F6497" s="2" t="s">
        <v>22505</v>
      </c>
      <c r="H6497" s="2" t="s">
        <v>17</v>
      </c>
      <c r="K6497" s="4" t="s">
        <v>22506</v>
      </c>
      <c r="L6497" s="4">
        <v>4077</v>
      </c>
      <c r="M6497" s="2" t="s">
        <v>85</v>
      </c>
      <c r="N6497" s="2" t="s">
        <v>960</v>
      </c>
    </row>
    <row r="6498" spans="1:14">
      <c r="A6498" s="2">
        <v>6497</v>
      </c>
      <c r="B6498" s="3" t="s">
        <v>22507</v>
      </c>
      <c r="C6498" s="2" t="s">
        <v>22508</v>
      </c>
      <c r="D6498" s="2">
        <v>22</v>
      </c>
      <c r="E6498" s="2">
        <v>24</v>
      </c>
      <c r="F6498" s="2" t="s">
        <v>22509</v>
      </c>
      <c r="H6498" s="2" t="s">
        <v>17</v>
      </c>
      <c r="K6498" s="4" t="s">
        <v>22510</v>
      </c>
      <c r="L6498" s="4">
        <v>4653</v>
      </c>
      <c r="M6498" s="2" t="s">
        <v>35</v>
      </c>
      <c r="N6498" s="2" t="s">
        <v>22511</v>
      </c>
    </row>
    <row r="6499" spans="1:14">
      <c r="A6499" s="2">
        <v>6498</v>
      </c>
      <c r="B6499" s="3" t="s">
        <v>22512</v>
      </c>
      <c r="C6499" s="2" t="s">
        <v>22513</v>
      </c>
      <c r="D6499" s="2">
        <v>19</v>
      </c>
      <c r="E6499" s="2">
        <v>24</v>
      </c>
      <c r="F6499" s="2" t="s">
        <v>22514</v>
      </c>
      <c r="H6499" s="2" t="s">
        <v>17</v>
      </c>
    </row>
    <row r="6500" spans="1:14">
      <c r="A6500" s="2">
        <v>6499</v>
      </c>
      <c r="B6500" s="3" t="s">
        <v>22515</v>
      </c>
      <c r="C6500" s="2" t="s">
        <v>22516</v>
      </c>
      <c r="D6500" s="2">
        <v>22</v>
      </c>
      <c r="E6500" s="2">
        <v>24</v>
      </c>
      <c r="F6500" s="2" t="s">
        <v>22517</v>
      </c>
      <c r="H6500" s="2" t="s">
        <v>17</v>
      </c>
      <c r="K6500" s="4" t="s">
        <v>22518</v>
      </c>
      <c r="L6500" s="4">
        <v>9708</v>
      </c>
    </row>
    <row r="6501" spans="1:14">
      <c r="A6501" s="2">
        <v>6500</v>
      </c>
      <c r="B6501" s="3" t="s">
        <v>22519</v>
      </c>
      <c r="C6501" s="2" t="s">
        <v>22520</v>
      </c>
      <c r="D6501" s="2">
        <v>24</v>
      </c>
      <c r="E6501" s="2">
        <v>24</v>
      </c>
      <c r="F6501" s="2" t="s">
        <v>22521</v>
      </c>
      <c r="H6501" s="2" t="s">
        <v>17</v>
      </c>
      <c r="K6501" s="4" t="s">
        <v>22522</v>
      </c>
      <c r="L6501" s="4">
        <v>18433</v>
      </c>
      <c r="M6501" s="2" t="s">
        <v>154</v>
      </c>
      <c r="N6501" s="2" t="s">
        <v>4862</v>
      </c>
    </row>
    <row r="6502" spans="1:14">
      <c r="A6502" s="2">
        <v>6501</v>
      </c>
      <c r="B6502" s="3" t="s">
        <v>22523</v>
      </c>
      <c r="C6502" s="2" t="s">
        <v>22524</v>
      </c>
      <c r="D6502" s="2">
        <v>24</v>
      </c>
      <c r="E6502" s="2">
        <v>24</v>
      </c>
      <c r="F6502" s="2" t="s">
        <v>22525</v>
      </c>
      <c r="H6502" s="2" t="s">
        <v>17</v>
      </c>
      <c r="K6502" s="4" t="s">
        <v>22526</v>
      </c>
      <c r="L6502" s="4">
        <v>10535</v>
      </c>
      <c r="M6502" s="2" t="s">
        <v>170</v>
      </c>
      <c r="N6502" s="2" t="s">
        <v>1762</v>
      </c>
    </row>
    <row r="6503" spans="1:14">
      <c r="A6503" s="2">
        <v>6502</v>
      </c>
      <c r="B6503" s="3" t="s">
        <v>22527</v>
      </c>
      <c r="C6503" s="2" t="s">
        <v>22528</v>
      </c>
      <c r="D6503" s="2">
        <v>24</v>
      </c>
      <c r="E6503" s="2">
        <v>24</v>
      </c>
      <c r="F6503" s="2" t="s">
        <v>22529</v>
      </c>
      <c r="H6503" s="2" t="s">
        <v>17</v>
      </c>
      <c r="K6503" s="4" t="s">
        <v>22530</v>
      </c>
      <c r="L6503" s="4">
        <v>7368</v>
      </c>
      <c r="M6503" s="2" t="s">
        <v>47</v>
      </c>
      <c r="N6503" s="2" t="s">
        <v>48</v>
      </c>
    </row>
    <row r="6504" spans="1:14">
      <c r="A6504" s="2">
        <v>6503</v>
      </c>
      <c r="B6504" s="3" t="s">
        <v>22531</v>
      </c>
      <c r="C6504" s="2" t="s">
        <v>22532</v>
      </c>
      <c r="D6504" s="2">
        <v>24</v>
      </c>
      <c r="E6504" s="2">
        <v>24</v>
      </c>
      <c r="F6504" s="2" t="s">
        <v>22533</v>
      </c>
      <c r="H6504" s="2" t="s">
        <v>17</v>
      </c>
      <c r="K6504" s="4" t="s">
        <v>22534</v>
      </c>
      <c r="L6504" s="4">
        <v>1118</v>
      </c>
      <c r="M6504" s="2" t="s">
        <v>47</v>
      </c>
      <c r="N6504" s="2" t="s">
        <v>48</v>
      </c>
    </row>
    <row r="6505" spans="1:14">
      <c r="A6505" s="2">
        <v>6504</v>
      </c>
      <c r="B6505" s="3" t="s">
        <v>22535</v>
      </c>
      <c r="C6505" s="2" t="s">
        <v>22536</v>
      </c>
      <c r="D6505" s="2">
        <v>23</v>
      </c>
      <c r="E6505" s="2">
        <v>24</v>
      </c>
      <c r="F6505" s="2" t="s">
        <v>22537</v>
      </c>
      <c r="H6505" s="2" t="s">
        <v>17</v>
      </c>
      <c r="K6505" s="4" t="s">
        <v>22538</v>
      </c>
      <c r="L6505" s="4" t="s">
        <v>22539</v>
      </c>
      <c r="M6505" s="2" t="s">
        <v>170</v>
      </c>
      <c r="N6505" s="2" t="s">
        <v>1624</v>
      </c>
    </row>
    <row r="6506" spans="1:14">
      <c r="A6506" s="2">
        <v>6505</v>
      </c>
      <c r="B6506" s="3" t="s">
        <v>22540</v>
      </c>
      <c r="C6506" s="2" t="s">
        <v>22541</v>
      </c>
      <c r="D6506" s="2">
        <v>24</v>
      </c>
      <c r="E6506" s="2">
        <v>24</v>
      </c>
      <c r="F6506" s="2" t="s">
        <v>22542</v>
      </c>
      <c r="H6506" s="2" t="s">
        <v>17</v>
      </c>
      <c r="K6506" s="4" t="s">
        <v>22543</v>
      </c>
      <c r="L6506" s="4">
        <v>9106</v>
      </c>
      <c r="M6506" s="2" t="s">
        <v>47</v>
      </c>
      <c r="N6506" s="2" t="s">
        <v>1863</v>
      </c>
    </row>
    <row r="6507" spans="1:14">
      <c r="A6507" s="2">
        <v>6506</v>
      </c>
      <c r="B6507" s="3" t="s">
        <v>22544</v>
      </c>
      <c r="C6507" s="2" t="s">
        <v>22545</v>
      </c>
      <c r="D6507" s="2">
        <v>24</v>
      </c>
      <c r="E6507" s="2">
        <v>24</v>
      </c>
      <c r="F6507" s="2" t="s">
        <v>22546</v>
      </c>
      <c r="H6507" s="2" t="s">
        <v>17</v>
      </c>
      <c r="L6507" s="4">
        <v>3427</v>
      </c>
      <c r="M6507" s="2" t="s">
        <v>140</v>
      </c>
    </row>
    <row r="6508" spans="1:14">
      <c r="A6508" s="2">
        <v>6507</v>
      </c>
      <c r="B6508" s="3" t="s">
        <v>22547</v>
      </c>
      <c r="C6508" s="2" t="s">
        <v>22548</v>
      </c>
      <c r="D6508" s="2">
        <v>23</v>
      </c>
      <c r="E6508" s="2">
        <v>24</v>
      </c>
      <c r="F6508" s="2" t="s">
        <v>22549</v>
      </c>
      <c r="H6508" s="2" t="s">
        <v>17</v>
      </c>
      <c r="L6508" s="4">
        <v>16440</v>
      </c>
    </row>
    <row r="6509" spans="1:14">
      <c r="A6509" s="2">
        <v>6508</v>
      </c>
      <c r="B6509" s="3" t="s">
        <v>22550</v>
      </c>
      <c r="C6509" s="2" t="s">
        <v>22551</v>
      </c>
      <c r="D6509" s="2">
        <v>23</v>
      </c>
      <c r="E6509" s="2">
        <v>24</v>
      </c>
      <c r="F6509" s="2" t="s">
        <v>22552</v>
      </c>
      <c r="H6509" s="2" t="s">
        <v>17</v>
      </c>
      <c r="K6509" s="4" t="s">
        <v>22553</v>
      </c>
      <c r="L6509" s="4">
        <v>1696</v>
      </c>
      <c r="M6509" s="2" t="s">
        <v>198</v>
      </c>
      <c r="N6509" s="2" t="s">
        <v>199</v>
      </c>
    </row>
    <row r="6510" spans="1:14">
      <c r="A6510" s="2">
        <v>6509</v>
      </c>
      <c r="B6510" s="3" t="s">
        <v>22554</v>
      </c>
      <c r="C6510" s="2" t="s">
        <v>22555</v>
      </c>
      <c r="D6510" s="2">
        <v>22</v>
      </c>
      <c r="E6510" s="2">
        <v>24</v>
      </c>
      <c r="F6510" s="2" t="s">
        <v>22556</v>
      </c>
      <c r="H6510" s="2" t="s">
        <v>17</v>
      </c>
    </row>
    <row r="6511" spans="1:14">
      <c r="A6511" s="2">
        <v>6510</v>
      </c>
      <c r="B6511" s="3" t="s">
        <v>22557</v>
      </c>
      <c r="C6511" s="2" t="s">
        <v>22558</v>
      </c>
      <c r="D6511" s="2">
        <v>24</v>
      </c>
      <c r="E6511" s="2">
        <v>24</v>
      </c>
      <c r="F6511" s="2" t="s">
        <v>22559</v>
      </c>
      <c r="H6511" s="2" t="s">
        <v>17</v>
      </c>
      <c r="L6511" s="4">
        <v>1666</v>
      </c>
    </row>
    <row r="6512" spans="1:14">
      <c r="A6512" s="2">
        <v>6511</v>
      </c>
      <c r="B6512" s="3" t="s">
        <v>22560</v>
      </c>
      <c r="C6512" s="2" t="s">
        <v>22561</v>
      </c>
      <c r="D6512" s="2">
        <v>24</v>
      </c>
      <c r="E6512" s="2">
        <v>24</v>
      </c>
      <c r="F6512" s="2" t="s">
        <v>22562</v>
      </c>
      <c r="H6512" s="2" t="s">
        <v>17</v>
      </c>
      <c r="K6512" s="4" t="s">
        <v>22563</v>
      </c>
      <c r="L6512" s="4">
        <v>21062</v>
      </c>
      <c r="M6512" s="2" t="s">
        <v>170</v>
      </c>
      <c r="N6512" s="2" t="s">
        <v>323</v>
      </c>
    </row>
    <row r="6513" spans="1:14">
      <c r="A6513" s="2">
        <v>6512</v>
      </c>
      <c r="B6513" s="3" t="s">
        <v>22564</v>
      </c>
      <c r="C6513" s="2" t="s">
        <v>22565</v>
      </c>
      <c r="D6513" s="2">
        <v>23</v>
      </c>
      <c r="E6513" s="2">
        <v>24</v>
      </c>
      <c r="F6513" s="2" t="s">
        <v>22566</v>
      </c>
      <c r="H6513" s="2" t="s">
        <v>17</v>
      </c>
      <c r="L6513" s="4" t="s">
        <v>22567</v>
      </c>
    </row>
    <row r="6514" spans="1:14">
      <c r="A6514" s="2">
        <v>6513</v>
      </c>
      <c r="B6514" s="3" t="s">
        <v>22568</v>
      </c>
      <c r="C6514" s="2" t="s">
        <v>22569</v>
      </c>
      <c r="D6514" s="2">
        <v>23</v>
      </c>
      <c r="E6514" s="2">
        <v>24</v>
      </c>
      <c r="F6514" s="2" t="s">
        <v>22570</v>
      </c>
      <c r="H6514" s="2" t="s">
        <v>17</v>
      </c>
      <c r="L6514" s="4">
        <v>2780</v>
      </c>
    </row>
    <row r="6515" spans="1:14">
      <c r="A6515" s="2">
        <v>6514</v>
      </c>
      <c r="B6515" s="3" t="s">
        <v>22571</v>
      </c>
      <c r="C6515" s="2" t="s">
        <v>22572</v>
      </c>
      <c r="D6515" s="2">
        <v>19</v>
      </c>
      <c r="E6515" s="2">
        <v>24</v>
      </c>
      <c r="F6515" s="2" t="s">
        <v>22573</v>
      </c>
      <c r="H6515" s="2" t="s">
        <v>17</v>
      </c>
      <c r="K6515" s="4" t="s">
        <v>22574</v>
      </c>
      <c r="L6515" s="4">
        <v>2505</v>
      </c>
      <c r="M6515" s="2" t="s">
        <v>91</v>
      </c>
      <c r="N6515" s="2" t="s">
        <v>22575</v>
      </c>
    </row>
    <row r="6516" spans="1:14">
      <c r="A6516" s="2">
        <v>6515</v>
      </c>
      <c r="B6516" s="3" t="s">
        <v>22576</v>
      </c>
      <c r="C6516" s="2" t="s">
        <v>22577</v>
      </c>
      <c r="D6516" s="2">
        <v>24</v>
      </c>
      <c r="E6516" s="2">
        <v>24</v>
      </c>
      <c r="F6516" s="2" t="s">
        <v>22578</v>
      </c>
      <c r="H6516" s="2" t="s">
        <v>17</v>
      </c>
      <c r="K6516" s="4" t="s">
        <v>22579</v>
      </c>
      <c r="M6516" s="2" t="s">
        <v>40</v>
      </c>
    </row>
    <row r="6517" spans="1:14">
      <c r="A6517" s="2">
        <v>6516</v>
      </c>
      <c r="B6517" s="3" t="s">
        <v>22580</v>
      </c>
      <c r="C6517" s="2" t="s">
        <v>20921</v>
      </c>
      <c r="D6517" s="2">
        <v>23</v>
      </c>
      <c r="E6517" s="2">
        <v>24</v>
      </c>
      <c r="F6517" s="2" t="s">
        <v>22581</v>
      </c>
      <c r="H6517" s="2" t="s">
        <v>17</v>
      </c>
      <c r="L6517" s="4">
        <v>6004</v>
      </c>
      <c r="M6517" s="2" t="s">
        <v>198</v>
      </c>
    </row>
    <row r="6518" spans="1:14">
      <c r="A6518" s="2">
        <v>6517</v>
      </c>
      <c r="B6518" s="3" t="s">
        <v>22582</v>
      </c>
      <c r="C6518" s="2" t="s">
        <v>22583</v>
      </c>
      <c r="D6518" s="2">
        <v>24</v>
      </c>
      <c r="E6518" s="2">
        <v>24</v>
      </c>
      <c r="F6518" s="2" t="s">
        <v>22584</v>
      </c>
      <c r="H6518" s="2" t="s">
        <v>17</v>
      </c>
      <c r="L6518" s="4">
        <v>11538</v>
      </c>
    </row>
    <row r="6519" spans="1:14">
      <c r="A6519" s="2">
        <v>6518</v>
      </c>
      <c r="B6519" s="3" t="s">
        <v>22585</v>
      </c>
      <c r="C6519" s="2" t="s">
        <v>22586</v>
      </c>
      <c r="D6519" s="2">
        <v>24</v>
      </c>
      <c r="E6519" s="2">
        <v>24</v>
      </c>
      <c r="F6519" s="2" t="s">
        <v>22587</v>
      </c>
      <c r="H6519" s="2" t="s">
        <v>17</v>
      </c>
      <c r="L6519" s="4">
        <v>17200</v>
      </c>
    </row>
    <row r="6520" spans="1:14">
      <c r="A6520" s="2">
        <v>6519</v>
      </c>
      <c r="B6520" s="3" t="s">
        <v>22588</v>
      </c>
      <c r="C6520" s="2" t="s">
        <v>22589</v>
      </c>
      <c r="D6520" s="2">
        <v>24</v>
      </c>
      <c r="E6520" s="2">
        <v>24</v>
      </c>
      <c r="F6520" s="2" t="s">
        <v>22590</v>
      </c>
      <c r="H6520" s="2" t="s">
        <v>17</v>
      </c>
      <c r="K6520" s="4" t="s">
        <v>22591</v>
      </c>
      <c r="L6520" s="4">
        <v>12595</v>
      </c>
      <c r="M6520" s="2" t="s">
        <v>30</v>
      </c>
      <c r="N6520" s="2" t="s">
        <v>22592</v>
      </c>
    </row>
    <row r="6521" spans="1:14">
      <c r="A6521" s="2">
        <v>6520</v>
      </c>
      <c r="B6521" s="3" t="s">
        <v>22593</v>
      </c>
      <c r="C6521" s="2" t="s">
        <v>22594</v>
      </c>
      <c r="D6521" s="2">
        <v>24</v>
      </c>
      <c r="E6521" s="2">
        <v>24</v>
      </c>
      <c r="F6521" s="2" t="s">
        <v>22595</v>
      </c>
      <c r="H6521" s="2" t="s">
        <v>17</v>
      </c>
      <c r="K6521" s="4" t="s">
        <v>22596</v>
      </c>
      <c r="M6521" s="2" t="s">
        <v>40</v>
      </c>
      <c r="N6521" s="2" t="s">
        <v>9352</v>
      </c>
    </row>
    <row r="6522" spans="1:14">
      <c r="A6522" s="2">
        <v>6521</v>
      </c>
      <c r="B6522" s="3" t="s">
        <v>22597</v>
      </c>
      <c r="C6522" s="2" t="s">
        <v>22598</v>
      </c>
      <c r="D6522" s="2">
        <v>18</v>
      </c>
      <c r="E6522" s="2">
        <v>24</v>
      </c>
      <c r="F6522" s="2" t="s">
        <v>22599</v>
      </c>
      <c r="H6522" s="2" t="s">
        <v>17</v>
      </c>
      <c r="L6522" s="4" t="s">
        <v>22600</v>
      </c>
      <c r="M6522" s="2" t="s">
        <v>146</v>
      </c>
      <c r="N6522" s="2" t="s">
        <v>8769</v>
      </c>
    </row>
    <row r="6523" spans="1:14">
      <c r="A6523" s="2">
        <v>6522</v>
      </c>
      <c r="B6523" s="3" t="s">
        <v>22601</v>
      </c>
      <c r="C6523" s="2" t="s">
        <v>22602</v>
      </c>
      <c r="D6523" s="2">
        <v>23</v>
      </c>
      <c r="E6523" s="2">
        <v>24</v>
      </c>
      <c r="F6523" s="2" t="s">
        <v>22603</v>
      </c>
      <c r="H6523" s="2" t="s">
        <v>17</v>
      </c>
      <c r="K6523" s="4" t="s">
        <v>22604</v>
      </c>
      <c r="L6523" s="4">
        <v>6804</v>
      </c>
      <c r="M6523" s="2" t="s">
        <v>35</v>
      </c>
      <c r="N6523" s="2" t="s">
        <v>11401</v>
      </c>
    </row>
    <row r="6524" spans="1:14">
      <c r="A6524" s="2">
        <v>6523</v>
      </c>
      <c r="B6524" s="3" t="s">
        <v>22605</v>
      </c>
      <c r="C6524" s="2" t="s">
        <v>22606</v>
      </c>
      <c r="D6524" s="2">
        <v>23</v>
      </c>
      <c r="E6524" s="2">
        <v>24</v>
      </c>
      <c r="F6524" s="2" t="s">
        <v>22607</v>
      </c>
      <c r="H6524" s="2" t="s">
        <v>17</v>
      </c>
    </row>
    <row r="6525" spans="1:14">
      <c r="A6525" s="2">
        <v>6524</v>
      </c>
      <c r="B6525" s="3" t="s">
        <v>22608</v>
      </c>
      <c r="C6525" s="2" t="s">
        <v>22609</v>
      </c>
      <c r="D6525" s="2">
        <v>20</v>
      </c>
      <c r="E6525" s="2">
        <v>24</v>
      </c>
      <c r="F6525" s="2" t="s">
        <v>22610</v>
      </c>
      <c r="H6525" s="2" t="s">
        <v>17</v>
      </c>
      <c r="K6525" s="4" t="s">
        <v>22611</v>
      </c>
      <c r="L6525" s="4">
        <v>5976</v>
      </c>
    </row>
    <row r="6526" spans="1:14">
      <c r="A6526" s="2">
        <v>6525</v>
      </c>
      <c r="B6526" s="3" t="s">
        <v>22612</v>
      </c>
      <c r="C6526" s="2" t="s">
        <v>22613</v>
      </c>
      <c r="D6526" s="2">
        <v>22</v>
      </c>
      <c r="E6526" s="2">
        <v>24</v>
      </c>
      <c r="F6526" s="2" t="s">
        <v>22614</v>
      </c>
      <c r="H6526" s="2" t="s">
        <v>17</v>
      </c>
      <c r="L6526" s="4">
        <v>1390</v>
      </c>
    </row>
    <row r="6527" spans="1:14">
      <c r="A6527" s="2">
        <v>6526</v>
      </c>
      <c r="B6527" s="3" t="s">
        <v>22615</v>
      </c>
      <c r="C6527" s="2" t="s">
        <v>22616</v>
      </c>
      <c r="D6527" s="2">
        <v>23</v>
      </c>
      <c r="E6527" s="2">
        <v>24</v>
      </c>
      <c r="F6527" s="2" t="s">
        <v>22617</v>
      </c>
      <c r="H6527" s="2" t="s">
        <v>17</v>
      </c>
    </row>
    <row r="6528" spans="1:14">
      <c r="A6528" s="2">
        <v>6527</v>
      </c>
      <c r="B6528" s="3" t="s">
        <v>22618</v>
      </c>
      <c r="C6528" s="2" t="s">
        <v>22619</v>
      </c>
      <c r="D6528" s="2">
        <v>24</v>
      </c>
      <c r="E6528" s="2">
        <v>24</v>
      </c>
      <c r="F6528" s="2" t="s">
        <v>22620</v>
      </c>
      <c r="H6528" s="2" t="s">
        <v>17</v>
      </c>
      <c r="K6528" s="4" t="s">
        <v>22621</v>
      </c>
      <c r="L6528" s="4">
        <v>4448</v>
      </c>
      <c r="M6528" s="2" t="s">
        <v>47</v>
      </c>
      <c r="N6528" s="2" t="s">
        <v>691</v>
      </c>
    </row>
    <row r="6529" spans="1:14">
      <c r="A6529" s="2">
        <v>6528</v>
      </c>
      <c r="B6529" s="3" t="s">
        <v>22622</v>
      </c>
      <c r="C6529" s="2" t="s">
        <v>22623</v>
      </c>
      <c r="D6529" s="2">
        <v>22</v>
      </c>
      <c r="E6529" s="2">
        <v>23</v>
      </c>
      <c r="F6529" s="2" t="s">
        <v>22624</v>
      </c>
      <c r="H6529" s="2" t="s">
        <v>17</v>
      </c>
      <c r="K6529" s="4" t="s">
        <v>22625</v>
      </c>
      <c r="L6529" s="4">
        <v>1533</v>
      </c>
      <c r="M6529" s="2" t="s">
        <v>47</v>
      </c>
      <c r="N6529" s="2" t="s">
        <v>442</v>
      </c>
    </row>
    <row r="6530" spans="1:14">
      <c r="A6530" s="2">
        <v>6529</v>
      </c>
      <c r="B6530" s="3" t="s">
        <v>22626</v>
      </c>
      <c r="C6530" s="2" t="s">
        <v>15614</v>
      </c>
      <c r="D6530" s="2">
        <v>22</v>
      </c>
      <c r="E6530" s="2">
        <v>23</v>
      </c>
      <c r="F6530" s="2" t="s">
        <v>22627</v>
      </c>
      <c r="H6530" s="2" t="s">
        <v>17</v>
      </c>
      <c r="K6530" s="4" t="s">
        <v>22628</v>
      </c>
      <c r="L6530" s="4">
        <v>6298</v>
      </c>
      <c r="M6530" s="2" t="s">
        <v>170</v>
      </c>
      <c r="N6530" s="2" t="s">
        <v>12332</v>
      </c>
    </row>
    <row r="6531" spans="1:14">
      <c r="A6531" s="2">
        <v>6530</v>
      </c>
      <c r="B6531" s="3" t="s">
        <v>22629</v>
      </c>
      <c r="C6531" s="2" t="s">
        <v>22630</v>
      </c>
      <c r="D6531" s="2">
        <v>16</v>
      </c>
      <c r="E6531" s="2">
        <v>23</v>
      </c>
      <c r="F6531" s="2" t="s">
        <v>22631</v>
      </c>
      <c r="H6531" s="2" t="s">
        <v>17</v>
      </c>
      <c r="K6531" s="4" t="s">
        <v>22632</v>
      </c>
      <c r="L6531" s="4">
        <v>5312</v>
      </c>
      <c r="M6531" s="2" t="s">
        <v>47</v>
      </c>
      <c r="N6531" s="2" t="s">
        <v>9325</v>
      </c>
    </row>
    <row r="6532" spans="1:14">
      <c r="A6532" s="2">
        <v>6531</v>
      </c>
      <c r="B6532" s="3" t="s">
        <v>22633</v>
      </c>
      <c r="C6532" s="2" t="s">
        <v>22634</v>
      </c>
      <c r="D6532" s="2">
        <v>23</v>
      </c>
      <c r="E6532" s="2">
        <v>23</v>
      </c>
      <c r="F6532" s="2" t="s">
        <v>22635</v>
      </c>
      <c r="H6532" s="2" t="s">
        <v>17</v>
      </c>
      <c r="K6532" s="4" t="s">
        <v>22636</v>
      </c>
      <c r="L6532" s="4">
        <v>926</v>
      </c>
      <c r="M6532" s="2" t="s">
        <v>154</v>
      </c>
      <c r="N6532" s="2" t="s">
        <v>208</v>
      </c>
    </row>
    <row r="6533" spans="1:14">
      <c r="A6533" s="2">
        <v>6532</v>
      </c>
      <c r="B6533" s="3" t="s">
        <v>22637</v>
      </c>
      <c r="C6533" s="2" t="s">
        <v>22638</v>
      </c>
      <c r="D6533" s="2">
        <v>23</v>
      </c>
      <c r="E6533" s="2">
        <v>23</v>
      </c>
      <c r="F6533" s="2" t="s">
        <v>22639</v>
      </c>
      <c r="H6533" s="2" t="s">
        <v>17</v>
      </c>
      <c r="L6533" s="4" t="s">
        <v>22640</v>
      </c>
      <c r="M6533" s="2" t="s">
        <v>170</v>
      </c>
    </row>
    <row r="6534" spans="1:14">
      <c r="A6534" s="2">
        <v>6533</v>
      </c>
      <c r="B6534" s="3" t="s">
        <v>22641</v>
      </c>
      <c r="C6534" s="2" t="s">
        <v>22642</v>
      </c>
      <c r="D6534" s="2">
        <v>23</v>
      </c>
      <c r="E6534" s="2">
        <v>23</v>
      </c>
      <c r="F6534" s="2" t="s">
        <v>22643</v>
      </c>
      <c r="H6534" s="2" t="s">
        <v>17</v>
      </c>
      <c r="L6534" s="4">
        <v>348</v>
      </c>
    </row>
    <row r="6535" spans="1:14">
      <c r="A6535" s="2">
        <v>6534</v>
      </c>
      <c r="B6535" s="3" t="s">
        <v>22644</v>
      </c>
      <c r="C6535" s="2" t="s">
        <v>22645</v>
      </c>
      <c r="D6535" s="2">
        <v>22</v>
      </c>
      <c r="E6535" s="2">
        <v>23</v>
      </c>
      <c r="F6535" s="2" t="s">
        <v>22646</v>
      </c>
      <c r="H6535" s="2" t="s">
        <v>17</v>
      </c>
      <c r="K6535" s="4" t="s">
        <v>22647</v>
      </c>
      <c r="L6535" s="4">
        <v>9188</v>
      </c>
      <c r="M6535" s="2" t="s">
        <v>35</v>
      </c>
      <c r="N6535" s="2" t="s">
        <v>11401</v>
      </c>
    </row>
    <row r="6536" spans="1:14">
      <c r="A6536" s="2">
        <v>6535</v>
      </c>
      <c r="B6536" s="3" t="s">
        <v>22648</v>
      </c>
      <c r="C6536" s="2" t="s">
        <v>22649</v>
      </c>
      <c r="D6536" s="2">
        <v>23</v>
      </c>
      <c r="E6536" s="2">
        <v>23</v>
      </c>
      <c r="F6536" s="2" t="s">
        <v>22650</v>
      </c>
      <c r="H6536" s="2" t="s">
        <v>17</v>
      </c>
      <c r="L6536" s="4" t="s">
        <v>22651</v>
      </c>
      <c r="M6536" s="2" t="s">
        <v>198</v>
      </c>
    </row>
    <row r="6537" spans="1:14">
      <c r="A6537" s="2">
        <v>6536</v>
      </c>
      <c r="B6537" s="3" t="s">
        <v>22652</v>
      </c>
      <c r="C6537" s="2" t="s">
        <v>22653</v>
      </c>
      <c r="D6537" s="2">
        <v>22</v>
      </c>
      <c r="E6537" s="2">
        <v>23</v>
      </c>
      <c r="F6537" s="2" t="s">
        <v>22654</v>
      </c>
      <c r="H6537" s="2" t="s">
        <v>17</v>
      </c>
      <c r="L6537" s="4">
        <v>4240</v>
      </c>
      <c r="M6537" s="2" t="s">
        <v>192</v>
      </c>
      <c r="N6537" s="2" t="s">
        <v>22655</v>
      </c>
    </row>
    <row r="6538" spans="1:14">
      <c r="A6538" s="2">
        <v>6537</v>
      </c>
      <c r="B6538" s="3" t="s">
        <v>22656</v>
      </c>
      <c r="C6538" s="2" t="s">
        <v>22657</v>
      </c>
      <c r="D6538" s="2">
        <v>22</v>
      </c>
      <c r="E6538" s="2">
        <v>23</v>
      </c>
      <c r="F6538" s="2" t="s">
        <v>22658</v>
      </c>
      <c r="H6538" s="2" t="s">
        <v>17</v>
      </c>
      <c r="K6538" s="4" t="s">
        <v>22659</v>
      </c>
      <c r="L6538" s="4">
        <v>3353</v>
      </c>
    </row>
    <row r="6539" spans="1:14">
      <c r="A6539" s="2">
        <v>6538</v>
      </c>
      <c r="B6539" s="3" t="s">
        <v>22660</v>
      </c>
      <c r="C6539" s="2" t="s">
        <v>22661</v>
      </c>
      <c r="D6539" s="2">
        <v>22</v>
      </c>
      <c r="E6539" s="2">
        <v>23</v>
      </c>
      <c r="F6539" s="2" t="s">
        <v>22662</v>
      </c>
      <c r="H6539" s="2" t="s">
        <v>17</v>
      </c>
      <c r="K6539" s="4" t="s">
        <v>22663</v>
      </c>
      <c r="L6539" s="4">
        <v>5</v>
      </c>
      <c r="M6539" s="2" t="s">
        <v>35</v>
      </c>
      <c r="N6539" s="2" t="s">
        <v>6880</v>
      </c>
    </row>
    <row r="6540" spans="1:14">
      <c r="A6540" s="2">
        <v>6539</v>
      </c>
      <c r="B6540" s="3" t="s">
        <v>22664</v>
      </c>
      <c r="C6540" s="2" t="s">
        <v>22665</v>
      </c>
      <c r="D6540" s="2">
        <v>23</v>
      </c>
      <c r="E6540" s="2">
        <v>23</v>
      </c>
      <c r="F6540" s="2" t="s">
        <v>22666</v>
      </c>
      <c r="H6540" s="2" t="s">
        <v>17</v>
      </c>
      <c r="K6540" s="4" t="s">
        <v>22667</v>
      </c>
      <c r="L6540" s="4">
        <v>12736</v>
      </c>
    </row>
    <row r="6541" spans="1:14">
      <c r="A6541" s="2">
        <v>6540</v>
      </c>
      <c r="B6541" s="3" t="s">
        <v>22668</v>
      </c>
      <c r="C6541" s="2" t="s">
        <v>22669</v>
      </c>
      <c r="D6541" s="2">
        <v>22</v>
      </c>
      <c r="E6541" s="2">
        <v>23</v>
      </c>
      <c r="F6541" s="2" t="s">
        <v>22670</v>
      </c>
      <c r="H6541" s="2" t="s">
        <v>17</v>
      </c>
      <c r="K6541" s="4" t="s">
        <v>22671</v>
      </c>
      <c r="L6541" s="4" t="s">
        <v>22672</v>
      </c>
      <c r="M6541" s="2" t="s">
        <v>47</v>
      </c>
      <c r="N6541" s="2" t="s">
        <v>20757</v>
      </c>
    </row>
    <row r="6542" spans="1:14">
      <c r="A6542" s="2">
        <v>6541</v>
      </c>
      <c r="B6542" s="3" t="s">
        <v>22673</v>
      </c>
      <c r="C6542" s="2" t="s">
        <v>22674</v>
      </c>
      <c r="D6542" s="2">
        <v>12</v>
      </c>
      <c r="E6542" s="2">
        <v>23</v>
      </c>
      <c r="F6542" s="2" t="s">
        <v>22675</v>
      </c>
      <c r="H6542" s="2" t="s">
        <v>17</v>
      </c>
      <c r="L6542" s="4" t="s">
        <v>22676</v>
      </c>
      <c r="M6542" s="2" t="s">
        <v>35</v>
      </c>
      <c r="N6542" s="2" t="s">
        <v>6880</v>
      </c>
    </row>
    <row r="6543" spans="1:14">
      <c r="A6543" s="2">
        <v>6542</v>
      </c>
      <c r="B6543" s="3" t="s">
        <v>22677</v>
      </c>
      <c r="C6543" s="2" t="s">
        <v>22678</v>
      </c>
      <c r="D6543" s="2">
        <v>23</v>
      </c>
      <c r="E6543" s="2">
        <v>23</v>
      </c>
      <c r="F6543" s="2" t="s">
        <v>22679</v>
      </c>
      <c r="H6543" s="2" t="s">
        <v>17</v>
      </c>
      <c r="K6543" s="4" t="s">
        <v>22447</v>
      </c>
      <c r="L6543" s="4">
        <v>13269</v>
      </c>
      <c r="M6543" s="2" t="s">
        <v>76</v>
      </c>
      <c r="N6543" s="2" t="s">
        <v>9298</v>
      </c>
    </row>
    <row r="6544" spans="1:14">
      <c r="A6544" s="2">
        <v>6543</v>
      </c>
      <c r="B6544" s="3" t="s">
        <v>22680</v>
      </c>
      <c r="C6544" s="2" t="s">
        <v>22681</v>
      </c>
      <c r="D6544" s="2">
        <v>23</v>
      </c>
      <c r="E6544" s="2">
        <v>23</v>
      </c>
      <c r="F6544" s="2" t="s">
        <v>22682</v>
      </c>
      <c r="H6544" s="2" t="s">
        <v>17</v>
      </c>
      <c r="K6544" s="4" t="s">
        <v>22683</v>
      </c>
      <c r="L6544" s="4">
        <v>3024</v>
      </c>
      <c r="M6544" s="2" t="s">
        <v>192</v>
      </c>
      <c r="N6544" s="2" t="s">
        <v>193</v>
      </c>
    </row>
    <row r="6545" spans="1:14">
      <c r="A6545" s="2">
        <v>6544</v>
      </c>
      <c r="B6545" s="3" t="s">
        <v>22684</v>
      </c>
      <c r="C6545" s="2" t="s">
        <v>12118</v>
      </c>
      <c r="D6545" s="2">
        <v>22</v>
      </c>
      <c r="E6545" s="2">
        <v>23</v>
      </c>
      <c r="F6545" s="2" t="s">
        <v>22685</v>
      </c>
      <c r="H6545" s="2" t="s">
        <v>17</v>
      </c>
      <c r="K6545" s="4" t="s">
        <v>22686</v>
      </c>
      <c r="L6545" s="4">
        <v>7517</v>
      </c>
      <c r="M6545" s="2" t="s">
        <v>18</v>
      </c>
      <c r="N6545" s="2" t="s">
        <v>19</v>
      </c>
    </row>
    <row r="6546" spans="1:14">
      <c r="A6546" s="2">
        <v>6545</v>
      </c>
      <c r="B6546" s="3" t="s">
        <v>22687</v>
      </c>
      <c r="C6546" s="2" t="s">
        <v>22688</v>
      </c>
      <c r="D6546" s="2">
        <v>23</v>
      </c>
      <c r="E6546" s="2">
        <v>23</v>
      </c>
      <c r="F6546" s="2" t="s">
        <v>22689</v>
      </c>
      <c r="H6546" s="2" t="s">
        <v>17</v>
      </c>
      <c r="L6546" s="4" t="s">
        <v>22690</v>
      </c>
      <c r="M6546" s="2" t="s">
        <v>170</v>
      </c>
    </row>
    <row r="6547" spans="1:14">
      <c r="A6547" s="2">
        <v>6546</v>
      </c>
      <c r="B6547" s="3" t="s">
        <v>22691</v>
      </c>
      <c r="C6547" s="2" t="s">
        <v>22692</v>
      </c>
      <c r="D6547" s="2">
        <v>22</v>
      </c>
      <c r="E6547" s="2">
        <v>23</v>
      </c>
      <c r="F6547" s="2" t="s">
        <v>22693</v>
      </c>
      <c r="H6547" s="2" t="s">
        <v>17</v>
      </c>
      <c r="K6547" s="4" t="s">
        <v>22694</v>
      </c>
      <c r="L6547" s="4">
        <v>9327</v>
      </c>
      <c r="M6547" s="2" t="s">
        <v>35</v>
      </c>
      <c r="N6547" s="2" t="s">
        <v>22695</v>
      </c>
    </row>
    <row r="6548" spans="1:14">
      <c r="A6548" s="2">
        <v>6547</v>
      </c>
      <c r="B6548" s="3" t="s">
        <v>22696</v>
      </c>
      <c r="C6548" s="2" t="s">
        <v>22697</v>
      </c>
      <c r="D6548" s="2">
        <v>22</v>
      </c>
      <c r="E6548" s="2">
        <v>23</v>
      </c>
      <c r="F6548" s="2" t="s">
        <v>22698</v>
      </c>
      <c r="H6548" s="2" t="s">
        <v>17</v>
      </c>
      <c r="K6548" s="4" t="s">
        <v>22699</v>
      </c>
      <c r="L6548" s="4">
        <v>6559</v>
      </c>
    </row>
    <row r="6549" spans="1:14">
      <c r="A6549" s="2">
        <v>6548</v>
      </c>
      <c r="B6549" s="3" t="s">
        <v>22700</v>
      </c>
      <c r="C6549" s="2" t="s">
        <v>22701</v>
      </c>
      <c r="D6549" s="2">
        <v>23</v>
      </c>
      <c r="E6549" s="2">
        <v>23</v>
      </c>
      <c r="F6549" s="2" t="s">
        <v>22702</v>
      </c>
      <c r="H6549" s="2" t="s">
        <v>17</v>
      </c>
      <c r="K6549" s="4" t="s">
        <v>22703</v>
      </c>
      <c r="L6549" s="4">
        <v>6639</v>
      </c>
      <c r="M6549" s="2" t="s">
        <v>66</v>
      </c>
      <c r="N6549" s="2" t="s">
        <v>6644</v>
      </c>
    </row>
    <row r="6550" spans="1:14">
      <c r="A6550" s="2">
        <v>6549</v>
      </c>
      <c r="B6550" s="3" t="s">
        <v>22704</v>
      </c>
      <c r="C6550" s="2" t="s">
        <v>22705</v>
      </c>
      <c r="D6550" s="2">
        <v>23</v>
      </c>
      <c r="E6550" s="2">
        <v>23</v>
      </c>
      <c r="F6550" s="2" t="s">
        <v>22706</v>
      </c>
      <c r="H6550" s="2" t="s">
        <v>17</v>
      </c>
      <c r="K6550" s="4" t="s">
        <v>22707</v>
      </c>
      <c r="L6550" s="4">
        <v>8677</v>
      </c>
      <c r="M6550" s="2" t="s">
        <v>170</v>
      </c>
      <c r="N6550" s="2" t="s">
        <v>22708</v>
      </c>
    </row>
    <row r="6551" spans="1:14">
      <c r="A6551" s="2">
        <v>6550</v>
      </c>
      <c r="B6551" s="3" t="s">
        <v>22709</v>
      </c>
      <c r="C6551" s="2" t="s">
        <v>22710</v>
      </c>
      <c r="D6551" s="2">
        <v>23</v>
      </c>
      <c r="E6551" s="2">
        <v>23</v>
      </c>
      <c r="F6551" s="2" t="s">
        <v>22711</v>
      </c>
      <c r="H6551" s="2" t="s">
        <v>17</v>
      </c>
      <c r="K6551" s="4" t="s">
        <v>22712</v>
      </c>
      <c r="M6551" s="2" t="s">
        <v>35</v>
      </c>
      <c r="N6551" s="2" t="s">
        <v>12700</v>
      </c>
    </row>
    <row r="6552" spans="1:14">
      <c r="A6552" s="2">
        <v>6551</v>
      </c>
      <c r="B6552" s="3" t="s">
        <v>22713</v>
      </c>
      <c r="C6552" s="2" t="s">
        <v>22714</v>
      </c>
      <c r="D6552" s="2">
        <v>23</v>
      </c>
      <c r="E6552" s="2">
        <v>23</v>
      </c>
      <c r="F6552" s="2" t="s">
        <v>22715</v>
      </c>
      <c r="H6552" s="2" t="s">
        <v>17</v>
      </c>
      <c r="L6552" s="4" t="s">
        <v>22716</v>
      </c>
      <c r="M6552" s="2" t="s">
        <v>66</v>
      </c>
    </row>
    <row r="6553" spans="1:14">
      <c r="A6553" s="2">
        <v>6552</v>
      </c>
      <c r="B6553" s="3" t="s">
        <v>22717</v>
      </c>
      <c r="C6553" s="2" t="s">
        <v>22718</v>
      </c>
      <c r="D6553" s="2">
        <v>22</v>
      </c>
      <c r="E6553" s="2">
        <v>23</v>
      </c>
      <c r="F6553" s="2" t="s">
        <v>22719</v>
      </c>
      <c r="H6553" s="2" t="s">
        <v>17</v>
      </c>
      <c r="K6553" s="4" t="s">
        <v>22720</v>
      </c>
      <c r="L6553" s="4">
        <v>6433</v>
      </c>
      <c r="M6553" s="2" t="s">
        <v>140</v>
      </c>
    </row>
    <row r="6554" spans="1:14">
      <c r="A6554" s="2">
        <v>6553</v>
      </c>
      <c r="B6554" s="3" t="s">
        <v>22721</v>
      </c>
      <c r="C6554" s="2" t="s">
        <v>22722</v>
      </c>
      <c r="D6554" s="2">
        <v>23</v>
      </c>
      <c r="E6554" s="2">
        <v>23</v>
      </c>
      <c r="F6554" s="2" t="s">
        <v>22723</v>
      </c>
      <c r="H6554" s="2" t="s">
        <v>17</v>
      </c>
      <c r="L6554" s="4" t="s">
        <v>22724</v>
      </c>
      <c r="M6554" s="2" t="s">
        <v>66</v>
      </c>
      <c r="N6554" s="2" t="s">
        <v>15568</v>
      </c>
    </row>
    <row r="6555" spans="1:14">
      <c r="A6555" s="2">
        <v>6554</v>
      </c>
      <c r="B6555" s="3" t="s">
        <v>22725</v>
      </c>
      <c r="C6555" s="2" t="s">
        <v>22726</v>
      </c>
      <c r="D6555" s="2">
        <v>23</v>
      </c>
      <c r="E6555" s="2">
        <v>23</v>
      </c>
      <c r="F6555" s="2" t="s">
        <v>22727</v>
      </c>
      <c r="H6555" s="2" t="s">
        <v>17</v>
      </c>
      <c r="K6555" s="4" t="s">
        <v>22728</v>
      </c>
      <c r="L6555" s="4">
        <v>2905</v>
      </c>
      <c r="M6555" s="2" t="s">
        <v>66</v>
      </c>
      <c r="N6555" s="2" t="s">
        <v>71</v>
      </c>
    </row>
    <row r="6556" spans="1:14">
      <c r="A6556" s="2">
        <v>6555</v>
      </c>
      <c r="B6556" s="3" t="s">
        <v>22729</v>
      </c>
      <c r="C6556" s="2" t="s">
        <v>22730</v>
      </c>
      <c r="D6556" s="2">
        <v>22</v>
      </c>
      <c r="E6556" s="2">
        <v>23</v>
      </c>
      <c r="F6556" s="2" t="s">
        <v>22731</v>
      </c>
      <c r="H6556" s="2" t="s">
        <v>17</v>
      </c>
      <c r="K6556" s="4" t="s">
        <v>22732</v>
      </c>
      <c r="M6556" s="2" t="s">
        <v>35</v>
      </c>
      <c r="N6556" s="2" t="s">
        <v>22695</v>
      </c>
    </row>
    <row r="6557" spans="1:14">
      <c r="A6557" s="2">
        <v>6556</v>
      </c>
      <c r="B6557" s="3" t="s">
        <v>22733</v>
      </c>
      <c r="C6557" s="2" t="s">
        <v>22734</v>
      </c>
      <c r="D6557" s="2">
        <v>17</v>
      </c>
      <c r="E6557" s="2">
        <v>23</v>
      </c>
      <c r="F6557" s="2" t="s">
        <v>22735</v>
      </c>
      <c r="H6557" s="2" t="s">
        <v>17</v>
      </c>
      <c r="K6557" s="4" t="s">
        <v>22736</v>
      </c>
      <c r="L6557" s="4">
        <v>3409</v>
      </c>
      <c r="M6557" s="2" t="s">
        <v>170</v>
      </c>
      <c r="N6557" s="2" t="s">
        <v>784</v>
      </c>
    </row>
    <row r="6558" spans="1:14">
      <c r="A6558" s="2">
        <v>6557</v>
      </c>
      <c r="B6558" s="3" t="s">
        <v>22737</v>
      </c>
      <c r="C6558" s="2" t="s">
        <v>22738</v>
      </c>
      <c r="D6558" s="2">
        <v>23</v>
      </c>
      <c r="E6558" s="2">
        <v>23</v>
      </c>
      <c r="F6558" s="2" t="s">
        <v>22739</v>
      </c>
      <c r="H6558" s="2" t="s">
        <v>17</v>
      </c>
      <c r="K6558" s="4" t="s">
        <v>22740</v>
      </c>
      <c r="M6558" s="2" t="s">
        <v>85</v>
      </c>
    </row>
    <row r="6559" spans="1:14">
      <c r="A6559" s="2">
        <v>6558</v>
      </c>
      <c r="B6559" s="3" t="s">
        <v>22741</v>
      </c>
      <c r="C6559" s="2" t="s">
        <v>22742</v>
      </c>
      <c r="D6559" s="2">
        <v>23</v>
      </c>
      <c r="E6559" s="2">
        <v>23</v>
      </c>
      <c r="F6559" s="2" t="s">
        <v>22743</v>
      </c>
      <c r="H6559" s="2" t="s">
        <v>17</v>
      </c>
      <c r="K6559" s="4" t="s">
        <v>22744</v>
      </c>
      <c r="L6559" s="4">
        <v>7496</v>
      </c>
      <c r="M6559" s="2" t="s">
        <v>47</v>
      </c>
      <c r="N6559" s="2" t="s">
        <v>1863</v>
      </c>
    </row>
    <row r="6560" spans="1:14">
      <c r="A6560" s="2">
        <v>6559</v>
      </c>
      <c r="B6560" s="3" t="s">
        <v>22745</v>
      </c>
      <c r="C6560" s="2" t="s">
        <v>22746</v>
      </c>
      <c r="D6560" s="2">
        <v>23</v>
      </c>
      <c r="E6560" s="2">
        <v>23</v>
      </c>
      <c r="F6560" s="2" t="s">
        <v>22747</v>
      </c>
      <c r="H6560" s="2" t="s">
        <v>17</v>
      </c>
      <c r="L6560" s="4" t="s">
        <v>22748</v>
      </c>
      <c r="M6560" s="2" t="s">
        <v>198</v>
      </c>
    </row>
    <row r="6561" spans="1:14">
      <c r="A6561" s="2">
        <v>6560</v>
      </c>
      <c r="B6561" s="3" t="s">
        <v>22749</v>
      </c>
      <c r="C6561" s="2" t="s">
        <v>22750</v>
      </c>
      <c r="D6561" s="2">
        <v>22</v>
      </c>
      <c r="E6561" s="2">
        <v>23</v>
      </c>
      <c r="F6561" s="2" t="s">
        <v>22751</v>
      </c>
      <c r="H6561" s="2" t="s">
        <v>17</v>
      </c>
      <c r="K6561" s="4" t="s">
        <v>22752</v>
      </c>
      <c r="L6561" s="4">
        <v>2971</v>
      </c>
      <c r="M6561" s="2" t="s">
        <v>170</v>
      </c>
      <c r="N6561" s="2" t="s">
        <v>802</v>
      </c>
    </row>
    <row r="6562" spans="1:14">
      <c r="A6562" s="2">
        <v>6561</v>
      </c>
      <c r="B6562" s="3" t="s">
        <v>22753</v>
      </c>
      <c r="C6562" s="2" t="s">
        <v>22754</v>
      </c>
      <c r="D6562" s="2">
        <v>23</v>
      </c>
      <c r="E6562" s="2">
        <v>23</v>
      </c>
      <c r="F6562" s="2" t="s">
        <v>22755</v>
      </c>
      <c r="H6562" s="2" t="s">
        <v>17</v>
      </c>
      <c r="L6562" s="4">
        <v>3413</v>
      </c>
      <c r="M6562" s="2" t="s">
        <v>47</v>
      </c>
    </row>
    <row r="6563" spans="1:14">
      <c r="A6563" s="2">
        <v>6562</v>
      </c>
      <c r="B6563" s="3" t="s">
        <v>22756</v>
      </c>
      <c r="C6563" s="2" t="s">
        <v>22757</v>
      </c>
      <c r="D6563" s="2">
        <v>23</v>
      </c>
      <c r="E6563" s="2">
        <v>23</v>
      </c>
      <c r="F6563" s="2" t="s">
        <v>22758</v>
      </c>
      <c r="H6563" s="2" t="s">
        <v>17</v>
      </c>
      <c r="K6563" s="4" t="s">
        <v>22759</v>
      </c>
      <c r="L6563" s="4" t="s">
        <v>22760</v>
      </c>
      <c r="M6563" s="2" t="s">
        <v>140</v>
      </c>
    </row>
    <row r="6564" spans="1:14">
      <c r="A6564" s="2">
        <v>6563</v>
      </c>
      <c r="B6564" s="3" t="s">
        <v>22761</v>
      </c>
      <c r="C6564" s="2" t="s">
        <v>22762</v>
      </c>
      <c r="D6564" s="2">
        <v>23</v>
      </c>
      <c r="E6564" s="2">
        <v>23</v>
      </c>
      <c r="F6564" s="2" t="s">
        <v>22763</v>
      </c>
      <c r="H6564" s="2" t="s">
        <v>17</v>
      </c>
      <c r="L6564" s="4">
        <v>2368</v>
      </c>
    </row>
    <row r="6565" spans="1:14">
      <c r="A6565" s="2">
        <v>6564</v>
      </c>
      <c r="B6565" s="3" t="s">
        <v>22764</v>
      </c>
      <c r="C6565" s="2" t="s">
        <v>22765</v>
      </c>
      <c r="D6565" s="2">
        <v>22</v>
      </c>
      <c r="E6565" s="2">
        <v>23</v>
      </c>
      <c r="F6565" s="2" t="s">
        <v>22766</v>
      </c>
      <c r="H6565" s="2" t="s">
        <v>17</v>
      </c>
      <c r="K6565" s="4" t="s">
        <v>22767</v>
      </c>
      <c r="L6565" s="4" t="s">
        <v>22768</v>
      </c>
    </row>
    <row r="6566" spans="1:14">
      <c r="A6566" s="2">
        <v>6565</v>
      </c>
      <c r="B6566" s="3" t="s">
        <v>22769</v>
      </c>
      <c r="C6566" s="2" t="s">
        <v>22770</v>
      </c>
      <c r="D6566" s="2">
        <v>23</v>
      </c>
      <c r="E6566" s="2">
        <v>23</v>
      </c>
      <c r="F6566" s="2" t="s">
        <v>22771</v>
      </c>
      <c r="H6566" s="2" t="s">
        <v>17</v>
      </c>
      <c r="K6566" s="4" t="s">
        <v>22772</v>
      </c>
      <c r="L6566" s="4">
        <v>518</v>
      </c>
    </row>
    <row r="6567" spans="1:14">
      <c r="A6567" s="2">
        <v>6566</v>
      </c>
      <c r="B6567" s="3" t="s">
        <v>22773</v>
      </c>
      <c r="C6567" s="2" t="s">
        <v>22774</v>
      </c>
      <c r="D6567" s="2">
        <v>22</v>
      </c>
      <c r="E6567" s="2">
        <v>23</v>
      </c>
      <c r="F6567" s="2" t="s">
        <v>22775</v>
      </c>
      <c r="H6567" s="2" t="s">
        <v>17</v>
      </c>
    </row>
    <row r="6568" spans="1:14">
      <c r="A6568" s="2">
        <v>6567</v>
      </c>
      <c r="B6568" s="3" t="s">
        <v>22776</v>
      </c>
      <c r="C6568" s="2" t="s">
        <v>18074</v>
      </c>
      <c r="D6568" s="2">
        <v>18</v>
      </c>
      <c r="E6568" s="2">
        <v>23</v>
      </c>
      <c r="F6568" s="2" t="s">
        <v>22777</v>
      </c>
      <c r="H6568" s="2" t="s">
        <v>17</v>
      </c>
      <c r="K6568" s="4" t="s">
        <v>22778</v>
      </c>
      <c r="L6568" s="4">
        <v>548</v>
      </c>
      <c r="M6568" s="2" t="s">
        <v>35</v>
      </c>
      <c r="N6568" s="2" t="s">
        <v>15259</v>
      </c>
    </row>
    <row r="6569" spans="1:14">
      <c r="A6569" s="2">
        <v>6568</v>
      </c>
      <c r="B6569" s="3" t="s">
        <v>22779</v>
      </c>
      <c r="C6569" s="2" t="s">
        <v>22780</v>
      </c>
      <c r="D6569" s="2">
        <v>22</v>
      </c>
      <c r="E6569" s="2">
        <v>23</v>
      </c>
      <c r="F6569" s="2" t="s">
        <v>22781</v>
      </c>
      <c r="H6569" s="2" t="s">
        <v>17</v>
      </c>
      <c r="K6569" s="4" t="s">
        <v>22782</v>
      </c>
      <c r="L6569" s="4">
        <v>11160</v>
      </c>
    </row>
    <row r="6570" spans="1:14">
      <c r="A6570" s="2">
        <v>6569</v>
      </c>
      <c r="B6570" s="3" t="s">
        <v>22783</v>
      </c>
      <c r="C6570" s="2" t="s">
        <v>22784</v>
      </c>
      <c r="D6570" s="2">
        <v>22</v>
      </c>
      <c r="E6570" s="2">
        <v>23</v>
      </c>
      <c r="F6570" s="2" t="s">
        <v>22785</v>
      </c>
      <c r="H6570" s="2" t="s">
        <v>17</v>
      </c>
      <c r="K6570" s="4" t="s">
        <v>22786</v>
      </c>
      <c r="L6570" s="4">
        <v>9936</v>
      </c>
      <c r="M6570" s="2" t="s">
        <v>47</v>
      </c>
      <c r="N6570" s="2" t="s">
        <v>442</v>
      </c>
    </row>
    <row r="6571" spans="1:14">
      <c r="A6571" s="2">
        <v>6570</v>
      </c>
      <c r="B6571" s="3" t="s">
        <v>22787</v>
      </c>
      <c r="C6571" s="2" t="s">
        <v>22788</v>
      </c>
      <c r="D6571" s="2">
        <v>20</v>
      </c>
      <c r="E6571" s="2">
        <v>23</v>
      </c>
      <c r="F6571" s="2" t="s">
        <v>22789</v>
      </c>
      <c r="H6571" s="2" t="s">
        <v>17</v>
      </c>
      <c r="K6571" s="4" t="s">
        <v>22790</v>
      </c>
      <c r="L6571" s="4" t="s">
        <v>22791</v>
      </c>
      <c r="M6571" s="2" t="s">
        <v>40</v>
      </c>
      <c r="N6571" s="2" t="s">
        <v>41</v>
      </c>
    </row>
    <row r="6572" spans="1:14">
      <c r="A6572" s="2">
        <v>6571</v>
      </c>
      <c r="B6572" s="3" t="s">
        <v>22792</v>
      </c>
      <c r="C6572" s="2" t="s">
        <v>22793</v>
      </c>
      <c r="D6572" s="2">
        <v>22</v>
      </c>
      <c r="E6572" s="2">
        <v>23</v>
      </c>
      <c r="F6572" s="2" t="s">
        <v>22794</v>
      </c>
      <c r="H6572" s="2" t="s">
        <v>17</v>
      </c>
      <c r="K6572" s="4" t="s">
        <v>22795</v>
      </c>
      <c r="L6572" s="4">
        <v>6875</v>
      </c>
    </row>
    <row r="6573" spans="1:14">
      <c r="A6573" s="2">
        <v>6572</v>
      </c>
      <c r="B6573" s="3" t="s">
        <v>22796</v>
      </c>
      <c r="C6573" s="2" t="s">
        <v>22797</v>
      </c>
      <c r="D6573" s="2">
        <v>23</v>
      </c>
      <c r="E6573" s="2">
        <v>23</v>
      </c>
      <c r="F6573" s="2" t="s">
        <v>22798</v>
      </c>
      <c r="H6573" s="2" t="s">
        <v>17</v>
      </c>
    </row>
    <row r="6574" spans="1:14">
      <c r="A6574" s="2">
        <v>6573</v>
      </c>
      <c r="B6574" s="3" t="s">
        <v>22799</v>
      </c>
      <c r="C6574" s="2" t="s">
        <v>22800</v>
      </c>
      <c r="D6574" s="2">
        <v>23</v>
      </c>
      <c r="E6574" s="2">
        <v>23</v>
      </c>
      <c r="F6574" s="2" t="s">
        <v>22801</v>
      </c>
      <c r="H6574" s="2" t="s">
        <v>17</v>
      </c>
    </row>
    <row r="6575" spans="1:14">
      <c r="A6575" s="2">
        <v>6574</v>
      </c>
      <c r="B6575" s="3" t="s">
        <v>22802</v>
      </c>
      <c r="C6575" s="2" t="s">
        <v>22803</v>
      </c>
      <c r="D6575" s="2">
        <v>22</v>
      </c>
      <c r="E6575" s="2">
        <v>23</v>
      </c>
      <c r="F6575" s="2" t="s">
        <v>22804</v>
      </c>
      <c r="H6575" s="2" t="s">
        <v>17</v>
      </c>
      <c r="K6575" s="4" t="s">
        <v>22805</v>
      </c>
      <c r="L6575" s="4">
        <v>9329</v>
      </c>
      <c r="M6575" s="2" t="s">
        <v>170</v>
      </c>
      <c r="N6575" s="2" t="s">
        <v>1762</v>
      </c>
    </row>
    <row r="6576" spans="1:14">
      <c r="A6576" s="2">
        <v>6575</v>
      </c>
      <c r="B6576" s="3" t="s">
        <v>22806</v>
      </c>
      <c r="C6576" s="2" t="s">
        <v>22807</v>
      </c>
      <c r="D6576" s="2">
        <v>22</v>
      </c>
      <c r="E6576" s="2">
        <v>23</v>
      </c>
      <c r="F6576" s="2" t="s">
        <v>22808</v>
      </c>
      <c r="H6576" s="2" t="s">
        <v>17</v>
      </c>
      <c r="K6576" s="4" t="s">
        <v>22809</v>
      </c>
      <c r="L6576" s="4">
        <v>4655</v>
      </c>
      <c r="M6576" s="2" t="s">
        <v>198</v>
      </c>
      <c r="N6576" s="2" t="s">
        <v>199</v>
      </c>
    </row>
    <row r="6577" spans="1:14">
      <c r="A6577" s="2">
        <v>6576</v>
      </c>
      <c r="B6577" s="3" t="s">
        <v>22810</v>
      </c>
      <c r="C6577" s="2" t="s">
        <v>22811</v>
      </c>
      <c r="D6577" s="2">
        <v>23</v>
      </c>
      <c r="E6577" s="2">
        <v>23</v>
      </c>
      <c r="F6577" s="2" t="s">
        <v>22812</v>
      </c>
      <c r="H6577" s="2" t="s">
        <v>17</v>
      </c>
      <c r="K6577" s="4" t="s">
        <v>22543</v>
      </c>
      <c r="L6577" s="4">
        <v>9106</v>
      </c>
      <c r="M6577" s="2" t="s">
        <v>47</v>
      </c>
      <c r="N6577" s="2" t="s">
        <v>1863</v>
      </c>
    </row>
    <row r="6578" spans="1:14">
      <c r="A6578" s="2">
        <v>6577</v>
      </c>
      <c r="B6578" s="3" t="s">
        <v>22813</v>
      </c>
      <c r="C6578" s="2" t="s">
        <v>22814</v>
      </c>
      <c r="D6578" s="2">
        <v>23</v>
      </c>
      <c r="E6578" s="2">
        <v>23</v>
      </c>
      <c r="F6578" s="2" t="s">
        <v>22815</v>
      </c>
      <c r="H6578" s="2" t="s">
        <v>17</v>
      </c>
      <c r="L6578" s="4">
        <v>3466</v>
      </c>
      <c r="M6578" s="2" t="s">
        <v>198</v>
      </c>
    </row>
    <row r="6579" spans="1:14">
      <c r="A6579" s="2">
        <v>6578</v>
      </c>
      <c r="B6579" s="3" t="s">
        <v>22816</v>
      </c>
      <c r="C6579" s="2" t="s">
        <v>22817</v>
      </c>
      <c r="D6579" s="2">
        <v>23</v>
      </c>
      <c r="E6579" s="2">
        <v>23</v>
      </c>
      <c r="F6579" s="2" t="s">
        <v>22818</v>
      </c>
      <c r="H6579" s="2" t="s">
        <v>17</v>
      </c>
      <c r="K6579" s="4" t="s">
        <v>22819</v>
      </c>
      <c r="L6579" s="4" t="s">
        <v>22820</v>
      </c>
      <c r="M6579" s="2" t="s">
        <v>18</v>
      </c>
      <c r="N6579" s="2" t="s">
        <v>11201</v>
      </c>
    </row>
    <row r="6580" spans="1:14">
      <c r="A6580" s="2">
        <v>6579</v>
      </c>
      <c r="B6580" s="3" t="s">
        <v>22821</v>
      </c>
      <c r="C6580" s="2" t="s">
        <v>22822</v>
      </c>
      <c r="D6580" s="2">
        <v>14</v>
      </c>
      <c r="E6580" s="2">
        <v>23</v>
      </c>
      <c r="F6580" s="2" t="s">
        <v>22823</v>
      </c>
      <c r="H6580" s="2" t="s">
        <v>17</v>
      </c>
      <c r="K6580" s="4" t="s">
        <v>22824</v>
      </c>
      <c r="L6580" s="4" t="s">
        <v>22825</v>
      </c>
      <c r="M6580" s="2" t="s">
        <v>91</v>
      </c>
      <c r="N6580" s="2" t="s">
        <v>13113</v>
      </c>
    </row>
    <row r="6581" spans="1:14">
      <c r="A6581" s="2">
        <v>6580</v>
      </c>
      <c r="B6581" s="3" t="s">
        <v>22826</v>
      </c>
      <c r="C6581" s="2" t="s">
        <v>19797</v>
      </c>
      <c r="D6581" s="2">
        <v>22</v>
      </c>
      <c r="E6581" s="2">
        <v>23</v>
      </c>
      <c r="F6581" s="2" t="s">
        <v>22827</v>
      </c>
      <c r="H6581" s="2" t="s">
        <v>17</v>
      </c>
      <c r="K6581" s="4" t="s">
        <v>22828</v>
      </c>
      <c r="L6581" s="4">
        <v>1085</v>
      </c>
    </row>
    <row r="6582" spans="1:14">
      <c r="A6582" s="2">
        <v>6581</v>
      </c>
      <c r="B6582" s="3" t="s">
        <v>22829</v>
      </c>
      <c r="C6582" s="2" t="s">
        <v>22830</v>
      </c>
      <c r="D6582" s="2">
        <v>22</v>
      </c>
      <c r="E6582" s="2">
        <v>23</v>
      </c>
      <c r="F6582" s="2" t="s">
        <v>22831</v>
      </c>
      <c r="H6582" s="2" t="s">
        <v>17</v>
      </c>
      <c r="K6582" s="4" t="s">
        <v>22832</v>
      </c>
      <c r="L6582" s="4">
        <v>9508</v>
      </c>
      <c r="M6582" s="2" t="s">
        <v>140</v>
      </c>
      <c r="N6582" s="2" t="s">
        <v>10412</v>
      </c>
    </row>
    <row r="6583" spans="1:14">
      <c r="A6583" s="2">
        <v>6582</v>
      </c>
      <c r="B6583" s="3" t="s">
        <v>22833</v>
      </c>
      <c r="C6583" s="2" t="s">
        <v>22834</v>
      </c>
      <c r="D6583" s="2">
        <v>23</v>
      </c>
      <c r="E6583" s="2">
        <v>23</v>
      </c>
      <c r="F6583" s="2" t="s">
        <v>22835</v>
      </c>
      <c r="H6583" s="2" t="s">
        <v>17</v>
      </c>
    </row>
    <row r="6584" spans="1:14">
      <c r="A6584" s="2">
        <v>6583</v>
      </c>
      <c r="B6584" s="3" t="s">
        <v>22836</v>
      </c>
      <c r="C6584" s="2" t="s">
        <v>22837</v>
      </c>
      <c r="D6584" s="2">
        <v>23</v>
      </c>
      <c r="E6584" s="2">
        <v>23</v>
      </c>
      <c r="F6584" s="2" t="s">
        <v>22838</v>
      </c>
      <c r="H6584" s="2" t="s">
        <v>17</v>
      </c>
      <c r="L6584" s="4" t="s">
        <v>22839</v>
      </c>
      <c r="M6584" s="2" t="s">
        <v>35</v>
      </c>
    </row>
    <row r="6585" spans="1:14">
      <c r="A6585" s="2">
        <v>6584</v>
      </c>
      <c r="B6585" s="3" t="s">
        <v>22840</v>
      </c>
      <c r="C6585" s="2" t="s">
        <v>22841</v>
      </c>
      <c r="D6585" s="2">
        <v>23</v>
      </c>
      <c r="E6585" s="2">
        <v>23</v>
      </c>
      <c r="F6585" s="2" t="s">
        <v>22842</v>
      </c>
      <c r="H6585" s="2" t="s">
        <v>17</v>
      </c>
      <c r="K6585" s="4" t="s">
        <v>22843</v>
      </c>
      <c r="L6585" s="4">
        <v>20908</v>
      </c>
      <c r="M6585" s="2" t="s">
        <v>47</v>
      </c>
      <c r="N6585" s="2" t="s">
        <v>442</v>
      </c>
    </row>
    <row r="6586" spans="1:14">
      <c r="A6586" s="2">
        <v>6585</v>
      </c>
      <c r="B6586" s="3" t="s">
        <v>22844</v>
      </c>
      <c r="C6586" s="2" t="s">
        <v>22845</v>
      </c>
      <c r="D6586" s="2">
        <v>23</v>
      </c>
      <c r="E6586" s="2">
        <v>23</v>
      </c>
      <c r="F6586" s="2" t="s">
        <v>22846</v>
      </c>
      <c r="H6586" s="2" t="s">
        <v>17</v>
      </c>
    </row>
    <row r="6587" spans="1:14">
      <c r="A6587" s="2">
        <v>6586</v>
      </c>
      <c r="B6587" s="3" t="s">
        <v>22847</v>
      </c>
      <c r="C6587" s="2" t="s">
        <v>22848</v>
      </c>
      <c r="D6587" s="2">
        <v>23</v>
      </c>
      <c r="E6587" s="2">
        <v>23</v>
      </c>
      <c r="F6587" s="2" t="s">
        <v>22849</v>
      </c>
      <c r="H6587" s="2" t="s">
        <v>17</v>
      </c>
    </row>
    <row r="6588" spans="1:14">
      <c r="A6588" s="2">
        <v>6587</v>
      </c>
      <c r="B6588" s="3" t="s">
        <v>22850</v>
      </c>
      <c r="C6588" s="2" t="s">
        <v>22851</v>
      </c>
      <c r="D6588" s="2">
        <v>22</v>
      </c>
      <c r="E6588" s="2">
        <v>23</v>
      </c>
      <c r="F6588" s="2" t="s">
        <v>22852</v>
      </c>
      <c r="H6588" s="2" t="s">
        <v>17</v>
      </c>
      <c r="K6588" s="4" t="s">
        <v>22853</v>
      </c>
      <c r="L6588" s="4">
        <v>2900</v>
      </c>
    </row>
    <row r="6589" spans="1:14">
      <c r="A6589" s="2">
        <v>6588</v>
      </c>
      <c r="B6589" s="3" t="s">
        <v>22854</v>
      </c>
      <c r="C6589" s="2" t="s">
        <v>22855</v>
      </c>
      <c r="D6589" s="2">
        <v>22</v>
      </c>
      <c r="E6589" s="2">
        <v>23</v>
      </c>
      <c r="F6589" s="2" t="s">
        <v>22856</v>
      </c>
      <c r="H6589" s="2" t="s">
        <v>17</v>
      </c>
      <c r="L6589" s="4">
        <v>10405</v>
      </c>
      <c r="M6589" s="2" t="s">
        <v>66</v>
      </c>
      <c r="N6589" s="2" t="s">
        <v>359</v>
      </c>
    </row>
    <row r="6590" spans="1:14">
      <c r="A6590" s="2">
        <v>6589</v>
      </c>
      <c r="B6590" s="3" t="s">
        <v>22857</v>
      </c>
      <c r="C6590" s="2" t="s">
        <v>22858</v>
      </c>
      <c r="D6590" s="2">
        <v>23</v>
      </c>
      <c r="E6590" s="2">
        <v>23</v>
      </c>
      <c r="F6590" s="2" t="s">
        <v>22859</v>
      </c>
      <c r="H6590" s="2" t="s">
        <v>17</v>
      </c>
      <c r="K6590" s="4" t="s">
        <v>22860</v>
      </c>
      <c r="M6590" s="2" t="s">
        <v>35</v>
      </c>
      <c r="N6590" s="2" t="s">
        <v>11401</v>
      </c>
    </row>
    <row r="6591" spans="1:14">
      <c r="A6591" s="2">
        <v>6590</v>
      </c>
      <c r="B6591" s="3" t="s">
        <v>22861</v>
      </c>
      <c r="C6591" s="2" t="s">
        <v>22862</v>
      </c>
      <c r="D6591" s="2">
        <v>23</v>
      </c>
      <c r="E6591" s="2">
        <v>23</v>
      </c>
      <c r="F6591" s="2" t="s">
        <v>22863</v>
      </c>
      <c r="H6591" s="2" t="s">
        <v>17</v>
      </c>
      <c r="K6591" s="4" t="s">
        <v>22864</v>
      </c>
      <c r="L6591" s="4">
        <v>637</v>
      </c>
      <c r="M6591" s="2" t="s">
        <v>170</v>
      </c>
      <c r="N6591" s="2" t="s">
        <v>1624</v>
      </c>
    </row>
    <row r="6592" spans="1:14">
      <c r="A6592" s="2">
        <v>6591</v>
      </c>
      <c r="B6592" s="3" t="s">
        <v>22865</v>
      </c>
      <c r="C6592" s="2" t="s">
        <v>22866</v>
      </c>
      <c r="D6592" s="2">
        <v>23</v>
      </c>
      <c r="E6592" s="2">
        <v>23</v>
      </c>
      <c r="F6592" s="2" t="s">
        <v>22867</v>
      </c>
      <c r="H6592" s="2" t="s">
        <v>17</v>
      </c>
    </row>
    <row r="6593" spans="1:14">
      <c r="A6593" s="2">
        <v>6592</v>
      </c>
      <c r="B6593" s="3" t="s">
        <v>22868</v>
      </c>
      <c r="C6593" s="2" t="s">
        <v>22869</v>
      </c>
      <c r="D6593" s="2">
        <v>20</v>
      </c>
      <c r="E6593" s="2">
        <v>23</v>
      </c>
      <c r="F6593" s="2" t="s">
        <v>22870</v>
      </c>
      <c r="H6593" s="2" t="s">
        <v>17</v>
      </c>
      <c r="K6593" s="4" t="s">
        <v>22871</v>
      </c>
      <c r="L6593" s="4">
        <v>10044</v>
      </c>
      <c r="M6593" s="2" t="s">
        <v>198</v>
      </c>
      <c r="N6593" s="2" t="s">
        <v>199</v>
      </c>
    </row>
    <row r="6594" spans="1:14">
      <c r="A6594" s="2">
        <v>6593</v>
      </c>
      <c r="B6594" s="3" t="s">
        <v>22872</v>
      </c>
      <c r="C6594" s="2" t="s">
        <v>22873</v>
      </c>
      <c r="D6594" s="2">
        <v>22</v>
      </c>
      <c r="E6594" s="2">
        <v>23</v>
      </c>
      <c r="F6594" s="2" t="s">
        <v>22874</v>
      </c>
      <c r="H6594" s="2" t="s">
        <v>17</v>
      </c>
      <c r="K6594" s="4" t="s">
        <v>22875</v>
      </c>
      <c r="L6594" s="4">
        <v>4664</v>
      </c>
      <c r="M6594" s="2" t="s">
        <v>40</v>
      </c>
      <c r="N6594" s="2" t="s">
        <v>9352</v>
      </c>
    </row>
    <row r="6595" spans="1:14">
      <c r="A6595" s="2">
        <v>6594</v>
      </c>
      <c r="B6595" s="3" t="s">
        <v>22876</v>
      </c>
      <c r="C6595" s="2" t="s">
        <v>22877</v>
      </c>
      <c r="D6595" s="2">
        <v>23</v>
      </c>
      <c r="E6595" s="2">
        <v>23</v>
      </c>
      <c r="F6595" s="2" t="s">
        <v>22878</v>
      </c>
      <c r="H6595" s="2" t="s">
        <v>17</v>
      </c>
      <c r="K6595" s="4" t="s">
        <v>22879</v>
      </c>
      <c r="L6595" s="4">
        <v>9318</v>
      </c>
      <c r="M6595" s="2" t="s">
        <v>170</v>
      </c>
      <c r="N6595" s="2" t="s">
        <v>802</v>
      </c>
    </row>
    <row r="6596" spans="1:14">
      <c r="A6596" s="2">
        <v>6595</v>
      </c>
      <c r="B6596" s="3" t="s">
        <v>22880</v>
      </c>
      <c r="C6596" s="2" t="s">
        <v>22881</v>
      </c>
      <c r="D6596" s="2">
        <v>23</v>
      </c>
      <c r="E6596" s="2">
        <v>23</v>
      </c>
      <c r="F6596" s="2" t="s">
        <v>22882</v>
      </c>
      <c r="H6596" s="2" t="s">
        <v>17</v>
      </c>
      <c r="K6596" s="4" t="s">
        <v>22883</v>
      </c>
      <c r="M6596" s="2" t="s">
        <v>40</v>
      </c>
      <c r="N6596" s="2" t="s">
        <v>22884</v>
      </c>
    </row>
    <row r="6597" spans="1:14">
      <c r="A6597" s="2">
        <v>6596</v>
      </c>
      <c r="B6597" s="3" t="s">
        <v>22885</v>
      </c>
      <c r="C6597" s="2" t="s">
        <v>22886</v>
      </c>
      <c r="D6597" s="2">
        <v>23</v>
      </c>
      <c r="E6597" s="2">
        <v>23</v>
      </c>
      <c r="F6597" s="2" t="s">
        <v>18428</v>
      </c>
      <c r="H6597" s="2" t="s">
        <v>17</v>
      </c>
      <c r="K6597" s="4" t="s">
        <v>22887</v>
      </c>
      <c r="L6597" s="4">
        <v>2442</v>
      </c>
      <c r="M6597" s="2" t="s">
        <v>35</v>
      </c>
      <c r="N6597" s="2" t="s">
        <v>11401</v>
      </c>
    </row>
    <row r="6598" spans="1:14">
      <c r="A6598" s="2">
        <v>6597</v>
      </c>
      <c r="B6598" s="3" t="s">
        <v>22888</v>
      </c>
      <c r="C6598" s="2" t="s">
        <v>22889</v>
      </c>
      <c r="D6598" s="2">
        <v>22</v>
      </c>
      <c r="E6598" s="2">
        <v>23</v>
      </c>
      <c r="F6598" s="2" t="s">
        <v>22890</v>
      </c>
      <c r="H6598" s="2" t="s">
        <v>17</v>
      </c>
      <c r="L6598" s="4">
        <v>3831</v>
      </c>
    </row>
    <row r="6599" spans="1:14">
      <c r="A6599" s="2">
        <v>6598</v>
      </c>
      <c r="B6599" s="3" t="s">
        <v>22891</v>
      </c>
      <c r="C6599" s="2" t="s">
        <v>22892</v>
      </c>
      <c r="D6599" s="2">
        <v>17</v>
      </c>
      <c r="E6599" s="2">
        <v>23</v>
      </c>
      <c r="F6599" s="2" t="s">
        <v>22893</v>
      </c>
      <c r="H6599" s="2" t="s">
        <v>17</v>
      </c>
      <c r="K6599" s="4" t="s">
        <v>22894</v>
      </c>
      <c r="M6599" s="2" t="s">
        <v>35</v>
      </c>
    </row>
    <row r="6600" spans="1:14">
      <c r="A6600" s="2">
        <v>6599</v>
      </c>
      <c r="B6600" s="3" t="s">
        <v>22895</v>
      </c>
      <c r="C6600" s="2" t="s">
        <v>22896</v>
      </c>
      <c r="D6600" s="2">
        <v>23</v>
      </c>
      <c r="E6600" s="2">
        <v>23</v>
      </c>
      <c r="F6600" s="2" t="s">
        <v>22897</v>
      </c>
      <c r="H6600" s="2" t="s">
        <v>17</v>
      </c>
      <c r="K6600" s="4" t="s">
        <v>22898</v>
      </c>
      <c r="L6600" s="4">
        <v>12976</v>
      </c>
      <c r="M6600" s="2" t="s">
        <v>47</v>
      </c>
      <c r="N6600" s="2" t="s">
        <v>48</v>
      </c>
    </row>
    <row r="6601" spans="1:14">
      <c r="A6601" s="2">
        <v>6600</v>
      </c>
      <c r="B6601" s="3" t="s">
        <v>22899</v>
      </c>
      <c r="C6601" s="2" t="s">
        <v>22900</v>
      </c>
      <c r="D6601" s="2">
        <v>17</v>
      </c>
      <c r="E6601" s="2">
        <v>23</v>
      </c>
      <c r="F6601" s="2" t="s">
        <v>22901</v>
      </c>
      <c r="H6601" s="2" t="s">
        <v>17</v>
      </c>
      <c r="K6601" s="4" t="s">
        <v>22902</v>
      </c>
      <c r="L6601" s="4">
        <v>2486</v>
      </c>
      <c r="M6601" s="2" t="s">
        <v>40</v>
      </c>
    </row>
    <row r="6602" spans="1:14">
      <c r="A6602" s="2">
        <v>6601</v>
      </c>
      <c r="B6602" s="3" t="s">
        <v>22903</v>
      </c>
      <c r="C6602" s="2" t="s">
        <v>22904</v>
      </c>
      <c r="D6602" s="2">
        <v>22</v>
      </c>
      <c r="E6602" s="2">
        <v>22</v>
      </c>
      <c r="F6602" s="2" t="s">
        <v>22905</v>
      </c>
      <c r="H6602" s="2" t="s">
        <v>17</v>
      </c>
      <c r="K6602" s="4" t="s">
        <v>22906</v>
      </c>
      <c r="L6602" s="4" t="s">
        <v>22907</v>
      </c>
      <c r="M6602" s="2" t="s">
        <v>66</v>
      </c>
      <c r="N6602" s="2" t="s">
        <v>131</v>
      </c>
    </row>
    <row r="6603" spans="1:14">
      <c r="A6603" s="2">
        <v>6602</v>
      </c>
      <c r="B6603" s="3" t="s">
        <v>22908</v>
      </c>
      <c r="C6603" s="2" t="s">
        <v>22909</v>
      </c>
      <c r="D6603" s="2">
        <v>22</v>
      </c>
      <c r="E6603" s="2">
        <v>22</v>
      </c>
      <c r="F6603" s="2" t="s">
        <v>22910</v>
      </c>
      <c r="H6603" s="2" t="s">
        <v>17</v>
      </c>
      <c r="L6603" s="4" t="s">
        <v>22911</v>
      </c>
    </row>
    <row r="6604" spans="1:14">
      <c r="A6604" s="2">
        <v>6603</v>
      </c>
      <c r="B6604" s="3" t="s">
        <v>22912</v>
      </c>
      <c r="C6604" s="2" t="s">
        <v>9993</v>
      </c>
      <c r="D6604" s="2">
        <v>22</v>
      </c>
      <c r="E6604" s="2">
        <v>22</v>
      </c>
      <c r="F6604" s="2" t="s">
        <v>22913</v>
      </c>
      <c r="H6604" s="2" t="s">
        <v>17</v>
      </c>
      <c r="K6604" s="4" t="s">
        <v>20543</v>
      </c>
      <c r="L6604" s="4">
        <v>13022</v>
      </c>
      <c r="M6604" s="2" t="s">
        <v>66</v>
      </c>
      <c r="N6604" s="2" t="s">
        <v>6644</v>
      </c>
    </row>
    <row r="6605" spans="1:14">
      <c r="A6605" s="2">
        <v>6604</v>
      </c>
      <c r="B6605" s="3" t="s">
        <v>22914</v>
      </c>
      <c r="C6605" s="2" t="s">
        <v>22915</v>
      </c>
      <c r="D6605" s="2">
        <v>22</v>
      </c>
      <c r="E6605" s="2">
        <v>22</v>
      </c>
      <c r="F6605" s="2" t="s">
        <v>22916</v>
      </c>
      <c r="H6605" s="2" t="s">
        <v>17</v>
      </c>
      <c r="K6605" s="4" t="s">
        <v>22917</v>
      </c>
      <c r="L6605" s="4">
        <v>12572</v>
      </c>
      <c r="M6605" s="2" t="s">
        <v>35</v>
      </c>
      <c r="N6605" s="2" t="s">
        <v>22918</v>
      </c>
    </row>
    <row r="6606" spans="1:14">
      <c r="A6606" s="2">
        <v>6605</v>
      </c>
      <c r="B6606" s="3" t="s">
        <v>22919</v>
      </c>
      <c r="C6606" s="2" t="s">
        <v>22920</v>
      </c>
      <c r="D6606" s="2">
        <v>22</v>
      </c>
      <c r="E6606" s="2">
        <v>22</v>
      </c>
      <c r="F6606" s="2" t="s">
        <v>22921</v>
      </c>
      <c r="H6606" s="2" t="s">
        <v>17</v>
      </c>
      <c r="M6606" s="2" t="s">
        <v>85</v>
      </c>
      <c r="N6606" s="2" t="s">
        <v>1356</v>
      </c>
    </row>
    <row r="6607" spans="1:14">
      <c r="A6607" s="2">
        <v>6606</v>
      </c>
      <c r="B6607" s="3" t="s">
        <v>22922</v>
      </c>
      <c r="C6607" s="2" t="s">
        <v>22923</v>
      </c>
      <c r="D6607" s="2">
        <v>22</v>
      </c>
      <c r="E6607" s="2">
        <v>22</v>
      </c>
      <c r="F6607" s="2" t="s">
        <v>22924</v>
      </c>
      <c r="H6607" s="2" t="s">
        <v>17</v>
      </c>
      <c r="M6607" s="2" t="s">
        <v>170</v>
      </c>
      <c r="N6607" s="2" t="s">
        <v>759</v>
      </c>
    </row>
    <row r="6608" spans="1:14">
      <c r="A6608" s="2">
        <v>6607</v>
      </c>
      <c r="B6608" s="3" t="s">
        <v>22925</v>
      </c>
      <c r="C6608" s="2" t="s">
        <v>8272</v>
      </c>
      <c r="D6608" s="2">
        <v>22</v>
      </c>
      <c r="E6608" s="2">
        <v>22</v>
      </c>
      <c r="F6608" s="2" t="s">
        <v>22926</v>
      </c>
      <c r="H6608" s="2" t="s">
        <v>17</v>
      </c>
      <c r="K6608" s="4" t="s">
        <v>22927</v>
      </c>
      <c r="L6608" s="4" t="s">
        <v>22928</v>
      </c>
      <c r="M6608" s="2" t="s">
        <v>336</v>
      </c>
      <c r="N6608" s="2" t="s">
        <v>7208</v>
      </c>
    </row>
    <row r="6609" spans="1:14">
      <c r="A6609" s="2">
        <v>6608</v>
      </c>
      <c r="B6609" s="3" t="s">
        <v>22929</v>
      </c>
      <c r="C6609" s="2" t="s">
        <v>22930</v>
      </c>
      <c r="D6609" s="2">
        <v>22</v>
      </c>
      <c r="E6609" s="2">
        <v>22</v>
      </c>
      <c r="F6609" s="2" t="s">
        <v>22931</v>
      </c>
      <c r="H6609" s="2" t="s">
        <v>17</v>
      </c>
      <c r="K6609" s="4" t="s">
        <v>22932</v>
      </c>
      <c r="L6609" s="4">
        <v>10183</v>
      </c>
      <c r="M6609" s="2" t="s">
        <v>35</v>
      </c>
      <c r="N6609" s="2" t="s">
        <v>10316</v>
      </c>
    </row>
    <row r="6610" spans="1:14">
      <c r="A6610" s="2">
        <v>6609</v>
      </c>
      <c r="B6610" s="3" t="s">
        <v>22933</v>
      </c>
      <c r="C6610" s="2" t="s">
        <v>22934</v>
      </c>
      <c r="D6610" s="2">
        <v>22</v>
      </c>
      <c r="E6610" s="2">
        <v>22</v>
      </c>
      <c r="F6610" s="2" t="s">
        <v>22935</v>
      </c>
      <c r="H6610" s="2" t="s">
        <v>17</v>
      </c>
      <c r="K6610" s="4" t="s">
        <v>22936</v>
      </c>
      <c r="L6610" s="4">
        <v>4896</v>
      </c>
      <c r="M6610" s="2" t="s">
        <v>85</v>
      </c>
      <c r="N6610" s="2" t="s">
        <v>86</v>
      </c>
    </row>
    <row r="6611" spans="1:14">
      <c r="A6611" s="2">
        <v>6610</v>
      </c>
      <c r="B6611" s="3" t="s">
        <v>22937</v>
      </c>
      <c r="C6611" s="2" t="s">
        <v>22938</v>
      </c>
      <c r="D6611" s="2">
        <v>22</v>
      </c>
      <c r="E6611" s="2">
        <v>22</v>
      </c>
      <c r="F6611" s="2" t="s">
        <v>22939</v>
      </c>
      <c r="H6611" s="2" t="s">
        <v>17</v>
      </c>
      <c r="K6611" s="4" t="s">
        <v>22940</v>
      </c>
      <c r="L6611" s="4">
        <v>9906</v>
      </c>
      <c r="M6611" s="2" t="s">
        <v>198</v>
      </c>
      <c r="N6611" s="2" t="s">
        <v>7814</v>
      </c>
    </row>
    <row r="6612" spans="1:14">
      <c r="A6612" s="2">
        <v>6611</v>
      </c>
      <c r="B6612" s="3" t="s">
        <v>22941</v>
      </c>
      <c r="C6612" s="2" t="s">
        <v>22942</v>
      </c>
      <c r="D6612" s="2">
        <v>22</v>
      </c>
      <c r="E6612" s="2">
        <v>22</v>
      </c>
      <c r="F6612" s="2" t="s">
        <v>22943</v>
      </c>
      <c r="H6612" s="2" t="s">
        <v>17</v>
      </c>
      <c r="K6612" s="4" t="s">
        <v>22944</v>
      </c>
      <c r="M6612" s="2" t="s">
        <v>140</v>
      </c>
      <c r="N6612" s="2" t="s">
        <v>141</v>
      </c>
    </row>
    <row r="6613" spans="1:14">
      <c r="A6613" s="2">
        <v>6612</v>
      </c>
      <c r="B6613" s="3" t="s">
        <v>22945</v>
      </c>
      <c r="C6613" s="2" t="s">
        <v>22946</v>
      </c>
      <c r="D6613" s="2">
        <v>22</v>
      </c>
      <c r="E6613" s="2">
        <v>22</v>
      </c>
      <c r="F6613" s="2" t="s">
        <v>22947</v>
      </c>
      <c r="H6613" s="2" t="s">
        <v>17</v>
      </c>
      <c r="K6613" s="4" t="s">
        <v>22948</v>
      </c>
      <c r="L6613" s="4">
        <v>159</v>
      </c>
      <c r="M6613" s="2" t="s">
        <v>198</v>
      </c>
      <c r="N6613" s="2" t="s">
        <v>199</v>
      </c>
    </row>
    <row r="6614" spans="1:14">
      <c r="A6614" s="2">
        <v>6613</v>
      </c>
      <c r="B6614" s="3" t="s">
        <v>22949</v>
      </c>
      <c r="C6614" s="2" t="s">
        <v>22950</v>
      </c>
      <c r="D6614" s="2">
        <v>22</v>
      </c>
      <c r="E6614" s="2">
        <v>22</v>
      </c>
      <c r="F6614" s="2" t="s">
        <v>22951</v>
      </c>
      <c r="H6614" s="2" t="s">
        <v>17</v>
      </c>
      <c r="K6614" s="4" t="s">
        <v>22952</v>
      </c>
      <c r="L6614" s="4">
        <v>13184</v>
      </c>
      <c r="M6614" s="2" t="s">
        <v>66</v>
      </c>
      <c r="N6614" s="2" t="s">
        <v>11710</v>
      </c>
    </row>
    <row r="6615" spans="1:14">
      <c r="A6615" s="2">
        <v>6614</v>
      </c>
      <c r="B6615" s="3" t="s">
        <v>22953</v>
      </c>
      <c r="C6615" s="2" t="s">
        <v>22954</v>
      </c>
      <c r="D6615" s="2">
        <v>22</v>
      </c>
      <c r="E6615" s="2">
        <v>22</v>
      </c>
      <c r="F6615" s="2" t="s">
        <v>22955</v>
      </c>
      <c r="H6615" s="2" t="s">
        <v>17</v>
      </c>
      <c r="K6615" s="4" t="s">
        <v>22956</v>
      </c>
      <c r="L6615" s="4">
        <v>13217</v>
      </c>
      <c r="M6615" s="2" t="s">
        <v>18</v>
      </c>
      <c r="N6615" s="2" t="s">
        <v>19</v>
      </c>
    </row>
    <row r="6616" spans="1:14">
      <c r="A6616" s="2">
        <v>6615</v>
      </c>
      <c r="B6616" s="3" t="s">
        <v>22957</v>
      </c>
      <c r="C6616" s="2" t="s">
        <v>22958</v>
      </c>
      <c r="D6616" s="2">
        <v>22</v>
      </c>
      <c r="E6616" s="2">
        <v>22</v>
      </c>
      <c r="F6616" s="2" t="s">
        <v>22959</v>
      </c>
      <c r="H6616" s="2" t="s">
        <v>17</v>
      </c>
      <c r="K6616" s="4" t="s">
        <v>22960</v>
      </c>
      <c r="L6616" s="4" t="s">
        <v>22961</v>
      </c>
      <c r="M6616" s="2" t="s">
        <v>40</v>
      </c>
      <c r="N6616" s="2" t="s">
        <v>41</v>
      </c>
    </row>
    <row r="6617" spans="1:14">
      <c r="A6617" s="2">
        <v>6616</v>
      </c>
      <c r="B6617" s="3" t="s">
        <v>22962</v>
      </c>
      <c r="C6617" s="2" t="s">
        <v>22963</v>
      </c>
      <c r="D6617" s="2">
        <v>14</v>
      </c>
      <c r="E6617" s="2">
        <v>22</v>
      </c>
      <c r="F6617" s="2" t="s">
        <v>22964</v>
      </c>
      <c r="H6617" s="2" t="s">
        <v>17</v>
      </c>
      <c r="K6617" s="4" t="s">
        <v>22965</v>
      </c>
      <c r="L6617" s="4">
        <v>10706</v>
      </c>
      <c r="M6617" s="2" t="s">
        <v>47</v>
      </c>
      <c r="N6617" s="2" t="s">
        <v>48</v>
      </c>
    </row>
    <row r="6618" spans="1:14">
      <c r="A6618" s="2">
        <v>6617</v>
      </c>
      <c r="B6618" s="3" t="s">
        <v>22966</v>
      </c>
      <c r="C6618" s="2" t="s">
        <v>22967</v>
      </c>
      <c r="D6618" s="2">
        <v>12</v>
      </c>
      <c r="E6618" s="2">
        <v>22</v>
      </c>
      <c r="F6618" s="2" t="s">
        <v>22968</v>
      </c>
      <c r="H6618" s="2" t="s">
        <v>17</v>
      </c>
      <c r="K6618" s="4" t="s">
        <v>22969</v>
      </c>
      <c r="L6618" s="4" t="s">
        <v>22970</v>
      </c>
      <c r="M6618" s="2" t="s">
        <v>146</v>
      </c>
    </row>
    <row r="6619" spans="1:14">
      <c r="A6619" s="2">
        <v>6618</v>
      </c>
      <c r="B6619" s="3" t="s">
        <v>22971</v>
      </c>
      <c r="C6619" s="2" t="s">
        <v>22972</v>
      </c>
      <c r="D6619" s="2">
        <v>22</v>
      </c>
      <c r="E6619" s="2">
        <v>22</v>
      </c>
      <c r="F6619" s="2" t="s">
        <v>22973</v>
      </c>
      <c r="H6619" s="2" t="s">
        <v>17</v>
      </c>
      <c r="K6619" s="4" t="s">
        <v>22974</v>
      </c>
      <c r="L6619" s="4">
        <v>1301</v>
      </c>
      <c r="M6619" s="2" t="s">
        <v>35</v>
      </c>
      <c r="N6619" s="2" t="s">
        <v>372</v>
      </c>
    </row>
    <row r="6620" spans="1:14">
      <c r="A6620" s="2">
        <v>6619</v>
      </c>
      <c r="B6620" s="3" t="s">
        <v>22975</v>
      </c>
      <c r="C6620" s="2" t="s">
        <v>22976</v>
      </c>
      <c r="D6620" s="2">
        <v>22</v>
      </c>
      <c r="E6620" s="2">
        <v>22</v>
      </c>
      <c r="F6620" s="2" t="s">
        <v>22977</v>
      </c>
      <c r="H6620" s="2" t="s">
        <v>17</v>
      </c>
      <c r="K6620" s="4" t="s">
        <v>22978</v>
      </c>
      <c r="L6620" s="4" t="s">
        <v>22979</v>
      </c>
      <c r="M6620" s="2" t="s">
        <v>35</v>
      </c>
      <c r="N6620" s="2" t="s">
        <v>15768</v>
      </c>
    </row>
    <row r="6621" spans="1:14">
      <c r="A6621" s="2">
        <v>6620</v>
      </c>
      <c r="B6621" s="3" t="s">
        <v>22980</v>
      </c>
      <c r="C6621" s="2" t="s">
        <v>22981</v>
      </c>
      <c r="D6621" s="2">
        <v>22</v>
      </c>
      <c r="E6621" s="2">
        <v>22</v>
      </c>
      <c r="F6621" s="2" t="s">
        <v>22981</v>
      </c>
      <c r="H6621" s="2" t="s">
        <v>17</v>
      </c>
      <c r="K6621" s="4" t="s">
        <v>22982</v>
      </c>
      <c r="L6621" s="4">
        <v>16700</v>
      </c>
      <c r="M6621" s="2" t="s">
        <v>185</v>
      </c>
      <c r="N6621" s="2" t="s">
        <v>838</v>
      </c>
    </row>
    <row r="6622" spans="1:14">
      <c r="A6622" s="2">
        <v>6621</v>
      </c>
      <c r="B6622" s="3" t="s">
        <v>22983</v>
      </c>
      <c r="C6622" s="2" t="s">
        <v>22984</v>
      </c>
      <c r="D6622" s="2">
        <v>22</v>
      </c>
      <c r="E6622" s="2">
        <v>22</v>
      </c>
      <c r="F6622" s="2" t="s">
        <v>22985</v>
      </c>
      <c r="H6622" s="2" t="s">
        <v>17</v>
      </c>
      <c r="L6622" s="4">
        <v>4728</v>
      </c>
      <c r="M6622" s="2" t="s">
        <v>198</v>
      </c>
    </row>
    <row r="6623" spans="1:14">
      <c r="A6623" s="2">
        <v>6622</v>
      </c>
      <c r="B6623" s="3" t="s">
        <v>22986</v>
      </c>
      <c r="C6623" s="2" t="s">
        <v>22987</v>
      </c>
      <c r="D6623" s="2">
        <v>22</v>
      </c>
      <c r="E6623" s="2">
        <v>22</v>
      </c>
      <c r="F6623" s="2" t="s">
        <v>22988</v>
      </c>
      <c r="H6623" s="2" t="s">
        <v>17</v>
      </c>
      <c r="K6623" s="4" t="s">
        <v>22989</v>
      </c>
      <c r="L6623" s="4" t="s">
        <v>17301</v>
      </c>
      <c r="M6623" s="2" t="s">
        <v>35</v>
      </c>
    </row>
    <row r="6624" spans="1:14">
      <c r="A6624" s="2">
        <v>6623</v>
      </c>
      <c r="B6624" s="3" t="s">
        <v>22990</v>
      </c>
      <c r="C6624" s="2" t="s">
        <v>22991</v>
      </c>
      <c r="D6624" s="2">
        <v>22</v>
      </c>
      <c r="E6624" s="2">
        <v>22</v>
      </c>
      <c r="F6624" s="2" t="s">
        <v>22992</v>
      </c>
      <c r="H6624" s="2" t="s">
        <v>17</v>
      </c>
      <c r="K6624" s="4" t="s">
        <v>22993</v>
      </c>
      <c r="L6624" s="4">
        <v>2223</v>
      </c>
      <c r="M6624" s="2" t="s">
        <v>40</v>
      </c>
      <c r="N6624" s="2" t="s">
        <v>41</v>
      </c>
    </row>
    <row r="6625" spans="1:14">
      <c r="A6625" s="2">
        <v>6624</v>
      </c>
      <c r="B6625" s="3" t="s">
        <v>22994</v>
      </c>
      <c r="C6625" s="2" t="s">
        <v>22995</v>
      </c>
      <c r="D6625" s="2">
        <v>22</v>
      </c>
      <c r="E6625" s="2">
        <v>22</v>
      </c>
      <c r="F6625" s="2" t="s">
        <v>22996</v>
      </c>
      <c r="H6625" s="2" t="s">
        <v>17</v>
      </c>
      <c r="K6625" s="4" t="s">
        <v>22997</v>
      </c>
      <c r="L6625" s="4">
        <v>19970</v>
      </c>
      <c r="M6625" s="2" t="s">
        <v>40</v>
      </c>
    </row>
    <row r="6626" spans="1:14">
      <c r="A6626" s="2">
        <v>6625</v>
      </c>
      <c r="B6626" s="3" t="s">
        <v>22998</v>
      </c>
      <c r="C6626" s="2" t="s">
        <v>22999</v>
      </c>
      <c r="D6626" s="2">
        <v>22</v>
      </c>
      <c r="E6626" s="2">
        <v>22</v>
      </c>
      <c r="F6626" s="2" t="s">
        <v>23000</v>
      </c>
      <c r="H6626" s="2" t="s">
        <v>17</v>
      </c>
      <c r="K6626" s="4" t="s">
        <v>23001</v>
      </c>
      <c r="L6626" s="4">
        <v>10527</v>
      </c>
    </row>
    <row r="6627" spans="1:14">
      <c r="A6627" s="2">
        <v>6626</v>
      </c>
      <c r="B6627" s="3" t="s">
        <v>23002</v>
      </c>
      <c r="C6627" s="2" t="s">
        <v>23003</v>
      </c>
      <c r="D6627" s="2">
        <v>22</v>
      </c>
      <c r="E6627" s="2">
        <v>22</v>
      </c>
      <c r="F6627" s="2" t="s">
        <v>23004</v>
      </c>
      <c r="H6627" s="2" t="s">
        <v>17</v>
      </c>
      <c r="K6627" s="4" t="s">
        <v>23005</v>
      </c>
      <c r="L6627" s="4">
        <v>4897</v>
      </c>
      <c r="M6627" s="2" t="s">
        <v>170</v>
      </c>
      <c r="N6627" s="2" t="s">
        <v>6759</v>
      </c>
    </row>
    <row r="6628" spans="1:14">
      <c r="A6628" s="2">
        <v>6627</v>
      </c>
      <c r="B6628" s="3" t="s">
        <v>23006</v>
      </c>
      <c r="C6628" s="2" t="s">
        <v>23007</v>
      </c>
      <c r="D6628" s="2">
        <v>22</v>
      </c>
      <c r="E6628" s="2">
        <v>22</v>
      </c>
      <c r="F6628" s="2" t="s">
        <v>23008</v>
      </c>
      <c r="H6628" s="2" t="s">
        <v>17</v>
      </c>
      <c r="K6628" s="4" t="s">
        <v>23009</v>
      </c>
      <c r="L6628" s="4">
        <v>4961</v>
      </c>
      <c r="M6628" s="2" t="s">
        <v>185</v>
      </c>
    </row>
    <row r="6629" spans="1:14">
      <c r="A6629" s="2">
        <v>6628</v>
      </c>
      <c r="B6629" s="3" t="s">
        <v>23010</v>
      </c>
      <c r="C6629" s="2" t="s">
        <v>23011</v>
      </c>
      <c r="D6629" s="2">
        <v>22</v>
      </c>
      <c r="E6629" s="2">
        <v>22</v>
      </c>
      <c r="F6629" s="2" t="s">
        <v>23012</v>
      </c>
      <c r="H6629" s="2" t="s">
        <v>17</v>
      </c>
      <c r="K6629" s="4" t="s">
        <v>23013</v>
      </c>
      <c r="L6629" s="4">
        <v>5497</v>
      </c>
      <c r="M6629" s="2" t="s">
        <v>35</v>
      </c>
      <c r="N6629" s="2" t="s">
        <v>2152</v>
      </c>
    </row>
    <row r="6630" spans="1:14">
      <c r="A6630" s="2">
        <v>6629</v>
      </c>
      <c r="B6630" s="3" t="s">
        <v>23014</v>
      </c>
      <c r="C6630" s="2" t="s">
        <v>23015</v>
      </c>
      <c r="D6630" s="2">
        <v>22</v>
      </c>
      <c r="E6630" s="2">
        <v>22</v>
      </c>
      <c r="F6630" s="2" t="s">
        <v>23016</v>
      </c>
      <c r="H6630" s="2" t="s">
        <v>17</v>
      </c>
      <c r="K6630" s="4" t="s">
        <v>23017</v>
      </c>
      <c r="L6630" s="4">
        <v>455</v>
      </c>
      <c r="M6630" s="2" t="s">
        <v>47</v>
      </c>
    </row>
    <row r="6631" spans="1:14">
      <c r="A6631" s="2">
        <v>6630</v>
      </c>
      <c r="B6631" s="3" t="s">
        <v>23018</v>
      </c>
      <c r="C6631" s="2" t="s">
        <v>23019</v>
      </c>
      <c r="D6631" s="2">
        <v>16</v>
      </c>
      <c r="E6631" s="2">
        <v>22</v>
      </c>
      <c r="F6631" s="2" t="s">
        <v>23020</v>
      </c>
      <c r="H6631" s="2" t="s">
        <v>17</v>
      </c>
      <c r="K6631" s="4" t="s">
        <v>23021</v>
      </c>
      <c r="L6631" s="4" t="s">
        <v>23022</v>
      </c>
      <c r="M6631" s="2" t="s">
        <v>164</v>
      </c>
      <c r="N6631" s="2" t="s">
        <v>165</v>
      </c>
    </row>
    <row r="6632" spans="1:14">
      <c r="A6632" s="2">
        <v>6631</v>
      </c>
      <c r="B6632" s="3" t="s">
        <v>23023</v>
      </c>
      <c r="C6632" s="2" t="s">
        <v>23024</v>
      </c>
      <c r="D6632" s="2">
        <v>22</v>
      </c>
      <c r="E6632" s="2">
        <v>22</v>
      </c>
      <c r="F6632" s="2" t="s">
        <v>23025</v>
      </c>
      <c r="H6632" s="2" t="s">
        <v>17</v>
      </c>
      <c r="K6632" s="4" t="s">
        <v>23026</v>
      </c>
      <c r="M6632" s="2" t="s">
        <v>423</v>
      </c>
      <c r="N6632" s="2" t="s">
        <v>3005</v>
      </c>
    </row>
    <row r="6633" spans="1:14">
      <c r="A6633" s="2">
        <v>6632</v>
      </c>
      <c r="B6633" s="3" t="s">
        <v>23027</v>
      </c>
      <c r="C6633" s="2" t="s">
        <v>23028</v>
      </c>
      <c r="D6633" s="2">
        <v>22</v>
      </c>
      <c r="E6633" s="2">
        <v>22</v>
      </c>
      <c r="F6633" s="2" t="s">
        <v>23029</v>
      </c>
      <c r="H6633" s="2" t="s">
        <v>17</v>
      </c>
      <c r="K6633" s="4" t="s">
        <v>23030</v>
      </c>
      <c r="L6633" s="4">
        <v>2796</v>
      </c>
      <c r="M6633" s="2" t="s">
        <v>40</v>
      </c>
      <c r="N6633" s="2" t="s">
        <v>9352</v>
      </c>
    </row>
    <row r="6634" spans="1:14">
      <c r="A6634" s="2">
        <v>6633</v>
      </c>
      <c r="B6634" s="3" t="s">
        <v>23031</v>
      </c>
      <c r="C6634" s="2" t="s">
        <v>23032</v>
      </c>
      <c r="D6634" s="2">
        <v>22</v>
      </c>
      <c r="E6634" s="2">
        <v>22</v>
      </c>
      <c r="F6634" s="2" t="s">
        <v>23033</v>
      </c>
      <c r="H6634" s="2" t="s">
        <v>17</v>
      </c>
    </row>
    <row r="6635" spans="1:14">
      <c r="A6635" s="2">
        <v>6634</v>
      </c>
      <c r="B6635" s="3" t="s">
        <v>23034</v>
      </c>
      <c r="C6635" s="2" t="s">
        <v>23035</v>
      </c>
      <c r="D6635" s="2">
        <v>22</v>
      </c>
      <c r="E6635" s="2">
        <v>22</v>
      </c>
      <c r="F6635" s="2" t="s">
        <v>23036</v>
      </c>
      <c r="H6635" s="2" t="s">
        <v>17</v>
      </c>
      <c r="L6635" s="4">
        <v>4301</v>
      </c>
      <c r="M6635" s="2" t="s">
        <v>170</v>
      </c>
      <c r="N6635" s="2" t="s">
        <v>12332</v>
      </c>
    </row>
    <row r="6636" spans="1:14">
      <c r="A6636" s="2">
        <v>6635</v>
      </c>
      <c r="B6636" s="3" t="s">
        <v>23037</v>
      </c>
      <c r="C6636" s="2" t="s">
        <v>23038</v>
      </c>
      <c r="D6636" s="2">
        <v>22</v>
      </c>
      <c r="E6636" s="2">
        <v>22</v>
      </c>
      <c r="F6636" s="2" t="s">
        <v>23039</v>
      </c>
      <c r="H6636" s="2" t="s">
        <v>17</v>
      </c>
      <c r="K6636" s="4" t="s">
        <v>23040</v>
      </c>
      <c r="L6636" s="4" t="s">
        <v>23041</v>
      </c>
      <c r="M6636" s="2" t="s">
        <v>35</v>
      </c>
    </row>
    <row r="6637" spans="1:14">
      <c r="A6637" s="2">
        <v>6636</v>
      </c>
      <c r="B6637" s="3" t="s">
        <v>23042</v>
      </c>
      <c r="C6637" s="2" t="s">
        <v>23043</v>
      </c>
      <c r="D6637" s="2">
        <v>22</v>
      </c>
      <c r="E6637" s="2">
        <v>22</v>
      </c>
      <c r="F6637" s="2" t="s">
        <v>23044</v>
      </c>
      <c r="H6637" s="2" t="s">
        <v>17</v>
      </c>
      <c r="K6637" s="4" t="s">
        <v>23045</v>
      </c>
      <c r="L6637" s="4">
        <v>540</v>
      </c>
    </row>
    <row r="6638" spans="1:14">
      <c r="A6638" s="2">
        <v>6637</v>
      </c>
      <c r="B6638" s="3" t="s">
        <v>23046</v>
      </c>
      <c r="C6638" s="2" t="s">
        <v>23047</v>
      </c>
      <c r="D6638" s="2">
        <v>22</v>
      </c>
      <c r="E6638" s="2">
        <v>22</v>
      </c>
      <c r="F6638" s="2" t="s">
        <v>23048</v>
      </c>
      <c r="H6638" s="2" t="s">
        <v>17</v>
      </c>
      <c r="M6638" s="2" t="s">
        <v>76</v>
      </c>
      <c r="N6638" s="2" t="s">
        <v>8624</v>
      </c>
    </row>
    <row r="6639" spans="1:14">
      <c r="A6639" s="2">
        <v>6638</v>
      </c>
      <c r="B6639" s="3" t="s">
        <v>23049</v>
      </c>
      <c r="C6639" s="2" t="s">
        <v>23050</v>
      </c>
      <c r="D6639" s="2">
        <v>22</v>
      </c>
      <c r="E6639" s="2">
        <v>22</v>
      </c>
      <c r="F6639" s="2" t="s">
        <v>23051</v>
      </c>
      <c r="H6639" s="2" t="s">
        <v>17</v>
      </c>
      <c r="K6639" s="4" t="s">
        <v>23052</v>
      </c>
      <c r="L6639" s="4">
        <v>805</v>
      </c>
      <c r="M6639" s="2" t="s">
        <v>40</v>
      </c>
    </row>
    <row r="6640" spans="1:14">
      <c r="A6640" s="2">
        <v>6639</v>
      </c>
      <c r="B6640" s="3" t="s">
        <v>23053</v>
      </c>
      <c r="C6640" s="2" t="s">
        <v>23054</v>
      </c>
      <c r="D6640" s="2">
        <v>22</v>
      </c>
      <c r="E6640" s="2">
        <v>22</v>
      </c>
      <c r="F6640" s="2" t="s">
        <v>23055</v>
      </c>
      <c r="H6640" s="2" t="s">
        <v>17</v>
      </c>
      <c r="K6640" s="4" t="s">
        <v>23056</v>
      </c>
      <c r="L6640" s="4">
        <v>11666</v>
      </c>
      <c r="M6640" s="2" t="s">
        <v>66</v>
      </c>
      <c r="N6640" s="2" t="s">
        <v>131</v>
      </c>
    </row>
    <row r="6641" spans="1:14">
      <c r="A6641" s="2">
        <v>6640</v>
      </c>
      <c r="B6641" s="3" t="s">
        <v>23057</v>
      </c>
      <c r="C6641" s="2" t="s">
        <v>23058</v>
      </c>
      <c r="D6641" s="2">
        <v>22</v>
      </c>
      <c r="E6641" s="2">
        <v>22</v>
      </c>
      <c r="F6641" s="2" t="s">
        <v>23059</v>
      </c>
      <c r="H6641" s="2" t="s">
        <v>17</v>
      </c>
      <c r="K6641" s="4" t="s">
        <v>23060</v>
      </c>
      <c r="L6641" s="4">
        <v>14656</v>
      </c>
      <c r="M6641" s="2" t="s">
        <v>170</v>
      </c>
      <c r="N6641" s="2" t="s">
        <v>1712</v>
      </c>
    </row>
    <row r="6642" spans="1:14">
      <c r="A6642" s="2">
        <v>6641</v>
      </c>
      <c r="B6642" s="3" t="s">
        <v>23061</v>
      </c>
      <c r="C6642" s="2" t="s">
        <v>23062</v>
      </c>
      <c r="D6642" s="2">
        <v>22</v>
      </c>
      <c r="E6642" s="2">
        <v>22</v>
      </c>
      <c r="F6642" s="2" t="s">
        <v>23063</v>
      </c>
      <c r="H6642" s="2" t="s">
        <v>17</v>
      </c>
      <c r="K6642" s="4" t="s">
        <v>23064</v>
      </c>
      <c r="L6642" s="4">
        <v>5434</v>
      </c>
      <c r="M6642" s="2" t="s">
        <v>192</v>
      </c>
      <c r="N6642" s="2" t="s">
        <v>3675</v>
      </c>
    </row>
    <row r="6643" spans="1:14">
      <c r="A6643" s="2">
        <v>6642</v>
      </c>
      <c r="B6643" s="3" t="s">
        <v>23065</v>
      </c>
      <c r="C6643" s="2" t="s">
        <v>23066</v>
      </c>
      <c r="D6643" s="2">
        <v>22</v>
      </c>
      <c r="E6643" s="2">
        <v>22</v>
      </c>
      <c r="F6643" s="2" t="s">
        <v>23067</v>
      </c>
      <c r="H6643" s="2" t="s">
        <v>17</v>
      </c>
      <c r="K6643" s="4" t="s">
        <v>23068</v>
      </c>
      <c r="L6643" s="4">
        <v>12017</v>
      </c>
    </row>
    <row r="6644" spans="1:14">
      <c r="A6644" s="2">
        <v>6643</v>
      </c>
      <c r="B6644" s="3" t="s">
        <v>23069</v>
      </c>
      <c r="C6644" s="2" t="s">
        <v>23070</v>
      </c>
      <c r="D6644" s="2">
        <v>22</v>
      </c>
      <c r="E6644" s="2">
        <v>22</v>
      </c>
      <c r="F6644" s="2" t="s">
        <v>23071</v>
      </c>
      <c r="H6644" s="2" t="s">
        <v>17</v>
      </c>
      <c r="L6644" s="4">
        <v>4112</v>
      </c>
      <c r="M6644" s="2" t="s">
        <v>154</v>
      </c>
    </row>
    <row r="6645" spans="1:14">
      <c r="A6645" s="2">
        <v>6644</v>
      </c>
      <c r="B6645" s="3" t="s">
        <v>23072</v>
      </c>
      <c r="C6645" s="2" t="s">
        <v>23073</v>
      </c>
      <c r="D6645" s="2">
        <v>22</v>
      </c>
      <c r="E6645" s="2">
        <v>22</v>
      </c>
      <c r="F6645" s="2" t="s">
        <v>23074</v>
      </c>
      <c r="H6645" s="2" t="s">
        <v>17</v>
      </c>
      <c r="K6645" s="4" t="s">
        <v>23075</v>
      </c>
      <c r="L6645" s="4">
        <v>7367</v>
      </c>
      <c r="M6645" s="2" t="s">
        <v>185</v>
      </c>
      <c r="N6645" s="2" t="s">
        <v>838</v>
      </c>
    </row>
    <row r="6646" spans="1:14">
      <c r="A6646" s="2">
        <v>6645</v>
      </c>
      <c r="B6646" s="3" t="s">
        <v>23076</v>
      </c>
      <c r="C6646" s="2" t="s">
        <v>23077</v>
      </c>
      <c r="D6646" s="2">
        <v>22</v>
      </c>
      <c r="E6646" s="2">
        <v>22</v>
      </c>
      <c r="F6646" s="2" t="s">
        <v>23078</v>
      </c>
      <c r="H6646" s="2" t="s">
        <v>17</v>
      </c>
      <c r="K6646" s="4" t="s">
        <v>23079</v>
      </c>
      <c r="L6646" s="4">
        <v>15385</v>
      </c>
      <c r="M6646" s="2" t="s">
        <v>170</v>
      </c>
      <c r="N6646" s="2" t="s">
        <v>5034</v>
      </c>
    </row>
    <row r="6647" spans="1:14">
      <c r="A6647" s="2">
        <v>6646</v>
      </c>
      <c r="B6647" s="3" t="s">
        <v>23080</v>
      </c>
      <c r="C6647" s="2" t="s">
        <v>23081</v>
      </c>
      <c r="D6647" s="2">
        <v>22</v>
      </c>
      <c r="E6647" s="2">
        <v>22</v>
      </c>
      <c r="F6647" s="2" t="s">
        <v>23082</v>
      </c>
      <c r="H6647" s="2" t="s">
        <v>17</v>
      </c>
      <c r="K6647" s="4" t="s">
        <v>21760</v>
      </c>
      <c r="L6647" s="4" t="s">
        <v>23083</v>
      </c>
      <c r="M6647" s="2" t="s">
        <v>66</v>
      </c>
      <c r="N6647" s="2" t="s">
        <v>12230</v>
      </c>
    </row>
    <row r="6648" spans="1:14">
      <c r="A6648" s="2">
        <v>6647</v>
      </c>
      <c r="B6648" s="3" t="s">
        <v>23084</v>
      </c>
      <c r="C6648" s="2" t="s">
        <v>23085</v>
      </c>
      <c r="D6648" s="2">
        <v>22</v>
      </c>
      <c r="E6648" s="2">
        <v>22</v>
      </c>
      <c r="F6648" s="2" t="s">
        <v>23086</v>
      </c>
      <c r="H6648" s="2" t="s">
        <v>17</v>
      </c>
      <c r="L6648" s="4">
        <v>2908</v>
      </c>
    </row>
    <row r="6649" spans="1:14">
      <c r="A6649" s="2">
        <v>6648</v>
      </c>
      <c r="B6649" s="3" t="s">
        <v>23087</v>
      </c>
      <c r="C6649" s="2" t="s">
        <v>23088</v>
      </c>
      <c r="D6649" s="2">
        <v>22</v>
      </c>
      <c r="E6649" s="2">
        <v>22</v>
      </c>
      <c r="F6649" s="2" t="s">
        <v>23089</v>
      </c>
      <c r="H6649" s="2" t="s">
        <v>17</v>
      </c>
      <c r="K6649" s="4" t="s">
        <v>23090</v>
      </c>
      <c r="L6649" s="4">
        <v>5302</v>
      </c>
      <c r="M6649" s="2" t="s">
        <v>35</v>
      </c>
      <c r="N6649" s="2" t="s">
        <v>672</v>
      </c>
    </row>
    <row r="6650" spans="1:14">
      <c r="A6650" s="2">
        <v>6649</v>
      </c>
      <c r="B6650" s="3" t="s">
        <v>23091</v>
      </c>
      <c r="C6650" s="2" t="s">
        <v>23092</v>
      </c>
      <c r="D6650" s="2">
        <v>22</v>
      </c>
      <c r="E6650" s="2">
        <v>22</v>
      </c>
      <c r="F6650" s="2" t="s">
        <v>23093</v>
      </c>
      <c r="H6650" s="2" t="s">
        <v>17</v>
      </c>
      <c r="K6650" s="4" t="s">
        <v>23094</v>
      </c>
      <c r="L6650" s="4">
        <v>8992</v>
      </c>
      <c r="M6650" s="2" t="s">
        <v>66</v>
      </c>
      <c r="N6650" s="2" t="s">
        <v>18588</v>
      </c>
    </row>
    <row r="6651" spans="1:14">
      <c r="A6651" s="2">
        <v>6650</v>
      </c>
      <c r="B6651" s="3" t="s">
        <v>23095</v>
      </c>
      <c r="C6651" s="2" t="s">
        <v>23096</v>
      </c>
      <c r="D6651" s="2">
        <v>22</v>
      </c>
      <c r="E6651" s="2">
        <v>22</v>
      </c>
      <c r="F6651" s="2" t="s">
        <v>23097</v>
      </c>
      <c r="H6651" s="2" t="s">
        <v>17</v>
      </c>
      <c r="K6651" s="4" t="s">
        <v>23098</v>
      </c>
      <c r="L6651" s="4">
        <v>6103</v>
      </c>
      <c r="M6651" s="2" t="s">
        <v>154</v>
      </c>
      <c r="N6651" s="2" t="s">
        <v>4862</v>
      </c>
    </row>
    <row r="6652" spans="1:14">
      <c r="A6652" s="2">
        <v>6651</v>
      </c>
      <c r="B6652" s="3" t="s">
        <v>23099</v>
      </c>
      <c r="C6652" s="2" t="s">
        <v>23100</v>
      </c>
      <c r="D6652" s="2">
        <v>22</v>
      </c>
      <c r="E6652" s="2">
        <v>22</v>
      </c>
      <c r="F6652" s="2" t="s">
        <v>23101</v>
      </c>
      <c r="H6652" s="2" t="s">
        <v>17</v>
      </c>
      <c r="K6652" s="4" t="s">
        <v>23102</v>
      </c>
      <c r="L6652" s="4">
        <v>7089</v>
      </c>
      <c r="M6652" s="2" t="s">
        <v>35</v>
      </c>
      <c r="N6652" s="2" t="s">
        <v>10316</v>
      </c>
    </row>
    <row r="6653" spans="1:14">
      <c r="A6653" s="2">
        <v>6652</v>
      </c>
      <c r="B6653" s="3" t="s">
        <v>23103</v>
      </c>
      <c r="C6653" s="2" t="s">
        <v>23104</v>
      </c>
      <c r="D6653" s="2">
        <v>12</v>
      </c>
      <c r="E6653" s="2">
        <v>22</v>
      </c>
      <c r="F6653" s="2" t="s">
        <v>23105</v>
      </c>
      <c r="H6653" s="2" t="s">
        <v>17</v>
      </c>
      <c r="K6653" s="4" t="s">
        <v>23106</v>
      </c>
      <c r="L6653" s="4">
        <v>3906</v>
      </c>
      <c r="M6653" s="2" t="s">
        <v>35</v>
      </c>
      <c r="N6653" s="2" t="s">
        <v>11401</v>
      </c>
    </row>
    <row r="6654" spans="1:14">
      <c r="A6654" s="2">
        <v>6653</v>
      </c>
      <c r="B6654" s="3" t="s">
        <v>23107</v>
      </c>
      <c r="C6654" s="2" t="s">
        <v>23108</v>
      </c>
      <c r="D6654" s="2">
        <v>22</v>
      </c>
      <c r="E6654" s="2">
        <v>22</v>
      </c>
      <c r="F6654" s="2" t="s">
        <v>23109</v>
      </c>
      <c r="H6654" s="2" t="s">
        <v>17</v>
      </c>
      <c r="K6654" s="4" t="s">
        <v>23110</v>
      </c>
      <c r="L6654" s="4">
        <v>6235</v>
      </c>
      <c r="M6654" s="2" t="s">
        <v>170</v>
      </c>
    </row>
    <row r="6655" spans="1:14">
      <c r="A6655" s="2">
        <v>6654</v>
      </c>
      <c r="B6655" s="3" t="s">
        <v>23111</v>
      </c>
      <c r="C6655" s="2" t="s">
        <v>23112</v>
      </c>
      <c r="D6655" s="2">
        <v>22</v>
      </c>
      <c r="E6655" s="2">
        <v>22</v>
      </c>
      <c r="F6655" s="2" t="s">
        <v>23113</v>
      </c>
      <c r="H6655" s="2" t="s">
        <v>17</v>
      </c>
      <c r="K6655" s="4" t="s">
        <v>23114</v>
      </c>
      <c r="L6655" s="4" t="s">
        <v>23115</v>
      </c>
      <c r="M6655" s="2" t="s">
        <v>35</v>
      </c>
      <c r="N6655" s="2" t="s">
        <v>15810</v>
      </c>
    </row>
    <row r="6656" spans="1:14">
      <c r="A6656" s="2">
        <v>6655</v>
      </c>
      <c r="B6656" s="3" t="s">
        <v>23116</v>
      </c>
      <c r="C6656" s="2" t="s">
        <v>23117</v>
      </c>
      <c r="D6656" s="2">
        <v>22</v>
      </c>
      <c r="E6656" s="2">
        <v>22</v>
      </c>
      <c r="F6656" s="2" t="s">
        <v>23118</v>
      </c>
      <c r="H6656" s="2" t="s">
        <v>17</v>
      </c>
      <c r="K6656" s="4" t="s">
        <v>23119</v>
      </c>
      <c r="L6656" s="4">
        <v>14298</v>
      </c>
      <c r="M6656" s="2" t="s">
        <v>40</v>
      </c>
      <c r="N6656" s="2" t="s">
        <v>41</v>
      </c>
    </row>
    <row r="6657" spans="1:14">
      <c r="A6657" s="2">
        <v>6656</v>
      </c>
      <c r="B6657" s="3" t="s">
        <v>23120</v>
      </c>
      <c r="C6657" s="2" t="s">
        <v>23121</v>
      </c>
      <c r="D6657" s="2">
        <v>22</v>
      </c>
      <c r="E6657" s="2">
        <v>22</v>
      </c>
      <c r="F6657" s="2" t="s">
        <v>23122</v>
      </c>
      <c r="H6657" s="2" t="s">
        <v>17</v>
      </c>
      <c r="K6657" s="4" t="s">
        <v>23123</v>
      </c>
      <c r="L6657" s="4">
        <v>11</v>
      </c>
      <c r="M6657" s="2" t="s">
        <v>66</v>
      </c>
      <c r="N6657" s="2" t="s">
        <v>71</v>
      </c>
    </row>
    <row r="6658" spans="1:14">
      <c r="A6658" s="2">
        <v>6657</v>
      </c>
      <c r="B6658" s="3" t="s">
        <v>23124</v>
      </c>
      <c r="C6658" s="2" t="s">
        <v>23125</v>
      </c>
      <c r="D6658" s="2">
        <v>22</v>
      </c>
      <c r="E6658" s="2">
        <v>22</v>
      </c>
      <c r="F6658" s="2" t="s">
        <v>23126</v>
      </c>
      <c r="H6658" s="2" t="s">
        <v>17</v>
      </c>
      <c r="K6658" s="4" t="s">
        <v>23127</v>
      </c>
      <c r="L6658" s="4">
        <v>10989</v>
      </c>
    </row>
    <row r="6659" spans="1:14">
      <c r="A6659" s="2">
        <v>6658</v>
      </c>
      <c r="B6659" s="3" t="s">
        <v>23128</v>
      </c>
      <c r="C6659" s="2" t="s">
        <v>23129</v>
      </c>
      <c r="D6659" s="2">
        <v>22</v>
      </c>
      <c r="E6659" s="2">
        <v>22</v>
      </c>
      <c r="F6659" s="2" t="s">
        <v>23130</v>
      </c>
      <c r="H6659" s="2" t="s">
        <v>17</v>
      </c>
      <c r="K6659" s="4" t="s">
        <v>23131</v>
      </c>
      <c r="L6659" s="4">
        <v>1806</v>
      </c>
      <c r="M6659" s="2" t="s">
        <v>35</v>
      </c>
      <c r="N6659" s="2" t="s">
        <v>11552</v>
      </c>
    </row>
    <row r="6660" spans="1:14">
      <c r="A6660" s="2">
        <v>6659</v>
      </c>
      <c r="B6660" s="3" t="s">
        <v>23132</v>
      </c>
      <c r="C6660" s="2" t="s">
        <v>23133</v>
      </c>
      <c r="D6660" s="2">
        <v>22</v>
      </c>
      <c r="E6660" s="2">
        <v>22</v>
      </c>
      <c r="F6660" s="2" t="s">
        <v>23134</v>
      </c>
      <c r="H6660" s="2" t="s">
        <v>17</v>
      </c>
      <c r="K6660" s="4" t="s">
        <v>23135</v>
      </c>
      <c r="L6660" s="4">
        <v>4350</v>
      </c>
      <c r="M6660" s="2" t="s">
        <v>35</v>
      </c>
      <c r="N6660" s="2" t="s">
        <v>703</v>
      </c>
    </row>
    <row r="6661" spans="1:14">
      <c r="A6661" s="2">
        <v>6660</v>
      </c>
      <c r="B6661" s="3" t="s">
        <v>23136</v>
      </c>
      <c r="C6661" s="2" t="s">
        <v>23137</v>
      </c>
      <c r="D6661" s="2">
        <v>22</v>
      </c>
      <c r="E6661" s="2">
        <v>22</v>
      </c>
      <c r="F6661" s="2" t="s">
        <v>23138</v>
      </c>
      <c r="H6661" s="2" t="s">
        <v>17</v>
      </c>
      <c r="K6661" s="4" t="s">
        <v>23139</v>
      </c>
      <c r="L6661" s="4">
        <v>12227</v>
      </c>
      <c r="M6661" s="2" t="s">
        <v>53</v>
      </c>
      <c r="N6661" s="2" t="s">
        <v>847</v>
      </c>
    </row>
    <row r="6662" spans="1:14">
      <c r="A6662" s="2">
        <v>6661</v>
      </c>
      <c r="B6662" s="3" t="s">
        <v>23140</v>
      </c>
      <c r="C6662" s="2" t="s">
        <v>23141</v>
      </c>
      <c r="D6662" s="2">
        <v>22</v>
      </c>
      <c r="E6662" s="2">
        <v>22</v>
      </c>
      <c r="F6662" s="2" t="s">
        <v>23142</v>
      </c>
      <c r="H6662" s="2" t="s">
        <v>17</v>
      </c>
      <c r="L6662" s="4" t="s">
        <v>23143</v>
      </c>
      <c r="M6662" s="2" t="s">
        <v>185</v>
      </c>
      <c r="N6662" s="2" t="s">
        <v>15830</v>
      </c>
    </row>
    <row r="6663" spans="1:14">
      <c r="A6663" s="2">
        <v>6662</v>
      </c>
      <c r="B6663" s="3" t="s">
        <v>23144</v>
      </c>
      <c r="C6663" s="2" t="s">
        <v>23145</v>
      </c>
      <c r="D6663" s="2">
        <v>22</v>
      </c>
      <c r="E6663" s="2">
        <v>22</v>
      </c>
      <c r="F6663" s="2" t="s">
        <v>23146</v>
      </c>
      <c r="H6663" s="2" t="s">
        <v>17</v>
      </c>
      <c r="M6663" s="2" t="s">
        <v>198</v>
      </c>
    </row>
    <row r="6664" spans="1:14">
      <c r="A6664" s="2">
        <v>6663</v>
      </c>
      <c r="B6664" s="3" t="s">
        <v>23147</v>
      </c>
      <c r="C6664" s="2" t="s">
        <v>23148</v>
      </c>
      <c r="D6664" s="2">
        <v>22</v>
      </c>
      <c r="E6664" s="2">
        <v>22</v>
      </c>
      <c r="F6664" s="2" t="s">
        <v>23149</v>
      </c>
      <c r="H6664" s="2" t="s">
        <v>17</v>
      </c>
      <c r="K6664" s="4" t="s">
        <v>23150</v>
      </c>
      <c r="M6664" s="2" t="s">
        <v>85</v>
      </c>
      <c r="N6664" s="2" t="s">
        <v>1868</v>
      </c>
    </row>
    <row r="6665" spans="1:14">
      <c r="A6665" s="2">
        <v>6664</v>
      </c>
      <c r="B6665" s="3" t="s">
        <v>23151</v>
      </c>
      <c r="C6665" s="2" t="s">
        <v>23152</v>
      </c>
      <c r="D6665" s="2">
        <v>22</v>
      </c>
      <c r="E6665" s="2">
        <v>22</v>
      </c>
      <c r="F6665" s="2" t="s">
        <v>23153</v>
      </c>
      <c r="H6665" s="2" t="s">
        <v>17</v>
      </c>
      <c r="K6665" s="4" t="s">
        <v>23154</v>
      </c>
      <c r="L6665" s="4">
        <v>5347</v>
      </c>
    </row>
    <row r="6666" spans="1:14">
      <c r="A6666" s="2">
        <v>6665</v>
      </c>
      <c r="B6666" s="3" t="s">
        <v>23155</v>
      </c>
      <c r="C6666" s="2" t="s">
        <v>23156</v>
      </c>
      <c r="D6666" s="2">
        <v>22</v>
      </c>
      <c r="E6666" s="2">
        <v>22</v>
      </c>
      <c r="F6666" s="2" t="s">
        <v>23157</v>
      </c>
      <c r="H6666" s="2" t="s">
        <v>17</v>
      </c>
      <c r="K6666" s="4" t="s">
        <v>23158</v>
      </c>
      <c r="L6666" s="4">
        <v>3592</v>
      </c>
      <c r="M6666" s="2" t="s">
        <v>198</v>
      </c>
    </row>
    <row r="6667" spans="1:14">
      <c r="A6667" s="2">
        <v>6666</v>
      </c>
      <c r="B6667" s="3" t="s">
        <v>23159</v>
      </c>
      <c r="C6667" s="2" t="s">
        <v>18720</v>
      </c>
      <c r="D6667" s="2">
        <v>22</v>
      </c>
      <c r="E6667" s="2">
        <v>22</v>
      </c>
      <c r="F6667" s="2" t="s">
        <v>23160</v>
      </c>
      <c r="H6667" s="2" t="s">
        <v>17</v>
      </c>
      <c r="K6667" s="4" t="s">
        <v>23161</v>
      </c>
      <c r="L6667" s="4">
        <v>3221</v>
      </c>
      <c r="M6667" s="2" t="s">
        <v>35</v>
      </c>
      <c r="N6667" s="2" t="s">
        <v>11401</v>
      </c>
    </row>
    <row r="6668" spans="1:14">
      <c r="A6668" s="2">
        <v>6667</v>
      </c>
      <c r="B6668" s="3" t="s">
        <v>23162</v>
      </c>
      <c r="C6668" s="2" t="s">
        <v>23163</v>
      </c>
      <c r="D6668" s="2">
        <v>22</v>
      </c>
      <c r="E6668" s="2">
        <v>22</v>
      </c>
      <c r="F6668" s="2" t="s">
        <v>23164</v>
      </c>
      <c r="H6668" s="2" t="s">
        <v>17</v>
      </c>
    </row>
    <row r="6669" spans="1:14">
      <c r="A6669" s="2">
        <v>6668</v>
      </c>
      <c r="B6669" s="3" t="s">
        <v>23165</v>
      </c>
      <c r="C6669" s="2" t="s">
        <v>23166</v>
      </c>
      <c r="D6669" s="2">
        <v>22</v>
      </c>
      <c r="E6669" s="2">
        <v>22</v>
      </c>
      <c r="F6669" s="2" t="s">
        <v>23167</v>
      </c>
      <c r="H6669" s="2" t="s">
        <v>17</v>
      </c>
      <c r="K6669" s="4" t="s">
        <v>23168</v>
      </c>
      <c r="L6669" s="4">
        <v>1393</v>
      </c>
      <c r="M6669" s="2" t="s">
        <v>66</v>
      </c>
    </row>
    <row r="6670" spans="1:14">
      <c r="A6670" s="2">
        <v>6669</v>
      </c>
      <c r="B6670" s="3" t="s">
        <v>23169</v>
      </c>
      <c r="C6670" s="2" t="s">
        <v>23170</v>
      </c>
      <c r="D6670" s="2">
        <v>22</v>
      </c>
      <c r="E6670" s="2">
        <v>22</v>
      </c>
      <c r="F6670" s="2" t="s">
        <v>23171</v>
      </c>
      <c r="H6670" s="2" t="s">
        <v>17</v>
      </c>
      <c r="K6670" s="4" t="s">
        <v>23172</v>
      </c>
      <c r="L6670" s="4">
        <v>307</v>
      </c>
      <c r="M6670" s="2" t="s">
        <v>423</v>
      </c>
      <c r="N6670" s="2" t="s">
        <v>3005</v>
      </c>
    </row>
    <row r="6671" spans="1:14">
      <c r="A6671" s="2">
        <v>6670</v>
      </c>
      <c r="B6671" s="3" t="s">
        <v>23173</v>
      </c>
      <c r="C6671" s="2" t="s">
        <v>23174</v>
      </c>
      <c r="D6671" s="2">
        <v>22</v>
      </c>
      <c r="E6671" s="2">
        <v>22</v>
      </c>
      <c r="F6671" s="2" t="s">
        <v>23175</v>
      </c>
      <c r="H6671" s="2" t="s">
        <v>17</v>
      </c>
      <c r="K6671" s="4" t="s">
        <v>23176</v>
      </c>
      <c r="L6671" s="4">
        <v>16239</v>
      </c>
      <c r="M6671" s="2" t="s">
        <v>164</v>
      </c>
    </row>
    <row r="6672" spans="1:14">
      <c r="A6672" s="2">
        <v>6671</v>
      </c>
      <c r="B6672" s="3" t="s">
        <v>23177</v>
      </c>
      <c r="C6672" s="2" t="s">
        <v>16566</v>
      </c>
      <c r="D6672" s="2">
        <v>14</v>
      </c>
      <c r="E6672" s="2">
        <v>22</v>
      </c>
      <c r="F6672" s="2" t="s">
        <v>23178</v>
      </c>
      <c r="H6672" s="2" t="s">
        <v>17</v>
      </c>
      <c r="K6672" s="4" t="s">
        <v>23179</v>
      </c>
      <c r="L6672" s="4">
        <v>3421</v>
      </c>
      <c r="M6672" s="2" t="s">
        <v>91</v>
      </c>
      <c r="N6672" s="2" t="s">
        <v>13113</v>
      </c>
    </row>
    <row r="6673" spans="1:14">
      <c r="A6673" s="2">
        <v>6672</v>
      </c>
      <c r="B6673" s="3" t="s">
        <v>23180</v>
      </c>
      <c r="C6673" s="2" t="s">
        <v>23181</v>
      </c>
      <c r="D6673" s="2">
        <v>18</v>
      </c>
      <c r="E6673" s="2">
        <v>22</v>
      </c>
      <c r="F6673" s="2" t="s">
        <v>23182</v>
      </c>
      <c r="H6673" s="2" t="s">
        <v>17</v>
      </c>
      <c r="K6673" s="4" t="s">
        <v>23183</v>
      </c>
      <c r="L6673" s="4">
        <v>10577</v>
      </c>
      <c r="M6673" s="2" t="s">
        <v>53</v>
      </c>
    </row>
    <row r="6674" spans="1:14">
      <c r="A6674" s="2">
        <v>6673</v>
      </c>
      <c r="B6674" s="3" t="s">
        <v>23184</v>
      </c>
      <c r="C6674" s="2" t="s">
        <v>23185</v>
      </c>
      <c r="D6674" s="2">
        <v>22</v>
      </c>
      <c r="E6674" s="2">
        <v>22</v>
      </c>
      <c r="F6674" s="2" t="s">
        <v>23186</v>
      </c>
      <c r="H6674" s="2" t="s">
        <v>17</v>
      </c>
      <c r="K6674" s="4" t="s">
        <v>23187</v>
      </c>
      <c r="L6674" s="4">
        <v>12344</v>
      </c>
    </row>
    <row r="6675" spans="1:14">
      <c r="A6675" s="2">
        <v>6674</v>
      </c>
      <c r="B6675" s="3" t="s">
        <v>23188</v>
      </c>
      <c r="C6675" s="2" t="s">
        <v>23189</v>
      </c>
      <c r="D6675" s="2">
        <v>15</v>
      </c>
      <c r="E6675" s="2">
        <v>22</v>
      </c>
      <c r="F6675" s="2" t="s">
        <v>23190</v>
      </c>
      <c r="H6675" s="2" t="s">
        <v>17</v>
      </c>
      <c r="K6675" s="4" t="s">
        <v>23191</v>
      </c>
      <c r="L6675" s="4">
        <v>3504</v>
      </c>
      <c r="M6675" s="2" t="s">
        <v>47</v>
      </c>
      <c r="N6675" s="2" t="s">
        <v>5099</v>
      </c>
    </row>
    <row r="6676" spans="1:14">
      <c r="A6676" s="2">
        <v>6675</v>
      </c>
      <c r="B6676" s="3" t="s">
        <v>23192</v>
      </c>
      <c r="C6676" s="2" t="s">
        <v>16596</v>
      </c>
      <c r="D6676" s="2">
        <v>22</v>
      </c>
      <c r="E6676" s="2">
        <v>22</v>
      </c>
      <c r="F6676" s="2" t="s">
        <v>23193</v>
      </c>
      <c r="H6676" s="2" t="s">
        <v>17</v>
      </c>
      <c r="K6676" s="4" t="s">
        <v>23194</v>
      </c>
      <c r="L6676" s="4">
        <v>2647</v>
      </c>
    </row>
    <row r="6677" spans="1:14">
      <c r="A6677" s="2">
        <v>6676</v>
      </c>
      <c r="B6677" s="3" t="s">
        <v>23195</v>
      </c>
      <c r="C6677" s="2" t="s">
        <v>23196</v>
      </c>
      <c r="D6677" s="2">
        <v>22</v>
      </c>
      <c r="E6677" s="2">
        <v>22</v>
      </c>
      <c r="F6677" s="2" t="s">
        <v>23197</v>
      </c>
      <c r="H6677" s="2" t="s">
        <v>17</v>
      </c>
      <c r="K6677" s="4" t="s">
        <v>23075</v>
      </c>
    </row>
    <row r="6678" spans="1:14">
      <c r="A6678" s="2">
        <v>6677</v>
      </c>
      <c r="B6678" s="3" t="s">
        <v>23198</v>
      </c>
      <c r="C6678" s="2" t="s">
        <v>23199</v>
      </c>
      <c r="D6678" s="2">
        <v>22</v>
      </c>
      <c r="E6678" s="2">
        <v>22</v>
      </c>
      <c r="F6678" s="2" t="s">
        <v>23200</v>
      </c>
      <c r="H6678" s="2" t="s">
        <v>17</v>
      </c>
      <c r="K6678" s="4" t="s">
        <v>23201</v>
      </c>
      <c r="L6678" s="4">
        <v>2336</v>
      </c>
      <c r="M6678" s="2" t="s">
        <v>47</v>
      </c>
      <c r="N6678" s="2" t="s">
        <v>48</v>
      </c>
    </row>
    <row r="6679" spans="1:14">
      <c r="A6679" s="2">
        <v>6678</v>
      </c>
      <c r="B6679" s="3" t="s">
        <v>23202</v>
      </c>
      <c r="C6679" s="2" t="s">
        <v>23203</v>
      </c>
      <c r="D6679" s="2">
        <v>22</v>
      </c>
      <c r="E6679" s="2">
        <v>22</v>
      </c>
      <c r="F6679" s="2" t="s">
        <v>23204</v>
      </c>
      <c r="H6679" s="2" t="s">
        <v>17</v>
      </c>
      <c r="L6679" s="4">
        <v>2055</v>
      </c>
      <c r="M6679" s="2" t="s">
        <v>85</v>
      </c>
    </row>
    <row r="6680" spans="1:14">
      <c r="A6680" s="2">
        <v>6679</v>
      </c>
      <c r="B6680" s="3" t="s">
        <v>23205</v>
      </c>
      <c r="C6680" s="2" t="s">
        <v>23206</v>
      </c>
      <c r="D6680" s="2">
        <v>22</v>
      </c>
      <c r="E6680" s="2">
        <v>22</v>
      </c>
      <c r="F6680" s="2" t="s">
        <v>22882</v>
      </c>
      <c r="H6680" s="2" t="s">
        <v>17</v>
      </c>
      <c r="K6680" s="4" t="s">
        <v>22883</v>
      </c>
      <c r="L6680" s="4">
        <v>13529</v>
      </c>
      <c r="M6680" s="2" t="s">
        <v>40</v>
      </c>
      <c r="N6680" s="2" t="s">
        <v>22884</v>
      </c>
    </row>
    <row r="6681" spans="1:14">
      <c r="A6681" s="2">
        <v>6680</v>
      </c>
      <c r="B6681" s="3" t="s">
        <v>23207</v>
      </c>
      <c r="C6681" s="2" t="s">
        <v>23208</v>
      </c>
      <c r="D6681" s="2">
        <v>22</v>
      </c>
      <c r="E6681" s="2">
        <v>22</v>
      </c>
      <c r="F6681" s="2" t="s">
        <v>23209</v>
      </c>
      <c r="H6681" s="2" t="s">
        <v>17</v>
      </c>
      <c r="K6681" s="4" t="s">
        <v>23210</v>
      </c>
      <c r="L6681" s="4">
        <v>8557</v>
      </c>
      <c r="M6681" s="2" t="s">
        <v>66</v>
      </c>
      <c r="N6681" s="2" t="s">
        <v>71</v>
      </c>
    </row>
    <row r="6682" spans="1:14">
      <c r="A6682" s="2">
        <v>6681</v>
      </c>
      <c r="B6682" s="3" t="s">
        <v>23211</v>
      </c>
      <c r="C6682" s="2" t="s">
        <v>23212</v>
      </c>
      <c r="D6682" s="2">
        <v>19</v>
      </c>
      <c r="E6682" s="2">
        <v>22</v>
      </c>
      <c r="F6682" s="2" t="s">
        <v>23213</v>
      </c>
      <c r="H6682" s="2" t="s">
        <v>17</v>
      </c>
      <c r="K6682" s="4" t="s">
        <v>23214</v>
      </c>
      <c r="L6682" s="4">
        <v>492</v>
      </c>
      <c r="M6682" s="2" t="s">
        <v>85</v>
      </c>
      <c r="N6682" s="2" t="s">
        <v>18837</v>
      </c>
    </row>
    <row r="6683" spans="1:14">
      <c r="A6683" s="2">
        <v>6682</v>
      </c>
      <c r="B6683" s="3" t="s">
        <v>23215</v>
      </c>
      <c r="C6683" s="2" t="s">
        <v>23216</v>
      </c>
      <c r="D6683" s="2">
        <v>22</v>
      </c>
      <c r="E6683" s="2">
        <v>22</v>
      </c>
      <c r="F6683" s="2" t="s">
        <v>23217</v>
      </c>
      <c r="H6683" s="2" t="s">
        <v>17</v>
      </c>
      <c r="L6683" s="4" t="s">
        <v>23218</v>
      </c>
    </row>
    <row r="6684" spans="1:14">
      <c r="A6684" s="2">
        <v>6683</v>
      </c>
      <c r="B6684" s="3" t="s">
        <v>23219</v>
      </c>
      <c r="C6684" s="2" t="s">
        <v>23220</v>
      </c>
      <c r="D6684" s="2">
        <v>22</v>
      </c>
      <c r="E6684" s="2">
        <v>22</v>
      </c>
      <c r="F6684" s="2" t="s">
        <v>23221</v>
      </c>
      <c r="H6684" s="2" t="s">
        <v>17</v>
      </c>
      <c r="K6684" s="4" t="s">
        <v>21729</v>
      </c>
      <c r="M6684" s="2" t="s">
        <v>170</v>
      </c>
    </row>
    <row r="6685" spans="1:14">
      <c r="A6685" s="2">
        <v>6684</v>
      </c>
      <c r="B6685" s="3" t="s">
        <v>23222</v>
      </c>
      <c r="C6685" s="2" t="s">
        <v>12421</v>
      </c>
      <c r="D6685" s="2">
        <v>22</v>
      </c>
      <c r="E6685" s="2">
        <v>22</v>
      </c>
      <c r="F6685" s="2" t="s">
        <v>23223</v>
      </c>
      <c r="H6685" s="2" t="s">
        <v>17</v>
      </c>
      <c r="L6685" s="4" t="s">
        <v>23224</v>
      </c>
    </row>
    <row r="6686" spans="1:14">
      <c r="A6686" s="2">
        <v>6685</v>
      </c>
      <c r="B6686" s="3" t="s">
        <v>23225</v>
      </c>
      <c r="C6686" s="2" t="s">
        <v>23226</v>
      </c>
      <c r="D6686" s="2">
        <v>22</v>
      </c>
      <c r="E6686" s="2">
        <v>22</v>
      </c>
      <c r="F6686" s="2" t="s">
        <v>23227</v>
      </c>
      <c r="H6686" s="2" t="s">
        <v>17</v>
      </c>
    </row>
    <row r="6687" spans="1:14">
      <c r="A6687" s="2">
        <v>6686</v>
      </c>
      <c r="B6687" s="3" t="s">
        <v>23228</v>
      </c>
      <c r="C6687" s="2" t="s">
        <v>23229</v>
      </c>
      <c r="D6687" s="2">
        <v>22</v>
      </c>
      <c r="E6687" s="2">
        <v>22</v>
      </c>
      <c r="F6687" s="2" t="s">
        <v>23230</v>
      </c>
      <c r="H6687" s="2" t="s">
        <v>17</v>
      </c>
      <c r="K6687" s="4" t="s">
        <v>23231</v>
      </c>
      <c r="L6687" s="4">
        <v>10059</v>
      </c>
      <c r="M6687" s="2" t="s">
        <v>146</v>
      </c>
    </row>
    <row r="6688" spans="1:14">
      <c r="A6688" s="2">
        <v>6687</v>
      </c>
      <c r="B6688" s="3" t="s">
        <v>23232</v>
      </c>
      <c r="C6688" s="2" t="s">
        <v>23233</v>
      </c>
      <c r="D6688" s="2">
        <v>22</v>
      </c>
      <c r="E6688" s="2">
        <v>22</v>
      </c>
      <c r="F6688" s="2" t="s">
        <v>23234</v>
      </c>
      <c r="H6688" s="2" t="s">
        <v>17</v>
      </c>
      <c r="L6688" s="4">
        <v>3540</v>
      </c>
      <c r="M6688" s="2" t="s">
        <v>13668</v>
      </c>
      <c r="N6688" s="2" t="s">
        <v>323</v>
      </c>
    </row>
    <row r="6689" spans="1:14">
      <c r="A6689" s="2">
        <v>6688</v>
      </c>
      <c r="B6689" s="3" t="s">
        <v>23235</v>
      </c>
      <c r="C6689" s="2" t="s">
        <v>23236</v>
      </c>
      <c r="D6689" s="2">
        <v>20</v>
      </c>
      <c r="E6689" s="2">
        <v>22</v>
      </c>
      <c r="F6689" s="2" t="s">
        <v>23237</v>
      </c>
      <c r="H6689" s="2" t="s">
        <v>17</v>
      </c>
      <c r="K6689" s="4" t="s">
        <v>23238</v>
      </c>
      <c r="L6689" s="4">
        <v>11325</v>
      </c>
      <c r="M6689" s="2" t="s">
        <v>35</v>
      </c>
      <c r="N6689" s="2" t="s">
        <v>1032</v>
      </c>
    </row>
    <row r="6690" spans="1:14">
      <c r="A6690" s="2">
        <v>6689</v>
      </c>
      <c r="B6690" s="3" t="s">
        <v>23239</v>
      </c>
      <c r="C6690" s="2" t="s">
        <v>23240</v>
      </c>
      <c r="D6690" s="2">
        <v>22</v>
      </c>
      <c r="E6690" s="2">
        <v>22</v>
      </c>
      <c r="F6690" s="2" t="s">
        <v>23241</v>
      </c>
      <c r="H6690" s="2" t="s">
        <v>17</v>
      </c>
      <c r="K6690" s="4" t="s">
        <v>23242</v>
      </c>
      <c r="L6690" s="4">
        <v>14241</v>
      </c>
      <c r="M6690" s="2" t="s">
        <v>35</v>
      </c>
      <c r="N6690" s="2" t="s">
        <v>1462</v>
      </c>
    </row>
    <row r="6691" spans="1:14">
      <c r="A6691" s="2">
        <v>6690</v>
      </c>
      <c r="B6691" s="3" t="s">
        <v>23243</v>
      </c>
      <c r="C6691" s="2" t="s">
        <v>23244</v>
      </c>
      <c r="D6691" s="2">
        <v>22</v>
      </c>
      <c r="E6691" s="2">
        <v>22</v>
      </c>
      <c r="F6691" s="2" t="s">
        <v>23245</v>
      </c>
      <c r="H6691" s="2" t="s">
        <v>17</v>
      </c>
      <c r="K6691" s="4" t="s">
        <v>23246</v>
      </c>
      <c r="L6691" s="4">
        <v>11000</v>
      </c>
      <c r="M6691" s="2" t="s">
        <v>40</v>
      </c>
      <c r="N6691" s="2" t="s">
        <v>21486</v>
      </c>
    </row>
    <row r="6692" spans="1:14">
      <c r="A6692" s="2">
        <v>6691</v>
      </c>
      <c r="B6692" s="3" t="s">
        <v>23247</v>
      </c>
      <c r="C6692" s="2" t="s">
        <v>23248</v>
      </c>
      <c r="D6692" s="2">
        <v>22</v>
      </c>
      <c r="E6692" s="2">
        <v>22</v>
      </c>
      <c r="F6692" s="2" t="s">
        <v>23249</v>
      </c>
      <c r="H6692" s="2" t="s">
        <v>17</v>
      </c>
      <c r="K6692" s="4" t="s">
        <v>23250</v>
      </c>
      <c r="L6692" s="4">
        <v>2107</v>
      </c>
      <c r="M6692" s="2" t="s">
        <v>76</v>
      </c>
    </row>
    <row r="6693" spans="1:14">
      <c r="A6693" s="2">
        <v>6692</v>
      </c>
      <c r="B6693" s="3" t="s">
        <v>23251</v>
      </c>
      <c r="C6693" s="2" t="s">
        <v>23252</v>
      </c>
      <c r="D6693" s="2">
        <v>22</v>
      </c>
      <c r="E6693" s="2">
        <v>22</v>
      </c>
      <c r="F6693" s="2" t="s">
        <v>23253</v>
      </c>
      <c r="H6693" s="2" t="s">
        <v>17</v>
      </c>
      <c r="K6693" s="4" t="s">
        <v>23254</v>
      </c>
      <c r="L6693" s="4">
        <v>11161</v>
      </c>
      <c r="M6693" s="2" t="s">
        <v>140</v>
      </c>
      <c r="N6693" s="2" t="s">
        <v>13624</v>
      </c>
    </row>
    <row r="6694" spans="1:14">
      <c r="A6694" s="2">
        <v>6693</v>
      </c>
      <c r="B6694" s="3" t="s">
        <v>23255</v>
      </c>
      <c r="C6694" s="2" t="s">
        <v>23256</v>
      </c>
      <c r="D6694" s="2">
        <v>22</v>
      </c>
      <c r="E6694" s="2">
        <v>22</v>
      </c>
      <c r="F6694" s="2" t="s">
        <v>23257</v>
      </c>
      <c r="H6694" s="2" t="s">
        <v>17</v>
      </c>
      <c r="L6694" s="4">
        <v>3500</v>
      </c>
      <c r="M6694" s="2" t="s">
        <v>146</v>
      </c>
    </row>
    <row r="6695" spans="1:14">
      <c r="A6695" s="2">
        <v>6694</v>
      </c>
      <c r="B6695" s="3" t="s">
        <v>23258</v>
      </c>
      <c r="C6695" s="2" t="s">
        <v>23259</v>
      </c>
      <c r="D6695" s="2">
        <v>17</v>
      </c>
      <c r="E6695" s="2">
        <v>22</v>
      </c>
      <c r="F6695" s="2" t="s">
        <v>23260</v>
      </c>
      <c r="H6695" s="2" t="s">
        <v>17</v>
      </c>
      <c r="K6695" s="4" t="s">
        <v>23261</v>
      </c>
      <c r="L6695" s="4" t="s">
        <v>23262</v>
      </c>
      <c r="M6695" s="2" t="s">
        <v>40</v>
      </c>
    </row>
    <row r="6696" spans="1:14">
      <c r="A6696" s="2">
        <v>6695</v>
      </c>
      <c r="B6696" s="3" t="s">
        <v>23263</v>
      </c>
      <c r="C6696" s="2" t="s">
        <v>23264</v>
      </c>
      <c r="D6696" s="2">
        <v>22</v>
      </c>
      <c r="E6696" s="2">
        <v>22</v>
      </c>
      <c r="F6696" s="2" t="s">
        <v>23265</v>
      </c>
      <c r="H6696" s="2" t="s">
        <v>17</v>
      </c>
      <c r="K6696" s="4" t="s">
        <v>23266</v>
      </c>
      <c r="L6696" s="4">
        <v>10637</v>
      </c>
      <c r="M6696" s="2" t="s">
        <v>198</v>
      </c>
      <c r="N6696" s="2" t="s">
        <v>199</v>
      </c>
    </row>
    <row r="6697" spans="1:14">
      <c r="A6697" s="2">
        <v>6696</v>
      </c>
      <c r="B6697" s="3" t="s">
        <v>23267</v>
      </c>
      <c r="C6697" s="2" t="s">
        <v>23268</v>
      </c>
      <c r="D6697" s="2">
        <v>22</v>
      </c>
      <c r="E6697" s="2">
        <v>22</v>
      </c>
      <c r="F6697" s="2" t="s">
        <v>23269</v>
      </c>
      <c r="H6697" s="2" t="s">
        <v>17</v>
      </c>
      <c r="K6697" s="4" t="s">
        <v>23270</v>
      </c>
      <c r="L6697" s="4" t="s">
        <v>23271</v>
      </c>
    </row>
    <row r="6698" spans="1:14">
      <c r="A6698" s="2">
        <v>6697</v>
      </c>
      <c r="B6698" s="3" t="s">
        <v>23272</v>
      </c>
      <c r="C6698" s="2" t="s">
        <v>23273</v>
      </c>
      <c r="D6698" s="2">
        <v>22</v>
      </c>
      <c r="E6698" s="2">
        <v>22</v>
      </c>
      <c r="F6698" s="2" t="s">
        <v>23274</v>
      </c>
      <c r="H6698" s="2" t="s">
        <v>17</v>
      </c>
      <c r="L6698" s="4">
        <v>3226</v>
      </c>
    </row>
    <row r="6699" spans="1:14">
      <c r="A6699" s="2">
        <v>6698</v>
      </c>
      <c r="B6699" s="3" t="s">
        <v>23275</v>
      </c>
      <c r="C6699" s="2" t="s">
        <v>23276</v>
      </c>
      <c r="D6699" s="2">
        <v>22</v>
      </c>
      <c r="E6699" s="2">
        <v>22</v>
      </c>
      <c r="F6699" s="2" t="s">
        <v>23277</v>
      </c>
      <c r="H6699" s="2" t="s">
        <v>17</v>
      </c>
      <c r="K6699" s="4" t="s">
        <v>22479</v>
      </c>
      <c r="L6699" s="4" t="s">
        <v>23278</v>
      </c>
      <c r="M6699" s="2" t="s">
        <v>66</v>
      </c>
      <c r="N6699" s="2" t="s">
        <v>17764</v>
      </c>
    </row>
    <row r="6700" spans="1:14">
      <c r="A6700" s="2">
        <v>6699</v>
      </c>
      <c r="B6700" s="3" t="s">
        <v>23279</v>
      </c>
      <c r="C6700" s="2" t="s">
        <v>23280</v>
      </c>
      <c r="D6700" s="2">
        <v>22</v>
      </c>
      <c r="E6700" s="2">
        <v>22</v>
      </c>
      <c r="F6700" s="2" t="s">
        <v>23281</v>
      </c>
      <c r="H6700" s="2" t="s">
        <v>17</v>
      </c>
      <c r="L6700" s="4" t="s">
        <v>17529</v>
      </c>
    </row>
    <row r="6701" spans="1:14">
      <c r="A6701" s="2">
        <v>6700</v>
      </c>
      <c r="B6701" s="3" t="s">
        <v>23282</v>
      </c>
      <c r="C6701" s="2" t="s">
        <v>18907</v>
      </c>
      <c r="D6701" s="2">
        <v>19</v>
      </c>
      <c r="E6701" s="2">
        <v>22</v>
      </c>
      <c r="F6701" s="2" t="s">
        <v>23283</v>
      </c>
      <c r="H6701" s="2" t="s">
        <v>17</v>
      </c>
      <c r="K6701" s="4" t="s">
        <v>23284</v>
      </c>
      <c r="L6701" s="4">
        <v>6956</v>
      </c>
      <c r="M6701" s="2" t="s">
        <v>47</v>
      </c>
      <c r="N6701" s="2" t="s">
        <v>4050</v>
      </c>
    </row>
    <row r="6702" spans="1:14">
      <c r="A6702" s="2">
        <v>6701</v>
      </c>
      <c r="B6702" s="3" t="s">
        <v>23285</v>
      </c>
      <c r="C6702" s="2" t="s">
        <v>23286</v>
      </c>
      <c r="D6702" s="2">
        <v>22</v>
      </c>
      <c r="E6702" s="2">
        <v>22</v>
      </c>
      <c r="F6702" s="2" t="s">
        <v>23287</v>
      </c>
      <c r="H6702" s="2" t="s">
        <v>17</v>
      </c>
      <c r="K6702" s="4" t="s">
        <v>23288</v>
      </c>
      <c r="L6702" s="4">
        <v>5769</v>
      </c>
    </row>
    <row r="6703" spans="1:14">
      <c r="A6703" s="2">
        <v>6702</v>
      </c>
      <c r="B6703" s="3" t="s">
        <v>23289</v>
      </c>
      <c r="C6703" s="2" t="s">
        <v>23290</v>
      </c>
      <c r="D6703" s="2">
        <v>22</v>
      </c>
      <c r="E6703" s="2">
        <v>22</v>
      </c>
      <c r="F6703" s="2" t="s">
        <v>23291</v>
      </c>
      <c r="H6703" s="2" t="s">
        <v>17</v>
      </c>
      <c r="L6703" s="4">
        <v>4741</v>
      </c>
    </row>
    <row r="6704" spans="1:14">
      <c r="A6704" s="2">
        <v>6703</v>
      </c>
      <c r="B6704" s="3" t="s">
        <v>23292</v>
      </c>
      <c r="C6704" s="2" t="s">
        <v>23293</v>
      </c>
      <c r="D6704" s="2">
        <v>22</v>
      </c>
      <c r="E6704" s="2">
        <v>22</v>
      </c>
      <c r="F6704" s="2" t="s">
        <v>23294</v>
      </c>
      <c r="H6704" s="2" t="s">
        <v>17</v>
      </c>
      <c r="K6704" s="4" t="s">
        <v>23295</v>
      </c>
      <c r="L6704" s="4">
        <v>11087</v>
      </c>
      <c r="M6704" s="2" t="s">
        <v>423</v>
      </c>
      <c r="N6704" s="2" t="s">
        <v>456</v>
      </c>
    </row>
    <row r="6705" spans="1:14">
      <c r="A6705" s="2">
        <v>6704</v>
      </c>
      <c r="B6705" s="3" t="s">
        <v>23296</v>
      </c>
      <c r="C6705" s="2" t="s">
        <v>23297</v>
      </c>
      <c r="D6705" s="2">
        <v>22</v>
      </c>
      <c r="E6705" s="2">
        <v>22</v>
      </c>
      <c r="F6705" s="2" t="s">
        <v>23298</v>
      </c>
      <c r="H6705" s="2" t="s">
        <v>17</v>
      </c>
      <c r="K6705" s="4" t="s">
        <v>23299</v>
      </c>
      <c r="L6705" s="4">
        <v>6476</v>
      </c>
      <c r="M6705" s="2" t="s">
        <v>40</v>
      </c>
    </row>
    <row r="6706" spans="1:14">
      <c r="A6706" s="2">
        <v>6705</v>
      </c>
      <c r="B6706" s="3" t="s">
        <v>23300</v>
      </c>
      <c r="C6706" s="2" t="s">
        <v>23301</v>
      </c>
      <c r="D6706" s="2">
        <v>22</v>
      </c>
      <c r="E6706" s="2">
        <v>22</v>
      </c>
      <c r="F6706" s="2" t="s">
        <v>23302</v>
      </c>
      <c r="H6706" s="2" t="s">
        <v>17</v>
      </c>
      <c r="K6706" s="4" t="s">
        <v>23303</v>
      </c>
      <c r="L6706" s="4" t="s">
        <v>23304</v>
      </c>
    </row>
    <row r="6707" spans="1:14">
      <c r="A6707" s="2">
        <v>6706</v>
      </c>
      <c r="B6707" s="3" t="s">
        <v>23305</v>
      </c>
      <c r="C6707" s="2" t="s">
        <v>23306</v>
      </c>
      <c r="D6707" s="2">
        <v>22</v>
      </c>
      <c r="E6707" s="2">
        <v>22</v>
      </c>
      <c r="F6707" s="2" t="s">
        <v>23307</v>
      </c>
      <c r="H6707" s="2" t="s">
        <v>17</v>
      </c>
    </row>
    <row r="6708" spans="1:14">
      <c r="A6708" s="2">
        <v>6707</v>
      </c>
      <c r="B6708" s="3" t="s">
        <v>23308</v>
      </c>
      <c r="C6708" s="2" t="s">
        <v>23309</v>
      </c>
      <c r="D6708" s="2">
        <v>22</v>
      </c>
      <c r="E6708" s="2">
        <v>22</v>
      </c>
      <c r="F6708" s="2" t="s">
        <v>23310</v>
      </c>
      <c r="H6708" s="2" t="s">
        <v>17</v>
      </c>
      <c r="K6708" s="4" t="s">
        <v>23311</v>
      </c>
      <c r="L6708" s="4">
        <v>2109</v>
      </c>
    </row>
    <row r="6709" spans="1:14">
      <c r="A6709" s="2">
        <v>6708</v>
      </c>
      <c r="B6709" s="3" t="s">
        <v>23312</v>
      </c>
      <c r="C6709" s="2" t="s">
        <v>23313</v>
      </c>
      <c r="D6709" s="2">
        <v>22</v>
      </c>
      <c r="E6709" s="2">
        <v>22</v>
      </c>
      <c r="F6709" s="2" t="s">
        <v>23314</v>
      </c>
      <c r="H6709" s="2" t="s">
        <v>17</v>
      </c>
      <c r="K6709" s="4" t="s">
        <v>23315</v>
      </c>
      <c r="L6709" s="4">
        <v>15339</v>
      </c>
      <c r="M6709" s="2" t="s">
        <v>185</v>
      </c>
      <c r="N6709" s="2" t="s">
        <v>838</v>
      </c>
    </row>
    <row r="6710" spans="1:14">
      <c r="A6710" s="2">
        <v>6709</v>
      </c>
      <c r="B6710" s="3" t="s">
        <v>23316</v>
      </c>
      <c r="C6710" s="2" t="s">
        <v>23317</v>
      </c>
      <c r="D6710" s="2">
        <v>22</v>
      </c>
      <c r="E6710" s="2">
        <v>22</v>
      </c>
      <c r="F6710" s="2" t="s">
        <v>23318</v>
      </c>
      <c r="H6710" s="2" t="s">
        <v>17</v>
      </c>
      <c r="K6710" s="4" t="s">
        <v>23319</v>
      </c>
      <c r="L6710" s="4">
        <v>10370</v>
      </c>
      <c r="M6710" s="2" t="s">
        <v>35</v>
      </c>
      <c r="N6710" s="2" t="s">
        <v>22695</v>
      </c>
    </row>
    <row r="6711" spans="1:14">
      <c r="A6711" s="2">
        <v>6710</v>
      </c>
      <c r="B6711" s="3" t="s">
        <v>23320</v>
      </c>
      <c r="C6711" s="2" t="s">
        <v>23321</v>
      </c>
      <c r="D6711" s="2">
        <v>22</v>
      </c>
      <c r="E6711" s="2">
        <v>22</v>
      </c>
      <c r="F6711" s="2" t="s">
        <v>23322</v>
      </c>
      <c r="H6711" s="2" t="s">
        <v>17</v>
      </c>
    </row>
    <row r="6712" spans="1:14">
      <c r="A6712" s="2">
        <v>6711</v>
      </c>
      <c r="B6712" s="3" t="s">
        <v>23323</v>
      </c>
      <c r="C6712" s="2" t="s">
        <v>23324</v>
      </c>
      <c r="D6712" s="2">
        <v>22</v>
      </c>
      <c r="E6712" s="2">
        <v>22</v>
      </c>
      <c r="F6712" s="2" t="s">
        <v>23325</v>
      </c>
      <c r="H6712" s="2" t="s">
        <v>17</v>
      </c>
    </row>
    <row r="6713" spans="1:14">
      <c r="A6713" s="2">
        <v>6712</v>
      </c>
      <c r="B6713" s="3" t="s">
        <v>23326</v>
      </c>
      <c r="C6713" s="2" t="s">
        <v>23327</v>
      </c>
      <c r="D6713" s="2">
        <v>19</v>
      </c>
      <c r="E6713" s="2">
        <v>20</v>
      </c>
      <c r="F6713" s="2" t="s">
        <v>23328</v>
      </c>
      <c r="H6713" s="2" t="s">
        <v>17</v>
      </c>
      <c r="L6713" s="4" t="s">
        <v>23329</v>
      </c>
    </row>
    <row r="6714" spans="1:14">
      <c r="A6714" s="2">
        <v>6713</v>
      </c>
      <c r="B6714" s="3" t="s">
        <v>23330</v>
      </c>
      <c r="C6714" s="2" t="s">
        <v>23331</v>
      </c>
      <c r="D6714" s="2">
        <v>18</v>
      </c>
      <c r="E6714" s="2">
        <v>20</v>
      </c>
      <c r="F6714" s="2" t="s">
        <v>23332</v>
      </c>
      <c r="H6714" s="2" t="s">
        <v>17</v>
      </c>
      <c r="K6714" s="4" t="s">
        <v>23333</v>
      </c>
      <c r="L6714" s="4">
        <v>14072</v>
      </c>
      <c r="M6714" s="2" t="s">
        <v>35</v>
      </c>
      <c r="N6714" s="2" t="s">
        <v>15810</v>
      </c>
    </row>
    <row r="6715" spans="1:14">
      <c r="A6715" s="2">
        <v>6714</v>
      </c>
      <c r="B6715" s="3" t="s">
        <v>23334</v>
      </c>
      <c r="C6715" s="2" t="s">
        <v>23335</v>
      </c>
      <c r="D6715" s="2">
        <v>17</v>
      </c>
      <c r="E6715" s="2">
        <v>20</v>
      </c>
      <c r="F6715" s="2" t="s">
        <v>23336</v>
      </c>
      <c r="H6715" s="2" t="s">
        <v>17</v>
      </c>
      <c r="K6715" s="4" t="s">
        <v>23337</v>
      </c>
      <c r="L6715" s="4">
        <v>3453</v>
      </c>
      <c r="M6715" s="2" t="s">
        <v>35</v>
      </c>
      <c r="N6715" s="2" t="s">
        <v>8212</v>
      </c>
    </row>
    <row r="6716" spans="1:14">
      <c r="A6716" s="2">
        <v>6715</v>
      </c>
      <c r="B6716" s="3" t="s">
        <v>23338</v>
      </c>
      <c r="C6716" s="2" t="s">
        <v>23339</v>
      </c>
      <c r="D6716" s="2">
        <v>18</v>
      </c>
      <c r="E6716" s="2">
        <v>20</v>
      </c>
      <c r="F6716" s="2" t="s">
        <v>23340</v>
      </c>
      <c r="H6716" s="2" t="s">
        <v>17</v>
      </c>
      <c r="K6716" s="4" t="s">
        <v>23341</v>
      </c>
      <c r="L6716" s="4">
        <v>4789</v>
      </c>
      <c r="M6716" s="2" t="s">
        <v>198</v>
      </c>
    </row>
    <row r="6717" spans="1:14">
      <c r="A6717" s="2">
        <v>6716</v>
      </c>
      <c r="B6717" s="3" t="s">
        <v>23342</v>
      </c>
      <c r="C6717" s="2" t="s">
        <v>15030</v>
      </c>
      <c r="D6717" s="2">
        <v>14</v>
      </c>
      <c r="E6717" s="2">
        <v>20</v>
      </c>
      <c r="F6717" s="2" t="s">
        <v>23343</v>
      </c>
      <c r="H6717" s="2" t="s">
        <v>17</v>
      </c>
      <c r="K6717" s="4" t="s">
        <v>23344</v>
      </c>
      <c r="L6717" s="4">
        <v>3107</v>
      </c>
      <c r="M6717" s="2" t="s">
        <v>85</v>
      </c>
      <c r="N6717" s="2" t="s">
        <v>4522</v>
      </c>
    </row>
    <row r="6718" spans="1:14">
      <c r="A6718" s="2">
        <v>6717</v>
      </c>
      <c r="B6718" s="3" t="s">
        <v>23345</v>
      </c>
      <c r="C6718" s="2" t="s">
        <v>23346</v>
      </c>
      <c r="D6718" s="2">
        <v>18</v>
      </c>
      <c r="E6718" s="2">
        <v>20</v>
      </c>
      <c r="F6718" s="2" t="s">
        <v>23347</v>
      </c>
      <c r="H6718" s="2" t="s">
        <v>17</v>
      </c>
      <c r="K6718" s="4" t="s">
        <v>23348</v>
      </c>
      <c r="L6718" s="4" t="s">
        <v>17251</v>
      </c>
      <c r="M6718" s="2" t="s">
        <v>170</v>
      </c>
      <c r="N6718" s="2" t="s">
        <v>323</v>
      </c>
    </row>
    <row r="6719" spans="1:14">
      <c r="A6719" s="2">
        <v>6718</v>
      </c>
      <c r="B6719" s="3" t="s">
        <v>23349</v>
      </c>
      <c r="C6719" s="2" t="s">
        <v>23350</v>
      </c>
      <c r="D6719" s="2">
        <v>20</v>
      </c>
      <c r="E6719" s="2">
        <v>20</v>
      </c>
      <c r="F6719" s="2" t="s">
        <v>23351</v>
      </c>
      <c r="H6719" s="2" t="s">
        <v>17</v>
      </c>
    </row>
    <row r="6720" spans="1:14">
      <c r="A6720" s="2">
        <v>6719</v>
      </c>
      <c r="B6720" s="3" t="s">
        <v>23352</v>
      </c>
      <c r="C6720" s="2" t="s">
        <v>23353</v>
      </c>
      <c r="D6720" s="2">
        <v>18</v>
      </c>
      <c r="E6720" s="2">
        <v>20</v>
      </c>
      <c r="F6720" s="2" t="s">
        <v>23354</v>
      </c>
      <c r="H6720" s="2" t="s">
        <v>17</v>
      </c>
      <c r="K6720" s="4" t="s">
        <v>23355</v>
      </c>
      <c r="L6720" s="4" t="s">
        <v>23356</v>
      </c>
      <c r="M6720" s="2" t="s">
        <v>85</v>
      </c>
      <c r="N6720" s="2" t="s">
        <v>1356</v>
      </c>
    </row>
    <row r="6721" spans="1:14">
      <c r="A6721" s="2">
        <v>6720</v>
      </c>
      <c r="B6721" s="3" t="s">
        <v>23357</v>
      </c>
      <c r="C6721" s="2" t="s">
        <v>23358</v>
      </c>
      <c r="D6721" s="2">
        <v>17</v>
      </c>
      <c r="E6721" s="2">
        <v>20</v>
      </c>
      <c r="F6721" s="2" t="s">
        <v>23359</v>
      </c>
      <c r="H6721" s="2" t="s">
        <v>17</v>
      </c>
      <c r="K6721" s="4" t="s">
        <v>23360</v>
      </c>
      <c r="L6721" s="4">
        <v>3268</v>
      </c>
      <c r="M6721" s="2" t="s">
        <v>154</v>
      </c>
      <c r="N6721" s="2" t="s">
        <v>23361</v>
      </c>
    </row>
    <row r="6722" spans="1:14">
      <c r="A6722" s="2">
        <v>6721</v>
      </c>
      <c r="B6722" s="3" t="s">
        <v>23362</v>
      </c>
      <c r="C6722" s="2" t="s">
        <v>13016</v>
      </c>
      <c r="D6722" s="2">
        <v>20</v>
      </c>
      <c r="E6722" s="2">
        <v>20</v>
      </c>
      <c r="F6722" s="2" t="s">
        <v>23363</v>
      </c>
      <c r="H6722" s="2" t="s">
        <v>17</v>
      </c>
    </row>
    <row r="6723" spans="1:14">
      <c r="A6723" s="2">
        <v>6722</v>
      </c>
      <c r="B6723" s="3" t="s">
        <v>23364</v>
      </c>
      <c r="C6723" s="2" t="s">
        <v>23365</v>
      </c>
      <c r="D6723" s="2">
        <v>14</v>
      </c>
      <c r="E6723" s="2">
        <v>20</v>
      </c>
      <c r="F6723" s="2" t="s">
        <v>23366</v>
      </c>
      <c r="H6723" s="2" t="s">
        <v>17</v>
      </c>
      <c r="K6723" s="4" t="s">
        <v>23367</v>
      </c>
      <c r="L6723" s="4">
        <v>3879</v>
      </c>
      <c r="M6723" s="2" t="s">
        <v>170</v>
      </c>
      <c r="N6723" s="2" t="s">
        <v>13655</v>
      </c>
    </row>
    <row r="6724" spans="1:14">
      <c r="A6724" s="2">
        <v>6723</v>
      </c>
      <c r="B6724" s="3" t="s">
        <v>23368</v>
      </c>
      <c r="C6724" s="2" t="s">
        <v>23369</v>
      </c>
      <c r="D6724" s="2">
        <v>15</v>
      </c>
      <c r="E6724" s="2">
        <v>20</v>
      </c>
      <c r="F6724" s="2" t="s">
        <v>23370</v>
      </c>
      <c r="H6724" s="2" t="s">
        <v>17</v>
      </c>
    </row>
    <row r="6725" spans="1:14">
      <c r="A6725" s="2">
        <v>6724</v>
      </c>
      <c r="B6725" s="3" t="s">
        <v>23371</v>
      </c>
      <c r="C6725" s="2" t="s">
        <v>23372</v>
      </c>
      <c r="D6725" s="2">
        <v>18</v>
      </c>
      <c r="E6725" s="2">
        <v>20</v>
      </c>
      <c r="F6725" s="2" t="s">
        <v>23373</v>
      </c>
      <c r="H6725" s="2" t="s">
        <v>17</v>
      </c>
      <c r="K6725" s="4" t="s">
        <v>23374</v>
      </c>
      <c r="L6725" s="4">
        <v>6414</v>
      </c>
      <c r="M6725" s="2" t="s">
        <v>40</v>
      </c>
      <c r="N6725" s="2" t="s">
        <v>9352</v>
      </c>
    </row>
    <row r="6726" spans="1:14">
      <c r="A6726" s="2">
        <v>6725</v>
      </c>
      <c r="B6726" s="3" t="s">
        <v>23375</v>
      </c>
      <c r="C6726" s="2" t="s">
        <v>23376</v>
      </c>
      <c r="D6726" s="2">
        <v>14</v>
      </c>
      <c r="E6726" s="2">
        <v>20</v>
      </c>
      <c r="F6726" s="2" t="s">
        <v>23377</v>
      </c>
      <c r="H6726" s="2" t="s">
        <v>17</v>
      </c>
      <c r="K6726" s="4" t="s">
        <v>23378</v>
      </c>
      <c r="L6726" s="4" t="s">
        <v>23379</v>
      </c>
      <c r="M6726" s="2" t="s">
        <v>40</v>
      </c>
    </row>
    <row r="6727" spans="1:14">
      <c r="A6727" s="2">
        <v>6726</v>
      </c>
      <c r="B6727" s="3" t="s">
        <v>23380</v>
      </c>
      <c r="C6727" s="2" t="s">
        <v>23381</v>
      </c>
      <c r="D6727" s="2">
        <v>14</v>
      </c>
      <c r="E6727" s="2">
        <v>20</v>
      </c>
      <c r="F6727" s="2" t="s">
        <v>23382</v>
      </c>
      <c r="H6727" s="2" t="s">
        <v>17</v>
      </c>
      <c r="K6727" s="4" t="s">
        <v>23383</v>
      </c>
      <c r="L6727" s="4" t="s">
        <v>23384</v>
      </c>
      <c r="M6727" s="2" t="s">
        <v>198</v>
      </c>
    </row>
    <row r="6728" spans="1:14">
      <c r="A6728" s="2">
        <v>6727</v>
      </c>
      <c r="B6728" s="3" t="s">
        <v>23385</v>
      </c>
      <c r="C6728" s="2" t="s">
        <v>23386</v>
      </c>
      <c r="D6728" s="2">
        <v>14</v>
      </c>
      <c r="E6728" s="2">
        <v>20</v>
      </c>
      <c r="F6728" s="2" t="s">
        <v>23387</v>
      </c>
      <c r="H6728" s="2" t="s">
        <v>17</v>
      </c>
      <c r="K6728" s="4" t="s">
        <v>23388</v>
      </c>
      <c r="L6728" s="4">
        <v>1396</v>
      </c>
    </row>
    <row r="6729" spans="1:14">
      <c r="A6729" s="2">
        <v>6728</v>
      </c>
      <c r="B6729" s="3" t="s">
        <v>23389</v>
      </c>
      <c r="C6729" s="2" t="s">
        <v>23390</v>
      </c>
      <c r="D6729" s="2">
        <v>18</v>
      </c>
      <c r="E6729" s="2">
        <v>20</v>
      </c>
      <c r="F6729" s="2" t="s">
        <v>23391</v>
      </c>
      <c r="H6729" s="2" t="s">
        <v>17</v>
      </c>
      <c r="L6729" s="4" t="s">
        <v>16319</v>
      </c>
    </row>
    <row r="6730" spans="1:14">
      <c r="A6730" s="2">
        <v>6729</v>
      </c>
      <c r="B6730" s="3" t="s">
        <v>23392</v>
      </c>
      <c r="C6730" s="2" t="s">
        <v>23393</v>
      </c>
      <c r="D6730" s="2">
        <v>20</v>
      </c>
      <c r="E6730" s="2">
        <v>20</v>
      </c>
      <c r="F6730" s="2" t="s">
        <v>23394</v>
      </c>
      <c r="H6730" s="2" t="s">
        <v>17</v>
      </c>
      <c r="K6730" s="4" t="s">
        <v>23395</v>
      </c>
      <c r="L6730" s="4">
        <v>5093</v>
      </c>
      <c r="M6730" s="2" t="s">
        <v>198</v>
      </c>
      <c r="N6730" s="2" t="s">
        <v>10139</v>
      </c>
    </row>
    <row r="6731" spans="1:14">
      <c r="A6731" s="2">
        <v>6730</v>
      </c>
      <c r="B6731" s="3" t="s">
        <v>23396</v>
      </c>
      <c r="C6731" s="2" t="s">
        <v>23397</v>
      </c>
      <c r="D6731" s="2">
        <v>18</v>
      </c>
      <c r="E6731" s="2">
        <v>20</v>
      </c>
      <c r="F6731" s="2" t="s">
        <v>23398</v>
      </c>
      <c r="H6731" s="2" t="s">
        <v>17</v>
      </c>
      <c r="K6731" s="4" t="s">
        <v>23399</v>
      </c>
      <c r="L6731" s="4" t="s">
        <v>22979</v>
      </c>
      <c r="M6731" s="2" t="s">
        <v>85</v>
      </c>
      <c r="N6731" s="2" t="s">
        <v>86</v>
      </c>
    </row>
    <row r="6732" spans="1:14">
      <c r="A6732" s="2">
        <v>6731</v>
      </c>
      <c r="B6732" s="3" t="s">
        <v>23400</v>
      </c>
      <c r="C6732" s="2" t="s">
        <v>23401</v>
      </c>
      <c r="D6732" s="2">
        <v>20</v>
      </c>
      <c r="E6732" s="2">
        <v>20</v>
      </c>
      <c r="F6732" s="2" t="s">
        <v>23402</v>
      </c>
      <c r="H6732" s="2" t="s">
        <v>17</v>
      </c>
      <c r="K6732" s="4" t="s">
        <v>23403</v>
      </c>
      <c r="L6732" s="4" t="s">
        <v>23404</v>
      </c>
    </row>
    <row r="6733" spans="1:14">
      <c r="A6733" s="2">
        <v>6732</v>
      </c>
      <c r="B6733" s="3" t="s">
        <v>23405</v>
      </c>
      <c r="C6733" s="2" t="s">
        <v>23406</v>
      </c>
      <c r="D6733" s="2">
        <v>18</v>
      </c>
      <c r="E6733" s="2">
        <v>20</v>
      </c>
      <c r="F6733" s="2" t="s">
        <v>23407</v>
      </c>
      <c r="H6733" s="2" t="s">
        <v>17</v>
      </c>
      <c r="K6733" s="4" t="s">
        <v>23408</v>
      </c>
      <c r="L6733" s="4">
        <v>5339</v>
      </c>
    </row>
    <row r="6734" spans="1:14">
      <c r="A6734" s="2">
        <v>6733</v>
      </c>
      <c r="B6734" s="3" t="s">
        <v>23409</v>
      </c>
      <c r="C6734" s="2" t="s">
        <v>23410</v>
      </c>
      <c r="D6734" s="2">
        <v>10</v>
      </c>
      <c r="E6734" s="2">
        <v>20</v>
      </c>
      <c r="F6734" s="2" t="s">
        <v>23411</v>
      </c>
      <c r="H6734" s="2" t="s">
        <v>17</v>
      </c>
      <c r="K6734" s="4" t="s">
        <v>23412</v>
      </c>
      <c r="L6734" s="4" t="s">
        <v>23413</v>
      </c>
      <c r="M6734" s="2" t="s">
        <v>40</v>
      </c>
    </row>
    <row r="6735" spans="1:14">
      <c r="A6735" s="2">
        <v>6734</v>
      </c>
      <c r="B6735" s="3" t="s">
        <v>23414</v>
      </c>
      <c r="C6735" s="2" t="s">
        <v>23415</v>
      </c>
      <c r="D6735" s="2">
        <v>14</v>
      </c>
      <c r="E6735" s="2">
        <v>20</v>
      </c>
      <c r="F6735" s="2" t="s">
        <v>23416</v>
      </c>
      <c r="H6735" s="2" t="s">
        <v>17</v>
      </c>
      <c r="L6735" s="4" t="s">
        <v>14189</v>
      </c>
    </row>
    <row r="6736" spans="1:14">
      <c r="A6736" s="2">
        <v>6735</v>
      </c>
      <c r="B6736" s="3" t="s">
        <v>23417</v>
      </c>
      <c r="C6736" s="2" t="s">
        <v>23418</v>
      </c>
      <c r="D6736" s="2">
        <v>14</v>
      </c>
      <c r="E6736" s="2">
        <v>20</v>
      </c>
      <c r="F6736" s="2" t="s">
        <v>23419</v>
      </c>
      <c r="H6736" s="2" t="s">
        <v>17</v>
      </c>
      <c r="K6736" s="4" t="s">
        <v>23420</v>
      </c>
      <c r="L6736" s="4" t="s">
        <v>23421</v>
      </c>
      <c r="M6736" s="2" t="s">
        <v>170</v>
      </c>
      <c r="N6736" s="2" t="s">
        <v>12332</v>
      </c>
    </row>
    <row r="6737" spans="1:14">
      <c r="A6737" s="2">
        <v>6736</v>
      </c>
      <c r="B6737" s="3" t="s">
        <v>23422</v>
      </c>
      <c r="C6737" s="2" t="s">
        <v>23423</v>
      </c>
      <c r="D6737" s="2">
        <v>18</v>
      </c>
      <c r="E6737" s="2">
        <v>20</v>
      </c>
      <c r="F6737" s="2" t="s">
        <v>23424</v>
      </c>
      <c r="H6737" s="2" t="s">
        <v>17</v>
      </c>
      <c r="L6737" s="4" t="s">
        <v>23425</v>
      </c>
    </row>
    <row r="6738" spans="1:14">
      <c r="A6738" s="2">
        <v>6737</v>
      </c>
      <c r="B6738" s="3" t="s">
        <v>23426</v>
      </c>
      <c r="C6738" s="2" t="s">
        <v>23427</v>
      </c>
      <c r="D6738" s="2">
        <v>20</v>
      </c>
      <c r="E6738" s="2">
        <v>20</v>
      </c>
      <c r="F6738" s="2" t="s">
        <v>23428</v>
      </c>
      <c r="H6738" s="2" t="s">
        <v>17</v>
      </c>
      <c r="L6738" s="4">
        <v>5399</v>
      </c>
    </row>
    <row r="6739" spans="1:14">
      <c r="A6739" s="2">
        <v>6738</v>
      </c>
      <c r="B6739" s="3" t="s">
        <v>23429</v>
      </c>
      <c r="C6739" s="2" t="s">
        <v>23430</v>
      </c>
      <c r="D6739" s="2">
        <v>17</v>
      </c>
      <c r="E6739" s="2">
        <v>20</v>
      </c>
      <c r="F6739" s="2" t="s">
        <v>23431</v>
      </c>
      <c r="H6739" s="2" t="s">
        <v>17</v>
      </c>
      <c r="K6739" s="4" t="s">
        <v>23432</v>
      </c>
      <c r="L6739" s="4">
        <v>7175</v>
      </c>
      <c r="M6739" s="2" t="s">
        <v>35</v>
      </c>
      <c r="N6739" s="2" t="s">
        <v>15810</v>
      </c>
    </row>
    <row r="6740" spans="1:14">
      <c r="A6740" s="2">
        <v>6739</v>
      </c>
      <c r="B6740" s="3" t="s">
        <v>23433</v>
      </c>
      <c r="C6740" s="2" t="s">
        <v>23434</v>
      </c>
      <c r="D6740" s="2">
        <v>20</v>
      </c>
      <c r="E6740" s="2">
        <v>20</v>
      </c>
      <c r="F6740" s="2" t="s">
        <v>23435</v>
      </c>
      <c r="H6740" s="2" t="s">
        <v>17</v>
      </c>
    </row>
    <row r="6741" spans="1:14">
      <c r="A6741" s="2">
        <v>6740</v>
      </c>
      <c r="B6741" s="3" t="s">
        <v>23436</v>
      </c>
      <c r="C6741" s="2" t="s">
        <v>23437</v>
      </c>
      <c r="D6741" s="2">
        <v>15</v>
      </c>
      <c r="E6741" s="2">
        <v>20</v>
      </c>
      <c r="F6741" s="2" t="s">
        <v>23438</v>
      </c>
      <c r="H6741" s="2" t="s">
        <v>17</v>
      </c>
    </row>
    <row r="6742" spans="1:14">
      <c r="A6742" s="2">
        <v>6741</v>
      </c>
      <c r="B6742" s="3" t="s">
        <v>23439</v>
      </c>
      <c r="C6742" s="2" t="s">
        <v>23440</v>
      </c>
      <c r="D6742" s="2">
        <v>11</v>
      </c>
      <c r="E6742" s="2">
        <v>20</v>
      </c>
      <c r="F6742" s="2" t="s">
        <v>23441</v>
      </c>
      <c r="H6742" s="2" t="s">
        <v>17</v>
      </c>
      <c r="K6742" s="4" t="s">
        <v>23442</v>
      </c>
      <c r="L6742" s="4" t="s">
        <v>23443</v>
      </c>
      <c r="M6742" s="2" t="s">
        <v>76</v>
      </c>
      <c r="N6742" s="2" t="s">
        <v>23444</v>
      </c>
    </row>
    <row r="6743" spans="1:14">
      <c r="A6743" s="2">
        <v>6742</v>
      </c>
      <c r="B6743" s="3" t="s">
        <v>23445</v>
      </c>
      <c r="C6743" s="2" t="s">
        <v>23446</v>
      </c>
      <c r="D6743" s="2">
        <v>19</v>
      </c>
      <c r="E6743" s="2">
        <v>20</v>
      </c>
      <c r="F6743" s="2" t="s">
        <v>23447</v>
      </c>
      <c r="H6743" s="2" t="s">
        <v>17</v>
      </c>
      <c r="K6743" s="4" t="s">
        <v>23448</v>
      </c>
      <c r="L6743" s="4" t="s">
        <v>23449</v>
      </c>
      <c r="M6743" s="2" t="s">
        <v>170</v>
      </c>
      <c r="N6743" s="2" t="s">
        <v>323</v>
      </c>
    </row>
    <row r="6744" spans="1:14">
      <c r="A6744" s="2">
        <v>6743</v>
      </c>
      <c r="B6744" s="3" t="s">
        <v>23450</v>
      </c>
      <c r="C6744" s="2" t="s">
        <v>23451</v>
      </c>
      <c r="D6744" s="2">
        <v>13</v>
      </c>
      <c r="E6744" s="2">
        <v>20</v>
      </c>
      <c r="F6744" s="2" t="s">
        <v>23452</v>
      </c>
      <c r="H6744" s="2" t="s">
        <v>17</v>
      </c>
      <c r="K6744" s="4" t="s">
        <v>23453</v>
      </c>
      <c r="L6744" s="4">
        <v>1434</v>
      </c>
      <c r="M6744" s="2" t="s">
        <v>35</v>
      </c>
      <c r="N6744" s="2" t="s">
        <v>14377</v>
      </c>
    </row>
    <row r="6745" spans="1:14">
      <c r="A6745" s="2">
        <v>6744</v>
      </c>
      <c r="B6745" s="3" t="s">
        <v>23454</v>
      </c>
      <c r="C6745" s="2" t="s">
        <v>23455</v>
      </c>
      <c r="D6745" s="2">
        <v>20</v>
      </c>
      <c r="E6745" s="2">
        <v>20</v>
      </c>
      <c r="F6745" s="2" t="s">
        <v>23456</v>
      </c>
      <c r="H6745" s="2" t="s">
        <v>17</v>
      </c>
    </row>
    <row r="6746" spans="1:14">
      <c r="A6746" s="2">
        <v>6745</v>
      </c>
      <c r="B6746" s="3" t="s">
        <v>23457</v>
      </c>
      <c r="C6746" s="2" t="s">
        <v>23458</v>
      </c>
      <c r="D6746" s="2">
        <v>20</v>
      </c>
      <c r="E6746" s="2">
        <v>20</v>
      </c>
      <c r="F6746" s="2" t="s">
        <v>23459</v>
      </c>
      <c r="H6746" s="2" t="s">
        <v>17</v>
      </c>
      <c r="K6746" s="4" t="s">
        <v>23460</v>
      </c>
      <c r="L6746" s="4">
        <v>4535</v>
      </c>
      <c r="M6746" s="2" t="s">
        <v>170</v>
      </c>
      <c r="N6746" s="2" t="s">
        <v>2157</v>
      </c>
    </row>
    <row r="6747" spans="1:14">
      <c r="A6747" s="2">
        <v>6746</v>
      </c>
      <c r="B6747" s="3" t="s">
        <v>23461</v>
      </c>
      <c r="C6747" s="2" t="s">
        <v>23462</v>
      </c>
      <c r="D6747" s="2">
        <v>15</v>
      </c>
      <c r="E6747" s="2">
        <v>20</v>
      </c>
      <c r="F6747" s="2" t="s">
        <v>11887</v>
      </c>
      <c r="H6747" s="2" t="s">
        <v>17</v>
      </c>
      <c r="K6747" s="4" t="s">
        <v>23463</v>
      </c>
      <c r="L6747" s="4" t="s">
        <v>23464</v>
      </c>
      <c r="M6747" s="2" t="s">
        <v>170</v>
      </c>
    </row>
    <row r="6748" spans="1:14">
      <c r="A6748" s="2">
        <v>6747</v>
      </c>
      <c r="B6748" s="3" t="s">
        <v>23465</v>
      </c>
      <c r="C6748" s="2" t="s">
        <v>23466</v>
      </c>
      <c r="D6748" s="2">
        <v>19</v>
      </c>
      <c r="E6748" s="2">
        <v>20</v>
      </c>
      <c r="F6748" s="2" t="s">
        <v>23467</v>
      </c>
      <c r="H6748" s="2" t="s">
        <v>17</v>
      </c>
      <c r="K6748" s="4" t="s">
        <v>23468</v>
      </c>
      <c r="L6748" s="4">
        <v>5525</v>
      </c>
      <c r="M6748" s="2" t="s">
        <v>140</v>
      </c>
      <c r="N6748" s="2" t="s">
        <v>20204</v>
      </c>
    </row>
    <row r="6749" spans="1:14">
      <c r="A6749" s="2">
        <v>6748</v>
      </c>
      <c r="B6749" s="3" t="s">
        <v>23469</v>
      </c>
      <c r="C6749" s="2" t="s">
        <v>23470</v>
      </c>
      <c r="D6749" s="2">
        <v>16</v>
      </c>
      <c r="E6749" s="2">
        <v>20</v>
      </c>
      <c r="F6749" s="2" t="s">
        <v>23471</v>
      </c>
      <c r="H6749" s="2" t="s">
        <v>17</v>
      </c>
      <c r="K6749" s="4" t="s">
        <v>23472</v>
      </c>
      <c r="L6749" s="4">
        <v>7226</v>
      </c>
      <c r="M6749" s="2" t="s">
        <v>91</v>
      </c>
    </row>
    <row r="6750" spans="1:14">
      <c r="A6750" s="2">
        <v>6749</v>
      </c>
      <c r="B6750" s="3" t="s">
        <v>23473</v>
      </c>
      <c r="C6750" s="2" t="s">
        <v>17050</v>
      </c>
      <c r="D6750" s="2">
        <v>14</v>
      </c>
      <c r="E6750" s="2">
        <v>20</v>
      </c>
      <c r="F6750" s="2" t="s">
        <v>23474</v>
      </c>
      <c r="H6750" s="2" t="s">
        <v>17</v>
      </c>
      <c r="K6750" s="4" t="s">
        <v>23475</v>
      </c>
      <c r="L6750" s="4">
        <v>4475</v>
      </c>
      <c r="M6750" s="2" t="s">
        <v>140</v>
      </c>
      <c r="N6750" s="2" t="s">
        <v>294</v>
      </c>
    </row>
    <row r="6751" spans="1:14">
      <c r="A6751" s="2">
        <v>6750</v>
      </c>
      <c r="B6751" s="3" t="s">
        <v>23476</v>
      </c>
      <c r="C6751" s="2" t="s">
        <v>23477</v>
      </c>
      <c r="D6751" s="2">
        <v>20</v>
      </c>
      <c r="E6751" s="2">
        <v>20</v>
      </c>
      <c r="F6751" s="2" t="s">
        <v>23478</v>
      </c>
      <c r="H6751" s="2" t="s">
        <v>17</v>
      </c>
      <c r="K6751" s="4" t="s">
        <v>23479</v>
      </c>
      <c r="L6751" s="4">
        <v>436</v>
      </c>
      <c r="M6751" s="2" t="s">
        <v>47</v>
      </c>
      <c r="N6751" s="2" t="s">
        <v>3765</v>
      </c>
    </row>
    <row r="6752" spans="1:14">
      <c r="A6752" s="2">
        <v>6751</v>
      </c>
      <c r="B6752" s="3" t="s">
        <v>23480</v>
      </c>
      <c r="C6752" s="2" t="s">
        <v>23481</v>
      </c>
      <c r="D6752" s="2">
        <v>19</v>
      </c>
      <c r="E6752" s="2">
        <v>20</v>
      </c>
      <c r="F6752" s="2" t="s">
        <v>23482</v>
      </c>
      <c r="H6752" s="2" t="s">
        <v>17</v>
      </c>
      <c r="L6752" s="4" t="s">
        <v>23483</v>
      </c>
    </row>
    <row r="6753" spans="1:14">
      <c r="A6753" s="2">
        <v>6752</v>
      </c>
      <c r="B6753" s="3" t="s">
        <v>23484</v>
      </c>
      <c r="C6753" s="2" t="s">
        <v>23485</v>
      </c>
      <c r="D6753" s="2">
        <v>20</v>
      </c>
      <c r="E6753" s="2">
        <v>20</v>
      </c>
      <c r="F6753" s="2" t="s">
        <v>23486</v>
      </c>
      <c r="H6753" s="2" t="s">
        <v>17</v>
      </c>
      <c r="K6753" s="4" t="s">
        <v>23487</v>
      </c>
      <c r="L6753" s="4">
        <v>1983</v>
      </c>
      <c r="M6753" s="2" t="s">
        <v>85</v>
      </c>
    </row>
    <row r="6754" spans="1:14">
      <c r="A6754" s="2">
        <v>6753</v>
      </c>
      <c r="B6754" s="3" t="s">
        <v>23488</v>
      </c>
      <c r="C6754" s="2" t="s">
        <v>23489</v>
      </c>
      <c r="D6754" s="2">
        <v>15</v>
      </c>
      <c r="E6754" s="2">
        <v>20</v>
      </c>
      <c r="F6754" s="2" t="s">
        <v>23490</v>
      </c>
      <c r="H6754" s="2" t="s">
        <v>17</v>
      </c>
      <c r="K6754" s="4" t="s">
        <v>23491</v>
      </c>
      <c r="L6754" s="4" t="s">
        <v>23492</v>
      </c>
      <c r="M6754" s="2" t="s">
        <v>170</v>
      </c>
    </row>
    <row r="6755" spans="1:14">
      <c r="A6755" s="2">
        <v>6754</v>
      </c>
      <c r="B6755" s="3" t="s">
        <v>23493</v>
      </c>
      <c r="C6755" s="2" t="s">
        <v>23494</v>
      </c>
      <c r="D6755" s="2">
        <v>20</v>
      </c>
      <c r="E6755" s="2">
        <v>20</v>
      </c>
      <c r="F6755" s="2" t="s">
        <v>23495</v>
      </c>
      <c r="H6755" s="2" t="s">
        <v>17</v>
      </c>
    </row>
    <row r="6756" spans="1:14">
      <c r="A6756" s="2">
        <v>6755</v>
      </c>
      <c r="B6756" s="3" t="s">
        <v>23496</v>
      </c>
      <c r="C6756" s="2" t="s">
        <v>23497</v>
      </c>
      <c r="D6756" s="2">
        <v>18</v>
      </c>
      <c r="E6756" s="2">
        <v>20</v>
      </c>
      <c r="F6756" s="2" t="s">
        <v>23498</v>
      </c>
      <c r="H6756" s="2" t="s">
        <v>17</v>
      </c>
      <c r="L6756" s="4" t="s">
        <v>16421</v>
      </c>
      <c r="M6756" s="2" t="s">
        <v>164</v>
      </c>
    </row>
    <row r="6757" spans="1:14">
      <c r="A6757" s="2">
        <v>6756</v>
      </c>
      <c r="B6757" s="3" t="s">
        <v>23499</v>
      </c>
      <c r="C6757" s="2" t="s">
        <v>23500</v>
      </c>
      <c r="D6757" s="2">
        <v>15</v>
      </c>
      <c r="E6757" s="2">
        <v>20</v>
      </c>
      <c r="F6757" s="2" t="s">
        <v>23501</v>
      </c>
      <c r="H6757" s="2" t="s">
        <v>17</v>
      </c>
      <c r="K6757" s="4" t="s">
        <v>23502</v>
      </c>
      <c r="L6757" s="4" t="s">
        <v>16319</v>
      </c>
      <c r="M6757" s="2" t="s">
        <v>170</v>
      </c>
      <c r="N6757" s="2" t="s">
        <v>323</v>
      </c>
    </row>
    <row r="6758" spans="1:14">
      <c r="A6758" s="2">
        <v>6757</v>
      </c>
      <c r="B6758" s="3" t="s">
        <v>23503</v>
      </c>
      <c r="C6758" s="2" t="s">
        <v>23504</v>
      </c>
      <c r="D6758" s="2">
        <v>20</v>
      </c>
      <c r="E6758" s="2">
        <v>20</v>
      </c>
      <c r="F6758" s="2" t="s">
        <v>23505</v>
      </c>
      <c r="H6758" s="2" t="s">
        <v>17</v>
      </c>
      <c r="L6758" s="4">
        <v>11634</v>
      </c>
      <c r="M6758" s="2" t="s">
        <v>35</v>
      </c>
    </row>
    <row r="6759" spans="1:14">
      <c r="A6759" s="2">
        <v>6758</v>
      </c>
      <c r="B6759" s="3" t="s">
        <v>23506</v>
      </c>
      <c r="C6759" s="2" t="s">
        <v>23507</v>
      </c>
      <c r="D6759" s="2">
        <v>15</v>
      </c>
      <c r="E6759" s="2">
        <v>20</v>
      </c>
      <c r="F6759" s="2" t="s">
        <v>23508</v>
      </c>
      <c r="H6759" s="2" t="s">
        <v>17</v>
      </c>
      <c r="K6759" s="4" t="s">
        <v>23509</v>
      </c>
      <c r="M6759" s="2" t="s">
        <v>47</v>
      </c>
      <c r="N6759" s="2" t="s">
        <v>180</v>
      </c>
    </row>
    <row r="6760" spans="1:14">
      <c r="A6760" s="2">
        <v>6759</v>
      </c>
      <c r="B6760" s="3" t="s">
        <v>23510</v>
      </c>
      <c r="C6760" s="2" t="s">
        <v>23511</v>
      </c>
      <c r="D6760" s="2">
        <v>17</v>
      </c>
      <c r="E6760" s="2">
        <v>20</v>
      </c>
      <c r="F6760" s="2" t="s">
        <v>23512</v>
      </c>
      <c r="H6760" s="2" t="s">
        <v>17</v>
      </c>
      <c r="K6760" s="4" t="s">
        <v>23513</v>
      </c>
      <c r="L6760" s="4">
        <v>6013</v>
      </c>
      <c r="M6760" s="2" t="s">
        <v>66</v>
      </c>
      <c r="N6760" s="2" t="s">
        <v>17431</v>
      </c>
    </row>
    <row r="6761" spans="1:14">
      <c r="A6761" s="2">
        <v>6760</v>
      </c>
      <c r="B6761" s="3" t="s">
        <v>23514</v>
      </c>
      <c r="C6761" s="2" t="s">
        <v>23515</v>
      </c>
      <c r="D6761" s="2">
        <v>14</v>
      </c>
      <c r="E6761" s="2">
        <v>20</v>
      </c>
      <c r="F6761" s="2" t="s">
        <v>23516</v>
      </c>
      <c r="H6761" s="2" t="s">
        <v>17</v>
      </c>
      <c r="K6761" s="4" t="s">
        <v>23517</v>
      </c>
      <c r="L6761" s="4" t="s">
        <v>23518</v>
      </c>
      <c r="M6761" s="2" t="s">
        <v>185</v>
      </c>
      <c r="N6761" s="2" t="s">
        <v>820</v>
      </c>
    </row>
    <row r="6762" spans="1:14">
      <c r="A6762" s="2">
        <v>6761</v>
      </c>
      <c r="B6762" s="3" t="s">
        <v>23519</v>
      </c>
      <c r="C6762" s="2" t="s">
        <v>23520</v>
      </c>
      <c r="D6762" s="2">
        <v>20</v>
      </c>
      <c r="E6762" s="2">
        <v>20</v>
      </c>
      <c r="F6762" s="2" t="s">
        <v>20330</v>
      </c>
      <c r="H6762" s="2" t="s">
        <v>17</v>
      </c>
      <c r="K6762" s="4" t="s">
        <v>20331</v>
      </c>
      <c r="L6762" s="4">
        <v>8228</v>
      </c>
      <c r="M6762" s="2" t="s">
        <v>185</v>
      </c>
      <c r="N6762" s="2" t="s">
        <v>20332</v>
      </c>
    </row>
    <row r="6763" spans="1:14">
      <c r="A6763" s="2">
        <v>6762</v>
      </c>
      <c r="B6763" s="3" t="s">
        <v>23521</v>
      </c>
      <c r="C6763" s="2" t="s">
        <v>23522</v>
      </c>
      <c r="D6763" s="2">
        <v>14</v>
      </c>
      <c r="E6763" s="2">
        <v>20</v>
      </c>
      <c r="F6763" s="2" t="s">
        <v>23523</v>
      </c>
      <c r="H6763" s="2" t="s">
        <v>17</v>
      </c>
      <c r="K6763" s="4" t="s">
        <v>23524</v>
      </c>
      <c r="L6763" s="4">
        <v>4697</v>
      </c>
      <c r="M6763" s="2" t="s">
        <v>170</v>
      </c>
      <c r="N6763" s="2" t="s">
        <v>12332</v>
      </c>
    </row>
    <row r="6764" spans="1:14">
      <c r="A6764" s="2">
        <v>6763</v>
      </c>
      <c r="B6764" s="3" t="s">
        <v>23525</v>
      </c>
      <c r="C6764" s="2" t="s">
        <v>23526</v>
      </c>
      <c r="D6764" s="2">
        <v>20</v>
      </c>
      <c r="E6764" s="2">
        <v>20</v>
      </c>
      <c r="F6764" s="2" t="s">
        <v>23527</v>
      </c>
      <c r="H6764" s="2" t="s">
        <v>17</v>
      </c>
      <c r="K6764" s="4" t="s">
        <v>23528</v>
      </c>
      <c r="L6764" s="4">
        <v>1200</v>
      </c>
      <c r="M6764" s="2" t="s">
        <v>47</v>
      </c>
    </row>
    <row r="6765" spans="1:14">
      <c r="A6765" s="2">
        <v>6764</v>
      </c>
      <c r="B6765" s="3" t="s">
        <v>23529</v>
      </c>
      <c r="C6765" s="2" t="s">
        <v>23530</v>
      </c>
      <c r="D6765" s="2">
        <v>15</v>
      </c>
      <c r="E6765" s="2">
        <v>20</v>
      </c>
      <c r="F6765" s="2" t="s">
        <v>23531</v>
      </c>
      <c r="H6765" s="2" t="s">
        <v>17</v>
      </c>
      <c r="L6765" s="4" t="s">
        <v>23532</v>
      </c>
    </row>
    <row r="6766" spans="1:14">
      <c r="A6766" s="2">
        <v>6765</v>
      </c>
      <c r="B6766" s="3" t="s">
        <v>23533</v>
      </c>
      <c r="C6766" s="2" t="s">
        <v>23534</v>
      </c>
      <c r="D6766" s="2">
        <v>20</v>
      </c>
      <c r="E6766" s="2">
        <v>20</v>
      </c>
      <c r="F6766" s="2" t="s">
        <v>23535</v>
      </c>
      <c r="H6766" s="2" t="s">
        <v>17</v>
      </c>
    </row>
    <row r="6767" spans="1:14">
      <c r="A6767" s="2">
        <v>6766</v>
      </c>
      <c r="B6767" s="3" t="s">
        <v>23536</v>
      </c>
      <c r="C6767" s="2" t="s">
        <v>23537</v>
      </c>
      <c r="D6767" s="2">
        <v>15</v>
      </c>
      <c r="E6767" s="2">
        <v>20</v>
      </c>
      <c r="F6767" s="2" t="s">
        <v>23538</v>
      </c>
      <c r="H6767" s="2" t="s">
        <v>17</v>
      </c>
      <c r="K6767" s="4" t="s">
        <v>23539</v>
      </c>
      <c r="L6767" s="4" t="s">
        <v>23540</v>
      </c>
      <c r="M6767" s="2" t="s">
        <v>170</v>
      </c>
    </row>
    <row r="6768" spans="1:14">
      <c r="A6768" s="2">
        <v>6767</v>
      </c>
      <c r="B6768" s="3" t="s">
        <v>23541</v>
      </c>
      <c r="C6768" s="2" t="s">
        <v>23542</v>
      </c>
      <c r="D6768" s="2">
        <v>20</v>
      </c>
      <c r="E6768" s="2">
        <v>20</v>
      </c>
      <c r="F6768" s="2" t="s">
        <v>23543</v>
      </c>
      <c r="H6768" s="2" t="s">
        <v>17</v>
      </c>
    </row>
    <row r="6769" spans="1:14">
      <c r="A6769" s="2">
        <v>6768</v>
      </c>
      <c r="B6769" s="3" t="s">
        <v>23544</v>
      </c>
      <c r="C6769" s="2" t="s">
        <v>23545</v>
      </c>
      <c r="D6769" s="2">
        <v>15</v>
      </c>
      <c r="E6769" s="2">
        <v>20</v>
      </c>
      <c r="F6769" s="2" t="s">
        <v>23546</v>
      </c>
      <c r="H6769" s="2" t="s">
        <v>17</v>
      </c>
      <c r="K6769" s="4" t="s">
        <v>23547</v>
      </c>
      <c r="L6769" s="4" t="s">
        <v>23548</v>
      </c>
      <c r="M6769" s="2" t="s">
        <v>154</v>
      </c>
      <c r="N6769" s="2" t="s">
        <v>4862</v>
      </c>
    </row>
    <row r="6770" spans="1:14">
      <c r="A6770" s="2">
        <v>6769</v>
      </c>
      <c r="B6770" s="3" t="s">
        <v>23549</v>
      </c>
      <c r="C6770" s="2" t="s">
        <v>23550</v>
      </c>
      <c r="D6770" s="2">
        <v>20</v>
      </c>
      <c r="E6770" s="2">
        <v>20</v>
      </c>
      <c r="F6770" s="2" t="s">
        <v>23551</v>
      </c>
      <c r="H6770" s="2" t="s">
        <v>17</v>
      </c>
      <c r="L6770" s="4" t="s">
        <v>23552</v>
      </c>
      <c r="M6770" s="2" t="s">
        <v>146</v>
      </c>
      <c r="N6770" s="2" t="s">
        <v>8769</v>
      </c>
    </row>
    <row r="6771" spans="1:14">
      <c r="A6771" s="2">
        <v>6770</v>
      </c>
      <c r="B6771" s="3" t="s">
        <v>23553</v>
      </c>
      <c r="C6771" s="2" t="s">
        <v>23554</v>
      </c>
      <c r="D6771" s="2">
        <v>20</v>
      </c>
      <c r="E6771" s="2">
        <v>20</v>
      </c>
      <c r="F6771" s="2" t="s">
        <v>23555</v>
      </c>
      <c r="H6771" s="2" t="s">
        <v>17</v>
      </c>
    </row>
    <row r="6772" spans="1:14">
      <c r="A6772" s="2">
        <v>6771</v>
      </c>
      <c r="B6772" s="3" t="s">
        <v>23556</v>
      </c>
      <c r="C6772" s="2" t="s">
        <v>23557</v>
      </c>
      <c r="D6772" s="2">
        <v>20</v>
      </c>
      <c r="E6772" s="2">
        <v>20</v>
      </c>
      <c r="F6772" s="2" t="s">
        <v>23558</v>
      </c>
      <c r="H6772" s="2" t="s">
        <v>17</v>
      </c>
    </row>
    <row r="6773" spans="1:14">
      <c r="A6773" s="2">
        <v>6772</v>
      </c>
      <c r="B6773" s="3" t="s">
        <v>23559</v>
      </c>
      <c r="C6773" s="2" t="s">
        <v>23560</v>
      </c>
      <c r="D6773" s="2">
        <v>18</v>
      </c>
      <c r="E6773" s="2">
        <v>20</v>
      </c>
      <c r="F6773" s="2" t="s">
        <v>23561</v>
      </c>
      <c r="H6773" s="2" t="s">
        <v>17</v>
      </c>
      <c r="L6773" s="4" t="s">
        <v>23562</v>
      </c>
    </row>
    <row r="6774" spans="1:14">
      <c r="A6774" s="2">
        <v>6773</v>
      </c>
      <c r="B6774" s="3" t="s">
        <v>23563</v>
      </c>
      <c r="C6774" s="2" t="s">
        <v>23564</v>
      </c>
      <c r="D6774" s="2">
        <v>20</v>
      </c>
      <c r="E6774" s="2">
        <v>20</v>
      </c>
      <c r="F6774" s="2" t="s">
        <v>23565</v>
      </c>
      <c r="H6774" s="2" t="s">
        <v>17</v>
      </c>
      <c r="K6774" s="4" t="s">
        <v>23566</v>
      </c>
      <c r="L6774" s="4">
        <v>5196</v>
      </c>
      <c r="M6774" s="2" t="s">
        <v>423</v>
      </c>
      <c r="N6774" s="2" t="s">
        <v>23567</v>
      </c>
    </row>
    <row r="6775" spans="1:14">
      <c r="A6775" s="2">
        <v>6774</v>
      </c>
      <c r="B6775" s="3" t="s">
        <v>23568</v>
      </c>
      <c r="C6775" s="2" t="s">
        <v>19248</v>
      </c>
      <c r="D6775" s="2">
        <v>20</v>
      </c>
      <c r="E6775" s="2">
        <v>20</v>
      </c>
      <c r="F6775" s="2" t="s">
        <v>23569</v>
      </c>
      <c r="H6775" s="2" t="s">
        <v>17</v>
      </c>
      <c r="K6775" s="4" t="s">
        <v>23570</v>
      </c>
      <c r="L6775" s="4">
        <v>3153</v>
      </c>
      <c r="M6775" s="2" t="s">
        <v>170</v>
      </c>
      <c r="N6775" s="2" t="s">
        <v>759</v>
      </c>
    </row>
    <row r="6776" spans="1:14">
      <c r="A6776" s="2">
        <v>6775</v>
      </c>
      <c r="B6776" s="3" t="s">
        <v>23571</v>
      </c>
      <c r="C6776" s="2" t="s">
        <v>23572</v>
      </c>
      <c r="D6776" s="2">
        <v>14</v>
      </c>
      <c r="E6776" s="2">
        <v>20</v>
      </c>
      <c r="F6776" s="2" t="s">
        <v>23573</v>
      </c>
      <c r="H6776" s="2" t="s">
        <v>17</v>
      </c>
      <c r="K6776" s="4" t="s">
        <v>23574</v>
      </c>
      <c r="L6776" s="4">
        <v>1410</v>
      </c>
      <c r="M6776" s="2" t="s">
        <v>66</v>
      </c>
      <c r="N6776" s="2" t="s">
        <v>3640</v>
      </c>
    </row>
    <row r="6777" spans="1:14">
      <c r="A6777" s="2">
        <v>6776</v>
      </c>
      <c r="B6777" s="3" t="s">
        <v>23575</v>
      </c>
      <c r="C6777" s="2" t="s">
        <v>23576</v>
      </c>
      <c r="D6777" s="2">
        <v>20</v>
      </c>
      <c r="E6777" s="2">
        <v>20</v>
      </c>
      <c r="F6777" s="2" t="s">
        <v>23577</v>
      </c>
      <c r="H6777" s="2" t="s">
        <v>17</v>
      </c>
      <c r="K6777" s="4" t="s">
        <v>23578</v>
      </c>
      <c r="L6777" s="4">
        <v>2002</v>
      </c>
      <c r="M6777" s="2" t="s">
        <v>40</v>
      </c>
      <c r="N6777" s="2" t="s">
        <v>41</v>
      </c>
    </row>
    <row r="6778" spans="1:14">
      <c r="A6778" s="2">
        <v>6777</v>
      </c>
      <c r="B6778" s="3" t="s">
        <v>23579</v>
      </c>
      <c r="C6778" s="2" t="s">
        <v>23580</v>
      </c>
      <c r="D6778" s="2">
        <v>20</v>
      </c>
      <c r="E6778" s="2">
        <v>20</v>
      </c>
      <c r="F6778" s="2" t="s">
        <v>23581</v>
      </c>
      <c r="H6778" s="2" t="s">
        <v>17</v>
      </c>
      <c r="K6778" s="4" t="s">
        <v>23582</v>
      </c>
      <c r="L6778" s="4">
        <v>2831</v>
      </c>
      <c r="M6778" s="2" t="s">
        <v>170</v>
      </c>
      <c r="N6778" s="2" t="s">
        <v>323</v>
      </c>
    </row>
    <row r="6779" spans="1:14">
      <c r="A6779" s="2">
        <v>6778</v>
      </c>
      <c r="B6779" s="3" t="s">
        <v>23583</v>
      </c>
      <c r="C6779" s="2" t="s">
        <v>23584</v>
      </c>
      <c r="D6779" s="2">
        <v>13</v>
      </c>
      <c r="E6779" s="2">
        <v>20</v>
      </c>
      <c r="F6779" s="2" t="s">
        <v>23585</v>
      </c>
      <c r="H6779" s="2" t="s">
        <v>17</v>
      </c>
      <c r="K6779" s="4" t="s">
        <v>23586</v>
      </c>
      <c r="L6779" s="4">
        <v>3319</v>
      </c>
      <c r="M6779" s="2" t="s">
        <v>185</v>
      </c>
      <c r="N6779" s="2" t="s">
        <v>20097</v>
      </c>
    </row>
    <row r="6780" spans="1:14">
      <c r="A6780" s="2">
        <v>6779</v>
      </c>
      <c r="B6780" s="3" t="s">
        <v>23587</v>
      </c>
      <c r="C6780" s="2" t="s">
        <v>23588</v>
      </c>
      <c r="D6780" s="2">
        <v>18</v>
      </c>
      <c r="E6780" s="2">
        <v>20</v>
      </c>
      <c r="F6780" s="2" t="s">
        <v>23589</v>
      </c>
      <c r="H6780" s="2" t="s">
        <v>17</v>
      </c>
      <c r="K6780" s="4" t="s">
        <v>23590</v>
      </c>
      <c r="L6780" s="4">
        <v>14984</v>
      </c>
      <c r="M6780" s="2" t="s">
        <v>198</v>
      </c>
    </row>
    <row r="6781" spans="1:14">
      <c r="A6781" s="2">
        <v>6780</v>
      </c>
      <c r="B6781" s="3" t="s">
        <v>23591</v>
      </c>
      <c r="C6781" s="2" t="s">
        <v>23592</v>
      </c>
      <c r="D6781" s="2">
        <v>5</v>
      </c>
      <c r="E6781" s="2">
        <v>20</v>
      </c>
      <c r="F6781" s="2" t="s">
        <v>23593</v>
      </c>
      <c r="H6781" s="2" t="s">
        <v>17</v>
      </c>
      <c r="L6781" s="4" t="s">
        <v>23594</v>
      </c>
      <c r="M6781" s="2" t="s">
        <v>76</v>
      </c>
    </row>
    <row r="6782" spans="1:14">
      <c r="A6782" s="2">
        <v>6781</v>
      </c>
      <c r="B6782" s="3" t="s">
        <v>23595</v>
      </c>
      <c r="C6782" s="2" t="s">
        <v>23596</v>
      </c>
      <c r="D6782" s="2">
        <v>20</v>
      </c>
      <c r="E6782" s="2">
        <v>20</v>
      </c>
      <c r="F6782" s="2" t="s">
        <v>23597</v>
      </c>
      <c r="H6782" s="2" t="s">
        <v>17</v>
      </c>
      <c r="K6782" s="4" t="s">
        <v>23598</v>
      </c>
      <c r="L6782" s="4">
        <v>9815</v>
      </c>
      <c r="M6782" s="2" t="s">
        <v>85</v>
      </c>
      <c r="N6782" s="2" t="s">
        <v>86</v>
      </c>
    </row>
    <row r="6783" spans="1:14">
      <c r="A6783" s="2">
        <v>6782</v>
      </c>
      <c r="B6783" s="3" t="s">
        <v>23599</v>
      </c>
      <c r="C6783" s="2" t="s">
        <v>23600</v>
      </c>
      <c r="D6783" s="2">
        <v>20</v>
      </c>
      <c r="E6783" s="2">
        <v>20</v>
      </c>
      <c r="F6783" s="2" t="s">
        <v>23601</v>
      </c>
      <c r="H6783" s="2" t="s">
        <v>17</v>
      </c>
      <c r="L6783" s="4" t="s">
        <v>23602</v>
      </c>
    </row>
    <row r="6784" spans="1:14">
      <c r="A6784" s="2">
        <v>6783</v>
      </c>
      <c r="B6784" s="3" t="s">
        <v>23603</v>
      </c>
      <c r="C6784" s="2" t="s">
        <v>23604</v>
      </c>
      <c r="D6784" s="2">
        <v>18</v>
      </c>
      <c r="E6784" s="2">
        <v>20</v>
      </c>
      <c r="F6784" s="2" t="s">
        <v>23605</v>
      </c>
      <c r="H6784" s="2" t="s">
        <v>17</v>
      </c>
    </row>
    <row r="6785" spans="1:14">
      <c r="A6785" s="2">
        <v>6784</v>
      </c>
      <c r="B6785" s="3" t="s">
        <v>23606</v>
      </c>
      <c r="C6785" s="2" t="s">
        <v>7798</v>
      </c>
      <c r="D6785" s="2">
        <v>20</v>
      </c>
      <c r="E6785" s="2">
        <v>20</v>
      </c>
      <c r="F6785" s="2" t="s">
        <v>23607</v>
      </c>
      <c r="H6785" s="2" t="s">
        <v>17</v>
      </c>
    </row>
    <row r="6786" spans="1:14">
      <c r="A6786" s="2">
        <v>6785</v>
      </c>
      <c r="B6786" s="3" t="s">
        <v>23608</v>
      </c>
      <c r="C6786" s="2" t="s">
        <v>23609</v>
      </c>
      <c r="D6786" s="2">
        <v>15</v>
      </c>
      <c r="E6786" s="2">
        <v>20</v>
      </c>
      <c r="F6786" s="2" t="s">
        <v>23610</v>
      </c>
      <c r="H6786" s="2" t="s">
        <v>17</v>
      </c>
    </row>
    <row r="6787" spans="1:14">
      <c r="A6787" s="2">
        <v>6786</v>
      </c>
      <c r="B6787" s="3" t="s">
        <v>23611</v>
      </c>
      <c r="C6787" s="2" t="s">
        <v>23612</v>
      </c>
      <c r="D6787" s="2">
        <v>17</v>
      </c>
      <c r="E6787" s="2">
        <v>20</v>
      </c>
      <c r="F6787" s="2" t="s">
        <v>23613</v>
      </c>
      <c r="H6787" s="2" t="s">
        <v>17</v>
      </c>
      <c r="K6787" s="4" t="s">
        <v>23614</v>
      </c>
      <c r="L6787" s="4">
        <v>3670</v>
      </c>
      <c r="M6787" s="2" t="s">
        <v>198</v>
      </c>
    </row>
    <row r="6788" spans="1:14">
      <c r="A6788" s="2">
        <v>6787</v>
      </c>
      <c r="B6788" s="3" t="s">
        <v>23615</v>
      </c>
      <c r="C6788" s="2" t="s">
        <v>23616</v>
      </c>
      <c r="D6788" s="2">
        <v>19</v>
      </c>
      <c r="E6788" s="2">
        <v>20</v>
      </c>
      <c r="F6788" s="2" t="s">
        <v>23617</v>
      </c>
      <c r="H6788" s="2" t="s">
        <v>17</v>
      </c>
      <c r="L6788" s="4" t="s">
        <v>23618</v>
      </c>
      <c r="M6788" s="2" t="s">
        <v>66</v>
      </c>
      <c r="N6788" s="2" t="s">
        <v>131</v>
      </c>
    </row>
    <row r="6789" spans="1:14">
      <c r="A6789" s="2">
        <v>6788</v>
      </c>
      <c r="B6789" s="3" t="s">
        <v>23619</v>
      </c>
      <c r="C6789" s="2" t="s">
        <v>21418</v>
      </c>
      <c r="D6789" s="2">
        <v>20</v>
      </c>
      <c r="E6789" s="2">
        <v>20</v>
      </c>
      <c r="F6789" s="2" t="s">
        <v>23620</v>
      </c>
      <c r="H6789" s="2" t="s">
        <v>17</v>
      </c>
      <c r="K6789" s="4" t="s">
        <v>23621</v>
      </c>
      <c r="L6789" s="4">
        <v>6326</v>
      </c>
      <c r="M6789" s="2" t="s">
        <v>40</v>
      </c>
      <c r="N6789" s="2" t="s">
        <v>6565</v>
      </c>
    </row>
    <row r="6790" spans="1:14">
      <c r="A6790" s="2">
        <v>6789</v>
      </c>
      <c r="B6790" s="3" t="s">
        <v>23622</v>
      </c>
      <c r="C6790" s="2" t="s">
        <v>23623</v>
      </c>
      <c r="D6790" s="2">
        <v>18</v>
      </c>
      <c r="E6790" s="2">
        <v>20</v>
      </c>
      <c r="F6790" s="2" t="s">
        <v>23624</v>
      </c>
      <c r="H6790" s="2" t="s">
        <v>17</v>
      </c>
      <c r="K6790" s="4" t="s">
        <v>23625</v>
      </c>
      <c r="L6790" s="4" t="s">
        <v>23626</v>
      </c>
      <c r="M6790" s="2" t="s">
        <v>85</v>
      </c>
    </row>
    <row r="6791" spans="1:14">
      <c r="A6791" s="2">
        <v>6790</v>
      </c>
      <c r="B6791" s="3" t="s">
        <v>23627</v>
      </c>
      <c r="C6791" s="2" t="s">
        <v>16555</v>
      </c>
      <c r="D6791" s="2">
        <v>18</v>
      </c>
      <c r="E6791" s="2">
        <v>20</v>
      </c>
      <c r="F6791" s="2" t="s">
        <v>23628</v>
      </c>
      <c r="H6791" s="2" t="s">
        <v>17</v>
      </c>
      <c r="K6791" s="4" t="s">
        <v>23629</v>
      </c>
      <c r="L6791" s="4" t="s">
        <v>23630</v>
      </c>
      <c r="M6791" s="2" t="s">
        <v>170</v>
      </c>
      <c r="N6791" s="2" t="s">
        <v>23631</v>
      </c>
    </row>
    <row r="6792" spans="1:14">
      <c r="A6792" s="2">
        <v>6791</v>
      </c>
      <c r="B6792" s="3" t="s">
        <v>23632</v>
      </c>
      <c r="C6792" s="2" t="s">
        <v>18781</v>
      </c>
      <c r="D6792" s="2">
        <v>19</v>
      </c>
      <c r="E6792" s="2">
        <v>20</v>
      </c>
      <c r="F6792" s="2" t="s">
        <v>23633</v>
      </c>
      <c r="H6792" s="2" t="s">
        <v>17</v>
      </c>
      <c r="K6792" s="4" t="s">
        <v>23634</v>
      </c>
      <c r="L6792" s="4">
        <v>16452</v>
      </c>
    </row>
    <row r="6793" spans="1:14">
      <c r="A6793" s="2">
        <v>6792</v>
      </c>
      <c r="B6793" s="3" t="s">
        <v>23635</v>
      </c>
      <c r="C6793" s="2" t="s">
        <v>23636</v>
      </c>
      <c r="D6793" s="2">
        <v>17</v>
      </c>
      <c r="E6793" s="2">
        <v>20</v>
      </c>
      <c r="F6793" s="2" t="s">
        <v>23637</v>
      </c>
      <c r="H6793" s="2" t="s">
        <v>17</v>
      </c>
    </row>
    <row r="6794" spans="1:14">
      <c r="A6794" s="2">
        <v>6793</v>
      </c>
      <c r="B6794" s="3" t="s">
        <v>23638</v>
      </c>
      <c r="C6794" s="2" t="s">
        <v>23639</v>
      </c>
      <c r="D6794" s="2">
        <v>13</v>
      </c>
      <c r="E6794" s="2">
        <v>20</v>
      </c>
      <c r="F6794" s="2" t="s">
        <v>23640</v>
      </c>
      <c r="H6794" s="2" t="s">
        <v>17</v>
      </c>
      <c r="K6794" s="4" t="s">
        <v>23641</v>
      </c>
      <c r="L6794" s="4">
        <v>6818</v>
      </c>
      <c r="M6794" s="2" t="s">
        <v>198</v>
      </c>
      <c r="N6794" s="2" t="s">
        <v>19550</v>
      </c>
    </row>
    <row r="6795" spans="1:14">
      <c r="A6795" s="2">
        <v>6794</v>
      </c>
      <c r="B6795" s="3" t="s">
        <v>23642</v>
      </c>
      <c r="C6795" s="2" t="s">
        <v>23643</v>
      </c>
      <c r="D6795" s="2">
        <v>20</v>
      </c>
      <c r="E6795" s="2">
        <v>20</v>
      </c>
      <c r="F6795" s="2" t="s">
        <v>23644</v>
      </c>
      <c r="H6795" s="2" t="s">
        <v>17</v>
      </c>
      <c r="L6795" s="4" t="s">
        <v>23645</v>
      </c>
    </row>
    <row r="6796" spans="1:14">
      <c r="A6796" s="2">
        <v>6795</v>
      </c>
      <c r="B6796" s="3" t="s">
        <v>23646</v>
      </c>
      <c r="C6796" s="2" t="s">
        <v>23647</v>
      </c>
      <c r="D6796" s="2">
        <v>20</v>
      </c>
      <c r="E6796" s="2">
        <v>20</v>
      </c>
      <c r="F6796" s="2" t="s">
        <v>23648</v>
      </c>
      <c r="H6796" s="2" t="s">
        <v>17</v>
      </c>
    </row>
    <row r="6797" spans="1:14">
      <c r="A6797" s="2">
        <v>6796</v>
      </c>
      <c r="B6797" s="3" t="s">
        <v>23649</v>
      </c>
      <c r="C6797" s="2" t="s">
        <v>23650</v>
      </c>
      <c r="D6797" s="2">
        <v>18</v>
      </c>
      <c r="E6797" s="2">
        <v>20</v>
      </c>
      <c r="F6797" s="2" t="s">
        <v>23651</v>
      </c>
      <c r="H6797" s="2" t="s">
        <v>17</v>
      </c>
      <c r="K6797" s="4" t="s">
        <v>23652</v>
      </c>
      <c r="L6797" s="4">
        <v>3151</v>
      </c>
      <c r="M6797" s="2" t="s">
        <v>198</v>
      </c>
    </row>
    <row r="6798" spans="1:14">
      <c r="A6798" s="2">
        <v>6797</v>
      </c>
      <c r="B6798" s="3" t="s">
        <v>23653</v>
      </c>
      <c r="C6798" s="2" t="s">
        <v>23654</v>
      </c>
      <c r="D6798" s="2">
        <v>20</v>
      </c>
      <c r="E6798" s="2">
        <v>20</v>
      </c>
      <c r="F6798" s="2" t="s">
        <v>23655</v>
      </c>
      <c r="H6798" s="2" t="s">
        <v>17</v>
      </c>
      <c r="K6798" s="4" t="s">
        <v>23656</v>
      </c>
      <c r="L6798" s="4">
        <v>6055</v>
      </c>
      <c r="M6798" s="2" t="s">
        <v>164</v>
      </c>
      <c r="N6798" s="2" t="s">
        <v>13311</v>
      </c>
    </row>
    <row r="6799" spans="1:14">
      <c r="A6799" s="2">
        <v>6798</v>
      </c>
      <c r="B6799" s="3" t="s">
        <v>23657</v>
      </c>
      <c r="C6799" s="2" t="s">
        <v>23658</v>
      </c>
      <c r="D6799" s="2">
        <v>18</v>
      </c>
      <c r="E6799" s="2">
        <v>20</v>
      </c>
      <c r="F6799" s="2" t="s">
        <v>23659</v>
      </c>
      <c r="H6799" s="2" t="s">
        <v>17</v>
      </c>
      <c r="K6799" s="4" t="s">
        <v>23660</v>
      </c>
      <c r="L6799" s="4">
        <v>2686</v>
      </c>
      <c r="M6799" s="2" t="s">
        <v>198</v>
      </c>
    </row>
    <row r="6800" spans="1:14">
      <c r="A6800" s="2">
        <v>6799</v>
      </c>
      <c r="B6800" s="3" t="s">
        <v>23661</v>
      </c>
      <c r="C6800" s="2" t="s">
        <v>23662</v>
      </c>
      <c r="D6800" s="2">
        <v>20</v>
      </c>
      <c r="E6800" s="2">
        <v>20</v>
      </c>
      <c r="F6800" s="2" t="s">
        <v>23663</v>
      </c>
      <c r="H6800" s="2" t="s">
        <v>17</v>
      </c>
    </row>
    <row r="6801" spans="1:14">
      <c r="A6801" s="2">
        <v>6800</v>
      </c>
      <c r="B6801" s="3" t="s">
        <v>23664</v>
      </c>
      <c r="C6801" s="2" t="s">
        <v>23665</v>
      </c>
      <c r="D6801" s="2">
        <v>17</v>
      </c>
      <c r="E6801" s="2">
        <v>20</v>
      </c>
      <c r="F6801" s="2" t="s">
        <v>23666</v>
      </c>
      <c r="H6801" s="2" t="s">
        <v>17</v>
      </c>
      <c r="L6801" s="4" t="s">
        <v>23667</v>
      </c>
    </row>
    <row r="6802" spans="1:14">
      <c r="A6802" s="2">
        <v>6801</v>
      </c>
      <c r="B6802" s="3" t="s">
        <v>23668</v>
      </c>
      <c r="C6802" s="2" t="s">
        <v>23669</v>
      </c>
      <c r="D6802" s="2">
        <v>20</v>
      </c>
      <c r="E6802" s="2">
        <v>20</v>
      </c>
      <c r="F6802" s="2" t="s">
        <v>23670</v>
      </c>
      <c r="H6802" s="2" t="s">
        <v>17</v>
      </c>
    </row>
    <row r="6803" spans="1:14">
      <c r="A6803" s="2">
        <v>6802</v>
      </c>
      <c r="B6803" s="3" t="s">
        <v>23671</v>
      </c>
      <c r="C6803" s="2" t="s">
        <v>23672</v>
      </c>
      <c r="D6803" s="2">
        <v>19</v>
      </c>
      <c r="E6803" s="2">
        <v>20</v>
      </c>
      <c r="F6803" s="2" t="s">
        <v>23673</v>
      </c>
      <c r="H6803" s="2" t="s">
        <v>17</v>
      </c>
      <c r="K6803" s="4" t="s">
        <v>23674</v>
      </c>
      <c r="L6803" s="4">
        <v>1911</v>
      </c>
      <c r="M6803" s="2" t="s">
        <v>146</v>
      </c>
      <c r="N6803" s="2" t="s">
        <v>22071</v>
      </c>
    </row>
    <row r="6804" spans="1:14">
      <c r="A6804" s="2">
        <v>6803</v>
      </c>
      <c r="B6804" s="3" t="s">
        <v>23675</v>
      </c>
      <c r="C6804" s="2" t="s">
        <v>23676</v>
      </c>
      <c r="D6804" s="2">
        <v>20</v>
      </c>
      <c r="E6804" s="2">
        <v>20</v>
      </c>
      <c r="F6804" s="2" t="s">
        <v>23677</v>
      </c>
      <c r="H6804" s="2" t="s">
        <v>17</v>
      </c>
      <c r="L6804" s="4" t="s">
        <v>20731</v>
      </c>
    </row>
    <row r="6805" spans="1:14">
      <c r="A6805" s="2">
        <v>6804</v>
      </c>
      <c r="B6805" s="3" t="s">
        <v>23678</v>
      </c>
      <c r="C6805" s="2" t="s">
        <v>23679</v>
      </c>
      <c r="D6805" s="2">
        <v>18</v>
      </c>
      <c r="E6805" s="2">
        <v>20</v>
      </c>
      <c r="F6805" s="2" t="s">
        <v>23680</v>
      </c>
      <c r="H6805" s="2" t="s">
        <v>17</v>
      </c>
      <c r="K6805" s="4" t="s">
        <v>23681</v>
      </c>
      <c r="M6805" s="2" t="s">
        <v>35</v>
      </c>
      <c r="N6805" s="2" t="s">
        <v>7122</v>
      </c>
    </row>
    <row r="6806" spans="1:14">
      <c r="A6806" s="2">
        <v>6805</v>
      </c>
      <c r="B6806" s="3" t="s">
        <v>23682</v>
      </c>
      <c r="C6806" s="2" t="s">
        <v>23683</v>
      </c>
      <c r="D6806" s="2">
        <v>20</v>
      </c>
      <c r="E6806" s="2">
        <v>20</v>
      </c>
      <c r="F6806" s="2" t="s">
        <v>23684</v>
      </c>
      <c r="H6806" s="2" t="s">
        <v>17</v>
      </c>
    </row>
    <row r="6807" spans="1:14">
      <c r="A6807" s="2">
        <v>6806</v>
      </c>
      <c r="B6807" s="3" t="s">
        <v>23685</v>
      </c>
      <c r="C6807" s="2" t="s">
        <v>23686</v>
      </c>
      <c r="D6807" s="2">
        <v>18</v>
      </c>
      <c r="E6807" s="2">
        <v>20</v>
      </c>
      <c r="F6807" s="2" t="s">
        <v>23687</v>
      </c>
      <c r="H6807" s="2" t="s">
        <v>17</v>
      </c>
    </row>
    <row r="6808" spans="1:14">
      <c r="A6808" s="2">
        <v>6807</v>
      </c>
      <c r="B6808" s="3" t="s">
        <v>23688</v>
      </c>
      <c r="C6808" s="2" t="s">
        <v>23689</v>
      </c>
      <c r="D6808" s="2">
        <v>18</v>
      </c>
      <c r="E6808" s="2">
        <v>20</v>
      </c>
      <c r="F6808" s="2" t="s">
        <v>23690</v>
      </c>
      <c r="H6808" s="2" t="s">
        <v>17</v>
      </c>
    </row>
    <row r="6809" spans="1:14">
      <c r="A6809" s="2">
        <v>6808</v>
      </c>
      <c r="B6809" s="3" t="s">
        <v>23691</v>
      </c>
      <c r="C6809" s="2" t="s">
        <v>23692</v>
      </c>
      <c r="D6809" s="2">
        <v>20</v>
      </c>
      <c r="E6809" s="2">
        <v>20</v>
      </c>
      <c r="F6809" s="2" t="s">
        <v>23693</v>
      </c>
      <c r="H6809" s="2" t="s">
        <v>17</v>
      </c>
      <c r="K6809" s="4" t="s">
        <v>23694</v>
      </c>
      <c r="L6809" s="4">
        <v>6390</v>
      </c>
      <c r="M6809" s="2" t="s">
        <v>91</v>
      </c>
      <c r="N6809" s="2" t="s">
        <v>11063</v>
      </c>
    </row>
    <row r="6810" spans="1:14">
      <c r="A6810" s="2">
        <v>6809</v>
      </c>
      <c r="B6810" s="3" t="s">
        <v>23695</v>
      </c>
      <c r="C6810" s="2" t="s">
        <v>23696</v>
      </c>
      <c r="D6810" s="2">
        <v>20</v>
      </c>
      <c r="E6810" s="2">
        <v>20</v>
      </c>
      <c r="F6810" s="2" t="s">
        <v>23697</v>
      </c>
      <c r="H6810" s="2" t="s">
        <v>17</v>
      </c>
      <c r="K6810" s="4" t="s">
        <v>23698</v>
      </c>
      <c r="M6810" s="2" t="s">
        <v>170</v>
      </c>
      <c r="N6810" s="2" t="s">
        <v>802</v>
      </c>
    </row>
    <row r="6811" spans="1:14">
      <c r="A6811" s="2">
        <v>6810</v>
      </c>
      <c r="B6811" s="3" t="s">
        <v>23699</v>
      </c>
      <c r="C6811" s="2" t="s">
        <v>23700</v>
      </c>
      <c r="D6811" s="2">
        <v>18</v>
      </c>
      <c r="E6811" s="2">
        <v>20</v>
      </c>
      <c r="F6811" s="2" t="s">
        <v>23701</v>
      </c>
      <c r="H6811" s="2" t="s">
        <v>17</v>
      </c>
      <c r="K6811" s="4" t="s">
        <v>23702</v>
      </c>
      <c r="L6811" s="4" t="s">
        <v>23703</v>
      </c>
      <c r="M6811" s="2" t="s">
        <v>198</v>
      </c>
      <c r="N6811" s="2" t="s">
        <v>199</v>
      </c>
    </row>
    <row r="6812" spans="1:14">
      <c r="A6812" s="2">
        <v>6811</v>
      </c>
      <c r="B6812" s="3" t="s">
        <v>23704</v>
      </c>
      <c r="C6812" s="2" t="s">
        <v>23705</v>
      </c>
      <c r="D6812" s="2">
        <v>19</v>
      </c>
      <c r="E6812" s="2">
        <v>20</v>
      </c>
      <c r="F6812" s="2" t="s">
        <v>23706</v>
      </c>
      <c r="H6812" s="2" t="s">
        <v>17</v>
      </c>
    </row>
    <row r="6813" spans="1:14">
      <c r="A6813" s="2">
        <v>6812</v>
      </c>
      <c r="B6813" s="3" t="s">
        <v>23707</v>
      </c>
      <c r="C6813" s="2" t="s">
        <v>23708</v>
      </c>
      <c r="D6813" s="2">
        <v>20</v>
      </c>
      <c r="E6813" s="2">
        <v>20</v>
      </c>
      <c r="F6813" s="2" t="s">
        <v>23709</v>
      </c>
      <c r="H6813" s="2" t="s">
        <v>17</v>
      </c>
    </row>
    <row r="6814" spans="1:14">
      <c r="A6814" s="2">
        <v>6813</v>
      </c>
      <c r="B6814" s="3" t="s">
        <v>23710</v>
      </c>
      <c r="C6814" s="2" t="s">
        <v>23711</v>
      </c>
      <c r="D6814" s="2">
        <v>17</v>
      </c>
      <c r="E6814" s="2">
        <v>20</v>
      </c>
      <c r="F6814" s="2" t="s">
        <v>23712</v>
      </c>
      <c r="H6814" s="2" t="s">
        <v>17</v>
      </c>
      <c r="L6814" s="4">
        <v>10341</v>
      </c>
    </row>
    <row r="6815" spans="1:14">
      <c r="A6815" s="2">
        <v>6814</v>
      </c>
      <c r="B6815" s="3" t="s">
        <v>23713</v>
      </c>
      <c r="C6815" s="2" t="s">
        <v>23714</v>
      </c>
      <c r="D6815" s="2">
        <v>20</v>
      </c>
      <c r="E6815" s="2">
        <v>20</v>
      </c>
      <c r="F6815" s="2" t="s">
        <v>23715</v>
      </c>
      <c r="H6815" s="2" t="s">
        <v>17</v>
      </c>
      <c r="L6815" s="4" t="s">
        <v>23716</v>
      </c>
    </row>
    <row r="6816" spans="1:14">
      <c r="A6816" s="2">
        <v>6815</v>
      </c>
      <c r="B6816" s="3" t="s">
        <v>23717</v>
      </c>
      <c r="C6816" s="2" t="s">
        <v>13255</v>
      </c>
      <c r="D6816" s="2">
        <v>20</v>
      </c>
      <c r="E6816" s="2">
        <v>20</v>
      </c>
      <c r="F6816" s="2" t="s">
        <v>23718</v>
      </c>
      <c r="H6816" s="2" t="s">
        <v>17</v>
      </c>
      <c r="L6816" s="4" t="s">
        <v>23719</v>
      </c>
    </row>
    <row r="6817" spans="1:14">
      <c r="A6817" s="2">
        <v>6816</v>
      </c>
      <c r="B6817" s="3" t="s">
        <v>23720</v>
      </c>
      <c r="C6817" s="2" t="s">
        <v>20907</v>
      </c>
      <c r="D6817" s="2">
        <v>20</v>
      </c>
      <c r="E6817" s="2">
        <v>20</v>
      </c>
      <c r="F6817" s="2" t="s">
        <v>23721</v>
      </c>
      <c r="H6817" s="2" t="s">
        <v>17</v>
      </c>
    </row>
    <row r="6818" spans="1:14">
      <c r="A6818" s="2">
        <v>6817</v>
      </c>
      <c r="B6818" s="3" t="s">
        <v>23722</v>
      </c>
      <c r="C6818" s="2" t="s">
        <v>15499</v>
      </c>
      <c r="D6818" s="2">
        <v>5</v>
      </c>
      <c r="E6818" s="2">
        <v>20</v>
      </c>
      <c r="F6818" s="2" t="s">
        <v>23723</v>
      </c>
      <c r="H6818" s="2" t="s">
        <v>17</v>
      </c>
      <c r="K6818" s="4" t="s">
        <v>23724</v>
      </c>
      <c r="L6818" s="4" t="s">
        <v>23725</v>
      </c>
      <c r="M6818" s="2" t="s">
        <v>170</v>
      </c>
      <c r="N6818" s="2" t="s">
        <v>323</v>
      </c>
    </row>
    <row r="6819" spans="1:14">
      <c r="A6819" s="2">
        <v>6818</v>
      </c>
      <c r="B6819" s="3" t="s">
        <v>23726</v>
      </c>
      <c r="C6819" s="2" t="s">
        <v>23727</v>
      </c>
      <c r="D6819" s="2">
        <v>10</v>
      </c>
      <c r="E6819" s="2">
        <v>20</v>
      </c>
      <c r="F6819" s="2" t="s">
        <v>23728</v>
      </c>
      <c r="H6819" s="2" t="s">
        <v>17</v>
      </c>
      <c r="K6819" s="4" t="s">
        <v>23729</v>
      </c>
      <c r="L6819" s="4">
        <v>3509</v>
      </c>
    </row>
    <row r="6820" spans="1:14">
      <c r="A6820" s="2">
        <v>6819</v>
      </c>
      <c r="B6820" s="3" t="s">
        <v>23730</v>
      </c>
      <c r="C6820" s="2" t="s">
        <v>23731</v>
      </c>
      <c r="D6820" s="2">
        <v>12</v>
      </c>
      <c r="E6820" s="2">
        <v>20</v>
      </c>
      <c r="F6820" s="2" t="s">
        <v>23732</v>
      </c>
      <c r="H6820" s="2" t="s">
        <v>17</v>
      </c>
      <c r="K6820" s="4" t="s">
        <v>23733</v>
      </c>
      <c r="L6820" s="4">
        <v>357</v>
      </c>
      <c r="M6820" s="2" t="s">
        <v>85</v>
      </c>
      <c r="N6820" s="2" t="s">
        <v>1254</v>
      </c>
    </row>
    <row r="6821" spans="1:14">
      <c r="A6821" s="2">
        <v>6820</v>
      </c>
      <c r="B6821" s="3" t="s">
        <v>23734</v>
      </c>
      <c r="C6821" s="2" t="s">
        <v>23735</v>
      </c>
      <c r="D6821" s="2">
        <v>20</v>
      </c>
      <c r="E6821" s="2">
        <v>20</v>
      </c>
      <c r="F6821" s="2" t="s">
        <v>23736</v>
      </c>
      <c r="H6821" s="2" t="s">
        <v>17</v>
      </c>
      <c r="K6821" s="4" t="s">
        <v>23737</v>
      </c>
      <c r="M6821" s="2" t="s">
        <v>185</v>
      </c>
    </row>
    <row r="6822" spans="1:14">
      <c r="A6822" s="2">
        <v>6821</v>
      </c>
      <c r="B6822" s="3" t="s">
        <v>23738</v>
      </c>
      <c r="C6822" s="2" t="s">
        <v>23739</v>
      </c>
      <c r="D6822" s="2">
        <v>17</v>
      </c>
      <c r="E6822" s="2">
        <v>20</v>
      </c>
      <c r="F6822" s="2" t="s">
        <v>23740</v>
      </c>
      <c r="H6822" s="2" t="s">
        <v>17</v>
      </c>
      <c r="L6822" s="4" t="s">
        <v>23741</v>
      </c>
    </row>
    <row r="6823" spans="1:14">
      <c r="A6823" s="2">
        <v>6822</v>
      </c>
      <c r="B6823" s="3" t="s">
        <v>23742</v>
      </c>
      <c r="C6823" s="2" t="s">
        <v>23743</v>
      </c>
      <c r="D6823" s="2">
        <v>10</v>
      </c>
      <c r="E6823" s="2">
        <v>20</v>
      </c>
      <c r="F6823" s="2" t="s">
        <v>23744</v>
      </c>
      <c r="H6823" s="2" t="s">
        <v>17</v>
      </c>
      <c r="K6823" s="4" t="s">
        <v>23745</v>
      </c>
      <c r="L6823" s="4" t="s">
        <v>18849</v>
      </c>
      <c r="M6823" s="2" t="s">
        <v>47</v>
      </c>
    </row>
    <row r="6824" spans="1:14">
      <c r="A6824" s="2">
        <v>6823</v>
      </c>
      <c r="B6824" s="3" t="s">
        <v>23746</v>
      </c>
      <c r="C6824" s="2" t="s">
        <v>23747</v>
      </c>
      <c r="D6824" s="2">
        <v>12</v>
      </c>
      <c r="E6824" s="2">
        <v>20</v>
      </c>
      <c r="F6824" s="2" t="s">
        <v>23748</v>
      </c>
      <c r="H6824" s="2" t="s">
        <v>17</v>
      </c>
      <c r="K6824" s="4" t="s">
        <v>23749</v>
      </c>
      <c r="L6824" s="4">
        <v>1596</v>
      </c>
      <c r="M6824" s="2" t="s">
        <v>85</v>
      </c>
      <c r="N6824" s="2" t="s">
        <v>1868</v>
      </c>
    </row>
    <row r="6825" spans="1:14">
      <c r="A6825" s="2">
        <v>6824</v>
      </c>
      <c r="B6825" s="3" t="s">
        <v>23750</v>
      </c>
      <c r="C6825" s="2" t="s">
        <v>23751</v>
      </c>
      <c r="D6825" s="2">
        <v>20</v>
      </c>
      <c r="E6825" s="2">
        <v>20</v>
      </c>
      <c r="F6825" s="2" t="s">
        <v>23752</v>
      </c>
      <c r="H6825" s="2" t="s">
        <v>17</v>
      </c>
      <c r="K6825" s="4" t="s">
        <v>23753</v>
      </c>
      <c r="L6825" s="4" t="s">
        <v>23754</v>
      </c>
      <c r="M6825" s="2" t="s">
        <v>198</v>
      </c>
      <c r="N6825" s="2" t="s">
        <v>5846</v>
      </c>
    </row>
    <row r="6826" spans="1:14">
      <c r="A6826" s="2">
        <v>6825</v>
      </c>
      <c r="B6826" s="3" t="s">
        <v>23755</v>
      </c>
      <c r="C6826" s="2" t="s">
        <v>23756</v>
      </c>
      <c r="D6826" s="2">
        <v>14</v>
      </c>
      <c r="E6826" s="2">
        <v>20</v>
      </c>
      <c r="F6826" s="2" t="s">
        <v>23757</v>
      </c>
      <c r="H6826" s="2" t="s">
        <v>17</v>
      </c>
      <c r="K6826" s="4" t="s">
        <v>23758</v>
      </c>
      <c r="L6826" s="4" t="s">
        <v>23759</v>
      </c>
      <c r="M6826" s="2" t="s">
        <v>185</v>
      </c>
      <c r="N6826" s="2" t="s">
        <v>20097</v>
      </c>
    </row>
    <row r="6827" spans="1:14">
      <c r="A6827" s="2">
        <v>6826</v>
      </c>
      <c r="B6827" s="3" t="s">
        <v>23760</v>
      </c>
      <c r="C6827" s="2" t="s">
        <v>23761</v>
      </c>
      <c r="D6827" s="2">
        <v>20</v>
      </c>
      <c r="E6827" s="2">
        <v>20</v>
      </c>
      <c r="F6827" s="2" t="s">
        <v>23762</v>
      </c>
      <c r="H6827" s="2" t="s">
        <v>17</v>
      </c>
      <c r="K6827" s="4" t="s">
        <v>23763</v>
      </c>
      <c r="L6827" s="4">
        <v>688</v>
      </c>
      <c r="M6827" s="2" t="s">
        <v>66</v>
      </c>
      <c r="N6827" s="2" t="s">
        <v>6644</v>
      </c>
    </row>
    <row r="6828" spans="1:14">
      <c r="A6828" s="2">
        <v>6827</v>
      </c>
      <c r="B6828" s="3" t="s">
        <v>23764</v>
      </c>
      <c r="C6828" s="2" t="s">
        <v>23765</v>
      </c>
      <c r="D6828" s="2">
        <v>18</v>
      </c>
      <c r="E6828" s="2">
        <v>20</v>
      </c>
      <c r="F6828" s="2" t="s">
        <v>23766</v>
      </c>
      <c r="H6828" s="2" t="s">
        <v>17</v>
      </c>
      <c r="K6828" s="4" t="s">
        <v>23767</v>
      </c>
      <c r="L6828" s="4" t="s">
        <v>23768</v>
      </c>
      <c r="M6828" s="2" t="s">
        <v>35</v>
      </c>
    </row>
    <row r="6829" spans="1:14">
      <c r="A6829" s="2">
        <v>6828</v>
      </c>
      <c r="B6829" s="3" t="s">
        <v>23769</v>
      </c>
      <c r="C6829" s="2" t="s">
        <v>23770</v>
      </c>
      <c r="D6829" s="2">
        <v>20</v>
      </c>
      <c r="E6829" s="2">
        <v>20</v>
      </c>
      <c r="F6829" s="2" t="s">
        <v>23771</v>
      </c>
      <c r="H6829" s="2" t="s">
        <v>17</v>
      </c>
      <c r="K6829" s="4" t="s">
        <v>23131</v>
      </c>
      <c r="L6829" s="4" t="s">
        <v>23772</v>
      </c>
      <c r="M6829" s="2" t="s">
        <v>76</v>
      </c>
      <c r="N6829" s="2" t="s">
        <v>906</v>
      </c>
    </row>
    <row r="6830" spans="1:14">
      <c r="A6830" s="2">
        <v>6829</v>
      </c>
      <c r="B6830" s="3" t="s">
        <v>23773</v>
      </c>
      <c r="C6830" s="2" t="s">
        <v>23774</v>
      </c>
      <c r="D6830" s="2">
        <v>15</v>
      </c>
      <c r="E6830" s="2">
        <v>20</v>
      </c>
      <c r="F6830" s="2" t="s">
        <v>23775</v>
      </c>
      <c r="H6830" s="2" t="s">
        <v>17</v>
      </c>
      <c r="K6830" s="4" t="s">
        <v>23776</v>
      </c>
      <c r="L6830" s="4" t="s">
        <v>23777</v>
      </c>
      <c r="M6830" s="2" t="s">
        <v>336</v>
      </c>
      <c r="N6830" s="2" t="s">
        <v>23778</v>
      </c>
    </row>
    <row r="6831" spans="1:14">
      <c r="A6831" s="2">
        <v>6830</v>
      </c>
      <c r="B6831" s="3" t="s">
        <v>23779</v>
      </c>
      <c r="C6831" s="2" t="s">
        <v>23780</v>
      </c>
      <c r="D6831" s="2">
        <v>14</v>
      </c>
      <c r="E6831" s="2">
        <v>20</v>
      </c>
      <c r="F6831" s="2" t="s">
        <v>23781</v>
      </c>
      <c r="H6831" s="2" t="s">
        <v>17</v>
      </c>
      <c r="K6831" s="4" t="s">
        <v>23782</v>
      </c>
      <c r="L6831" s="4">
        <v>3795</v>
      </c>
      <c r="M6831" s="2" t="s">
        <v>198</v>
      </c>
    </row>
    <row r="6832" spans="1:14">
      <c r="A6832" s="2">
        <v>6831</v>
      </c>
      <c r="B6832" s="3" t="s">
        <v>23783</v>
      </c>
      <c r="C6832" s="2" t="s">
        <v>23784</v>
      </c>
      <c r="D6832" s="2">
        <v>20</v>
      </c>
      <c r="E6832" s="2">
        <v>20</v>
      </c>
      <c r="F6832" s="2" t="s">
        <v>23785</v>
      </c>
      <c r="H6832" s="2" t="s">
        <v>17</v>
      </c>
      <c r="K6832" s="4" t="s">
        <v>23786</v>
      </c>
      <c r="L6832" s="4" t="s">
        <v>23787</v>
      </c>
      <c r="M6832" s="2" t="s">
        <v>154</v>
      </c>
      <c r="N6832" s="2" t="s">
        <v>4862</v>
      </c>
    </row>
    <row r="6833" spans="1:14">
      <c r="A6833" s="2">
        <v>6832</v>
      </c>
      <c r="B6833" s="3" t="s">
        <v>23788</v>
      </c>
      <c r="C6833" s="2" t="s">
        <v>23789</v>
      </c>
      <c r="D6833" s="2">
        <v>20</v>
      </c>
      <c r="E6833" s="2">
        <v>20</v>
      </c>
      <c r="F6833" s="2" t="s">
        <v>23790</v>
      </c>
      <c r="H6833" s="2" t="s">
        <v>17</v>
      </c>
      <c r="K6833" s="4" t="s">
        <v>23791</v>
      </c>
      <c r="L6833" s="4">
        <v>10874</v>
      </c>
      <c r="M6833" s="2" t="s">
        <v>53</v>
      </c>
      <c r="N6833" s="2" t="s">
        <v>54</v>
      </c>
    </row>
    <row r="6834" spans="1:14">
      <c r="A6834" s="2">
        <v>6833</v>
      </c>
      <c r="B6834" s="3" t="s">
        <v>23792</v>
      </c>
      <c r="C6834" s="2" t="s">
        <v>23793</v>
      </c>
      <c r="D6834" s="2">
        <v>18</v>
      </c>
      <c r="E6834" s="2">
        <v>19</v>
      </c>
      <c r="F6834" s="2" t="s">
        <v>23794</v>
      </c>
      <c r="H6834" s="2" t="s">
        <v>17</v>
      </c>
      <c r="L6834" s="4">
        <v>2756</v>
      </c>
    </row>
    <row r="6835" spans="1:14">
      <c r="A6835" s="2">
        <v>6834</v>
      </c>
      <c r="B6835" s="3" t="s">
        <v>23795</v>
      </c>
      <c r="C6835" s="2" t="s">
        <v>23796</v>
      </c>
      <c r="D6835" s="2">
        <v>18</v>
      </c>
      <c r="E6835" s="2">
        <v>19</v>
      </c>
      <c r="F6835" s="2" t="s">
        <v>23797</v>
      </c>
      <c r="H6835" s="2" t="s">
        <v>17</v>
      </c>
      <c r="L6835" s="4" t="s">
        <v>23798</v>
      </c>
      <c r="M6835" s="2" t="s">
        <v>185</v>
      </c>
    </row>
    <row r="6836" spans="1:14">
      <c r="A6836" s="2">
        <v>6835</v>
      </c>
      <c r="B6836" s="3" t="s">
        <v>23799</v>
      </c>
      <c r="C6836" s="2" t="s">
        <v>23800</v>
      </c>
      <c r="D6836" s="2">
        <v>19</v>
      </c>
      <c r="E6836" s="2">
        <v>19</v>
      </c>
      <c r="F6836" s="2" t="s">
        <v>23801</v>
      </c>
      <c r="H6836" s="2" t="s">
        <v>17</v>
      </c>
      <c r="L6836" s="4">
        <v>3254</v>
      </c>
    </row>
    <row r="6837" spans="1:14">
      <c r="A6837" s="2">
        <v>6836</v>
      </c>
      <c r="B6837" s="3" t="s">
        <v>23802</v>
      </c>
      <c r="C6837" s="2" t="s">
        <v>17666</v>
      </c>
      <c r="D6837" s="2">
        <v>19</v>
      </c>
      <c r="E6837" s="2">
        <v>19</v>
      </c>
      <c r="F6837" s="2" t="s">
        <v>23803</v>
      </c>
      <c r="H6837" s="2" t="s">
        <v>17</v>
      </c>
      <c r="K6837" s="4" t="s">
        <v>23804</v>
      </c>
      <c r="L6837" s="4" t="s">
        <v>23805</v>
      </c>
      <c r="M6837" s="2" t="s">
        <v>47</v>
      </c>
      <c r="N6837" s="2" t="s">
        <v>691</v>
      </c>
    </row>
    <row r="6838" spans="1:14">
      <c r="A6838" s="2">
        <v>6837</v>
      </c>
      <c r="B6838" s="3" t="s">
        <v>23806</v>
      </c>
      <c r="C6838" s="2" t="s">
        <v>23807</v>
      </c>
      <c r="D6838" s="2">
        <v>17</v>
      </c>
      <c r="E6838" s="2">
        <v>19</v>
      </c>
      <c r="F6838" s="2" t="s">
        <v>23808</v>
      </c>
      <c r="H6838" s="2" t="s">
        <v>17</v>
      </c>
      <c r="M6838" s="2" t="s">
        <v>198</v>
      </c>
      <c r="N6838" s="2" t="s">
        <v>199</v>
      </c>
    </row>
    <row r="6839" spans="1:14">
      <c r="A6839" s="2">
        <v>6838</v>
      </c>
      <c r="B6839" s="3" t="s">
        <v>23809</v>
      </c>
      <c r="C6839" s="2" t="s">
        <v>23810</v>
      </c>
      <c r="D6839" s="2">
        <v>18</v>
      </c>
      <c r="E6839" s="2">
        <v>19</v>
      </c>
      <c r="F6839" s="2" t="s">
        <v>23811</v>
      </c>
      <c r="H6839" s="2" t="s">
        <v>17</v>
      </c>
      <c r="K6839" s="4" t="s">
        <v>23812</v>
      </c>
      <c r="L6839" s="4">
        <v>152</v>
      </c>
      <c r="M6839" s="2" t="s">
        <v>85</v>
      </c>
    </row>
    <row r="6840" spans="1:14">
      <c r="A6840" s="2">
        <v>6839</v>
      </c>
      <c r="B6840" s="3" t="s">
        <v>23813</v>
      </c>
      <c r="C6840" s="2" t="s">
        <v>23814</v>
      </c>
      <c r="D6840" s="2">
        <v>18</v>
      </c>
      <c r="E6840" s="2">
        <v>19</v>
      </c>
      <c r="F6840" s="2" t="s">
        <v>23815</v>
      </c>
      <c r="H6840" s="2" t="s">
        <v>17</v>
      </c>
    </row>
    <row r="6841" spans="1:14">
      <c r="A6841" s="2">
        <v>6840</v>
      </c>
      <c r="B6841" s="3" t="s">
        <v>23816</v>
      </c>
      <c r="C6841" s="2" t="s">
        <v>23817</v>
      </c>
      <c r="D6841" s="2">
        <v>8</v>
      </c>
      <c r="E6841" s="2">
        <v>19</v>
      </c>
      <c r="F6841" s="2" t="s">
        <v>23818</v>
      </c>
      <c r="H6841" s="2" t="s">
        <v>17</v>
      </c>
      <c r="L6841" s="4" t="s">
        <v>23819</v>
      </c>
    </row>
    <row r="6842" spans="1:14">
      <c r="A6842" s="2">
        <v>6841</v>
      </c>
      <c r="B6842" s="3" t="s">
        <v>23820</v>
      </c>
      <c r="C6842" s="2" t="s">
        <v>23821</v>
      </c>
      <c r="D6842" s="2">
        <v>9</v>
      </c>
      <c r="E6842" s="2">
        <v>19</v>
      </c>
      <c r="F6842" s="2" t="s">
        <v>23822</v>
      </c>
      <c r="H6842" s="2" t="s">
        <v>17</v>
      </c>
      <c r="K6842" s="4" t="s">
        <v>23823</v>
      </c>
      <c r="L6842" s="4" t="s">
        <v>23824</v>
      </c>
      <c r="M6842" s="2" t="s">
        <v>198</v>
      </c>
    </row>
    <row r="6843" spans="1:14">
      <c r="A6843" s="2">
        <v>6842</v>
      </c>
      <c r="B6843" s="3" t="s">
        <v>23825</v>
      </c>
      <c r="C6843" s="2" t="s">
        <v>23826</v>
      </c>
      <c r="D6843" s="2">
        <v>13</v>
      </c>
      <c r="E6843" s="2">
        <v>19</v>
      </c>
      <c r="F6843" s="2" t="s">
        <v>23827</v>
      </c>
      <c r="H6843" s="2" t="s">
        <v>17</v>
      </c>
      <c r="K6843" s="4" t="s">
        <v>23828</v>
      </c>
      <c r="L6843" s="4">
        <v>102</v>
      </c>
      <c r="M6843" s="2" t="s">
        <v>85</v>
      </c>
    </row>
    <row r="6844" spans="1:14">
      <c r="A6844" s="2">
        <v>6843</v>
      </c>
      <c r="B6844" s="3" t="s">
        <v>23829</v>
      </c>
      <c r="C6844" s="2" t="s">
        <v>23830</v>
      </c>
      <c r="D6844" s="2">
        <v>17</v>
      </c>
      <c r="E6844" s="2">
        <v>19</v>
      </c>
      <c r="F6844" s="2" t="s">
        <v>23831</v>
      </c>
      <c r="H6844" s="2" t="s">
        <v>17</v>
      </c>
      <c r="L6844" s="4" t="s">
        <v>23832</v>
      </c>
      <c r="M6844" s="2" t="s">
        <v>66</v>
      </c>
    </row>
    <row r="6845" spans="1:14">
      <c r="A6845" s="2">
        <v>6844</v>
      </c>
      <c r="B6845" s="3" t="s">
        <v>23833</v>
      </c>
      <c r="C6845" s="2" t="s">
        <v>23834</v>
      </c>
      <c r="D6845" s="2">
        <v>19</v>
      </c>
      <c r="E6845" s="2">
        <v>19</v>
      </c>
      <c r="F6845" s="2" t="s">
        <v>23835</v>
      </c>
      <c r="H6845" s="2" t="s">
        <v>17</v>
      </c>
      <c r="K6845" s="4" t="s">
        <v>23836</v>
      </c>
      <c r="L6845" s="4">
        <v>4928</v>
      </c>
      <c r="M6845" s="2" t="s">
        <v>47</v>
      </c>
      <c r="N6845" s="2" t="s">
        <v>442</v>
      </c>
    </row>
    <row r="6846" spans="1:14">
      <c r="A6846" s="2">
        <v>6845</v>
      </c>
      <c r="B6846" s="3" t="s">
        <v>23837</v>
      </c>
      <c r="C6846" s="2" t="s">
        <v>23838</v>
      </c>
      <c r="D6846" s="2">
        <v>17</v>
      </c>
      <c r="E6846" s="2">
        <v>19</v>
      </c>
      <c r="F6846" s="2" t="s">
        <v>23839</v>
      </c>
      <c r="H6846" s="2" t="s">
        <v>17</v>
      </c>
      <c r="L6846" s="4">
        <v>2652</v>
      </c>
      <c r="M6846" s="2" t="s">
        <v>40</v>
      </c>
    </row>
    <row r="6847" spans="1:14">
      <c r="A6847" s="2">
        <v>6846</v>
      </c>
      <c r="B6847" s="3" t="s">
        <v>23840</v>
      </c>
      <c r="C6847" s="2" t="s">
        <v>23841</v>
      </c>
      <c r="D6847" s="2">
        <v>18</v>
      </c>
      <c r="E6847" s="2">
        <v>19</v>
      </c>
      <c r="F6847" s="2" t="s">
        <v>23842</v>
      </c>
      <c r="H6847" s="2" t="s">
        <v>17</v>
      </c>
      <c r="K6847" s="4" t="s">
        <v>23843</v>
      </c>
      <c r="L6847" s="4">
        <v>9405</v>
      </c>
      <c r="M6847" s="2" t="s">
        <v>40</v>
      </c>
      <c r="N6847" s="2" t="s">
        <v>41</v>
      </c>
    </row>
    <row r="6848" spans="1:14">
      <c r="A6848" s="2">
        <v>6847</v>
      </c>
      <c r="B6848" s="3" t="s">
        <v>23844</v>
      </c>
      <c r="C6848" s="2" t="s">
        <v>17030</v>
      </c>
      <c r="D6848" s="2">
        <v>18</v>
      </c>
      <c r="E6848" s="2">
        <v>19</v>
      </c>
      <c r="F6848" s="2" t="s">
        <v>23845</v>
      </c>
      <c r="H6848" s="2" t="s">
        <v>17</v>
      </c>
      <c r="K6848" s="4" t="s">
        <v>23846</v>
      </c>
      <c r="L6848" s="4" t="s">
        <v>23847</v>
      </c>
      <c r="M6848" s="2" t="s">
        <v>140</v>
      </c>
      <c r="N6848" s="2" t="s">
        <v>11104</v>
      </c>
    </row>
    <row r="6849" spans="1:14">
      <c r="A6849" s="2">
        <v>6848</v>
      </c>
      <c r="B6849" s="3" t="s">
        <v>23848</v>
      </c>
      <c r="C6849" s="2" t="s">
        <v>23849</v>
      </c>
      <c r="D6849" s="2">
        <v>19</v>
      </c>
      <c r="E6849" s="2">
        <v>19</v>
      </c>
      <c r="F6849" s="2" t="s">
        <v>23850</v>
      </c>
      <c r="H6849" s="2" t="s">
        <v>17</v>
      </c>
    </row>
    <row r="6850" spans="1:14">
      <c r="A6850" s="2">
        <v>6849</v>
      </c>
      <c r="B6850" s="3" t="s">
        <v>23851</v>
      </c>
      <c r="C6850" s="2" t="s">
        <v>23852</v>
      </c>
      <c r="D6850" s="2">
        <v>16</v>
      </c>
      <c r="E6850" s="2">
        <v>19</v>
      </c>
      <c r="F6850" s="2" t="s">
        <v>23853</v>
      </c>
      <c r="H6850" s="2" t="s">
        <v>17</v>
      </c>
      <c r="M6850" s="2" t="s">
        <v>76</v>
      </c>
      <c r="N6850" s="2" t="s">
        <v>14023</v>
      </c>
    </row>
    <row r="6851" spans="1:14">
      <c r="A6851" s="2">
        <v>6850</v>
      </c>
      <c r="B6851" s="3" t="s">
        <v>23854</v>
      </c>
      <c r="C6851" s="2" t="s">
        <v>23855</v>
      </c>
      <c r="D6851" s="2">
        <v>19</v>
      </c>
      <c r="E6851" s="2">
        <v>19</v>
      </c>
      <c r="F6851" s="2" t="s">
        <v>23856</v>
      </c>
      <c r="H6851" s="2" t="s">
        <v>17</v>
      </c>
      <c r="K6851" s="4" t="s">
        <v>23857</v>
      </c>
      <c r="L6851" s="4">
        <v>3664</v>
      </c>
      <c r="M6851" s="2" t="s">
        <v>76</v>
      </c>
      <c r="N6851" s="2" t="s">
        <v>7014</v>
      </c>
    </row>
    <row r="6852" spans="1:14">
      <c r="A6852" s="2">
        <v>6851</v>
      </c>
      <c r="B6852" s="3" t="s">
        <v>23858</v>
      </c>
      <c r="C6852" s="2" t="s">
        <v>23859</v>
      </c>
      <c r="D6852" s="2">
        <v>19</v>
      </c>
      <c r="E6852" s="2">
        <v>19</v>
      </c>
      <c r="F6852" s="2" t="s">
        <v>23860</v>
      </c>
      <c r="H6852" s="2" t="s">
        <v>17</v>
      </c>
      <c r="K6852" s="4" t="s">
        <v>23861</v>
      </c>
      <c r="L6852" s="4">
        <v>3370</v>
      </c>
      <c r="M6852" s="2" t="s">
        <v>164</v>
      </c>
      <c r="N6852" s="2" t="s">
        <v>13311</v>
      </c>
    </row>
    <row r="6853" spans="1:14">
      <c r="A6853" s="2">
        <v>6852</v>
      </c>
      <c r="B6853" s="3" t="s">
        <v>23862</v>
      </c>
      <c r="C6853" s="2" t="s">
        <v>23863</v>
      </c>
      <c r="D6853" s="2">
        <v>14</v>
      </c>
      <c r="E6853" s="2">
        <v>19</v>
      </c>
      <c r="F6853" s="2" t="s">
        <v>23864</v>
      </c>
      <c r="H6853" s="2" t="s">
        <v>17</v>
      </c>
    </row>
    <row r="6854" spans="1:14">
      <c r="A6854" s="2">
        <v>6853</v>
      </c>
      <c r="B6854" s="3" t="s">
        <v>23865</v>
      </c>
      <c r="C6854" s="2" t="s">
        <v>23866</v>
      </c>
      <c r="D6854" s="2">
        <v>11</v>
      </c>
      <c r="E6854" s="2">
        <v>19</v>
      </c>
      <c r="F6854" s="2" t="s">
        <v>23867</v>
      </c>
      <c r="H6854" s="2" t="s">
        <v>17</v>
      </c>
      <c r="L6854" s="4" t="s">
        <v>23868</v>
      </c>
      <c r="M6854" s="2" t="s">
        <v>198</v>
      </c>
    </row>
    <row r="6855" spans="1:14">
      <c r="A6855" s="2">
        <v>6854</v>
      </c>
      <c r="B6855" s="3" t="s">
        <v>23869</v>
      </c>
      <c r="C6855" s="2" t="s">
        <v>23870</v>
      </c>
      <c r="D6855" s="2">
        <v>13</v>
      </c>
      <c r="E6855" s="2">
        <v>19</v>
      </c>
      <c r="F6855" s="2" t="s">
        <v>23871</v>
      </c>
      <c r="H6855" s="2" t="s">
        <v>17</v>
      </c>
      <c r="K6855" s="4" t="s">
        <v>23872</v>
      </c>
      <c r="L6855" s="4">
        <v>11572</v>
      </c>
      <c r="M6855" s="2" t="s">
        <v>35</v>
      </c>
      <c r="N6855" s="2" t="s">
        <v>10783</v>
      </c>
    </row>
    <row r="6856" spans="1:14">
      <c r="A6856" s="2">
        <v>6855</v>
      </c>
      <c r="B6856" s="3" t="s">
        <v>23873</v>
      </c>
      <c r="C6856" s="2" t="s">
        <v>23874</v>
      </c>
      <c r="D6856" s="2">
        <v>12</v>
      </c>
      <c r="E6856" s="2">
        <v>19</v>
      </c>
      <c r="F6856" s="2" t="s">
        <v>23875</v>
      </c>
      <c r="H6856" s="2" t="s">
        <v>17</v>
      </c>
      <c r="K6856" s="4" t="s">
        <v>23876</v>
      </c>
      <c r="L6856" s="4">
        <v>4550</v>
      </c>
      <c r="M6856" s="2" t="s">
        <v>40</v>
      </c>
      <c r="N6856" s="2" t="s">
        <v>9352</v>
      </c>
    </row>
    <row r="6857" spans="1:14">
      <c r="A6857" s="2">
        <v>6856</v>
      </c>
      <c r="B6857" s="3" t="s">
        <v>23877</v>
      </c>
      <c r="C6857" s="2" t="s">
        <v>23878</v>
      </c>
      <c r="D6857" s="2">
        <v>16</v>
      </c>
      <c r="E6857" s="2">
        <v>19</v>
      </c>
      <c r="F6857" s="2" t="s">
        <v>23879</v>
      </c>
      <c r="H6857" s="2" t="s">
        <v>17</v>
      </c>
      <c r="K6857" s="4" t="s">
        <v>23880</v>
      </c>
      <c r="L6857" s="4">
        <v>2493</v>
      </c>
      <c r="M6857" s="2" t="s">
        <v>40</v>
      </c>
      <c r="N6857" s="2" t="s">
        <v>20441</v>
      </c>
    </row>
    <row r="6858" spans="1:14">
      <c r="A6858" s="2">
        <v>6857</v>
      </c>
      <c r="B6858" s="3" t="s">
        <v>23881</v>
      </c>
      <c r="C6858" s="2" t="s">
        <v>22762</v>
      </c>
      <c r="D6858" s="2">
        <v>19</v>
      </c>
      <c r="E6858" s="2">
        <v>19</v>
      </c>
      <c r="F6858" s="2" t="s">
        <v>23882</v>
      </c>
      <c r="H6858" s="2" t="s">
        <v>17</v>
      </c>
    </row>
    <row r="6859" spans="1:14">
      <c r="A6859" s="2">
        <v>6858</v>
      </c>
      <c r="B6859" s="3" t="s">
        <v>23883</v>
      </c>
      <c r="C6859" s="2" t="s">
        <v>23884</v>
      </c>
      <c r="D6859" s="2">
        <v>17</v>
      </c>
      <c r="E6859" s="2">
        <v>19</v>
      </c>
      <c r="F6859" s="2" t="s">
        <v>23885</v>
      </c>
      <c r="H6859" s="2" t="s">
        <v>17</v>
      </c>
    </row>
    <row r="6860" spans="1:14">
      <c r="A6860" s="2">
        <v>6859</v>
      </c>
      <c r="B6860" s="3" t="s">
        <v>23886</v>
      </c>
      <c r="C6860" s="2" t="s">
        <v>23887</v>
      </c>
      <c r="D6860" s="2">
        <v>19</v>
      </c>
      <c r="E6860" s="2">
        <v>19</v>
      </c>
      <c r="F6860" s="2" t="s">
        <v>23888</v>
      </c>
      <c r="H6860" s="2" t="s">
        <v>17</v>
      </c>
      <c r="K6860" s="4" t="s">
        <v>23889</v>
      </c>
      <c r="L6860" s="4">
        <v>7302</v>
      </c>
      <c r="M6860" s="2" t="s">
        <v>66</v>
      </c>
      <c r="N6860" s="2" t="s">
        <v>3262</v>
      </c>
    </row>
    <row r="6861" spans="1:14">
      <c r="A6861" s="2">
        <v>6860</v>
      </c>
      <c r="B6861" s="3" t="s">
        <v>23890</v>
      </c>
      <c r="C6861" s="2" t="s">
        <v>23891</v>
      </c>
      <c r="D6861" s="2">
        <v>17</v>
      </c>
      <c r="E6861" s="2">
        <v>19</v>
      </c>
      <c r="F6861" s="2" t="s">
        <v>23892</v>
      </c>
      <c r="H6861" s="2" t="s">
        <v>17</v>
      </c>
      <c r="K6861" s="4" t="s">
        <v>23893</v>
      </c>
      <c r="L6861" s="4">
        <v>6371</v>
      </c>
      <c r="M6861" s="2" t="s">
        <v>198</v>
      </c>
      <c r="N6861" s="2" t="s">
        <v>5846</v>
      </c>
    </row>
    <row r="6862" spans="1:14">
      <c r="A6862" s="2">
        <v>6861</v>
      </c>
      <c r="B6862" s="3" t="s">
        <v>23894</v>
      </c>
      <c r="C6862" s="2" t="s">
        <v>23895</v>
      </c>
      <c r="D6862" s="2">
        <v>18</v>
      </c>
      <c r="E6862" s="2">
        <v>19</v>
      </c>
      <c r="F6862" s="2" t="s">
        <v>23896</v>
      </c>
      <c r="H6862" s="2" t="s">
        <v>17</v>
      </c>
    </row>
    <row r="6863" spans="1:14">
      <c r="A6863" s="2">
        <v>6862</v>
      </c>
      <c r="B6863" s="3" t="s">
        <v>23897</v>
      </c>
      <c r="C6863" s="2" t="s">
        <v>23898</v>
      </c>
      <c r="D6863" s="2">
        <v>18</v>
      </c>
      <c r="E6863" s="2">
        <v>19</v>
      </c>
      <c r="F6863" s="2" t="s">
        <v>23899</v>
      </c>
      <c r="H6863" s="2" t="s">
        <v>17</v>
      </c>
      <c r="K6863" s="4" t="s">
        <v>23900</v>
      </c>
      <c r="M6863" s="2" t="s">
        <v>170</v>
      </c>
      <c r="N6863" s="2" t="s">
        <v>12332</v>
      </c>
    </row>
    <row r="6864" spans="1:14">
      <c r="A6864" s="2">
        <v>6863</v>
      </c>
      <c r="B6864" s="3" t="s">
        <v>23901</v>
      </c>
      <c r="C6864" s="2" t="s">
        <v>23902</v>
      </c>
      <c r="D6864" s="2">
        <v>19</v>
      </c>
      <c r="E6864" s="2">
        <v>19</v>
      </c>
      <c r="F6864" s="2" t="s">
        <v>23903</v>
      </c>
      <c r="H6864" s="2" t="s">
        <v>17</v>
      </c>
      <c r="K6864" s="4">
        <v>11814</v>
      </c>
      <c r="L6864" s="4">
        <v>6358</v>
      </c>
      <c r="M6864" s="2" t="s">
        <v>91</v>
      </c>
      <c r="N6864" s="2" t="s">
        <v>20293</v>
      </c>
    </row>
    <row r="6865" spans="1:14">
      <c r="A6865" s="2">
        <v>6864</v>
      </c>
      <c r="B6865" s="3" t="s">
        <v>23904</v>
      </c>
      <c r="C6865" s="2" t="s">
        <v>23905</v>
      </c>
      <c r="D6865" s="2">
        <v>19</v>
      </c>
      <c r="E6865" s="2">
        <v>19</v>
      </c>
      <c r="F6865" s="2" t="s">
        <v>23906</v>
      </c>
      <c r="H6865" s="2" t="s">
        <v>17</v>
      </c>
      <c r="K6865" s="4" t="s">
        <v>23907</v>
      </c>
      <c r="L6865" s="4">
        <v>7412</v>
      </c>
      <c r="M6865" s="2" t="s">
        <v>18</v>
      </c>
      <c r="N6865" s="2" t="s">
        <v>19</v>
      </c>
    </row>
    <row r="6866" spans="1:14">
      <c r="A6866" s="2">
        <v>6865</v>
      </c>
      <c r="B6866" s="3" t="s">
        <v>23908</v>
      </c>
      <c r="C6866" s="2" t="s">
        <v>20360</v>
      </c>
      <c r="D6866" s="2">
        <v>12</v>
      </c>
      <c r="E6866" s="2">
        <v>19</v>
      </c>
      <c r="F6866" s="2" t="s">
        <v>23909</v>
      </c>
      <c r="H6866" s="2" t="s">
        <v>17</v>
      </c>
      <c r="K6866" s="4" t="s">
        <v>23910</v>
      </c>
      <c r="L6866" s="4" t="s">
        <v>23911</v>
      </c>
      <c r="M6866" s="2" t="s">
        <v>336</v>
      </c>
    </row>
    <row r="6867" spans="1:14">
      <c r="A6867" s="2">
        <v>6866</v>
      </c>
      <c r="B6867" s="3" t="s">
        <v>23912</v>
      </c>
      <c r="C6867" s="2" t="s">
        <v>23913</v>
      </c>
      <c r="D6867" s="2">
        <v>17</v>
      </c>
      <c r="E6867" s="2">
        <v>19</v>
      </c>
      <c r="F6867" s="2" t="s">
        <v>23914</v>
      </c>
      <c r="H6867" s="2" t="s">
        <v>17</v>
      </c>
      <c r="L6867" s="4" t="s">
        <v>23915</v>
      </c>
      <c r="M6867" s="2" t="s">
        <v>47</v>
      </c>
      <c r="N6867" s="2" t="s">
        <v>1538</v>
      </c>
    </row>
    <row r="6868" spans="1:14">
      <c r="A6868" s="2">
        <v>6867</v>
      </c>
      <c r="B6868" s="3" t="s">
        <v>23916</v>
      </c>
      <c r="C6868" s="2" t="s">
        <v>23917</v>
      </c>
      <c r="D6868" s="2">
        <v>11</v>
      </c>
      <c r="E6868" s="2">
        <v>19</v>
      </c>
      <c r="F6868" s="2" t="s">
        <v>23918</v>
      </c>
      <c r="H6868" s="2" t="s">
        <v>17</v>
      </c>
      <c r="K6868" s="4" t="s">
        <v>23919</v>
      </c>
      <c r="L6868" s="4" t="s">
        <v>14052</v>
      </c>
      <c r="M6868" s="2" t="s">
        <v>18</v>
      </c>
      <c r="N6868" s="2" t="s">
        <v>19</v>
      </c>
    </row>
    <row r="6869" spans="1:14">
      <c r="A6869" s="2">
        <v>6868</v>
      </c>
      <c r="B6869" s="3" t="s">
        <v>23920</v>
      </c>
      <c r="C6869" s="2" t="s">
        <v>20115</v>
      </c>
      <c r="D6869" s="2">
        <v>19</v>
      </c>
      <c r="E6869" s="2">
        <v>19</v>
      </c>
      <c r="F6869" s="2" t="s">
        <v>23921</v>
      </c>
      <c r="H6869" s="2" t="s">
        <v>17</v>
      </c>
      <c r="K6869" s="4" t="s">
        <v>23922</v>
      </c>
      <c r="L6869" s="4">
        <v>1068</v>
      </c>
      <c r="M6869" s="2" t="s">
        <v>47</v>
      </c>
      <c r="N6869" s="2" t="s">
        <v>1863</v>
      </c>
    </row>
    <row r="6870" spans="1:14">
      <c r="A6870" s="2">
        <v>6869</v>
      </c>
      <c r="B6870" s="3" t="s">
        <v>23923</v>
      </c>
      <c r="C6870" s="2" t="s">
        <v>23924</v>
      </c>
      <c r="D6870" s="2">
        <v>19</v>
      </c>
      <c r="E6870" s="2">
        <v>19</v>
      </c>
      <c r="F6870" s="2" t="s">
        <v>23925</v>
      </c>
      <c r="H6870" s="2" t="s">
        <v>17</v>
      </c>
      <c r="K6870" s="4" t="s">
        <v>23926</v>
      </c>
      <c r="L6870" s="4">
        <v>6853</v>
      </c>
      <c r="M6870" s="2" t="s">
        <v>35</v>
      </c>
      <c r="N6870" s="2" t="s">
        <v>12700</v>
      </c>
    </row>
    <row r="6871" spans="1:14">
      <c r="A6871" s="2">
        <v>6870</v>
      </c>
      <c r="B6871" s="3" t="s">
        <v>23927</v>
      </c>
      <c r="C6871" s="2" t="s">
        <v>23928</v>
      </c>
      <c r="D6871" s="2">
        <v>19</v>
      </c>
      <c r="E6871" s="2">
        <v>19</v>
      </c>
      <c r="F6871" s="2" t="s">
        <v>23929</v>
      </c>
      <c r="H6871" s="2" t="s">
        <v>17</v>
      </c>
      <c r="K6871" s="4" t="s">
        <v>23930</v>
      </c>
      <c r="L6871" s="4">
        <v>997</v>
      </c>
      <c r="M6871" s="2" t="s">
        <v>91</v>
      </c>
    </row>
    <row r="6872" spans="1:14">
      <c r="A6872" s="2">
        <v>6871</v>
      </c>
      <c r="B6872" s="3" t="s">
        <v>23931</v>
      </c>
      <c r="C6872" s="2" t="s">
        <v>23932</v>
      </c>
      <c r="D6872" s="2">
        <v>19</v>
      </c>
      <c r="E6872" s="2">
        <v>19</v>
      </c>
      <c r="F6872" s="2" t="s">
        <v>23933</v>
      </c>
      <c r="H6872" s="2" t="s">
        <v>17</v>
      </c>
      <c r="K6872" s="4" t="s">
        <v>23934</v>
      </c>
      <c r="L6872" s="4">
        <v>2263</v>
      </c>
      <c r="M6872" s="2" t="s">
        <v>66</v>
      </c>
      <c r="N6872" s="2" t="s">
        <v>1021</v>
      </c>
    </row>
    <row r="6873" spans="1:14">
      <c r="A6873" s="2">
        <v>6872</v>
      </c>
      <c r="B6873" s="3" t="s">
        <v>23935</v>
      </c>
      <c r="C6873" s="2" t="s">
        <v>23936</v>
      </c>
      <c r="D6873" s="2">
        <v>19</v>
      </c>
      <c r="E6873" s="2">
        <v>19</v>
      </c>
      <c r="F6873" s="2" t="s">
        <v>23937</v>
      </c>
      <c r="H6873" s="2" t="s">
        <v>17</v>
      </c>
      <c r="K6873" s="4" t="s">
        <v>23938</v>
      </c>
      <c r="L6873" s="4">
        <v>645</v>
      </c>
      <c r="M6873" s="2" t="s">
        <v>423</v>
      </c>
      <c r="N6873" s="2" t="s">
        <v>3005</v>
      </c>
    </row>
    <row r="6874" spans="1:14">
      <c r="A6874" s="2">
        <v>6873</v>
      </c>
      <c r="B6874" s="3" t="s">
        <v>23939</v>
      </c>
      <c r="C6874" s="2" t="s">
        <v>23940</v>
      </c>
      <c r="D6874" s="2">
        <v>17</v>
      </c>
      <c r="E6874" s="2">
        <v>19</v>
      </c>
      <c r="F6874" s="2" t="s">
        <v>23941</v>
      </c>
      <c r="H6874" s="2" t="s">
        <v>17</v>
      </c>
      <c r="K6874" s="4" t="s">
        <v>23942</v>
      </c>
      <c r="L6874" s="4">
        <v>5808</v>
      </c>
    </row>
    <row r="6875" spans="1:14">
      <c r="A6875" s="2">
        <v>6874</v>
      </c>
      <c r="B6875" s="3" t="s">
        <v>23943</v>
      </c>
      <c r="C6875" s="2" t="s">
        <v>23944</v>
      </c>
      <c r="D6875" s="2">
        <v>18</v>
      </c>
      <c r="E6875" s="2">
        <v>19</v>
      </c>
      <c r="F6875" s="2" t="s">
        <v>23945</v>
      </c>
      <c r="H6875" s="2" t="s">
        <v>17</v>
      </c>
      <c r="K6875" s="4" t="s">
        <v>23946</v>
      </c>
      <c r="L6875" s="4">
        <v>2627</v>
      </c>
      <c r="M6875" s="2" t="s">
        <v>423</v>
      </c>
      <c r="N6875" s="2" t="s">
        <v>3005</v>
      </c>
    </row>
    <row r="6876" spans="1:14">
      <c r="A6876" s="2">
        <v>6875</v>
      </c>
      <c r="B6876" s="3" t="s">
        <v>23947</v>
      </c>
      <c r="C6876" s="2" t="s">
        <v>23948</v>
      </c>
      <c r="D6876" s="2">
        <v>19</v>
      </c>
      <c r="E6876" s="2">
        <v>19</v>
      </c>
      <c r="F6876" s="2" t="s">
        <v>23949</v>
      </c>
      <c r="H6876" s="2" t="s">
        <v>17</v>
      </c>
      <c r="K6876" s="4" t="s">
        <v>23950</v>
      </c>
      <c r="L6876" s="4">
        <v>13571</v>
      </c>
      <c r="M6876" s="2" t="s">
        <v>66</v>
      </c>
      <c r="N6876" s="2" t="s">
        <v>71</v>
      </c>
    </row>
    <row r="6877" spans="1:14">
      <c r="A6877" s="2">
        <v>6876</v>
      </c>
      <c r="B6877" s="3" t="s">
        <v>23951</v>
      </c>
      <c r="C6877" s="2" t="s">
        <v>23952</v>
      </c>
      <c r="D6877" s="2">
        <v>17</v>
      </c>
      <c r="E6877" s="2">
        <v>19</v>
      </c>
      <c r="F6877" s="2" t="s">
        <v>23953</v>
      </c>
      <c r="H6877" s="2" t="s">
        <v>17</v>
      </c>
      <c r="K6877" s="4" t="s">
        <v>23954</v>
      </c>
      <c r="L6877" s="4">
        <v>10689</v>
      </c>
      <c r="M6877" s="2" t="s">
        <v>85</v>
      </c>
    </row>
    <row r="6878" spans="1:14">
      <c r="A6878" s="2">
        <v>6877</v>
      </c>
      <c r="B6878" s="3" t="s">
        <v>23955</v>
      </c>
      <c r="C6878" s="2" t="s">
        <v>23956</v>
      </c>
      <c r="D6878" s="2">
        <v>17</v>
      </c>
      <c r="E6878" s="2">
        <v>19</v>
      </c>
      <c r="F6878" s="2" t="s">
        <v>23957</v>
      </c>
      <c r="H6878" s="2" t="s">
        <v>17</v>
      </c>
      <c r="K6878" s="4" t="s">
        <v>23958</v>
      </c>
      <c r="L6878" s="4">
        <v>4271</v>
      </c>
      <c r="M6878" s="2" t="s">
        <v>198</v>
      </c>
    </row>
    <row r="6879" spans="1:14">
      <c r="A6879" s="2">
        <v>6878</v>
      </c>
      <c r="B6879" s="3" t="s">
        <v>23959</v>
      </c>
      <c r="C6879" s="2" t="s">
        <v>23960</v>
      </c>
      <c r="D6879" s="2">
        <v>19</v>
      </c>
      <c r="E6879" s="2">
        <v>19</v>
      </c>
      <c r="F6879" s="2" t="s">
        <v>23961</v>
      </c>
      <c r="H6879" s="2" t="s">
        <v>17</v>
      </c>
    </row>
    <row r="6880" spans="1:14">
      <c r="A6880" s="2">
        <v>6879</v>
      </c>
      <c r="B6880" s="3" t="s">
        <v>23962</v>
      </c>
      <c r="C6880" s="2" t="s">
        <v>23963</v>
      </c>
      <c r="D6880" s="2">
        <v>18</v>
      </c>
      <c r="E6880" s="2">
        <v>19</v>
      </c>
      <c r="F6880" s="2" t="s">
        <v>23964</v>
      </c>
      <c r="H6880" s="2" t="s">
        <v>17</v>
      </c>
      <c r="K6880" s="4" t="s">
        <v>23965</v>
      </c>
      <c r="L6880" s="4">
        <v>8041</v>
      </c>
      <c r="M6880" s="2" t="s">
        <v>185</v>
      </c>
      <c r="N6880" s="2" t="s">
        <v>838</v>
      </c>
    </row>
    <row r="6881" spans="1:14">
      <c r="A6881" s="2">
        <v>6880</v>
      </c>
      <c r="B6881" s="3" t="s">
        <v>23966</v>
      </c>
      <c r="C6881" s="2" t="s">
        <v>23967</v>
      </c>
      <c r="D6881" s="2">
        <v>12</v>
      </c>
      <c r="E6881" s="2">
        <v>19</v>
      </c>
      <c r="F6881" s="2" t="s">
        <v>23968</v>
      </c>
      <c r="H6881" s="2" t="s">
        <v>17</v>
      </c>
      <c r="K6881" s="4" t="s">
        <v>23969</v>
      </c>
      <c r="L6881" s="4" t="s">
        <v>23970</v>
      </c>
      <c r="M6881" s="2" t="s">
        <v>198</v>
      </c>
      <c r="N6881" s="2" t="s">
        <v>5846</v>
      </c>
    </row>
    <row r="6882" spans="1:14">
      <c r="A6882" s="2">
        <v>6881</v>
      </c>
      <c r="B6882" s="3" t="s">
        <v>23971</v>
      </c>
      <c r="C6882" s="2" t="s">
        <v>23972</v>
      </c>
      <c r="D6882" s="2">
        <v>10</v>
      </c>
      <c r="E6882" s="2">
        <v>18</v>
      </c>
      <c r="F6882" s="2" t="s">
        <v>23973</v>
      </c>
      <c r="H6882" s="2" t="s">
        <v>17</v>
      </c>
      <c r="K6882" s="4" t="s">
        <v>23974</v>
      </c>
      <c r="L6882" s="4" t="s">
        <v>23975</v>
      </c>
    </row>
    <row r="6883" spans="1:14">
      <c r="A6883" s="2">
        <v>6882</v>
      </c>
      <c r="B6883" s="3" t="s">
        <v>23976</v>
      </c>
      <c r="C6883" s="2" t="s">
        <v>23977</v>
      </c>
      <c r="D6883" s="2">
        <v>18</v>
      </c>
      <c r="E6883" s="2">
        <v>18</v>
      </c>
      <c r="F6883" s="2" t="s">
        <v>23978</v>
      </c>
      <c r="H6883" s="2" t="s">
        <v>17</v>
      </c>
      <c r="L6883" s="4" t="s">
        <v>23979</v>
      </c>
    </row>
    <row r="6884" spans="1:14">
      <c r="A6884" s="2">
        <v>6883</v>
      </c>
      <c r="B6884" s="3" t="s">
        <v>23980</v>
      </c>
      <c r="C6884" s="2" t="s">
        <v>22923</v>
      </c>
      <c r="D6884" s="2">
        <v>10</v>
      </c>
      <c r="E6884" s="2">
        <v>18</v>
      </c>
      <c r="F6884" s="2" t="s">
        <v>23981</v>
      </c>
      <c r="H6884" s="2" t="s">
        <v>17</v>
      </c>
      <c r="K6884" s="4" t="s">
        <v>23982</v>
      </c>
      <c r="L6884" s="4" t="s">
        <v>23983</v>
      </c>
      <c r="M6884" s="2" t="s">
        <v>170</v>
      </c>
    </row>
    <row r="6885" spans="1:14">
      <c r="A6885" s="2">
        <v>6884</v>
      </c>
      <c r="B6885" s="3" t="s">
        <v>23984</v>
      </c>
      <c r="C6885" s="2" t="s">
        <v>23985</v>
      </c>
      <c r="D6885" s="2">
        <v>18</v>
      </c>
      <c r="E6885" s="2">
        <v>18</v>
      </c>
      <c r="F6885" s="2" t="s">
        <v>23986</v>
      </c>
      <c r="H6885" s="2" t="s">
        <v>17</v>
      </c>
      <c r="L6885" s="4" t="s">
        <v>23987</v>
      </c>
    </row>
    <row r="6886" spans="1:14">
      <c r="A6886" s="2">
        <v>6885</v>
      </c>
      <c r="B6886" s="3" t="s">
        <v>23988</v>
      </c>
      <c r="C6886" s="2" t="s">
        <v>23989</v>
      </c>
      <c r="D6886" s="2">
        <v>13</v>
      </c>
      <c r="E6886" s="2">
        <v>18</v>
      </c>
      <c r="F6886" s="2" t="s">
        <v>23990</v>
      </c>
      <c r="H6886" s="2" t="s">
        <v>17</v>
      </c>
      <c r="K6886" s="4" t="s">
        <v>23991</v>
      </c>
      <c r="L6886" s="4">
        <v>1557</v>
      </c>
    </row>
    <row r="6887" spans="1:14">
      <c r="A6887" s="2">
        <v>6886</v>
      </c>
      <c r="B6887" s="3" t="s">
        <v>23992</v>
      </c>
      <c r="C6887" s="2" t="s">
        <v>23993</v>
      </c>
      <c r="D6887" s="2">
        <v>16</v>
      </c>
      <c r="E6887" s="2">
        <v>18</v>
      </c>
      <c r="F6887" s="2" t="s">
        <v>23994</v>
      </c>
      <c r="H6887" s="2" t="s">
        <v>17</v>
      </c>
      <c r="L6887" s="4" t="s">
        <v>23995</v>
      </c>
      <c r="M6887" s="2" t="s">
        <v>35</v>
      </c>
    </row>
    <row r="6888" spans="1:14">
      <c r="A6888" s="2">
        <v>6887</v>
      </c>
      <c r="B6888" s="3" t="s">
        <v>23996</v>
      </c>
      <c r="C6888" s="2" t="s">
        <v>23997</v>
      </c>
      <c r="D6888" s="2">
        <v>18</v>
      </c>
      <c r="E6888" s="2">
        <v>18</v>
      </c>
      <c r="F6888" s="2" t="s">
        <v>23998</v>
      </c>
      <c r="H6888" s="2" t="s">
        <v>17</v>
      </c>
    </row>
    <row r="6889" spans="1:14">
      <c r="A6889" s="2">
        <v>6888</v>
      </c>
      <c r="B6889" s="3" t="s">
        <v>23999</v>
      </c>
      <c r="C6889" s="2" t="s">
        <v>21307</v>
      </c>
      <c r="D6889" s="2">
        <v>10</v>
      </c>
      <c r="E6889" s="2">
        <v>18</v>
      </c>
      <c r="F6889" s="2" t="s">
        <v>24000</v>
      </c>
      <c r="H6889" s="2" t="s">
        <v>17</v>
      </c>
      <c r="K6889" s="4" t="s">
        <v>24001</v>
      </c>
      <c r="L6889" s="4" t="s">
        <v>24002</v>
      </c>
    </row>
    <row r="6890" spans="1:14">
      <c r="A6890" s="2">
        <v>6889</v>
      </c>
      <c r="B6890" s="3" t="s">
        <v>24003</v>
      </c>
      <c r="C6890" s="2" t="s">
        <v>24004</v>
      </c>
      <c r="D6890" s="2">
        <v>14</v>
      </c>
      <c r="E6890" s="2">
        <v>18</v>
      </c>
      <c r="F6890" s="2" t="s">
        <v>24005</v>
      </c>
      <c r="H6890" s="2" t="s">
        <v>17</v>
      </c>
      <c r="K6890" s="4" t="s">
        <v>24006</v>
      </c>
      <c r="L6890" s="4" t="s">
        <v>24007</v>
      </c>
      <c r="M6890" s="2" t="s">
        <v>170</v>
      </c>
    </row>
    <row r="6891" spans="1:14">
      <c r="A6891" s="2">
        <v>6890</v>
      </c>
      <c r="B6891" s="3" t="s">
        <v>24008</v>
      </c>
      <c r="C6891" s="2" t="s">
        <v>24009</v>
      </c>
      <c r="D6891" s="2">
        <v>18</v>
      </c>
      <c r="E6891" s="2">
        <v>18</v>
      </c>
      <c r="F6891" s="2" t="s">
        <v>24010</v>
      </c>
      <c r="H6891" s="2" t="s">
        <v>17</v>
      </c>
    </row>
    <row r="6892" spans="1:14">
      <c r="A6892" s="2">
        <v>6891</v>
      </c>
      <c r="B6892" s="3" t="s">
        <v>24011</v>
      </c>
      <c r="C6892" s="2" t="s">
        <v>24012</v>
      </c>
      <c r="D6892" s="2">
        <v>17</v>
      </c>
      <c r="E6892" s="2">
        <v>18</v>
      </c>
      <c r="F6892" s="2" t="s">
        <v>24013</v>
      </c>
      <c r="H6892" s="2" t="s">
        <v>17</v>
      </c>
      <c r="K6892" s="4" t="s">
        <v>24014</v>
      </c>
      <c r="L6892" s="4" t="s">
        <v>24015</v>
      </c>
      <c r="M6892" s="2" t="s">
        <v>146</v>
      </c>
    </row>
    <row r="6893" spans="1:14">
      <c r="A6893" s="2">
        <v>6892</v>
      </c>
      <c r="B6893" s="3" t="s">
        <v>24016</v>
      </c>
      <c r="C6893" s="2" t="s">
        <v>24017</v>
      </c>
      <c r="D6893" s="2">
        <v>18</v>
      </c>
      <c r="E6893" s="2">
        <v>18</v>
      </c>
      <c r="F6893" s="2" t="s">
        <v>24018</v>
      </c>
      <c r="H6893" s="2" t="s">
        <v>17</v>
      </c>
      <c r="L6893" s="4">
        <v>4172</v>
      </c>
      <c r="M6893" s="2" t="s">
        <v>66</v>
      </c>
      <c r="N6893" s="2" t="s">
        <v>3262</v>
      </c>
    </row>
    <row r="6894" spans="1:14">
      <c r="A6894" s="2">
        <v>6893</v>
      </c>
      <c r="B6894" s="3" t="s">
        <v>24019</v>
      </c>
      <c r="C6894" s="2" t="s">
        <v>24020</v>
      </c>
      <c r="D6894" s="2">
        <v>16</v>
      </c>
      <c r="E6894" s="2">
        <v>18</v>
      </c>
      <c r="F6894" s="2" t="s">
        <v>24021</v>
      </c>
      <c r="H6894" s="2" t="s">
        <v>17</v>
      </c>
      <c r="K6894" s="4" t="s">
        <v>24022</v>
      </c>
    </row>
    <row r="6895" spans="1:14">
      <c r="A6895" s="2">
        <v>6894</v>
      </c>
      <c r="B6895" s="3" t="s">
        <v>24023</v>
      </c>
      <c r="C6895" s="2" t="s">
        <v>24024</v>
      </c>
      <c r="D6895" s="2">
        <v>18</v>
      </c>
      <c r="E6895" s="2">
        <v>18</v>
      </c>
      <c r="F6895" s="2" t="s">
        <v>24025</v>
      </c>
      <c r="H6895" s="2" t="s">
        <v>17</v>
      </c>
      <c r="K6895" s="4" t="s">
        <v>24026</v>
      </c>
      <c r="L6895" s="4">
        <v>10295</v>
      </c>
      <c r="M6895" s="2" t="s">
        <v>154</v>
      </c>
      <c r="N6895" s="2" t="s">
        <v>208</v>
      </c>
    </row>
    <row r="6896" spans="1:14">
      <c r="A6896" s="2">
        <v>6895</v>
      </c>
      <c r="B6896" s="3" t="s">
        <v>24027</v>
      </c>
      <c r="C6896" s="2" t="s">
        <v>24028</v>
      </c>
      <c r="D6896" s="2">
        <v>18</v>
      </c>
      <c r="E6896" s="2">
        <v>18</v>
      </c>
      <c r="F6896" s="2" t="s">
        <v>24029</v>
      </c>
      <c r="H6896" s="2" t="s">
        <v>17</v>
      </c>
      <c r="K6896" s="4" t="s">
        <v>24030</v>
      </c>
      <c r="M6896" s="2" t="s">
        <v>170</v>
      </c>
    </row>
    <row r="6897" spans="1:14">
      <c r="A6897" s="2">
        <v>6896</v>
      </c>
      <c r="B6897" s="3" t="s">
        <v>24031</v>
      </c>
      <c r="C6897" s="2" t="s">
        <v>24032</v>
      </c>
      <c r="D6897" s="2">
        <v>18</v>
      </c>
      <c r="E6897" s="2">
        <v>18</v>
      </c>
      <c r="F6897" s="2" t="s">
        <v>24033</v>
      </c>
      <c r="H6897" s="2" t="s">
        <v>17</v>
      </c>
      <c r="K6897" s="4" t="s">
        <v>24034</v>
      </c>
      <c r="L6897" s="4">
        <v>1252</v>
      </c>
      <c r="M6897" s="2" t="s">
        <v>66</v>
      </c>
    </row>
    <row r="6898" spans="1:14">
      <c r="A6898" s="2">
        <v>6897</v>
      </c>
      <c r="B6898" s="3" t="s">
        <v>24035</v>
      </c>
      <c r="C6898" s="2" t="s">
        <v>24036</v>
      </c>
      <c r="D6898" s="2">
        <v>15</v>
      </c>
      <c r="E6898" s="2">
        <v>18</v>
      </c>
      <c r="F6898" s="2" t="s">
        <v>24037</v>
      </c>
      <c r="H6898" s="2" t="s">
        <v>17</v>
      </c>
      <c r="K6898" s="4" t="s">
        <v>24038</v>
      </c>
      <c r="L6898" s="4">
        <v>1157</v>
      </c>
      <c r="M6898" s="2" t="s">
        <v>35</v>
      </c>
      <c r="N6898" s="2" t="s">
        <v>12348</v>
      </c>
    </row>
    <row r="6899" spans="1:14">
      <c r="A6899" s="2">
        <v>6898</v>
      </c>
      <c r="B6899" s="3" t="s">
        <v>24039</v>
      </c>
      <c r="C6899" s="2" t="s">
        <v>24040</v>
      </c>
      <c r="D6899" s="2">
        <v>17</v>
      </c>
      <c r="E6899" s="2">
        <v>18</v>
      </c>
      <c r="F6899" s="2" t="s">
        <v>24041</v>
      </c>
      <c r="H6899" s="2" t="s">
        <v>17</v>
      </c>
      <c r="K6899" s="4" t="s">
        <v>24042</v>
      </c>
      <c r="L6899" s="4">
        <v>1203</v>
      </c>
      <c r="M6899" s="2" t="s">
        <v>140</v>
      </c>
      <c r="N6899" s="2" t="s">
        <v>5850</v>
      </c>
    </row>
    <row r="6900" spans="1:14">
      <c r="A6900" s="2">
        <v>6899</v>
      </c>
      <c r="B6900" s="3" t="s">
        <v>24043</v>
      </c>
      <c r="C6900" s="2" t="s">
        <v>22797</v>
      </c>
      <c r="D6900" s="2">
        <v>10</v>
      </c>
      <c r="E6900" s="2">
        <v>18</v>
      </c>
      <c r="F6900" s="2" t="s">
        <v>24044</v>
      </c>
      <c r="H6900" s="2" t="s">
        <v>17</v>
      </c>
      <c r="L6900" s="4" t="s">
        <v>24045</v>
      </c>
      <c r="M6900" s="2" t="s">
        <v>35</v>
      </c>
      <c r="N6900" s="2" t="s">
        <v>672</v>
      </c>
    </row>
    <row r="6901" spans="1:14">
      <c r="A6901" s="2">
        <v>6900</v>
      </c>
      <c r="B6901" s="3" t="s">
        <v>24046</v>
      </c>
      <c r="C6901" s="2" t="s">
        <v>24047</v>
      </c>
      <c r="D6901" s="2">
        <v>17</v>
      </c>
      <c r="E6901" s="2">
        <v>18</v>
      </c>
      <c r="F6901" s="2" t="s">
        <v>24048</v>
      </c>
      <c r="H6901" s="2" t="s">
        <v>17</v>
      </c>
    </row>
    <row r="6902" spans="1:14">
      <c r="A6902" s="2">
        <v>6901</v>
      </c>
      <c r="B6902" s="3" t="s">
        <v>24049</v>
      </c>
      <c r="C6902" s="2" t="s">
        <v>21150</v>
      </c>
      <c r="D6902" s="2">
        <v>9</v>
      </c>
      <c r="E6902" s="2">
        <v>18</v>
      </c>
      <c r="F6902" s="2" t="s">
        <v>24050</v>
      </c>
      <c r="H6902" s="2" t="s">
        <v>17</v>
      </c>
      <c r="K6902" s="4" t="s">
        <v>24051</v>
      </c>
      <c r="L6902" s="4" t="s">
        <v>24052</v>
      </c>
      <c r="N6902" s="2" t="s">
        <v>24053</v>
      </c>
    </row>
    <row r="6903" spans="1:14">
      <c r="A6903" s="2">
        <v>6902</v>
      </c>
      <c r="B6903" s="3" t="s">
        <v>24054</v>
      </c>
      <c r="C6903" s="2" t="s">
        <v>22281</v>
      </c>
      <c r="D6903" s="2">
        <v>10</v>
      </c>
      <c r="E6903" s="2">
        <v>18</v>
      </c>
      <c r="F6903" s="2" t="s">
        <v>24055</v>
      </c>
      <c r="H6903" s="2" t="s">
        <v>17</v>
      </c>
      <c r="K6903" s="4" t="s">
        <v>24056</v>
      </c>
      <c r="L6903" s="4" t="s">
        <v>24057</v>
      </c>
      <c r="M6903" s="2" t="s">
        <v>35</v>
      </c>
      <c r="N6903" s="2" t="s">
        <v>2327</v>
      </c>
    </row>
    <row r="6904" spans="1:14">
      <c r="A6904" s="2">
        <v>6903</v>
      </c>
      <c r="B6904" s="3" t="s">
        <v>24058</v>
      </c>
      <c r="C6904" s="2" t="s">
        <v>24059</v>
      </c>
      <c r="D6904" s="2">
        <v>18</v>
      </c>
      <c r="E6904" s="2">
        <v>18</v>
      </c>
      <c r="F6904" s="2" t="s">
        <v>24060</v>
      </c>
      <c r="H6904" s="2" t="s">
        <v>17</v>
      </c>
      <c r="K6904" s="4" t="s">
        <v>24061</v>
      </c>
      <c r="L6904" s="4" t="s">
        <v>24062</v>
      </c>
      <c r="M6904" s="2" t="s">
        <v>85</v>
      </c>
      <c r="N6904" s="2" t="s">
        <v>86</v>
      </c>
    </row>
    <row r="6905" spans="1:14">
      <c r="A6905" s="2">
        <v>6904</v>
      </c>
      <c r="B6905" s="3" t="s">
        <v>24063</v>
      </c>
      <c r="C6905" s="2" t="s">
        <v>24064</v>
      </c>
      <c r="D6905" s="2">
        <v>17</v>
      </c>
      <c r="E6905" s="2">
        <v>18</v>
      </c>
      <c r="F6905" s="2" t="s">
        <v>24065</v>
      </c>
      <c r="H6905" s="2" t="s">
        <v>17</v>
      </c>
      <c r="K6905" s="4" t="s">
        <v>22969</v>
      </c>
      <c r="L6905" s="4">
        <v>6104</v>
      </c>
      <c r="M6905" s="2" t="s">
        <v>53</v>
      </c>
      <c r="N6905" s="2" t="s">
        <v>54</v>
      </c>
    </row>
    <row r="6906" spans="1:14">
      <c r="A6906" s="2">
        <v>6905</v>
      </c>
      <c r="B6906" s="3" t="s">
        <v>24066</v>
      </c>
      <c r="C6906" s="2" t="s">
        <v>24067</v>
      </c>
      <c r="D6906" s="2">
        <v>18</v>
      </c>
      <c r="E6906" s="2">
        <v>18</v>
      </c>
      <c r="F6906" s="2" t="s">
        <v>24068</v>
      </c>
      <c r="H6906" s="2" t="s">
        <v>17</v>
      </c>
    </row>
    <row r="6907" spans="1:14">
      <c r="A6907" s="2">
        <v>6906</v>
      </c>
      <c r="B6907" s="3" t="s">
        <v>24069</v>
      </c>
      <c r="C6907" s="2" t="s">
        <v>19818</v>
      </c>
      <c r="D6907" s="2">
        <v>10</v>
      </c>
      <c r="E6907" s="2">
        <v>18</v>
      </c>
      <c r="F6907" s="2" t="s">
        <v>24070</v>
      </c>
      <c r="H6907" s="2" t="s">
        <v>17</v>
      </c>
      <c r="K6907" s="4" t="s">
        <v>24071</v>
      </c>
      <c r="L6907" s="4">
        <v>673</v>
      </c>
      <c r="M6907" s="2" t="s">
        <v>170</v>
      </c>
      <c r="N6907" s="2" t="s">
        <v>12332</v>
      </c>
    </row>
    <row r="6908" spans="1:14">
      <c r="A6908" s="2">
        <v>6907</v>
      </c>
      <c r="B6908" s="3" t="s">
        <v>24072</v>
      </c>
      <c r="C6908" s="2" t="s">
        <v>24073</v>
      </c>
      <c r="D6908" s="2">
        <v>18</v>
      </c>
      <c r="E6908" s="2">
        <v>18</v>
      </c>
      <c r="F6908" s="2" t="s">
        <v>24074</v>
      </c>
      <c r="H6908" s="2" t="s">
        <v>17</v>
      </c>
      <c r="K6908" s="4" t="s">
        <v>24075</v>
      </c>
      <c r="L6908" s="4">
        <v>1310</v>
      </c>
      <c r="M6908" s="2" t="s">
        <v>35</v>
      </c>
      <c r="N6908" s="2" t="s">
        <v>3602</v>
      </c>
    </row>
    <row r="6909" spans="1:14">
      <c r="A6909" s="2">
        <v>6908</v>
      </c>
      <c r="B6909" s="3" t="s">
        <v>24076</v>
      </c>
      <c r="C6909" s="2" t="s">
        <v>24077</v>
      </c>
      <c r="D6909" s="2">
        <v>18</v>
      </c>
      <c r="E6909" s="2">
        <v>18</v>
      </c>
      <c r="F6909" s="2" t="s">
        <v>24078</v>
      </c>
      <c r="H6909" s="2" t="s">
        <v>17</v>
      </c>
      <c r="L6909" s="4">
        <v>6230</v>
      </c>
    </row>
    <row r="6910" spans="1:14">
      <c r="A6910" s="2">
        <v>6909</v>
      </c>
      <c r="B6910" s="3" t="s">
        <v>24079</v>
      </c>
      <c r="C6910" s="2" t="s">
        <v>24080</v>
      </c>
      <c r="D6910" s="2">
        <v>17</v>
      </c>
      <c r="E6910" s="2">
        <v>18</v>
      </c>
      <c r="F6910" s="2" t="s">
        <v>24081</v>
      </c>
      <c r="H6910" s="2" t="s">
        <v>17</v>
      </c>
      <c r="K6910" s="4" t="s">
        <v>24082</v>
      </c>
      <c r="L6910" s="4" t="s">
        <v>24083</v>
      </c>
      <c r="M6910" s="2" t="s">
        <v>91</v>
      </c>
    </row>
    <row r="6911" spans="1:14">
      <c r="A6911" s="2">
        <v>6910</v>
      </c>
      <c r="B6911" s="3" t="s">
        <v>24084</v>
      </c>
      <c r="C6911" s="2" t="s">
        <v>18360</v>
      </c>
      <c r="D6911" s="2">
        <v>18</v>
      </c>
      <c r="E6911" s="2">
        <v>18</v>
      </c>
      <c r="F6911" s="2" t="s">
        <v>24085</v>
      </c>
      <c r="H6911" s="2" t="s">
        <v>17</v>
      </c>
      <c r="K6911" s="4" t="s">
        <v>24086</v>
      </c>
      <c r="L6911" s="4" t="s">
        <v>24087</v>
      </c>
    </row>
    <row r="6912" spans="1:14">
      <c r="A6912" s="2">
        <v>6911</v>
      </c>
      <c r="B6912" s="3" t="s">
        <v>24088</v>
      </c>
      <c r="C6912" s="2" t="s">
        <v>24089</v>
      </c>
      <c r="D6912" s="2">
        <v>17</v>
      </c>
      <c r="E6912" s="2">
        <v>18</v>
      </c>
      <c r="F6912" s="2" t="s">
        <v>24090</v>
      </c>
      <c r="H6912" s="2" t="s">
        <v>17</v>
      </c>
      <c r="K6912" s="4" t="s">
        <v>24091</v>
      </c>
      <c r="L6912" s="4">
        <v>1634</v>
      </c>
      <c r="M6912" s="2" t="s">
        <v>66</v>
      </c>
      <c r="N6912" s="2" t="s">
        <v>3865</v>
      </c>
    </row>
    <row r="6913" spans="1:14">
      <c r="A6913" s="2">
        <v>6912</v>
      </c>
      <c r="B6913" s="3" t="s">
        <v>24092</v>
      </c>
      <c r="C6913" s="2" t="s">
        <v>24093</v>
      </c>
      <c r="D6913" s="2">
        <v>17</v>
      </c>
      <c r="E6913" s="2">
        <v>18</v>
      </c>
      <c r="F6913" s="2" t="s">
        <v>24094</v>
      </c>
      <c r="H6913" s="2" t="s">
        <v>17</v>
      </c>
      <c r="K6913" s="4" t="s">
        <v>24095</v>
      </c>
      <c r="L6913" s="4">
        <v>628</v>
      </c>
      <c r="M6913" s="2" t="s">
        <v>40</v>
      </c>
    </row>
    <row r="6914" spans="1:14">
      <c r="A6914" s="2">
        <v>6913</v>
      </c>
      <c r="B6914" s="3" t="s">
        <v>24096</v>
      </c>
      <c r="C6914" s="2" t="s">
        <v>20666</v>
      </c>
      <c r="D6914" s="2">
        <v>18</v>
      </c>
      <c r="E6914" s="2">
        <v>18</v>
      </c>
      <c r="F6914" s="2" t="s">
        <v>24097</v>
      </c>
      <c r="H6914" s="2" t="s">
        <v>17</v>
      </c>
    </row>
    <row r="6915" spans="1:14">
      <c r="A6915" s="2">
        <v>6914</v>
      </c>
      <c r="B6915" s="3" t="s">
        <v>24098</v>
      </c>
      <c r="C6915" s="2" t="s">
        <v>24099</v>
      </c>
      <c r="D6915" s="2">
        <v>17</v>
      </c>
      <c r="E6915" s="2">
        <v>18</v>
      </c>
      <c r="F6915" s="2" t="s">
        <v>24100</v>
      </c>
      <c r="H6915" s="2" t="s">
        <v>17</v>
      </c>
      <c r="K6915" s="4" t="s">
        <v>24101</v>
      </c>
      <c r="L6915" s="4">
        <v>8461</v>
      </c>
      <c r="M6915" s="2" t="s">
        <v>40</v>
      </c>
      <c r="N6915" s="2" t="s">
        <v>41</v>
      </c>
    </row>
    <row r="6916" spans="1:14">
      <c r="A6916" s="2">
        <v>6915</v>
      </c>
      <c r="B6916" s="3" t="s">
        <v>24102</v>
      </c>
      <c r="C6916" s="2" t="s">
        <v>24103</v>
      </c>
      <c r="D6916" s="2">
        <v>18</v>
      </c>
      <c r="E6916" s="2">
        <v>18</v>
      </c>
      <c r="F6916" s="2" t="s">
        <v>24104</v>
      </c>
      <c r="H6916" s="2" t="s">
        <v>17</v>
      </c>
    </row>
    <row r="6917" spans="1:14">
      <c r="A6917" s="2">
        <v>6916</v>
      </c>
      <c r="B6917" s="3" t="s">
        <v>24105</v>
      </c>
      <c r="C6917" s="2" t="s">
        <v>24106</v>
      </c>
      <c r="D6917" s="2">
        <v>12</v>
      </c>
      <c r="E6917" s="2">
        <v>18</v>
      </c>
      <c r="F6917" s="2" t="s">
        <v>24107</v>
      </c>
      <c r="H6917" s="2" t="s">
        <v>17</v>
      </c>
      <c r="L6917" s="4" t="s">
        <v>24108</v>
      </c>
    </row>
    <row r="6918" spans="1:14">
      <c r="A6918" s="2">
        <v>6917</v>
      </c>
      <c r="B6918" s="3" t="s">
        <v>24109</v>
      </c>
      <c r="C6918" s="2" t="s">
        <v>24110</v>
      </c>
      <c r="D6918" s="2">
        <v>16</v>
      </c>
      <c r="E6918" s="2">
        <v>18</v>
      </c>
      <c r="F6918" s="2" t="s">
        <v>24111</v>
      </c>
      <c r="H6918" s="2" t="s">
        <v>17</v>
      </c>
      <c r="K6918" s="4" t="s">
        <v>24112</v>
      </c>
      <c r="L6918" s="4" t="s">
        <v>24113</v>
      </c>
      <c r="M6918" s="2" t="s">
        <v>66</v>
      </c>
      <c r="N6918" s="2" t="s">
        <v>1021</v>
      </c>
    </row>
    <row r="6919" spans="1:14">
      <c r="A6919" s="2">
        <v>6918</v>
      </c>
      <c r="B6919" s="3" t="s">
        <v>24114</v>
      </c>
      <c r="C6919" s="2" t="s">
        <v>24115</v>
      </c>
      <c r="D6919" s="2">
        <v>18</v>
      </c>
      <c r="E6919" s="2">
        <v>18</v>
      </c>
      <c r="F6919" s="2" t="s">
        <v>24116</v>
      </c>
      <c r="H6919" s="2" t="s">
        <v>17</v>
      </c>
      <c r="K6919" s="4" t="s">
        <v>24117</v>
      </c>
      <c r="L6919" s="4">
        <v>999</v>
      </c>
      <c r="M6919" s="2" t="s">
        <v>35</v>
      </c>
      <c r="N6919" s="2" t="s">
        <v>2152</v>
      </c>
    </row>
    <row r="6920" spans="1:14">
      <c r="A6920" s="2">
        <v>6919</v>
      </c>
      <c r="B6920" s="3" t="s">
        <v>24118</v>
      </c>
      <c r="C6920" s="2" t="s">
        <v>24119</v>
      </c>
      <c r="D6920" s="2">
        <v>13</v>
      </c>
      <c r="E6920" s="2">
        <v>18</v>
      </c>
      <c r="F6920" s="2" t="s">
        <v>24120</v>
      </c>
      <c r="H6920" s="2" t="s">
        <v>17</v>
      </c>
      <c r="K6920" s="4" t="s">
        <v>24121</v>
      </c>
      <c r="L6920" s="4" t="s">
        <v>24122</v>
      </c>
      <c r="M6920" s="2" t="s">
        <v>185</v>
      </c>
    </row>
    <row r="6921" spans="1:14">
      <c r="A6921" s="2">
        <v>6920</v>
      </c>
      <c r="B6921" s="3" t="s">
        <v>24123</v>
      </c>
      <c r="C6921" s="2" t="s">
        <v>24124</v>
      </c>
      <c r="D6921" s="2">
        <v>14</v>
      </c>
      <c r="E6921" s="2">
        <v>18</v>
      </c>
      <c r="F6921" s="2" t="s">
        <v>24125</v>
      </c>
      <c r="H6921" s="2" t="s">
        <v>17</v>
      </c>
      <c r="K6921" s="4" t="s">
        <v>24126</v>
      </c>
      <c r="L6921" s="4">
        <v>1612</v>
      </c>
    </row>
    <row r="6922" spans="1:14">
      <c r="A6922" s="2">
        <v>6921</v>
      </c>
      <c r="B6922" s="3" t="s">
        <v>24127</v>
      </c>
      <c r="C6922" s="2" t="s">
        <v>24128</v>
      </c>
      <c r="D6922" s="2">
        <v>18</v>
      </c>
      <c r="E6922" s="2">
        <v>18</v>
      </c>
      <c r="F6922" s="2" t="s">
        <v>24129</v>
      </c>
      <c r="H6922" s="2" t="s">
        <v>17</v>
      </c>
      <c r="K6922" s="4" t="s">
        <v>24130</v>
      </c>
      <c r="L6922" s="4">
        <v>6421</v>
      </c>
      <c r="M6922" s="2" t="s">
        <v>47</v>
      </c>
      <c r="N6922" s="2" t="s">
        <v>48</v>
      </c>
    </row>
    <row r="6923" spans="1:14">
      <c r="A6923" s="2">
        <v>6922</v>
      </c>
      <c r="B6923" s="3" t="s">
        <v>24131</v>
      </c>
      <c r="C6923" s="2" t="s">
        <v>24132</v>
      </c>
      <c r="D6923" s="2">
        <v>18</v>
      </c>
      <c r="E6923" s="2">
        <v>18</v>
      </c>
      <c r="F6923" s="2" t="s">
        <v>24133</v>
      </c>
      <c r="H6923" s="2" t="s">
        <v>17</v>
      </c>
    </row>
    <row r="6924" spans="1:14">
      <c r="A6924" s="2">
        <v>6923</v>
      </c>
      <c r="B6924" s="3" t="s">
        <v>24134</v>
      </c>
      <c r="C6924" s="2" t="s">
        <v>24135</v>
      </c>
      <c r="D6924" s="2">
        <v>18</v>
      </c>
      <c r="E6924" s="2">
        <v>18</v>
      </c>
      <c r="F6924" s="2" t="s">
        <v>24136</v>
      </c>
      <c r="H6924" s="2" t="s">
        <v>17</v>
      </c>
      <c r="K6924" s="4" t="s">
        <v>21714</v>
      </c>
      <c r="L6924" s="4" t="s">
        <v>24137</v>
      </c>
      <c r="M6924" s="2" t="s">
        <v>47</v>
      </c>
      <c r="N6924" s="2" t="s">
        <v>48</v>
      </c>
    </row>
    <row r="6925" spans="1:14">
      <c r="A6925" s="2">
        <v>6924</v>
      </c>
      <c r="B6925" s="3" t="s">
        <v>24138</v>
      </c>
      <c r="C6925" s="2" t="s">
        <v>24139</v>
      </c>
      <c r="D6925" s="2">
        <v>18</v>
      </c>
      <c r="E6925" s="2">
        <v>18</v>
      </c>
      <c r="F6925" s="2" t="s">
        <v>24140</v>
      </c>
      <c r="H6925" s="2" t="s">
        <v>17</v>
      </c>
      <c r="K6925" s="4" t="s">
        <v>24141</v>
      </c>
      <c r="L6925" s="4" t="s">
        <v>24142</v>
      </c>
      <c r="M6925" s="2" t="s">
        <v>35</v>
      </c>
      <c r="N6925" s="2" t="s">
        <v>11401</v>
      </c>
    </row>
    <row r="6926" spans="1:14">
      <c r="A6926" s="2">
        <v>6925</v>
      </c>
      <c r="B6926" s="3" t="s">
        <v>24143</v>
      </c>
      <c r="C6926" s="2" t="s">
        <v>24144</v>
      </c>
      <c r="D6926" s="2">
        <v>17</v>
      </c>
      <c r="E6926" s="2">
        <v>17</v>
      </c>
      <c r="F6926" s="2" t="s">
        <v>24145</v>
      </c>
      <c r="H6926" s="2" t="s">
        <v>17</v>
      </c>
    </row>
    <row r="6927" spans="1:14">
      <c r="A6927" s="2">
        <v>6926</v>
      </c>
      <c r="B6927" s="3" t="s">
        <v>24146</v>
      </c>
      <c r="C6927" s="2" t="s">
        <v>24147</v>
      </c>
      <c r="D6927" s="2">
        <v>12</v>
      </c>
      <c r="E6927" s="2">
        <v>17</v>
      </c>
      <c r="F6927" s="2" t="s">
        <v>24148</v>
      </c>
      <c r="H6927" s="2" t="s">
        <v>17</v>
      </c>
      <c r="K6927" s="4" t="s">
        <v>24149</v>
      </c>
      <c r="L6927" s="4">
        <v>4435</v>
      </c>
      <c r="M6927" s="2" t="s">
        <v>35</v>
      </c>
      <c r="N6927" s="2" t="s">
        <v>58</v>
      </c>
    </row>
    <row r="6928" spans="1:14">
      <c r="A6928" s="2">
        <v>6927</v>
      </c>
      <c r="B6928" s="3" t="s">
        <v>24150</v>
      </c>
      <c r="C6928" s="2" t="s">
        <v>24151</v>
      </c>
      <c r="D6928" s="2">
        <v>13</v>
      </c>
      <c r="E6928" s="2">
        <v>17</v>
      </c>
      <c r="F6928" s="2" t="s">
        <v>24152</v>
      </c>
      <c r="H6928" s="2" t="s">
        <v>17</v>
      </c>
      <c r="L6928" s="4" t="s">
        <v>24153</v>
      </c>
    </row>
    <row r="6929" spans="1:14">
      <c r="A6929" s="2">
        <v>6928</v>
      </c>
      <c r="B6929" s="3" t="s">
        <v>24154</v>
      </c>
      <c r="C6929" s="2" t="s">
        <v>24155</v>
      </c>
      <c r="D6929" s="2">
        <v>17</v>
      </c>
      <c r="E6929" s="2">
        <v>17</v>
      </c>
      <c r="F6929" s="2" t="s">
        <v>24156</v>
      </c>
      <c r="H6929" s="2" t="s">
        <v>17</v>
      </c>
      <c r="K6929" s="4" t="s">
        <v>23900</v>
      </c>
      <c r="L6929" s="4" t="s">
        <v>24157</v>
      </c>
      <c r="M6929" s="2" t="s">
        <v>40</v>
      </c>
      <c r="N6929" s="2" t="s">
        <v>41</v>
      </c>
    </row>
    <row r="6930" spans="1:14">
      <c r="A6930" s="2">
        <v>6929</v>
      </c>
      <c r="B6930" s="3" t="s">
        <v>24158</v>
      </c>
      <c r="C6930" s="2" t="s">
        <v>24159</v>
      </c>
      <c r="D6930" s="2">
        <v>12</v>
      </c>
      <c r="E6930" s="2">
        <v>17</v>
      </c>
      <c r="F6930" s="2" t="s">
        <v>24160</v>
      </c>
      <c r="H6930" s="2" t="s">
        <v>17</v>
      </c>
      <c r="K6930" s="4" t="s">
        <v>24161</v>
      </c>
      <c r="L6930" s="4" t="s">
        <v>24162</v>
      </c>
      <c r="M6930" s="2" t="s">
        <v>170</v>
      </c>
      <c r="N6930" s="2" t="s">
        <v>171</v>
      </c>
    </row>
    <row r="6931" spans="1:14">
      <c r="A6931" s="2">
        <v>6930</v>
      </c>
      <c r="B6931" s="3" t="s">
        <v>24163</v>
      </c>
      <c r="C6931" s="2" t="s">
        <v>5867</v>
      </c>
      <c r="D6931" s="2">
        <v>13</v>
      </c>
      <c r="E6931" s="2">
        <v>17</v>
      </c>
      <c r="F6931" s="2" t="s">
        <v>24164</v>
      </c>
      <c r="H6931" s="2" t="s">
        <v>17</v>
      </c>
      <c r="K6931" s="4" t="s">
        <v>24165</v>
      </c>
      <c r="L6931" s="4">
        <v>1023</v>
      </c>
      <c r="M6931" s="2" t="s">
        <v>47</v>
      </c>
    </row>
    <row r="6932" spans="1:14">
      <c r="A6932" s="2">
        <v>6931</v>
      </c>
      <c r="B6932" s="3" t="s">
        <v>24166</v>
      </c>
      <c r="C6932" s="2" t="s">
        <v>24167</v>
      </c>
      <c r="D6932" s="2">
        <v>10</v>
      </c>
      <c r="E6932" s="2">
        <v>17</v>
      </c>
      <c r="F6932" s="2" t="s">
        <v>24168</v>
      </c>
      <c r="H6932" s="2" t="s">
        <v>17</v>
      </c>
    </row>
    <row r="6933" spans="1:14">
      <c r="A6933" s="2">
        <v>6932</v>
      </c>
      <c r="B6933" s="3" t="s">
        <v>24169</v>
      </c>
      <c r="C6933" s="2" t="s">
        <v>24170</v>
      </c>
      <c r="D6933" s="2">
        <v>17</v>
      </c>
      <c r="E6933" s="2">
        <v>17</v>
      </c>
      <c r="F6933" s="2" t="s">
        <v>24171</v>
      </c>
      <c r="H6933" s="2" t="s">
        <v>17</v>
      </c>
      <c r="M6933" s="2" t="s">
        <v>35</v>
      </c>
      <c r="N6933" s="2" t="s">
        <v>3602</v>
      </c>
    </row>
    <row r="6934" spans="1:14">
      <c r="A6934" s="2">
        <v>6933</v>
      </c>
      <c r="B6934" s="3" t="s">
        <v>24172</v>
      </c>
      <c r="C6934" s="2" t="s">
        <v>24173</v>
      </c>
      <c r="D6934" s="2">
        <v>17</v>
      </c>
      <c r="E6934" s="2">
        <v>17</v>
      </c>
      <c r="F6934" s="2" t="s">
        <v>24174</v>
      </c>
      <c r="H6934" s="2" t="s">
        <v>17</v>
      </c>
    </row>
    <row r="6935" spans="1:14">
      <c r="A6935" s="2">
        <v>6934</v>
      </c>
      <c r="B6935" s="3" t="s">
        <v>24175</v>
      </c>
      <c r="C6935" s="2" t="s">
        <v>24176</v>
      </c>
      <c r="D6935" s="2">
        <v>8</v>
      </c>
      <c r="E6935" s="2">
        <v>17</v>
      </c>
      <c r="F6935" s="2" t="s">
        <v>24177</v>
      </c>
      <c r="H6935" s="2" t="s">
        <v>17</v>
      </c>
      <c r="K6935" s="4" t="s">
        <v>24178</v>
      </c>
      <c r="L6935" s="4" t="s">
        <v>24179</v>
      </c>
      <c r="M6935" s="2" t="s">
        <v>198</v>
      </c>
      <c r="N6935" s="2" t="s">
        <v>24180</v>
      </c>
    </row>
    <row r="6936" spans="1:14">
      <c r="A6936" s="2">
        <v>6935</v>
      </c>
      <c r="B6936" s="3" t="s">
        <v>24181</v>
      </c>
      <c r="C6936" s="2" t="s">
        <v>24182</v>
      </c>
      <c r="D6936" s="2">
        <v>13</v>
      </c>
      <c r="E6936" s="2">
        <v>17</v>
      </c>
      <c r="F6936" s="2" t="s">
        <v>24183</v>
      </c>
      <c r="H6936" s="2" t="s">
        <v>17</v>
      </c>
      <c r="K6936" s="4" t="s">
        <v>24184</v>
      </c>
      <c r="L6936" s="4">
        <v>6579</v>
      </c>
      <c r="M6936" s="2" t="s">
        <v>47</v>
      </c>
      <c r="N6936" s="2" t="s">
        <v>4066</v>
      </c>
    </row>
    <row r="6937" spans="1:14">
      <c r="A6937" s="2">
        <v>6936</v>
      </c>
      <c r="B6937" s="3" t="s">
        <v>24185</v>
      </c>
      <c r="C6937" s="2" t="s">
        <v>24186</v>
      </c>
      <c r="D6937" s="2">
        <v>17</v>
      </c>
      <c r="E6937" s="2">
        <v>17</v>
      </c>
      <c r="F6937" s="2" t="s">
        <v>24187</v>
      </c>
      <c r="H6937" s="2" t="s">
        <v>17</v>
      </c>
      <c r="K6937" s="4" t="s">
        <v>24188</v>
      </c>
      <c r="L6937" s="4">
        <v>8821</v>
      </c>
      <c r="M6937" s="2" t="s">
        <v>40</v>
      </c>
      <c r="N6937" s="2" t="s">
        <v>41</v>
      </c>
    </row>
    <row r="6938" spans="1:14">
      <c r="A6938" s="2">
        <v>6937</v>
      </c>
      <c r="B6938" s="3" t="s">
        <v>24189</v>
      </c>
      <c r="C6938" s="2" t="s">
        <v>16957</v>
      </c>
      <c r="D6938" s="2">
        <v>13</v>
      </c>
      <c r="E6938" s="2">
        <v>17</v>
      </c>
      <c r="F6938" s="2" t="s">
        <v>24190</v>
      </c>
      <c r="H6938" s="2" t="s">
        <v>17</v>
      </c>
      <c r="K6938" s="4" t="s">
        <v>24191</v>
      </c>
      <c r="L6938" s="4" t="s">
        <v>24192</v>
      </c>
      <c r="M6938" s="2" t="s">
        <v>170</v>
      </c>
    </row>
    <row r="6939" spans="1:14">
      <c r="A6939" s="2">
        <v>6938</v>
      </c>
      <c r="B6939" s="3" t="s">
        <v>24193</v>
      </c>
      <c r="C6939" s="2" t="s">
        <v>24194</v>
      </c>
      <c r="D6939" s="2">
        <v>13</v>
      </c>
      <c r="E6939" s="2">
        <v>17</v>
      </c>
      <c r="F6939" s="2" t="s">
        <v>24195</v>
      </c>
      <c r="H6939" s="2" t="s">
        <v>17</v>
      </c>
      <c r="M6939" s="2" t="s">
        <v>185</v>
      </c>
    </row>
    <row r="6940" spans="1:14">
      <c r="A6940" s="2">
        <v>6939</v>
      </c>
      <c r="B6940" s="3" t="s">
        <v>24196</v>
      </c>
      <c r="C6940" s="2" t="s">
        <v>24197</v>
      </c>
      <c r="D6940" s="2">
        <v>13</v>
      </c>
      <c r="E6940" s="2">
        <v>17</v>
      </c>
      <c r="F6940" s="2" t="s">
        <v>24198</v>
      </c>
      <c r="H6940" s="2" t="s">
        <v>17</v>
      </c>
      <c r="K6940" s="4" t="s">
        <v>24199</v>
      </c>
      <c r="L6940" s="4" t="s">
        <v>24200</v>
      </c>
      <c r="M6940" s="2" t="s">
        <v>198</v>
      </c>
      <c r="N6940" s="2" t="s">
        <v>199</v>
      </c>
    </row>
    <row r="6941" spans="1:14">
      <c r="A6941" s="2">
        <v>6940</v>
      </c>
      <c r="B6941" s="3" t="s">
        <v>24201</v>
      </c>
      <c r="C6941" s="2" t="s">
        <v>24202</v>
      </c>
      <c r="D6941" s="2">
        <v>17</v>
      </c>
      <c r="E6941" s="2">
        <v>17</v>
      </c>
      <c r="F6941" s="2" t="s">
        <v>24203</v>
      </c>
      <c r="H6941" s="2" t="s">
        <v>17</v>
      </c>
      <c r="K6941" s="4" t="s">
        <v>24204</v>
      </c>
      <c r="L6941" s="4" t="s">
        <v>24205</v>
      </c>
      <c r="M6941" s="2" t="s">
        <v>40</v>
      </c>
    </row>
    <row r="6942" spans="1:14">
      <c r="A6942" s="2">
        <v>6941</v>
      </c>
      <c r="B6942" s="3" t="s">
        <v>24206</v>
      </c>
      <c r="C6942" s="2" t="s">
        <v>24207</v>
      </c>
      <c r="D6942" s="2">
        <v>17</v>
      </c>
      <c r="E6942" s="2">
        <v>17</v>
      </c>
      <c r="F6942" s="2" t="s">
        <v>24208</v>
      </c>
      <c r="H6942" s="2" t="s">
        <v>17</v>
      </c>
      <c r="L6942" s="4" t="s">
        <v>24209</v>
      </c>
    </row>
    <row r="6943" spans="1:14">
      <c r="A6943" s="2">
        <v>6942</v>
      </c>
      <c r="B6943" s="3" t="s">
        <v>24210</v>
      </c>
      <c r="C6943" s="2" t="s">
        <v>23038</v>
      </c>
      <c r="D6943" s="2">
        <v>17</v>
      </c>
      <c r="E6943" s="2">
        <v>17</v>
      </c>
      <c r="F6943" s="2" t="s">
        <v>24211</v>
      </c>
      <c r="H6943" s="2" t="s">
        <v>17</v>
      </c>
      <c r="K6943" s="4" t="s">
        <v>23040</v>
      </c>
      <c r="L6943" s="4" t="s">
        <v>23041</v>
      </c>
      <c r="M6943" s="2" t="s">
        <v>35</v>
      </c>
    </row>
    <row r="6944" spans="1:14">
      <c r="A6944" s="2">
        <v>6943</v>
      </c>
      <c r="B6944" s="3" t="s">
        <v>24212</v>
      </c>
      <c r="C6944" s="2" t="s">
        <v>22688</v>
      </c>
      <c r="D6944" s="2">
        <v>17</v>
      </c>
      <c r="E6944" s="2">
        <v>17</v>
      </c>
      <c r="F6944" s="2" t="s">
        <v>24213</v>
      </c>
      <c r="H6944" s="2" t="s">
        <v>17</v>
      </c>
      <c r="K6944" s="4" t="s">
        <v>24214</v>
      </c>
      <c r="L6944" s="4">
        <v>1759</v>
      </c>
      <c r="M6944" s="2" t="s">
        <v>170</v>
      </c>
      <c r="N6944" s="2" t="s">
        <v>323</v>
      </c>
    </row>
    <row r="6945" spans="1:14">
      <c r="A6945" s="2">
        <v>6944</v>
      </c>
      <c r="B6945" s="3" t="s">
        <v>24215</v>
      </c>
      <c r="C6945" s="2" t="s">
        <v>19200</v>
      </c>
      <c r="D6945" s="2">
        <v>17</v>
      </c>
      <c r="E6945" s="2">
        <v>17</v>
      </c>
      <c r="F6945" s="2" t="s">
        <v>19201</v>
      </c>
      <c r="H6945" s="2" t="s">
        <v>17</v>
      </c>
    </row>
    <row r="6946" spans="1:14">
      <c r="A6946" s="2">
        <v>6945</v>
      </c>
      <c r="B6946" s="3" t="s">
        <v>24216</v>
      </c>
      <c r="C6946" s="2" t="s">
        <v>24217</v>
      </c>
      <c r="D6946" s="2">
        <v>17</v>
      </c>
      <c r="E6946" s="2">
        <v>17</v>
      </c>
      <c r="F6946" s="2" t="s">
        <v>24218</v>
      </c>
      <c r="H6946" s="2" t="s">
        <v>17</v>
      </c>
      <c r="K6946" s="4" t="s">
        <v>24219</v>
      </c>
      <c r="L6946" s="4" t="s">
        <v>24220</v>
      </c>
      <c r="M6946" s="2" t="s">
        <v>35</v>
      </c>
      <c r="N6946" s="2" t="s">
        <v>10783</v>
      </c>
    </row>
    <row r="6947" spans="1:14">
      <c r="A6947" s="2">
        <v>6946</v>
      </c>
      <c r="B6947" s="3" t="s">
        <v>24221</v>
      </c>
      <c r="C6947" s="2" t="s">
        <v>24222</v>
      </c>
      <c r="D6947" s="2">
        <v>10</v>
      </c>
      <c r="E6947" s="2">
        <v>17</v>
      </c>
      <c r="F6947" s="2" t="s">
        <v>24223</v>
      </c>
      <c r="H6947" s="2" t="s">
        <v>17</v>
      </c>
    </row>
    <row r="6948" spans="1:14">
      <c r="A6948" s="2">
        <v>6947</v>
      </c>
      <c r="B6948" s="3" t="s">
        <v>24224</v>
      </c>
      <c r="C6948" s="2" t="s">
        <v>22159</v>
      </c>
      <c r="D6948" s="2">
        <v>11</v>
      </c>
      <c r="E6948" s="2">
        <v>17</v>
      </c>
      <c r="F6948" s="2" t="s">
        <v>24225</v>
      </c>
      <c r="H6948" s="2" t="s">
        <v>17</v>
      </c>
      <c r="K6948" s="4" t="s">
        <v>24226</v>
      </c>
      <c r="L6948" s="4">
        <v>2266</v>
      </c>
      <c r="M6948" s="2" t="s">
        <v>146</v>
      </c>
      <c r="N6948" s="2" t="s">
        <v>8637</v>
      </c>
    </row>
    <row r="6949" spans="1:14">
      <c r="A6949" s="2">
        <v>6948</v>
      </c>
      <c r="B6949" s="3" t="s">
        <v>24227</v>
      </c>
      <c r="C6949" s="2" t="s">
        <v>24228</v>
      </c>
      <c r="D6949" s="2">
        <v>7</v>
      </c>
      <c r="E6949" s="2">
        <v>17</v>
      </c>
      <c r="F6949" s="2" t="s">
        <v>24229</v>
      </c>
      <c r="H6949" s="2" t="s">
        <v>17</v>
      </c>
      <c r="K6949" s="4" t="s">
        <v>24230</v>
      </c>
      <c r="L6949" s="4" t="s">
        <v>24231</v>
      </c>
      <c r="M6949" s="2" t="s">
        <v>185</v>
      </c>
    </row>
    <row r="6950" spans="1:14">
      <c r="A6950" s="2">
        <v>6949</v>
      </c>
      <c r="B6950" s="3" t="s">
        <v>24232</v>
      </c>
      <c r="C6950" s="2" t="s">
        <v>24233</v>
      </c>
      <c r="D6950" s="2">
        <v>16</v>
      </c>
      <c r="E6950" s="2">
        <v>17</v>
      </c>
      <c r="F6950" s="2" t="s">
        <v>24234</v>
      </c>
      <c r="H6950" s="2" t="s">
        <v>17</v>
      </c>
      <c r="K6950" s="4" t="s">
        <v>24235</v>
      </c>
      <c r="L6950" s="4" t="s">
        <v>24236</v>
      </c>
      <c r="M6950" s="2" t="s">
        <v>66</v>
      </c>
      <c r="N6950" s="2" t="s">
        <v>6644</v>
      </c>
    </row>
    <row r="6951" spans="1:14">
      <c r="A6951" s="2">
        <v>6950</v>
      </c>
      <c r="B6951" s="3" t="s">
        <v>24237</v>
      </c>
      <c r="C6951" s="2" t="s">
        <v>24238</v>
      </c>
      <c r="D6951" s="2">
        <v>17</v>
      </c>
      <c r="E6951" s="2">
        <v>17</v>
      </c>
      <c r="F6951" s="2" t="s">
        <v>24239</v>
      </c>
      <c r="H6951" s="2" t="s">
        <v>17</v>
      </c>
      <c r="K6951" s="4" t="s">
        <v>24240</v>
      </c>
      <c r="L6951" s="4">
        <v>5001</v>
      </c>
      <c r="M6951" s="2" t="s">
        <v>35</v>
      </c>
      <c r="N6951" s="2" t="s">
        <v>24241</v>
      </c>
    </row>
    <row r="6952" spans="1:14">
      <c r="A6952" s="2">
        <v>6951</v>
      </c>
      <c r="B6952" s="3" t="s">
        <v>24242</v>
      </c>
      <c r="C6952" s="2" t="s">
        <v>24243</v>
      </c>
      <c r="D6952" s="2">
        <v>15</v>
      </c>
      <c r="E6952" s="2">
        <v>17</v>
      </c>
      <c r="F6952" s="2" t="s">
        <v>24244</v>
      </c>
      <c r="H6952" s="2" t="s">
        <v>17</v>
      </c>
      <c r="K6952" s="4" t="s">
        <v>24245</v>
      </c>
      <c r="L6952" s="4" t="s">
        <v>24246</v>
      </c>
      <c r="M6952" s="2" t="s">
        <v>66</v>
      </c>
      <c r="N6952" s="2" t="s">
        <v>71</v>
      </c>
    </row>
    <row r="6953" spans="1:14">
      <c r="A6953" s="2">
        <v>6952</v>
      </c>
      <c r="B6953" s="3" t="s">
        <v>24247</v>
      </c>
      <c r="C6953" s="2" t="s">
        <v>24248</v>
      </c>
      <c r="D6953" s="2">
        <v>12</v>
      </c>
      <c r="E6953" s="2">
        <v>17</v>
      </c>
      <c r="F6953" s="2" t="s">
        <v>24249</v>
      </c>
      <c r="H6953" s="2" t="s">
        <v>17</v>
      </c>
      <c r="L6953" s="4" t="s">
        <v>24250</v>
      </c>
    </row>
    <row r="6954" spans="1:14">
      <c r="A6954" s="2">
        <v>6953</v>
      </c>
      <c r="B6954" s="3" t="s">
        <v>24251</v>
      </c>
      <c r="C6954" s="2" t="s">
        <v>24252</v>
      </c>
      <c r="D6954" s="2">
        <v>10</v>
      </c>
      <c r="E6954" s="2">
        <v>17</v>
      </c>
      <c r="F6954" s="2" t="s">
        <v>24253</v>
      </c>
      <c r="H6954" s="2" t="s">
        <v>17</v>
      </c>
      <c r="K6954" s="4" t="s">
        <v>24254</v>
      </c>
      <c r="L6954" s="4" t="s">
        <v>24255</v>
      </c>
      <c r="M6954" s="2" t="s">
        <v>164</v>
      </c>
      <c r="N6954" s="2" t="s">
        <v>165</v>
      </c>
    </row>
    <row r="6955" spans="1:14">
      <c r="A6955" s="2">
        <v>6954</v>
      </c>
      <c r="B6955" s="3" t="s">
        <v>24256</v>
      </c>
      <c r="C6955" s="2" t="s">
        <v>24257</v>
      </c>
      <c r="D6955" s="2">
        <v>12</v>
      </c>
      <c r="E6955" s="2">
        <v>17</v>
      </c>
      <c r="F6955" s="2" t="s">
        <v>24258</v>
      </c>
      <c r="H6955" s="2" t="s">
        <v>17</v>
      </c>
    </row>
    <row r="6956" spans="1:14">
      <c r="A6956" s="2">
        <v>6955</v>
      </c>
      <c r="B6956" s="3" t="s">
        <v>24259</v>
      </c>
      <c r="C6956" s="2" t="s">
        <v>24260</v>
      </c>
      <c r="D6956" s="2">
        <v>17</v>
      </c>
      <c r="E6956" s="2">
        <v>17</v>
      </c>
      <c r="F6956" s="2" t="s">
        <v>24261</v>
      </c>
      <c r="H6956" s="2" t="s">
        <v>17</v>
      </c>
    </row>
    <row r="6957" spans="1:14">
      <c r="A6957" s="2">
        <v>6956</v>
      </c>
      <c r="B6957" s="3" t="s">
        <v>24262</v>
      </c>
      <c r="C6957" s="2" t="s">
        <v>24263</v>
      </c>
      <c r="D6957" s="2">
        <v>17</v>
      </c>
      <c r="E6957" s="2">
        <v>17</v>
      </c>
      <c r="F6957" s="2" t="s">
        <v>24264</v>
      </c>
      <c r="H6957" s="2" t="s">
        <v>17</v>
      </c>
      <c r="K6957" s="4" t="s">
        <v>24265</v>
      </c>
      <c r="L6957" s="4" t="s">
        <v>24266</v>
      </c>
      <c r="M6957" s="2" t="s">
        <v>140</v>
      </c>
      <c r="N6957" s="2" t="s">
        <v>24267</v>
      </c>
    </row>
    <row r="6958" spans="1:14">
      <c r="A6958" s="2">
        <v>6957</v>
      </c>
      <c r="B6958" s="3" t="s">
        <v>24268</v>
      </c>
      <c r="C6958" s="2" t="s">
        <v>24269</v>
      </c>
      <c r="D6958" s="2">
        <v>17</v>
      </c>
      <c r="E6958" s="2">
        <v>17</v>
      </c>
      <c r="F6958" s="2" t="s">
        <v>24270</v>
      </c>
      <c r="H6958" s="2" t="s">
        <v>17</v>
      </c>
      <c r="K6958" s="4" t="s">
        <v>24271</v>
      </c>
      <c r="L6958" s="4" t="s">
        <v>24272</v>
      </c>
    </row>
    <row r="6959" spans="1:14">
      <c r="A6959" s="2">
        <v>6958</v>
      </c>
      <c r="B6959" s="3" t="s">
        <v>24273</v>
      </c>
      <c r="C6959" s="2" t="s">
        <v>24274</v>
      </c>
      <c r="D6959" s="2">
        <v>17</v>
      </c>
      <c r="E6959" s="2">
        <v>17</v>
      </c>
      <c r="F6959" s="2" t="s">
        <v>24275</v>
      </c>
      <c r="H6959" s="2" t="s">
        <v>17</v>
      </c>
      <c r="L6959" s="4" t="s">
        <v>24276</v>
      </c>
      <c r="M6959" s="2" t="s">
        <v>35</v>
      </c>
    </row>
    <row r="6960" spans="1:14">
      <c r="A6960" s="2">
        <v>6959</v>
      </c>
      <c r="B6960" s="3" t="s">
        <v>24277</v>
      </c>
      <c r="C6960" s="2" t="s">
        <v>24278</v>
      </c>
      <c r="D6960" s="2">
        <v>10</v>
      </c>
      <c r="E6960" s="2">
        <v>17</v>
      </c>
      <c r="F6960" s="2" t="s">
        <v>24279</v>
      </c>
      <c r="H6960" s="2" t="s">
        <v>17</v>
      </c>
      <c r="K6960" s="4" t="s">
        <v>24112</v>
      </c>
      <c r="L6960" s="4">
        <v>4457</v>
      </c>
      <c r="M6960" s="2" t="s">
        <v>47</v>
      </c>
      <c r="N6960" s="2" t="s">
        <v>48</v>
      </c>
    </row>
    <row r="6961" spans="1:14">
      <c r="A6961" s="2">
        <v>6960</v>
      </c>
      <c r="B6961" s="3" t="s">
        <v>24280</v>
      </c>
      <c r="C6961" s="2" t="s">
        <v>24281</v>
      </c>
      <c r="D6961" s="2">
        <v>17</v>
      </c>
      <c r="E6961" s="2">
        <v>17</v>
      </c>
      <c r="F6961" s="2" t="s">
        <v>24282</v>
      </c>
      <c r="H6961" s="2" t="s">
        <v>17</v>
      </c>
      <c r="L6961" s="4" t="s">
        <v>24283</v>
      </c>
      <c r="M6961" s="2" t="s">
        <v>35</v>
      </c>
    </row>
    <row r="6962" spans="1:14">
      <c r="A6962" s="2">
        <v>6961</v>
      </c>
      <c r="B6962" s="3" t="s">
        <v>24284</v>
      </c>
      <c r="C6962" s="2" t="s">
        <v>24285</v>
      </c>
      <c r="D6962" s="2">
        <v>12</v>
      </c>
      <c r="E6962" s="2">
        <v>17</v>
      </c>
      <c r="F6962" s="2" t="s">
        <v>24286</v>
      </c>
      <c r="H6962" s="2" t="s">
        <v>17</v>
      </c>
      <c r="K6962" s="4" t="s">
        <v>23733</v>
      </c>
      <c r="L6962" s="4">
        <v>3043</v>
      </c>
    </row>
    <row r="6963" spans="1:14">
      <c r="A6963" s="2">
        <v>6962</v>
      </c>
      <c r="B6963" s="3" t="s">
        <v>24287</v>
      </c>
      <c r="C6963" s="2" t="s">
        <v>24288</v>
      </c>
      <c r="D6963" s="2">
        <v>17</v>
      </c>
      <c r="E6963" s="2">
        <v>17</v>
      </c>
      <c r="F6963" s="2" t="s">
        <v>24289</v>
      </c>
      <c r="H6963" s="2" t="s">
        <v>17</v>
      </c>
      <c r="M6963" s="2" t="s">
        <v>40</v>
      </c>
    </row>
    <row r="6964" spans="1:14">
      <c r="A6964" s="2">
        <v>6963</v>
      </c>
      <c r="B6964" s="3" t="s">
        <v>24290</v>
      </c>
      <c r="C6964" s="2" t="s">
        <v>24291</v>
      </c>
      <c r="D6964" s="2">
        <v>17</v>
      </c>
      <c r="E6964" s="2">
        <v>17</v>
      </c>
      <c r="F6964" s="2" t="s">
        <v>24292</v>
      </c>
      <c r="H6964" s="2" t="s">
        <v>17</v>
      </c>
      <c r="K6964" s="4" t="s">
        <v>24293</v>
      </c>
      <c r="L6964" s="4">
        <v>7957</v>
      </c>
      <c r="M6964" s="2" t="s">
        <v>170</v>
      </c>
      <c r="N6964" s="2" t="s">
        <v>24294</v>
      </c>
    </row>
    <row r="6965" spans="1:14">
      <c r="A6965" s="2">
        <v>6964</v>
      </c>
      <c r="B6965" s="3" t="s">
        <v>24295</v>
      </c>
      <c r="C6965" s="2" t="s">
        <v>24296</v>
      </c>
      <c r="D6965" s="2">
        <v>17</v>
      </c>
      <c r="E6965" s="2">
        <v>17</v>
      </c>
      <c r="F6965" s="2" t="s">
        <v>24297</v>
      </c>
      <c r="H6965" s="2" t="s">
        <v>17</v>
      </c>
      <c r="K6965" s="4" t="s">
        <v>24298</v>
      </c>
      <c r="L6965" s="4" t="s">
        <v>24299</v>
      </c>
      <c r="M6965" s="2" t="s">
        <v>185</v>
      </c>
    </row>
    <row r="6966" spans="1:14">
      <c r="A6966" s="2">
        <v>6965</v>
      </c>
      <c r="B6966" s="3" t="s">
        <v>24300</v>
      </c>
      <c r="C6966" s="2" t="s">
        <v>12792</v>
      </c>
      <c r="D6966" s="2">
        <v>11</v>
      </c>
      <c r="E6966" s="2">
        <v>17</v>
      </c>
      <c r="F6966" s="2" t="s">
        <v>19352</v>
      </c>
      <c r="H6966" s="2" t="s">
        <v>17</v>
      </c>
      <c r="K6966" s="4" t="s">
        <v>24301</v>
      </c>
      <c r="L6966" s="4" t="s">
        <v>18564</v>
      </c>
      <c r="N6966" s="2" t="s">
        <v>24302</v>
      </c>
    </row>
    <row r="6967" spans="1:14">
      <c r="A6967" s="2">
        <v>6966</v>
      </c>
      <c r="B6967" s="3" t="s">
        <v>24303</v>
      </c>
      <c r="C6967" s="2" t="s">
        <v>24304</v>
      </c>
      <c r="D6967" s="2">
        <v>12</v>
      </c>
      <c r="E6967" s="2">
        <v>17</v>
      </c>
      <c r="F6967" s="2" t="s">
        <v>24305</v>
      </c>
      <c r="H6967" s="2" t="s">
        <v>17</v>
      </c>
    </row>
    <row r="6968" spans="1:14">
      <c r="A6968" s="2">
        <v>6967</v>
      </c>
      <c r="B6968" s="3" t="s">
        <v>24306</v>
      </c>
      <c r="C6968" s="2" t="s">
        <v>24307</v>
      </c>
      <c r="D6968" s="2">
        <v>17</v>
      </c>
      <c r="E6968" s="2">
        <v>17</v>
      </c>
      <c r="F6968" s="2" t="s">
        <v>24308</v>
      </c>
      <c r="H6968" s="2" t="s">
        <v>17</v>
      </c>
      <c r="K6968" s="4" t="s">
        <v>24309</v>
      </c>
      <c r="L6968" s="4">
        <v>6239</v>
      </c>
      <c r="M6968" s="2" t="s">
        <v>35</v>
      </c>
      <c r="N6968" s="2" t="s">
        <v>13048</v>
      </c>
    </row>
    <row r="6969" spans="1:14">
      <c r="A6969" s="2">
        <v>6968</v>
      </c>
      <c r="B6969" s="3" t="s">
        <v>24310</v>
      </c>
      <c r="C6969" s="2" t="s">
        <v>20591</v>
      </c>
      <c r="D6969" s="2">
        <v>13</v>
      </c>
      <c r="E6969" s="2">
        <v>17</v>
      </c>
      <c r="F6969" s="2" t="s">
        <v>24311</v>
      </c>
      <c r="H6969" s="2" t="s">
        <v>17</v>
      </c>
      <c r="L6969" s="4">
        <v>792</v>
      </c>
      <c r="M6969" s="2" t="s">
        <v>40</v>
      </c>
      <c r="N6969" s="2" t="s">
        <v>24312</v>
      </c>
    </row>
    <row r="6970" spans="1:14">
      <c r="A6970" s="2">
        <v>6969</v>
      </c>
      <c r="B6970" s="3" t="s">
        <v>24313</v>
      </c>
      <c r="C6970" s="2" t="s">
        <v>24314</v>
      </c>
      <c r="D6970" s="2">
        <v>17</v>
      </c>
      <c r="E6970" s="2">
        <v>17</v>
      </c>
      <c r="F6970" s="2" t="s">
        <v>24315</v>
      </c>
      <c r="H6970" s="2" t="s">
        <v>17</v>
      </c>
      <c r="K6970" s="4" t="s">
        <v>22432</v>
      </c>
      <c r="L6970" s="4">
        <v>4423</v>
      </c>
      <c r="M6970" s="2" t="s">
        <v>170</v>
      </c>
    </row>
    <row r="6971" spans="1:14">
      <c r="A6971" s="2">
        <v>6970</v>
      </c>
      <c r="B6971" s="3" t="s">
        <v>24316</v>
      </c>
      <c r="C6971" s="2" t="s">
        <v>23185</v>
      </c>
      <c r="D6971" s="2">
        <v>12</v>
      </c>
      <c r="E6971" s="2">
        <v>17</v>
      </c>
      <c r="F6971" s="2" t="s">
        <v>24317</v>
      </c>
      <c r="H6971" s="2" t="s">
        <v>17</v>
      </c>
      <c r="K6971" s="4" t="s">
        <v>24318</v>
      </c>
      <c r="L6971" s="4" t="s">
        <v>24319</v>
      </c>
      <c r="M6971" s="2" t="s">
        <v>85</v>
      </c>
      <c r="N6971" s="2" t="s">
        <v>1356</v>
      </c>
    </row>
    <row r="6972" spans="1:14">
      <c r="A6972" s="2">
        <v>6971</v>
      </c>
      <c r="B6972" s="3" t="s">
        <v>24320</v>
      </c>
      <c r="C6972" s="2" t="s">
        <v>24321</v>
      </c>
      <c r="D6972" s="2">
        <v>10</v>
      </c>
      <c r="E6972" s="2">
        <v>17</v>
      </c>
      <c r="F6972" s="2" t="s">
        <v>24322</v>
      </c>
      <c r="H6972" s="2" t="s">
        <v>17</v>
      </c>
      <c r="K6972" s="4" t="s">
        <v>24323</v>
      </c>
      <c r="L6972" s="4" t="s">
        <v>24324</v>
      </c>
    </row>
    <row r="6973" spans="1:14">
      <c r="A6973" s="2">
        <v>6972</v>
      </c>
      <c r="B6973" s="3" t="s">
        <v>24325</v>
      </c>
      <c r="C6973" s="2" t="s">
        <v>4321</v>
      </c>
      <c r="D6973" s="2">
        <v>12</v>
      </c>
      <c r="E6973" s="2">
        <v>17</v>
      </c>
      <c r="F6973" s="2" t="s">
        <v>24326</v>
      </c>
      <c r="H6973" s="2" t="s">
        <v>17</v>
      </c>
      <c r="K6973" s="4" t="s">
        <v>24327</v>
      </c>
      <c r="L6973" s="4" t="s">
        <v>24328</v>
      </c>
      <c r="M6973" s="2" t="s">
        <v>170</v>
      </c>
      <c r="N6973" s="2" t="s">
        <v>12332</v>
      </c>
    </row>
    <row r="6974" spans="1:14">
      <c r="A6974" s="2">
        <v>6973</v>
      </c>
      <c r="B6974" s="3" t="s">
        <v>24329</v>
      </c>
      <c r="C6974" s="2" t="s">
        <v>24330</v>
      </c>
      <c r="D6974" s="2">
        <v>17</v>
      </c>
      <c r="E6974" s="2">
        <v>17</v>
      </c>
      <c r="F6974" s="2" t="s">
        <v>24331</v>
      </c>
      <c r="H6974" s="2" t="s">
        <v>17</v>
      </c>
    </row>
    <row r="6975" spans="1:14">
      <c r="A6975" s="2">
        <v>6974</v>
      </c>
      <c r="B6975" s="3" t="s">
        <v>24332</v>
      </c>
      <c r="C6975" s="2" t="s">
        <v>24333</v>
      </c>
      <c r="D6975" s="2">
        <v>17</v>
      </c>
      <c r="E6975" s="2">
        <v>17</v>
      </c>
      <c r="F6975" s="2" t="s">
        <v>24334</v>
      </c>
      <c r="H6975" s="2" t="s">
        <v>17</v>
      </c>
    </row>
    <row r="6976" spans="1:14">
      <c r="A6976" s="2">
        <v>6975</v>
      </c>
      <c r="B6976" s="3" t="s">
        <v>24335</v>
      </c>
      <c r="C6976" s="2" t="s">
        <v>24336</v>
      </c>
      <c r="D6976" s="2">
        <v>17</v>
      </c>
      <c r="E6976" s="2">
        <v>17</v>
      </c>
      <c r="F6976" s="2" t="s">
        <v>24337</v>
      </c>
      <c r="H6976" s="2" t="s">
        <v>17</v>
      </c>
    </row>
    <row r="6977" spans="1:14">
      <c r="A6977" s="2">
        <v>6976</v>
      </c>
      <c r="B6977" s="3" t="s">
        <v>24338</v>
      </c>
      <c r="C6977" s="2" t="s">
        <v>24339</v>
      </c>
      <c r="D6977" s="2">
        <v>17</v>
      </c>
      <c r="E6977" s="2">
        <v>17</v>
      </c>
      <c r="F6977" s="2" t="s">
        <v>24340</v>
      </c>
      <c r="H6977" s="2" t="s">
        <v>17</v>
      </c>
      <c r="L6977" s="4" t="s">
        <v>24341</v>
      </c>
    </row>
    <row r="6978" spans="1:14">
      <c r="A6978" s="2">
        <v>6977</v>
      </c>
      <c r="B6978" s="3" t="s">
        <v>24342</v>
      </c>
      <c r="C6978" s="2" t="s">
        <v>24343</v>
      </c>
      <c r="D6978" s="2">
        <v>13</v>
      </c>
      <c r="E6978" s="2">
        <v>17</v>
      </c>
      <c r="F6978" s="2" t="s">
        <v>24344</v>
      </c>
      <c r="H6978" s="2" t="s">
        <v>17</v>
      </c>
      <c r="L6978" s="4" t="s">
        <v>16113</v>
      </c>
      <c r="M6978" s="2" t="s">
        <v>76</v>
      </c>
    </row>
    <row r="6979" spans="1:14">
      <c r="A6979" s="2">
        <v>6978</v>
      </c>
      <c r="B6979" s="3" t="s">
        <v>24345</v>
      </c>
      <c r="C6979" s="2" t="s">
        <v>24346</v>
      </c>
      <c r="D6979" s="2">
        <v>12</v>
      </c>
      <c r="E6979" s="2">
        <v>17</v>
      </c>
      <c r="F6979" s="2" t="s">
        <v>24347</v>
      </c>
      <c r="H6979" s="2" t="s">
        <v>17</v>
      </c>
      <c r="K6979" s="4" t="s">
        <v>24348</v>
      </c>
      <c r="L6979" s="4" t="s">
        <v>24349</v>
      </c>
      <c r="M6979" s="2" t="s">
        <v>423</v>
      </c>
    </row>
    <row r="6980" spans="1:14">
      <c r="A6980" s="2">
        <v>6979</v>
      </c>
      <c r="B6980" s="3" t="s">
        <v>24350</v>
      </c>
      <c r="C6980" s="2" t="s">
        <v>18217</v>
      </c>
      <c r="D6980" s="2">
        <v>17</v>
      </c>
      <c r="E6980" s="2">
        <v>17</v>
      </c>
      <c r="F6980" s="2" t="s">
        <v>24351</v>
      </c>
      <c r="H6980" s="2" t="s">
        <v>17</v>
      </c>
      <c r="K6980" s="4" t="s">
        <v>24352</v>
      </c>
      <c r="L6980" s="4">
        <v>8401</v>
      </c>
      <c r="M6980" s="2" t="s">
        <v>35</v>
      </c>
      <c r="N6980" s="2" t="s">
        <v>11458</v>
      </c>
    </row>
    <row r="6981" spans="1:14">
      <c r="A6981" s="2">
        <v>6980</v>
      </c>
      <c r="B6981" s="3" t="s">
        <v>24353</v>
      </c>
      <c r="C6981" s="2" t="s">
        <v>24354</v>
      </c>
      <c r="D6981" s="2">
        <v>17</v>
      </c>
      <c r="E6981" s="2">
        <v>17</v>
      </c>
      <c r="F6981" s="2" t="s">
        <v>24355</v>
      </c>
      <c r="H6981" s="2" t="s">
        <v>17</v>
      </c>
      <c r="K6981" s="4" t="s">
        <v>24356</v>
      </c>
      <c r="L6981" s="4">
        <v>2644</v>
      </c>
      <c r="M6981" s="2" t="s">
        <v>91</v>
      </c>
      <c r="N6981" s="2" t="s">
        <v>14272</v>
      </c>
    </row>
    <row r="6982" spans="1:14">
      <c r="A6982" s="2">
        <v>6981</v>
      </c>
      <c r="B6982" s="3" t="s">
        <v>24357</v>
      </c>
      <c r="C6982" s="2" t="s">
        <v>24358</v>
      </c>
      <c r="D6982" s="2">
        <v>13</v>
      </c>
      <c r="E6982" s="2">
        <v>17</v>
      </c>
      <c r="F6982" s="2" t="s">
        <v>24359</v>
      </c>
      <c r="H6982" s="2" t="s">
        <v>17</v>
      </c>
      <c r="K6982" s="4" t="s">
        <v>24360</v>
      </c>
      <c r="L6982" s="4">
        <v>2779</v>
      </c>
      <c r="M6982" s="2" t="s">
        <v>47</v>
      </c>
      <c r="N6982" s="2" t="s">
        <v>48</v>
      </c>
    </row>
    <row r="6983" spans="1:14">
      <c r="A6983" s="2">
        <v>6982</v>
      </c>
      <c r="B6983" s="3" t="s">
        <v>24361</v>
      </c>
      <c r="C6983" s="2" t="s">
        <v>24362</v>
      </c>
      <c r="D6983" s="2">
        <v>13</v>
      </c>
      <c r="E6983" s="2">
        <v>17</v>
      </c>
      <c r="F6983" s="2" t="s">
        <v>24363</v>
      </c>
      <c r="H6983" s="2" t="s">
        <v>17</v>
      </c>
      <c r="L6983" s="4" t="s">
        <v>20527</v>
      </c>
    </row>
    <row r="6984" spans="1:14">
      <c r="A6984" s="2">
        <v>6983</v>
      </c>
      <c r="B6984" s="3" t="s">
        <v>24364</v>
      </c>
      <c r="C6984" s="2" t="s">
        <v>24365</v>
      </c>
      <c r="D6984" s="2">
        <v>12</v>
      </c>
      <c r="E6984" s="2">
        <v>17</v>
      </c>
      <c r="F6984" s="2" t="s">
        <v>24366</v>
      </c>
      <c r="H6984" s="2" t="s">
        <v>17</v>
      </c>
      <c r="K6984" s="4" t="s">
        <v>24367</v>
      </c>
      <c r="L6984" s="4" t="s">
        <v>24368</v>
      </c>
      <c r="M6984" s="2" t="s">
        <v>170</v>
      </c>
      <c r="N6984" s="2" t="s">
        <v>15643</v>
      </c>
    </row>
    <row r="6985" spans="1:14">
      <c r="A6985" s="2">
        <v>6984</v>
      </c>
      <c r="B6985" s="3" t="s">
        <v>24369</v>
      </c>
      <c r="C6985" s="2" t="s">
        <v>24370</v>
      </c>
      <c r="D6985" s="2">
        <v>17</v>
      </c>
      <c r="E6985" s="2">
        <v>17</v>
      </c>
      <c r="F6985" s="2" t="s">
        <v>24371</v>
      </c>
      <c r="H6985" s="2" t="s">
        <v>17</v>
      </c>
    </row>
    <row r="6986" spans="1:14">
      <c r="A6986" s="2">
        <v>6985</v>
      </c>
      <c r="B6986" s="3" t="s">
        <v>24372</v>
      </c>
      <c r="C6986" s="2" t="s">
        <v>24373</v>
      </c>
      <c r="D6986" s="2">
        <v>7</v>
      </c>
      <c r="E6986" s="2">
        <v>17</v>
      </c>
      <c r="F6986" s="2" t="s">
        <v>24374</v>
      </c>
      <c r="H6986" s="2" t="s">
        <v>17</v>
      </c>
      <c r="K6986" s="4" t="s">
        <v>24375</v>
      </c>
      <c r="L6986" s="4" t="s">
        <v>24376</v>
      </c>
      <c r="M6986" s="2" t="s">
        <v>198</v>
      </c>
      <c r="N6986" s="2" t="s">
        <v>5291</v>
      </c>
    </row>
    <row r="6987" spans="1:14">
      <c r="A6987" s="2">
        <v>6986</v>
      </c>
      <c r="B6987" s="3" t="s">
        <v>24377</v>
      </c>
      <c r="C6987" s="2" t="s">
        <v>16175</v>
      </c>
      <c r="D6987" s="2">
        <v>17</v>
      </c>
      <c r="E6987" s="2">
        <v>17</v>
      </c>
      <c r="F6987" s="2" t="s">
        <v>24378</v>
      </c>
      <c r="H6987" s="2" t="s">
        <v>17</v>
      </c>
      <c r="K6987" s="4" t="s">
        <v>24379</v>
      </c>
      <c r="L6987" s="4" t="s">
        <v>24380</v>
      </c>
      <c r="M6987" s="2" t="s">
        <v>40</v>
      </c>
      <c r="N6987" s="2" t="s">
        <v>41</v>
      </c>
    </row>
    <row r="6988" spans="1:14">
      <c r="A6988" s="2">
        <v>6987</v>
      </c>
      <c r="B6988" s="3" t="s">
        <v>24381</v>
      </c>
      <c r="C6988" s="2" t="s">
        <v>24382</v>
      </c>
      <c r="D6988" s="2">
        <v>17</v>
      </c>
      <c r="E6988" s="2">
        <v>17</v>
      </c>
      <c r="F6988" s="2" t="s">
        <v>24383</v>
      </c>
      <c r="H6988" s="2" t="s">
        <v>17</v>
      </c>
      <c r="K6988" s="4" t="s">
        <v>24384</v>
      </c>
      <c r="L6988" s="4">
        <v>7801</v>
      </c>
      <c r="M6988" s="2" t="s">
        <v>47</v>
      </c>
      <c r="N6988" s="2" t="s">
        <v>24385</v>
      </c>
    </row>
    <row r="6989" spans="1:14">
      <c r="A6989" s="2">
        <v>6988</v>
      </c>
      <c r="B6989" s="3" t="s">
        <v>24386</v>
      </c>
      <c r="C6989" s="2" t="s">
        <v>24387</v>
      </c>
      <c r="D6989" s="2">
        <v>12</v>
      </c>
      <c r="E6989" s="2">
        <v>17</v>
      </c>
      <c r="F6989" s="2" t="s">
        <v>24388</v>
      </c>
      <c r="H6989" s="2" t="s">
        <v>17</v>
      </c>
      <c r="K6989" s="4" t="s">
        <v>24389</v>
      </c>
      <c r="L6989" s="4">
        <v>2537</v>
      </c>
      <c r="M6989" s="2" t="s">
        <v>423</v>
      </c>
      <c r="N6989" s="2" t="s">
        <v>3005</v>
      </c>
    </row>
    <row r="6990" spans="1:14">
      <c r="A6990" s="2">
        <v>6989</v>
      </c>
      <c r="B6990" s="3" t="s">
        <v>24390</v>
      </c>
      <c r="C6990" s="2" t="s">
        <v>24391</v>
      </c>
      <c r="D6990" s="2">
        <v>15</v>
      </c>
      <c r="E6990" s="2">
        <v>17</v>
      </c>
      <c r="F6990" s="2" t="s">
        <v>24392</v>
      </c>
      <c r="H6990" s="2" t="s">
        <v>17</v>
      </c>
      <c r="K6990" s="4" t="s">
        <v>24393</v>
      </c>
      <c r="L6990" s="4">
        <v>570</v>
      </c>
      <c r="N6990" s="2" t="s">
        <v>24394</v>
      </c>
    </row>
    <row r="6991" spans="1:14">
      <c r="A6991" s="2">
        <v>6990</v>
      </c>
      <c r="B6991" s="3" t="s">
        <v>24395</v>
      </c>
      <c r="C6991" s="2" t="s">
        <v>24396</v>
      </c>
      <c r="D6991" s="2">
        <v>17</v>
      </c>
      <c r="E6991" s="2">
        <v>17</v>
      </c>
      <c r="F6991" s="2" t="s">
        <v>24397</v>
      </c>
      <c r="H6991" s="2" t="s">
        <v>17</v>
      </c>
      <c r="K6991" s="4" t="s">
        <v>24398</v>
      </c>
      <c r="L6991" s="4" t="s">
        <v>24399</v>
      </c>
      <c r="M6991" s="2" t="s">
        <v>198</v>
      </c>
    </row>
    <row r="6992" spans="1:14">
      <c r="A6992" s="2">
        <v>6991</v>
      </c>
      <c r="B6992" s="3" t="s">
        <v>24400</v>
      </c>
      <c r="C6992" s="2" t="s">
        <v>24401</v>
      </c>
      <c r="D6992" s="2">
        <v>13</v>
      </c>
      <c r="E6992" s="2">
        <v>17</v>
      </c>
      <c r="F6992" s="2" t="s">
        <v>24402</v>
      </c>
      <c r="H6992" s="2" t="s">
        <v>17</v>
      </c>
      <c r="K6992" s="4" t="s">
        <v>24403</v>
      </c>
      <c r="L6992" s="4" t="s">
        <v>24404</v>
      </c>
      <c r="M6992" s="2" t="s">
        <v>85</v>
      </c>
      <c r="N6992" s="2" t="s">
        <v>86</v>
      </c>
    </row>
    <row r="6993" spans="1:14">
      <c r="A6993" s="2">
        <v>6992</v>
      </c>
      <c r="B6993" s="3" t="s">
        <v>24405</v>
      </c>
      <c r="C6993" s="2" t="s">
        <v>24406</v>
      </c>
      <c r="D6993" s="2">
        <v>17</v>
      </c>
      <c r="E6993" s="2">
        <v>17</v>
      </c>
      <c r="F6993" s="2" t="s">
        <v>24407</v>
      </c>
      <c r="H6993" s="2" t="s">
        <v>17</v>
      </c>
      <c r="K6993" s="4" t="s">
        <v>24408</v>
      </c>
      <c r="M6993" s="2" t="s">
        <v>35</v>
      </c>
      <c r="N6993" s="2" t="s">
        <v>13300</v>
      </c>
    </row>
    <row r="6994" spans="1:14">
      <c r="A6994" s="2">
        <v>6993</v>
      </c>
      <c r="B6994" s="3" t="s">
        <v>24409</v>
      </c>
      <c r="C6994" s="2" t="s">
        <v>24410</v>
      </c>
      <c r="D6994" s="2">
        <v>12</v>
      </c>
      <c r="E6994" s="2">
        <v>17</v>
      </c>
      <c r="F6994" s="2" t="s">
        <v>24411</v>
      </c>
      <c r="H6994" s="2" t="s">
        <v>17</v>
      </c>
      <c r="K6994" s="4" t="s">
        <v>24412</v>
      </c>
      <c r="L6994" s="4" t="s">
        <v>24413</v>
      </c>
      <c r="M6994" s="2" t="s">
        <v>40</v>
      </c>
      <c r="N6994" s="2" t="s">
        <v>24414</v>
      </c>
    </row>
    <row r="6995" spans="1:14">
      <c r="A6995" s="2">
        <v>6994</v>
      </c>
      <c r="B6995" s="3" t="s">
        <v>24415</v>
      </c>
      <c r="C6995" s="2" t="s">
        <v>24416</v>
      </c>
      <c r="D6995" s="2">
        <v>17</v>
      </c>
      <c r="E6995" s="2">
        <v>17</v>
      </c>
      <c r="F6995" s="2" t="s">
        <v>24417</v>
      </c>
      <c r="H6995" s="2" t="s">
        <v>17</v>
      </c>
    </row>
    <row r="6996" spans="1:14">
      <c r="A6996" s="2">
        <v>6995</v>
      </c>
      <c r="B6996" s="3" t="s">
        <v>24418</v>
      </c>
      <c r="C6996" s="2" t="s">
        <v>24419</v>
      </c>
      <c r="D6996" s="2">
        <v>12</v>
      </c>
      <c r="E6996" s="2">
        <v>17</v>
      </c>
      <c r="F6996" s="2" t="s">
        <v>24420</v>
      </c>
      <c r="H6996" s="2" t="s">
        <v>17</v>
      </c>
      <c r="K6996" s="4" t="s">
        <v>24421</v>
      </c>
      <c r="L6996" s="4" t="s">
        <v>24422</v>
      </c>
      <c r="M6996" s="2" t="s">
        <v>185</v>
      </c>
    </row>
    <row r="6997" spans="1:14">
      <c r="A6997" s="2">
        <v>6996</v>
      </c>
      <c r="B6997" s="3" t="s">
        <v>24423</v>
      </c>
      <c r="C6997" s="2" t="s">
        <v>24424</v>
      </c>
      <c r="D6997" s="2">
        <v>17</v>
      </c>
      <c r="E6997" s="2">
        <v>17</v>
      </c>
      <c r="F6997" s="2" t="s">
        <v>24425</v>
      </c>
      <c r="H6997" s="2" t="s">
        <v>17</v>
      </c>
      <c r="L6997" s="4">
        <v>4360</v>
      </c>
      <c r="M6997" s="2" t="s">
        <v>35</v>
      </c>
      <c r="N6997" s="2" t="s">
        <v>10783</v>
      </c>
    </row>
    <row r="6998" spans="1:14">
      <c r="A6998" s="2">
        <v>6997</v>
      </c>
      <c r="B6998" s="3" t="s">
        <v>24426</v>
      </c>
      <c r="C6998" s="2" t="s">
        <v>24427</v>
      </c>
      <c r="D6998" s="2">
        <v>17</v>
      </c>
      <c r="E6998" s="2">
        <v>17</v>
      </c>
      <c r="F6998" s="2" t="s">
        <v>24428</v>
      </c>
      <c r="H6998" s="2" t="s">
        <v>17</v>
      </c>
      <c r="K6998" s="4" t="s">
        <v>24429</v>
      </c>
      <c r="L6998" s="4" t="s">
        <v>24430</v>
      </c>
      <c r="M6998" s="2" t="s">
        <v>85</v>
      </c>
    </row>
    <row r="6999" spans="1:14">
      <c r="A6999" s="2">
        <v>6998</v>
      </c>
      <c r="B6999" s="3" t="s">
        <v>24431</v>
      </c>
      <c r="C6999" s="2" t="s">
        <v>22365</v>
      </c>
      <c r="D6999" s="2">
        <v>16</v>
      </c>
      <c r="E6999" s="2">
        <v>17</v>
      </c>
      <c r="F6999" s="2" t="s">
        <v>24432</v>
      </c>
      <c r="H6999" s="2" t="s">
        <v>17</v>
      </c>
      <c r="K6999" s="4" t="s">
        <v>24433</v>
      </c>
      <c r="L6999" s="4" t="s">
        <v>24434</v>
      </c>
      <c r="M6999" s="2" t="s">
        <v>170</v>
      </c>
      <c r="N6999" s="2" t="s">
        <v>323</v>
      </c>
    </row>
    <row r="7000" spans="1:14">
      <c r="A7000" s="2">
        <v>6999</v>
      </c>
      <c r="B7000" s="3" t="s">
        <v>24435</v>
      </c>
      <c r="C7000" s="2" t="s">
        <v>23324</v>
      </c>
      <c r="D7000" s="2">
        <v>13</v>
      </c>
      <c r="E7000" s="2">
        <v>17</v>
      </c>
      <c r="F7000" s="2" t="s">
        <v>24436</v>
      </c>
      <c r="H7000" s="2" t="s">
        <v>17</v>
      </c>
      <c r="K7000" s="4" t="s">
        <v>24437</v>
      </c>
      <c r="L7000" s="4">
        <v>179</v>
      </c>
      <c r="M7000" s="2" t="s">
        <v>85</v>
      </c>
      <c r="N7000" s="2" t="s">
        <v>1868</v>
      </c>
    </row>
    <row r="7001" spans="1:14">
      <c r="A7001" s="2">
        <v>7000</v>
      </c>
      <c r="B7001" s="3" t="s">
        <v>24438</v>
      </c>
      <c r="C7001" s="2" t="s">
        <v>24439</v>
      </c>
      <c r="D7001" s="2">
        <v>12</v>
      </c>
      <c r="E7001" s="2">
        <v>17</v>
      </c>
      <c r="F7001" s="2" t="s">
        <v>24440</v>
      </c>
      <c r="H7001" s="2" t="s">
        <v>17</v>
      </c>
      <c r="K7001" s="4" t="s">
        <v>24441</v>
      </c>
      <c r="L7001" s="4" t="s">
        <v>24442</v>
      </c>
      <c r="M7001" s="2" t="s">
        <v>35</v>
      </c>
      <c r="N7001" s="2" t="s">
        <v>672</v>
      </c>
    </row>
    <row r="7002" spans="1:14">
      <c r="A7002" s="2">
        <v>7001</v>
      </c>
      <c r="B7002" s="3" t="s">
        <v>24443</v>
      </c>
      <c r="C7002" s="2" t="s">
        <v>24444</v>
      </c>
      <c r="D7002" s="2">
        <v>5</v>
      </c>
      <c r="E7002" s="2">
        <v>16</v>
      </c>
      <c r="F7002" s="2" t="s">
        <v>24445</v>
      </c>
      <c r="H7002" s="2" t="s">
        <v>17</v>
      </c>
      <c r="K7002" s="4" t="s">
        <v>24446</v>
      </c>
      <c r="L7002" s="4" t="s">
        <v>24447</v>
      </c>
      <c r="M7002" s="2" t="s">
        <v>198</v>
      </c>
      <c r="N7002" s="2" t="s">
        <v>5846</v>
      </c>
    </row>
    <row r="7003" spans="1:14">
      <c r="A7003" s="2">
        <v>7002</v>
      </c>
      <c r="B7003" s="3" t="s">
        <v>24448</v>
      </c>
      <c r="C7003" s="2" t="s">
        <v>24449</v>
      </c>
      <c r="D7003" s="2">
        <v>5</v>
      </c>
      <c r="E7003" s="2">
        <v>16</v>
      </c>
      <c r="F7003" s="2" t="s">
        <v>24450</v>
      </c>
      <c r="H7003" s="2" t="s">
        <v>17</v>
      </c>
    </row>
    <row r="7004" spans="1:14">
      <c r="A7004" s="2">
        <v>7003</v>
      </c>
      <c r="B7004" s="3" t="s">
        <v>24451</v>
      </c>
      <c r="C7004" s="2" t="s">
        <v>24452</v>
      </c>
      <c r="D7004" s="2">
        <v>16</v>
      </c>
      <c r="E7004" s="2">
        <v>16</v>
      </c>
      <c r="F7004" s="2" t="s">
        <v>24453</v>
      </c>
      <c r="H7004" s="2" t="s">
        <v>17</v>
      </c>
    </row>
    <row r="7005" spans="1:14">
      <c r="A7005" s="2">
        <v>7004</v>
      </c>
      <c r="B7005" s="3" t="s">
        <v>24454</v>
      </c>
      <c r="C7005" s="2" t="s">
        <v>24455</v>
      </c>
      <c r="D7005" s="2">
        <v>16</v>
      </c>
      <c r="E7005" s="2">
        <v>16</v>
      </c>
      <c r="F7005" s="2" t="s">
        <v>24456</v>
      </c>
      <c r="H7005" s="2" t="s">
        <v>17</v>
      </c>
      <c r="K7005" s="4" t="s">
        <v>24457</v>
      </c>
      <c r="L7005" s="4" t="s">
        <v>24458</v>
      </c>
      <c r="M7005" s="2" t="s">
        <v>40</v>
      </c>
      <c r="N7005" s="2" t="s">
        <v>41</v>
      </c>
    </row>
    <row r="7006" spans="1:14">
      <c r="A7006" s="2">
        <v>7005</v>
      </c>
      <c r="B7006" s="3" t="s">
        <v>24459</v>
      </c>
      <c r="C7006" s="2" t="s">
        <v>24460</v>
      </c>
      <c r="D7006" s="2">
        <v>8</v>
      </c>
      <c r="E7006" s="2">
        <v>16</v>
      </c>
      <c r="F7006" s="2" t="s">
        <v>24461</v>
      </c>
      <c r="H7006" s="2" t="s">
        <v>17</v>
      </c>
      <c r="K7006" s="4" t="s">
        <v>24462</v>
      </c>
      <c r="L7006" s="4">
        <v>3248</v>
      </c>
      <c r="M7006" s="2" t="s">
        <v>85</v>
      </c>
    </row>
    <row r="7007" spans="1:14">
      <c r="A7007" s="2">
        <v>7006</v>
      </c>
      <c r="B7007" s="3" t="s">
        <v>24463</v>
      </c>
      <c r="C7007" s="2" t="s">
        <v>24464</v>
      </c>
      <c r="D7007" s="2">
        <v>8</v>
      </c>
      <c r="E7007" s="2">
        <v>16</v>
      </c>
      <c r="F7007" s="2" t="s">
        <v>24465</v>
      </c>
      <c r="H7007" s="2" t="s">
        <v>17</v>
      </c>
      <c r="L7007" s="4" t="s">
        <v>24466</v>
      </c>
    </row>
    <row r="7008" spans="1:14">
      <c r="A7008" s="2">
        <v>7007</v>
      </c>
      <c r="B7008" s="3" t="s">
        <v>24467</v>
      </c>
      <c r="C7008" s="2" t="s">
        <v>24468</v>
      </c>
      <c r="D7008" s="2">
        <v>15</v>
      </c>
      <c r="E7008" s="2">
        <v>16</v>
      </c>
      <c r="F7008" s="2" t="s">
        <v>24469</v>
      </c>
      <c r="H7008" s="2" t="s">
        <v>17</v>
      </c>
    </row>
    <row r="7009" spans="1:14">
      <c r="A7009" s="2">
        <v>7008</v>
      </c>
      <c r="B7009" s="3" t="s">
        <v>24470</v>
      </c>
      <c r="C7009" s="2" t="s">
        <v>24471</v>
      </c>
      <c r="D7009" s="2">
        <v>16</v>
      </c>
      <c r="E7009" s="2">
        <v>16</v>
      </c>
      <c r="F7009" s="2" t="s">
        <v>24472</v>
      </c>
      <c r="H7009" s="2" t="s">
        <v>17</v>
      </c>
      <c r="K7009" s="4" t="s">
        <v>24473</v>
      </c>
      <c r="L7009" s="4" t="s">
        <v>24474</v>
      </c>
      <c r="M7009" s="2" t="s">
        <v>85</v>
      </c>
      <c r="N7009" s="2" t="s">
        <v>24475</v>
      </c>
    </row>
    <row r="7010" spans="1:14">
      <c r="A7010" s="2">
        <v>7009</v>
      </c>
      <c r="B7010" s="3" t="s">
        <v>24476</v>
      </c>
      <c r="C7010" s="2" t="s">
        <v>24477</v>
      </c>
      <c r="D7010" s="2">
        <v>15</v>
      </c>
      <c r="E7010" s="2">
        <v>16</v>
      </c>
      <c r="F7010" s="2" t="s">
        <v>24478</v>
      </c>
      <c r="H7010" s="2" t="s">
        <v>17</v>
      </c>
      <c r="K7010" s="4" t="s">
        <v>24479</v>
      </c>
      <c r="L7010" s="4" t="s">
        <v>24480</v>
      </c>
      <c r="M7010" s="2" t="s">
        <v>146</v>
      </c>
      <c r="N7010" s="2" t="s">
        <v>147</v>
      </c>
    </row>
    <row r="7011" spans="1:14">
      <c r="A7011" s="2">
        <v>7010</v>
      </c>
      <c r="B7011" s="3" t="s">
        <v>24481</v>
      </c>
      <c r="C7011" s="2" t="s">
        <v>24482</v>
      </c>
      <c r="D7011" s="2">
        <v>15</v>
      </c>
      <c r="E7011" s="2">
        <v>16</v>
      </c>
      <c r="F7011" s="2" t="s">
        <v>24483</v>
      </c>
      <c r="H7011" s="2" t="s">
        <v>17</v>
      </c>
      <c r="K7011" s="4" t="s">
        <v>24484</v>
      </c>
      <c r="L7011" s="4">
        <v>3817</v>
      </c>
      <c r="M7011" s="2" t="s">
        <v>164</v>
      </c>
    </row>
    <row r="7012" spans="1:14">
      <c r="A7012" s="2">
        <v>7011</v>
      </c>
      <c r="B7012" s="3" t="s">
        <v>24485</v>
      </c>
      <c r="C7012" s="2" t="s">
        <v>24486</v>
      </c>
      <c r="D7012" s="2">
        <v>16</v>
      </c>
      <c r="E7012" s="2">
        <v>16</v>
      </c>
      <c r="F7012" s="2" t="s">
        <v>24487</v>
      </c>
      <c r="H7012" s="2" t="s">
        <v>17</v>
      </c>
    </row>
    <row r="7013" spans="1:14">
      <c r="A7013" s="2">
        <v>7012</v>
      </c>
      <c r="B7013" s="3" t="s">
        <v>24488</v>
      </c>
      <c r="C7013" s="2" t="s">
        <v>24489</v>
      </c>
      <c r="D7013" s="2">
        <v>14</v>
      </c>
      <c r="E7013" s="2">
        <v>16</v>
      </c>
      <c r="F7013" s="2" t="s">
        <v>24490</v>
      </c>
      <c r="H7013" s="2" t="s">
        <v>17</v>
      </c>
      <c r="M7013" s="2" t="s">
        <v>146</v>
      </c>
    </row>
    <row r="7014" spans="1:14">
      <c r="A7014" s="2">
        <v>7013</v>
      </c>
      <c r="B7014" s="3" t="s">
        <v>24491</v>
      </c>
      <c r="C7014" s="2" t="s">
        <v>24492</v>
      </c>
      <c r="D7014" s="2">
        <v>14</v>
      </c>
      <c r="E7014" s="2">
        <v>16</v>
      </c>
      <c r="F7014" s="2" t="s">
        <v>24493</v>
      </c>
      <c r="H7014" s="2" t="s">
        <v>17</v>
      </c>
      <c r="K7014" s="4" t="s">
        <v>24494</v>
      </c>
      <c r="L7014" s="4">
        <v>695</v>
      </c>
      <c r="M7014" s="2" t="s">
        <v>66</v>
      </c>
      <c r="N7014" s="2" t="s">
        <v>71</v>
      </c>
    </row>
    <row r="7015" spans="1:14">
      <c r="A7015" s="2">
        <v>7014</v>
      </c>
      <c r="B7015" s="3" t="s">
        <v>24495</v>
      </c>
      <c r="C7015" s="2" t="s">
        <v>19918</v>
      </c>
      <c r="D7015" s="2">
        <v>14</v>
      </c>
      <c r="E7015" s="2">
        <v>16</v>
      </c>
      <c r="F7015" s="2" t="s">
        <v>24496</v>
      </c>
      <c r="H7015" s="2" t="s">
        <v>17</v>
      </c>
    </row>
    <row r="7016" spans="1:14">
      <c r="A7016" s="2">
        <v>7015</v>
      </c>
      <c r="B7016" s="3" t="s">
        <v>24497</v>
      </c>
      <c r="C7016" s="2" t="s">
        <v>24498</v>
      </c>
      <c r="D7016" s="2">
        <v>9</v>
      </c>
      <c r="E7016" s="2">
        <v>16</v>
      </c>
      <c r="F7016" s="2" t="s">
        <v>24499</v>
      </c>
      <c r="H7016" s="2" t="s">
        <v>17</v>
      </c>
    </row>
    <row r="7017" spans="1:14">
      <c r="A7017" s="2">
        <v>7016</v>
      </c>
      <c r="B7017" s="3" t="s">
        <v>24500</v>
      </c>
      <c r="C7017" s="2" t="s">
        <v>24501</v>
      </c>
      <c r="D7017" s="2">
        <v>14</v>
      </c>
      <c r="E7017" s="2">
        <v>16</v>
      </c>
      <c r="F7017" s="2" t="s">
        <v>24502</v>
      </c>
      <c r="H7017" s="2" t="s">
        <v>17</v>
      </c>
    </row>
    <row r="7018" spans="1:14">
      <c r="A7018" s="2">
        <v>7017</v>
      </c>
      <c r="B7018" s="3" t="s">
        <v>24503</v>
      </c>
      <c r="C7018" s="2" t="s">
        <v>24504</v>
      </c>
      <c r="D7018" s="2">
        <v>14</v>
      </c>
      <c r="E7018" s="2">
        <v>16</v>
      </c>
      <c r="F7018" s="2" t="s">
        <v>24505</v>
      </c>
      <c r="H7018" s="2" t="s">
        <v>17</v>
      </c>
      <c r="K7018" s="4" t="s">
        <v>24506</v>
      </c>
      <c r="L7018" s="4">
        <v>5513</v>
      </c>
      <c r="M7018" s="2" t="s">
        <v>47</v>
      </c>
      <c r="N7018" s="2" t="s">
        <v>691</v>
      </c>
    </row>
    <row r="7019" spans="1:14">
      <c r="A7019" s="2">
        <v>7018</v>
      </c>
      <c r="B7019" s="3" t="s">
        <v>24507</v>
      </c>
      <c r="C7019" s="2" t="s">
        <v>24508</v>
      </c>
      <c r="D7019" s="2">
        <v>11</v>
      </c>
      <c r="E7019" s="2">
        <v>16</v>
      </c>
      <c r="F7019" s="2" t="s">
        <v>24509</v>
      </c>
      <c r="H7019" s="2" t="s">
        <v>17</v>
      </c>
      <c r="K7019" s="4" t="s">
        <v>24510</v>
      </c>
      <c r="L7019" s="4">
        <v>2213</v>
      </c>
      <c r="M7019" s="2" t="s">
        <v>423</v>
      </c>
      <c r="N7019" s="2" t="s">
        <v>6168</v>
      </c>
    </row>
    <row r="7020" spans="1:14">
      <c r="A7020" s="2">
        <v>7019</v>
      </c>
      <c r="B7020" s="3" t="s">
        <v>24511</v>
      </c>
      <c r="C7020" s="2" t="s">
        <v>24512</v>
      </c>
      <c r="D7020" s="2">
        <v>14</v>
      </c>
      <c r="E7020" s="2">
        <v>16</v>
      </c>
      <c r="F7020" s="2" t="s">
        <v>24513</v>
      </c>
      <c r="H7020" s="2" t="s">
        <v>17</v>
      </c>
      <c r="K7020" s="4" t="s">
        <v>24514</v>
      </c>
      <c r="L7020" s="4">
        <v>2019</v>
      </c>
      <c r="M7020" s="2" t="s">
        <v>154</v>
      </c>
      <c r="N7020" s="2" t="s">
        <v>4862</v>
      </c>
    </row>
    <row r="7021" spans="1:14">
      <c r="A7021" s="2">
        <v>7020</v>
      </c>
      <c r="B7021" s="3" t="s">
        <v>24515</v>
      </c>
      <c r="C7021" s="2" t="s">
        <v>23481</v>
      </c>
      <c r="D7021" s="2">
        <v>16</v>
      </c>
      <c r="E7021" s="2">
        <v>16</v>
      </c>
      <c r="F7021" s="2" t="s">
        <v>24516</v>
      </c>
      <c r="H7021" s="2" t="s">
        <v>17</v>
      </c>
      <c r="K7021" s="4" t="s">
        <v>24517</v>
      </c>
      <c r="L7021" s="4">
        <v>9595</v>
      </c>
      <c r="M7021" s="2" t="s">
        <v>198</v>
      </c>
      <c r="N7021" s="2" t="s">
        <v>199</v>
      </c>
    </row>
    <row r="7022" spans="1:14">
      <c r="A7022" s="2">
        <v>7021</v>
      </c>
      <c r="B7022" s="3" t="s">
        <v>24518</v>
      </c>
      <c r="C7022" s="2" t="s">
        <v>24519</v>
      </c>
      <c r="D7022" s="2">
        <v>11</v>
      </c>
      <c r="E7022" s="2">
        <v>16</v>
      </c>
      <c r="F7022" s="2" t="s">
        <v>24520</v>
      </c>
      <c r="H7022" s="2" t="s">
        <v>17</v>
      </c>
      <c r="K7022" s="4" t="s">
        <v>24521</v>
      </c>
      <c r="L7022" s="4">
        <v>7005</v>
      </c>
      <c r="M7022" s="2" t="s">
        <v>198</v>
      </c>
      <c r="N7022" s="2" t="s">
        <v>5846</v>
      </c>
    </row>
    <row r="7023" spans="1:14">
      <c r="A7023" s="2">
        <v>7022</v>
      </c>
      <c r="B7023" s="3" t="s">
        <v>24522</v>
      </c>
      <c r="C7023" s="2" t="s">
        <v>24523</v>
      </c>
      <c r="D7023" s="2">
        <v>15</v>
      </c>
      <c r="E7023" s="2">
        <v>16</v>
      </c>
      <c r="F7023" s="2" t="s">
        <v>24524</v>
      </c>
      <c r="H7023" s="2" t="s">
        <v>17</v>
      </c>
      <c r="K7023" s="4" t="s">
        <v>24525</v>
      </c>
      <c r="L7023" s="4" t="s">
        <v>24526</v>
      </c>
      <c r="M7023" s="2" t="s">
        <v>170</v>
      </c>
      <c r="N7023" s="2" t="s">
        <v>323</v>
      </c>
    </row>
    <row r="7024" spans="1:14">
      <c r="A7024" s="2">
        <v>7023</v>
      </c>
      <c r="B7024" s="3" t="s">
        <v>24527</v>
      </c>
      <c r="C7024" s="2" t="s">
        <v>24528</v>
      </c>
      <c r="D7024" s="2">
        <v>14</v>
      </c>
      <c r="E7024" s="2">
        <v>16</v>
      </c>
      <c r="F7024" s="2" t="s">
        <v>24529</v>
      </c>
      <c r="H7024" s="2" t="s">
        <v>17</v>
      </c>
      <c r="K7024" s="4" t="s">
        <v>24530</v>
      </c>
      <c r="L7024" s="4" t="s">
        <v>24531</v>
      </c>
      <c r="M7024" s="2" t="s">
        <v>198</v>
      </c>
    </row>
    <row r="7025" spans="1:14">
      <c r="A7025" s="2">
        <v>7024</v>
      </c>
      <c r="B7025" s="3" t="s">
        <v>24532</v>
      </c>
      <c r="C7025" s="2" t="s">
        <v>24533</v>
      </c>
      <c r="D7025" s="2">
        <v>10</v>
      </c>
      <c r="E7025" s="2">
        <v>16</v>
      </c>
      <c r="F7025" s="2" t="s">
        <v>24534</v>
      </c>
      <c r="H7025" s="2" t="s">
        <v>17</v>
      </c>
      <c r="K7025" s="4" t="s">
        <v>24535</v>
      </c>
      <c r="L7025" s="4" t="s">
        <v>24536</v>
      </c>
      <c r="M7025" s="2" t="s">
        <v>164</v>
      </c>
    </row>
    <row r="7026" spans="1:14">
      <c r="A7026" s="2">
        <v>7025</v>
      </c>
      <c r="B7026" s="3" t="s">
        <v>24537</v>
      </c>
      <c r="C7026" s="2" t="s">
        <v>23520</v>
      </c>
      <c r="D7026" s="2">
        <v>8</v>
      </c>
      <c r="E7026" s="2">
        <v>16</v>
      </c>
      <c r="F7026" s="2" t="s">
        <v>24538</v>
      </c>
      <c r="H7026" s="2" t="s">
        <v>17</v>
      </c>
      <c r="K7026" s="4" t="s">
        <v>24539</v>
      </c>
      <c r="L7026" s="4" t="s">
        <v>24540</v>
      </c>
    </row>
    <row r="7027" spans="1:14">
      <c r="A7027" s="2">
        <v>7026</v>
      </c>
      <c r="B7027" s="3" t="s">
        <v>24541</v>
      </c>
      <c r="C7027" s="2" t="s">
        <v>24542</v>
      </c>
      <c r="D7027" s="2">
        <v>16</v>
      </c>
      <c r="E7027" s="2">
        <v>16</v>
      </c>
      <c r="F7027" s="2" t="s">
        <v>24543</v>
      </c>
      <c r="H7027" s="2" t="s">
        <v>17</v>
      </c>
      <c r="K7027" s="4" t="s">
        <v>24544</v>
      </c>
      <c r="L7027" s="4">
        <v>3511</v>
      </c>
      <c r="M7027" s="2" t="s">
        <v>170</v>
      </c>
      <c r="N7027" s="2" t="s">
        <v>323</v>
      </c>
    </row>
    <row r="7028" spans="1:14">
      <c r="A7028" s="2">
        <v>7027</v>
      </c>
      <c r="B7028" s="3" t="s">
        <v>24545</v>
      </c>
      <c r="C7028" s="2" t="s">
        <v>24546</v>
      </c>
      <c r="D7028" s="2">
        <v>10</v>
      </c>
      <c r="E7028" s="2">
        <v>16</v>
      </c>
      <c r="F7028" s="2" t="s">
        <v>24547</v>
      </c>
      <c r="H7028" s="2" t="s">
        <v>17</v>
      </c>
      <c r="K7028" s="4" t="s">
        <v>24548</v>
      </c>
      <c r="L7028" s="4" t="s">
        <v>19030</v>
      </c>
      <c r="M7028" s="2" t="s">
        <v>85</v>
      </c>
      <c r="N7028" s="2" t="s">
        <v>11256</v>
      </c>
    </row>
    <row r="7029" spans="1:14">
      <c r="A7029" s="2">
        <v>7028</v>
      </c>
      <c r="B7029" s="3" t="s">
        <v>24549</v>
      </c>
      <c r="C7029" s="2" t="s">
        <v>11274</v>
      </c>
      <c r="D7029" s="2">
        <v>16</v>
      </c>
      <c r="E7029" s="2">
        <v>16</v>
      </c>
      <c r="F7029" s="2" t="s">
        <v>24550</v>
      </c>
      <c r="H7029" s="2" t="s">
        <v>17</v>
      </c>
      <c r="M7029" s="2" t="s">
        <v>35</v>
      </c>
    </row>
    <row r="7030" spans="1:14">
      <c r="A7030" s="2">
        <v>7029</v>
      </c>
      <c r="B7030" s="3" t="s">
        <v>24551</v>
      </c>
      <c r="C7030" s="2" t="s">
        <v>24552</v>
      </c>
      <c r="D7030" s="2">
        <v>11</v>
      </c>
      <c r="E7030" s="2">
        <v>16</v>
      </c>
      <c r="F7030" s="2" t="s">
        <v>24553</v>
      </c>
      <c r="H7030" s="2" t="s">
        <v>17</v>
      </c>
      <c r="K7030" s="4" t="s">
        <v>24554</v>
      </c>
      <c r="L7030" s="4" t="s">
        <v>24555</v>
      </c>
      <c r="M7030" s="2" t="s">
        <v>91</v>
      </c>
      <c r="N7030" s="2" t="s">
        <v>92</v>
      </c>
    </row>
    <row r="7031" spans="1:14">
      <c r="A7031" s="2">
        <v>7030</v>
      </c>
      <c r="B7031" s="3" t="s">
        <v>24556</v>
      </c>
      <c r="C7031" s="2" t="s">
        <v>21057</v>
      </c>
      <c r="D7031" s="2">
        <v>14</v>
      </c>
      <c r="E7031" s="2">
        <v>16</v>
      </c>
      <c r="F7031" s="2" t="s">
        <v>24557</v>
      </c>
      <c r="H7031" s="2" t="s">
        <v>17</v>
      </c>
    </row>
    <row r="7032" spans="1:14">
      <c r="A7032" s="2">
        <v>7031</v>
      </c>
      <c r="B7032" s="3" t="s">
        <v>24558</v>
      </c>
      <c r="C7032" s="2" t="s">
        <v>24559</v>
      </c>
      <c r="D7032" s="2">
        <v>15</v>
      </c>
      <c r="E7032" s="2">
        <v>16</v>
      </c>
      <c r="F7032" s="2" t="s">
        <v>24560</v>
      </c>
      <c r="H7032" s="2" t="s">
        <v>17</v>
      </c>
      <c r="K7032" s="4" t="s">
        <v>24561</v>
      </c>
      <c r="L7032" s="4">
        <v>1097</v>
      </c>
      <c r="M7032" s="2" t="s">
        <v>40</v>
      </c>
      <c r="N7032" s="2" t="s">
        <v>41</v>
      </c>
    </row>
    <row r="7033" spans="1:14">
      <c r="A7033" s="2">
        <v>7032</v>
      </c>
      <c r="B7033" s="3" t="s">
        <v>24562</v>
      </c>
      <c r="C7033" s="2" t="s">
        <v>17967</v>
      </c>
      <c r="D7033" s="2">
        <v>11</v>
      </c>
      <c r="E7033" s="2">
        <v>16</v>
      </c>
      <c r="F7033" s="2" t="s">
        <v>24563</v>
      </c>
      <c r="H7033" s="2" t="s">
        <v>17</v>
      </c>
      <c r="K7033" s="4" t="s">
        <v>24564</v>
      </c>
      <c r="L7033" s="4" t="s">
        <v>24565</v>
      </c>
      <c r="M7033" s="2" t="s">
        <v>35</v>
      </c>
    </row>
    <row r="7034" spans="1:14">
      <c r="A7034" s="2">
        <v>7033</v>
      </c>
      <c r="B7034" s="3" t="s">
        <v>24566</v>
      </c>
      <c r="C7034" s="2" t="s">
        <v>11320</v>
      </c>
      <c r="D7034" s="2">
        <v>14</v>
      </c>
      <c r="E7034" s="2">
        <v>16</v>
      </c>
      <c r="F7034" s="2" t="s">
        <v>24567</v>
      </c>
      <c r="H7034" s="2" t="s">
        <v>17</v>
      </c>
      <c r="M7034" s="2" t="s">
        <v>170</v>
      </c>
      <c r="N7034" s="2" t="s">
        <v>323</v>
      </c>
    </row>
    <row r="7035" spans="1:14">
      <c r="A7035" s="2">
        <v>7034</v>
      </c>
      <c r="B7035" s="3" t="s">
        <v>24568</v>
      </c>
      <c r="C7035" s="2" t="s">
        <v>12737</v>
      </c>
      <c r="D7035" s="2">
        <v>15</v>
      </c>
      <c r="E7035" s="2">
        <v>16</v>
      </c>
      <c r="F7035" s="2" t="s">
        <v>24569</v>
      </c>
      <c r="H7035" s="2" t="s">
        <v>17</v>
      </c>
    </row>
    <row r="7036" spans="1:14">
      <c r="A7036" s="2">
        <v>7035</v>
      </c>
      <c r="B7036" s="3" t="s">
        <v>24570</v>
      </c>
      <c r="C7036" s="2" t="s">
        <v>24571</v>
      </c>
      <c r="D7036" s="2">
        <v>15</v>
      </c>
      <c r="E7036" s="2">
        <v>16</v>
      </c>
      <c r="F7036" s="2" t="s">
        <v>24572</v>
      </c>
      <c r="H7036" s="2" t="s">
        <v>17</v>
      </c>
      <c r="K7036" s="4" t="s">
        <v>24573</v>
      </c>
      <c r="M7036" s="2" t="s">
        <v>198</v>
      </c>
    </row>
    <row r="7037" spans="1:14">
      <c r="A7037" s="2">
        <v>7036</v>
      </c>
      <c r="B7037" s="3" t="s">
        <v>24574</v>
      </c>
      <c r="C7037" s="2" t="s">
        <v>24575</v>
      </c>
      <c r="D7037" s="2">
        <v>15</v>
      </c>
      <c r="E7037" s="2">
        <v>16</v>
      </c>
      <c r="F7037" s="2" t="s">
        <v>24576</v>
      </c>
      <c r="H7037" s="2" t="s">
        <v>17</v>
      </c>
    </row>
    <row r="7038" spans="1:14">
      <c r="A7038" s="2">
        <v>7037</v>
      </c>
      <c r="B7038" s="3" t="s">
        <v>24577</v>
      </c>
      <c r="C7038" s="2" t="s">
        <v>24578</v>
      </c>
      <c r="D7038" s="2">
        <v>14</v>
      </c>
      <c r="E7038" s="2">
        <v>16</v>
      </c>
      <c r="F7038" s="2" t="s">
        <v>24579</v>
      </c>
      <c r="H7038" s="2" t="s">
        <v>17</v>
      </c>
      <c r="K7038" s="4" t="s">
        <v>24580</v>
      </c>
      <c r="L7038" s="4">
        <v>5220</v>
      </c>
      <c r="M7038" s="2" t="s">
        <v>85</v>
      </c>
      <c r="N7038" s="2" t="s">
        <v>4522</v>
      </c>
    </row>
    <row r="7039" spans="1:14">
      <c r="A7039" s="2">
        <v>7038</v>
      </c>
      <c r="B7039" s="3" t="s">
        <v>24581</v>
      </c>
      <c r="C7039" s="2" t="s">
        <v>24582</v>
      </c>
      <c r="D7039" s="2">
        <v>15</v>
      </c>
      <c r="E7039" s="2">
        <v>16</v>
      </c>
      <c r="F7039" s="2" t="s">
        <v>24583</v>
      </c>
      <c r="H7039" s="2" t="s">
        <v>17</v>
      </c>
      <c r="K7039" s="4" t="s">
        <v>24584</v>
      </c>
      <c r="L7039" s="4">
        <v>5176</v>
      </c>
    </row>
    <row r="7040" spans="1:14">
      <c r="A7040" s="2">
        <v>7039</v>
      </c>
      <c r="B7040" s="3" t="s">
        <v>24585</v>
      </c>
      <c r="C7040" s="2" t="s">
        <v>24586</v>
      </c>
      <c r="D7040" s="2">
        <v>14</v>
      </c>
      <c r="E7040" s="2">
        <v>16</v>
      </c>
      <c r="F7040" s="2" t="s">
        <v>24587</v>
      </c>
      <c r="H7040" s="2" t="s">
        <v>17</v>
      </c>
      <c r="K7040" s="4" t="s">
        <v>24588</v>
      </c>
      <c r="L7040" s="4" t="s">
        <v>24589</v>
      </c>
      <c r="M7040" s="2" t="s">
        <v>170</v>
      </c>
      <c r="N7040" s="2" t="s">
        <v>323</v>
      </c>
    </row>
    <row r="7041" spans="1:14">
      <c r="A7041" s="2">
        <v>7040</v>
      </c>
      <c r="B7041" s="3" t="s">
        <v>24590</v>
      </c>
      <c r="C7041" s="2" t="s">
        <v>7801</v>
      </c>
      <c r="D7041" s="2">
        <v>10</v>
      </c>
      <c r="E7041" s="2">
        <v>16</v>
      </c>
      <c r="F7041" s="2" t="s">
        <v>24591</v>
      </c>
      <c r="H7041" s="2" t="s">
        <v>17</v>
      </c>
      <c r="K7041" s="4" t="s">
        <v>24592</v>
      </c>
      <c r="L7041" s="4" t="s">
        <v>24593</v>
      </c>
      <c r="M7041" s="2" t="s">
        <v>185</v>
      </c>
      <c r="N7041" s="2" t="s">
        <v>186</v>
      </c>
    </row>
    <row r="7042" spans="1:14">
      <c r="A7042" s="2">
        <v>7041</v>
      </c>
      <c r="B7042" s="3" t="s">
        <v>24594</v>
      </c>
      <c r="C7042" s="2" t="s">
        <v>23616</v>
      </c>
      <c r="D7042" s="2">
        <v>14</v>
      </c>
      <c r="E7042" s="2">
        <v>16</v>
      </c>
      <c r="F7042" s="2" t="s">
        <v>24595</v>
      </c>
      <c r="H7042" s="2" t="s">
        <v>17</v>
      </c>
    </row>
    <row r="7043" spans="1:14">
      <c r="A7043" s="2">
        <v>7042</v>
      </c>
      <c r="B7043" s="3" t="s">
        <v>24596</v>
      </c>
      <c r="C7043" s="2" t="s">
        <v>24597</v>
      </c>
      <c r="D7043" s="2">
        <v>12</v>
      </c>
      <c r="E7043" s="2">
        <v>16</v>
      </c>
      <c r="F7043" s="2" t="s">
        <v>24598</v>
      </c>
      <c r="H7043" s="2" t="s">
        <v>17</v>
      </c>
      <c r="L7043" s="4" t="s">
        <v>24599</v>
      </c>
      <c r="M7043" s="2" t="s">
        <v>146</v>
      </c>
      <c r="N7043" s="2" t="s">
        <v>22071</v>
      </c>
    </row>
    <row r="7044" spans="1:14">
      <c r="A7044" s="2">
        <v>7043</v>
      </c>
      <c r="B7044" s="3" t="s">
        <v>24600</v>
      </c>
      <c r="C7044" s="2" t="s">
        <v>24601</v>
      </c>
      <c r="D7044" s="2">
        <v>14</v>
      </c>
      <c r="E7044" s="2">
        <v>16</v>
      </c>
      <c r="F7044" s="2" t="s">
        <v>24602</v>
      </c>
      <c r="H7044" s="2" t="s">
        <v>17</v>
      </c>
    </row>
    <row r="7045" spans="1:14">
      <c r="A7045" s="2">
        <v>7044</v>
      </c>
      <c r="B7045" s="3" t="s">
        <v>24603</v>
      </c>
      <c r="C7045" s="2" t="s">
        <v>24604</v>
      </c>
      <c r="D7045" s="2">
        <v>11</v>
      </c>
      <c r="E7045" s="2">
        <v>16</v>
      </c>
      <c r="F7045" s="2" t="s">
        <v>24605</v>
      </c>
      <c r="H7045" s="2" t="s">
        <v>17</v>
      </c>
      <c r="K7045" s="4" t="s">
        <v>24606</v>
      </c>
      <c r="L7045" s="4" t="s">
        <v>24607</v>
      </c>
      <c r="M7045" s="2" t="s">
        <v>85</v>
      </c>
    </row>
    <row r="7046" spans="1:14">
      <c r="A7046" s="2">
        <v>7045</v>
      </c>
      <c r="B7046" s="3" t="s">
        <v>24608</v>
      </c>
      <c r="C7046" s="2" t="s">
        <v>24609</v>
      </c>
      <c r="D7046" s="2">
        <v>11</v>
      </c>
      <c r="E7046" s="2">
        <v>16</v>
      </c>
      <c r="F7046" s="2" t="s">
        <v>24610</v>
      </c>
      <c r="H7046" s="2" t="s">
        <v>17</v>
      </c>
      <c r="K7046" s="4" t="s">
        <v>24611</v>
      </c>
      <c r="L7046" s="4">
        <v>4337</v>
      </c>
      <c r="M7046" s="2" t="s">
        <v>85</v>
      </c>
      <c r="N7046" s="2" t="s">
        <v>1254</v>
      </c>
    </row>
    <row r="7047" spans="1:14">
      <c r="A7047" s="2">
        <v>7046</v>
      </c>
      <c r="B7047" s="3" t="s">
        <v>24612</v>
      </c>
      <c r="C7047" s="2" t="s">
        <v>24613</v>
      </c>
      <c r="D7047" s="2">
        <v>16</v>
      </c>
      <c r="E7047" s="2">
        <v>16</v>
      </c>
      <c r="F7047" s="2" t="s">
        <v>24614</v>
      </c>
      <c r="H7047" s="2" t="s">
        <v>17</v>
      </c>
    </row>
    <row r="7048" spans="1:14">
      <c r="A7048" s="2">
        <v>7047</v>
      </c>
      <c r="B7048" s="3" t="s">
        <v>24615</v>
      </c>
      <c r="C7048" s="2" t="s">
        <v>21669</v>
      </c>
      <c r="D7048" s="2">
        <v>14</v>
      </c>
      <c r="E7048" s="2">
        <v>16</v>
      </c>
      <c r="F7048" s="2" t="s">
        <v>24616</v>
      </c>
      <c r="H7048" s="2" t="s">
        <v>17</v>
      </c>
      <c r="K7048" s="4" t="s">
        <v>24617</v>
      </c>
      <c r="L7048" s="4" t="s">
        <v>24618</v>
      </c>
      <c r="M7048" s="2" t="s">
        <v>170</v>
      </c>
    </row>
    <row r="7049" spans="1:14">
      <c r="A7049" s="2">
        <v>7048</v>
      </c>
      <c r="B7049" s="3" t="s">
        <v>24619</v>
      </c>
      <c r="C7049" s="2" t="s">
        <v>24620</v>
      </c>
      <c r="D7049" s="2">
        <v>11</v>
      </c>
      <c r="E7049" s="2">
        <v>16</v>
      </c>
      <c r="F7049" s="2" t="s">
        <v>24621</v>
      </c>
      <c r="H7049" s="2" t="s">
        <v>17</v>
      </c>
      <c r="K7049" s="4" t="s">
        <v>24622</v>
      </c>
      <c r="L7049" s="4">
        <v>1644</v>
      </c>
    </row>
    <row r="7050" spans="1:14">
      <c r="A7050" s="2">
        <v>7049</v>
      </c>
      <c r="B7050" s="3" t="s">
        <v>24623</v>
      </c>
      <c r="C7050" s="2" t="s">
        <v>24624</v>
      </c>
      <c r="D7050" s="2">
        <v>12</v>
      </c>
      <c r="E7050" s="2">
        <v>16</v>
      </c>
      <c r="F7050" s="2" t="s">
        <v>24625</v>
      </c>
      <c r="H7050" s="2" t="s">
        <v>17</v>
      </c>
      <c r="L7050" s="4" t="s">
        <v>24626</v>
      </c>
      <c r="M7050" s="2" t="s">
        <v>30</v>
      </c>
    </row>
    <row r="7051" spans="1:14">
      <c r="A7051" s="2">
        <v>7050</v>
      </c>
      <c r="B7051" s="3" t="s">
        <v>24627</v>
      </c>
      <c r="C7051" s="2" t="s">
        <v>24628</v>
      </c>
      <c r="D7051" s="2">
        <v>16</v>
      </c>
      <c r="E7051" s="2">
        <v>16</v>
      </c>
      <c r="F7051" s="2" t="s">
        <v>24629</v>
      </c>
      <c r="H7051" s="2" t="s">
        <v>17</v>
      </c>
      <c r="K7051" s="4" t="s">
        <v>24630</v>
      </c>
      <c r="L7051" s="4" t="s">
        <v>24631</v>
      </c>
      <c r="M7051" s="2" t="s">
        <v>40</v>
      </c>
      <c r="N7051" s="2" t="s">
        <v>41</v>
      </c>
    </row>
    <row r="7052" spans="1:14">
      <c r="A7052" s="2">
        <v>7051</v>
      </c>
      <c r="B7052" s="3" t="s">
        <v>24632</v>
      </c>
      <c r="C7052" s="2" t="s">
        <v>24633</v>
      </c>
      <c r="D7052" s="2">
        <v>15</v>
      </c>
      <c r="E7052" s="2">
        <v>16</v>
      </c>
      <c r="F7052" s="2" t="s">
        <v>24634</v>
      </c>
      <c r="H7052" s="2" t="s">
        <v>17</v>
      </c>
      <c r="K7052" s="4" t="s">
        <v>24635</v>
      </c>
      <c r="L7052" s="4">
        <v>3089</v>
      </c>
      <c r="M7052" s="2" t="s">
        <v>85</v>
      </c>
      <c r="N7052" s="2" t="s">
        <v>86</v>
      </c>
    </row>
    <row r="7053" spans="1:14">
      <c r="A7053" s="2">
        <v>7052</v>
      </c>
      <c r="B7053" s="3" t="s">
        <v>24636</v>
      </c>
      <c r="C7053" s="2" t="s">
        <v>24637</v>
      </c>
      <c r="D7053" s="2">
        <v>16</v>
      </c>
      <c r="E7053" s="2">
        <v>16</v>
      </c>
      <c r="F7053" s="2" t="s">
        <v>24638</v>
      </c>
      <c r="H7053" s="2" t="s">
        <v>17</v>
      </c>
      <c r="K7053" s="4" t="s">
        <v>24639</v>
      </c>
      <c r="L7053" s="4" t="s">
        <v>24640</v>
      </c>
      <c r="M7053" s="2" t="s">
        <v>198</v>
      </c>
      <c r="N7053" s="2" t="s">
        <v>3823</v>
      </c>
    </row>
    <row r="7054" spans="1:14">
      <c r="A7054" s="2">
        <v>7053</v>
      </c>
      <c r="B7054" s="3" t="s">
        <v>24641</v>
      </c>
      <c r="C7054" s="2" t="s">
        <v>24642</v>
      </c>
      <c r="D7054" s="2">
        <v>14</v>
      </c>
      <c r="E7054" s="2">
        <v>16</v>
      </c>
      <c r="F7054" s="2" t="s">
        <v>24643</v>
      </c>
      <c r="H7054" s="2" t="s">
        <v>17</v>
      </c>
      <c r="K7054" s="4" t="s">
        <v>24644</v>
      </c>
      <c r="L7054" s="4" t="s">
        <v>24645</v>
      </c>
      <c r="M7054" s="2" t="s">
        <v>35</v>
      </c>
      <c r="N7054" s="2" t="s">
        <v>10316</v>
      </c>
    </row>
    <row r="7055" spans="1:14">
      <c r="A7055" s="2">
        <v>7054</v>
      </c>
      <c r="B7055" s="3" t="s">
        <v>24646</v>
      </c>
      <c r="C7055" s="2" t="s">
        <v>24647</v>
      </c>
      <c r="D7055" s="2">
        <v>10</v>
      </c>
      <c r="E7055" s="2">
        <v>16</v>
      </c>
      <c r="F7055" s="2" t="s">
        <v>24648</v>
      </c>
      <c r="H7055" s="2" t="s">
        <v>17</v>
      </c>
      <c r="K7055" s="4" t="s">
        <v>24649</v>
      </c>
      <c r="L7055" s="4">
        <v>751</v>
      </c>
      <c r="M7055" s="2" t="s">
        <v>40</v>
      </c>
      <c r="N7055" s="2" t="s">
        <v>41</v>
      </c>
    </row>
    <row r="7056" spans="1:14">
      <c r="A7056" s="2">
        <v>7055</v>
      </c>
      <c r="B7056" s="3" t="s">
        <v>24650</v>
      </c>
      <c r="C7056" s="2" t="s">
        <v>24651</v>
      </c>
      <c r="D7056" s="2">
        <v>9</v>
      </c>
      <c r="E7056" s="2">
        <v>16</v>
      </c>
      <c r="F7056" s="2" t="s">
        <v>24652</v>
      </c>
      <c r="H7056" s="2" t="s">
        <v>17</v>
      </c>
      <c r="K7056" s="4" t="s">
        <v>24622</v>
      </c>
      <c r="L7056" s="4" t="s">
        <v>24653</v>
      </c>
      <c r="M7056" s="2" t="s">
        <v>198</v>
      </c>
    </row>
    <row r="7057" spans="1:14">
      <c r="A7057" s="2">
        <v>7056</v>
      </c>
      <c r="B7057" s="3" t="s">
        <v>24654</v>
      </c>
      <c r="C7057" s="2" t="s">
        <v>23252</v>
      </c>
      <c r="D7057" s="2">
        <v>16</v>
      </c>
      <c r="E7057" s="2">
        <v>16</v>
      </c>
      <c r="F7057" s="2" t="s">
        <v>24655</v>
      </c>
      <c r="H7057" s="2" t="s">
        <v>17</v>
      </c>
      <c r="K7057" s="4" t="s">
        <v>24656</v>
      </c>
      <c r="L7057" s="4">
        <v>2857</v>
      </c>
      <c r="M7057" s="2" t="s">
        <v>140</v>
      </c>
    </row>
    <row r="7058" spans="1:14">
      <c r="A7058" s="2">
        <v>7057</v>
      </c>
      <c r="B7058" s="3" t="s">
        <v>24657</v>
      </c>
      <c r="C7058" s="2" t="s">
        <v>24658</v>
      </c>
      <c r="D7058" s="2">
        <v>14</v>
      </c>
      <c r="E7058" s="2">
        <v>16</v>
      </c>
      <c r="F7058" s="2" t="s">
        <v>24659</v>
      </c>
      <c r="H7058" s="2" t="s">
        <v>17</v>
      </c>
      <c r="K7058" s="4" t="s">
        <v>24660</v>
      </c>
      <c r="L7058" s="4">
        <v>3149</v>
      </c>
      <c r="M7058" s="2" t="s">
        <v>198</v>
      </c>
      <c r="N7058" s="2" t="s">
        <v>199</v>
      </c>
    </row>
    <row r="7059" spans="1:14">
      <c r="A7059" s="2">
        <v>7058</v>
      </c>
      <c r="B7059" s="3" t="s">
        <v>24661</v>
      </c>
      <c r="C7059" s="2" t="s">
        <v>4592</v>
      </c>
      <c r="D7059" s="2">
        <v>16</v>
      </c>
      <c r="E7059" s="2">
        <v>16</v>
      </c>
      <c r="F7059" s="2" t="s">
        <v>24662</v>
      </c>
      <c r="H7059" s="2" t="s">
        <v>17</v>
      </c>
      <c r="K7059" s="4" t="s">
        <v>24663</v>
      </c>
      <c r="L7059" s="4" t="s">
        <v>24664</v>
      </c>
      <c r="M7059" s="2" t="s">
        <v>40</v>
      </c>
      <c r="N7059" s="2" t="s">
        <v>41</v>
      </c>
    </row>
    <row r="7060" spans="1:14">
      <c r="A7060" s="2">
        <v>7059</v>
      </c>
      <c r="B7060" s="3" t="s">
        <v>24665</v>
      </c>
      <c r="C7060" s="2" t="s">
        <v>24666</v>
      </c>
      <c r="D7060" s="2">
        <v>11</v>
      </c>
      <c r="E7060" s="2">
        <v>16</v>
      </c>
      <c r="F7060" s="2" t="s">
        <v>24667</v>
      </c>
      <c r="H7060" s="2" t="s">
        <v>17</v>
      </c>
      <c r="K7060" s="4" t="s">
        <v>24668</v>
      </c>
      <c r="L7060" s="4" t="s">
        <v>24669</v>
      </c>
      <c r="M7060" s="2" t="s">
        <v>164</v>
      </c>
      <c r="N7060" s="2" t="s">
        <v>6164</v>
      </c>
    </row>
    <row r="7061" spans="1:14">
      <c r="A7061" s="2">
        <v>7060</v>
      </c>
      <c r="B7061" s="3" t="s">
        <v>24670</v>
      </c>
      <c r="C7061" s="2" t="s">
        <v>24671</v>
      </c>
      <c r="D7061" s="2">
        <v>16</v>
      </c>
      <c r="E7061" s="2">
        <v>16</v>
      </c>
      <c r="F7061" s="2" t="s">
        <v>24672</v>
      </c>
      <c r="H7061" s="2" t="s">
        <v>17</v>
      </c>
      <c r="K7061" s="4" t="s">
        <v>24673</v>
      </c>
      <c r="L7061" s="4" t="s">
        <v>24674</v>
      </c>
      <c r="M7061" s="2" t="s">
        <v>40</v>
      </c>
    </row>
    <row r="7062" spans="1:14">
      <c r="A7062" s="2">
        <v>7061</v>
      </c>
      <c r="B7062" s="3" t="s">
        <v>24675</v>
      </c>
      <c r="C7062" s="2" t="s">
        <v>24676</v>
      </c>
      <c r="D7062" s="2">
        <v>9</v>
      </c>
      <c r="E7062" s="2">
        <v>16</v>
      </c>
      <c r="F7062" s="2" t="s">
        <v>24677</v>
      </c>
      <c r="H7062" s="2" t="s">
        <v>17</v>
      </c>
      <c r="K7062" s="4" t="s">
        <v>24678</v>
      </c>
      <c r="L7062" s="4">
        <v>2299</v>
      </c>
      <c r="M7062" s="2" t="s">
        <v>35</v>
      </c>
      <c r="N7062" s="2" t="s">
        <v>1996</v>
      </c>
    </row>
    <row r="7063" spans="1:14">
      <c r="A7063" s="2">
        <v>7062</v>
      </c>
      <c r="B7063" s="3" t="s">
        <v>24679</v>
      </c>
      <c r="C7063" s="2" t="s">
        <v>24680</v>
      </c>
      <c r="D7063" s="2">
        <v>15</v>
      </c>
      <c r="E7063" s="2">
        <v>15</v>
      </c>
      <c r="F7063" s="2" t="s">
        <v>24681</v>
      </c>
      <c r="H7063" s="2" t="s">
        <v>17</v>
      </c>
    </row>
    <row r="7064" spans="1:14">
      <c r="A7064" s="2">
        <v>7063</v>
      </c>
      <c r="B7064" s="3" t="s">
        <v>24682</v>
      </c>
      <c r="C7064" s="2" t="s">
        <v>24683</v>
      </c>
      <c r="D7064" s="2">
        <v>5</v>
      </c>
      <c r="E7064" s="2">
        <v>15</v>
      </c>
      <c r="F7064" s="2" t="s">
        <v>24684</v>
      </c>
      <c r="H7064" s="2" t="s">
        <v>17</v>
      </c>
      <c r="K7064" s="4" t="s">
        <v>24685</v>
      </c>
      <c r="L7064" s="4" t="s">
        <v>18983</v>
      </c>
      <c r="M7064" s="2" t="s">
        <v>85</v>
      </c>
      <c r="N7064" s="2" t="s">
        <v>1891</v>
      </c>
    </row>
    <row r="7065" spans="1:14">
      <c r="A7065" s="2">
        <v>7064</v>
      </c>
      <c r="B7065" s="3" t="s">
        <v>24686</v>
      </c>
      <c r="C7065" s="2" t="s">
        <v>24687</v>
      </c>
      <c r="D7065" s="2">
        <v>11</v>
      </c>
      <c r="E7065" s="2">
        <v>15</v>
      </c>
      <c r="F7065" s="2" t="s">
        <v>24688</v>
      </c>
      <c r="H7065" s="2" t="s">
        <v>17</v>
      </c>
      <c r="K7065" s="4" t="s">
        <v>24689</v>
      </c>
      <c r="L7065" s="4">
        <v>4236</v>
      </c>
      <c r="M7065" s="2" t="s">
        <v>170</v>
      </c>
      <c r="N7065" s="2" t="s">
        <v>323</v>
      </c>
    </row>
    <row r="7066" spans="1:14">
      <c r="A7066" s="2">
        <v>7065</v>
      </c>
      <c r="B7066" s="3" t="s">
        <v>24690</v>
      </c>
      <c r="C7066" s="2" t="s">
        <v>19070</v>
      </c>
      <c r="D7066" s="2">
        <v>10</v>
      </c>
      <c r="E7066" s="2">
        <v>15</v>
      </c>
      <c r="F7066" s="2" t="s">
        <v>24691</v>
      </c>
      <c r="H7066" s="2" t="s">
        <v>17</v>
      </c>
      <c r="K7066" s="4" t="s">
        <v>24692</v>
      </c>
      <c r="L7066" s="4" t="s">
        <v>24693</v>
      </c>
      <c r="M7066" s="2" t="s">
        <v>40</v>
      </c>
      <c r="N7066" s="2" t="s">
        <v>9352</v>
      </c>
    </row>
    <row r="7067" spans="1:14">
      <c r="A7067" s="2">
        <v>7066</v>
      </c>
      <c r="B7067" s="3" t="s">
        <v>24694</v>
      </c>
      <c r="C7067" s="2" t="s">
        <v>24695</v>
      </c>
      <c r="D7067" s="2">
        <v>8</v>
      </c>
      <c r="E7067" s="2">
        <v>15</v>
      </c>
      <c r="F7067" s="2" t="s">
        <v>24696</v>
      </c>
      <c r="H7067" s="2" t="s">
        <v>17</v>
      </c>
      <c r="L7067" s="4" t="s">
        <v>24697</v>
      </c>
    </row>
    <row r="7068" spans="1:14">
      <c r="A7068" s="2">
        <v>7067</v>
      </c>
      <c r="B7068" s="3" t="s">
        <v>24698</v>
      </c>
      <c r="C7068" s="2" t="s">
        <v>24699</v>
      </c>
      <c r="D7068" s="2">
        <v>15</v>
      </c>
      <c r="E7068" s="2">
        <v>15</v>
      </c>
      <c r="F7068" s="2" t="s">
        <v>24700</v>
      </c>
      <c r="H7068" s="2" t="s">
        <v>17</v>
      </c>
      <c r="K7068" s="4" t="s">
        <v>24701</v>
      </c>
      <c r="L7068" s="4">
        <v>2166</v>
      </c>
      <c r="M7068" s="2" t="s">
        <v>35</v>
      </c>
      <c r="N7068" s="2" t="s">
        <v>11552</v>
      </c>
    </row>
    <row r="7069" spans="1:14">
      <c r="A7069" s="2">
        <v>7068</v>
      </c>
      <c r="B7069" s="3" t="s">
        <v>24702</v>
      </c>
      <c r="C7069" s="2" t="s">
        <v>24703</v>
      </c>
      <c r="D7069" s="2">
        <v>4</v>
      </c>
      <c r="E7069" s="2">
        <v>15</v>
      </c>
      <c r="F7069" s="2" t="s">
        <v>24704</v>
      </c>
      <c r="H7069" s="2" t="s">
        <v>17</v>
      </c>
      <c r="K7069" s="4" t="s">
        <v>24705</v>
      </c>
      <c r="L7069" s="4" t="s">
        <v>24706</v>
      </c>
      <c r="M7069" s="2" t="s">
        <v>85</v>
      </c>
      <c r="N7069" s="2" t="s">
        <v>1868</v>
      </c>
    </row>
    <row r="7070" spans="1:14">
      <c r="A7070" s="2">
        <v>7069</v>
      </c>
      <c r="B7070" s="3" t="s">
        <v>24707</v>
      </c>
      <c r="C7070" s="2" t="s">
        <v>24708</v>
      </c>
      <c r="D7070" s="2">
        <v>10</v>
      </c>
      <c r="E7070" s="2">
        <v>15</v>
      </c>
      <c r="F7070" s="2" t="s">
        <v>24709</v>
      </c>
      <c r="H7070" s="2" t="s">
        <v>17</v>
      </c>
      <c r="K7070" s="4" t="s">
        <v>24710</v>
      </c>
      <c r="L7070" s="4" t="s">
        <v>24711</v>
      </c>
      <c r="M7070" s="2" t="s">
        <v>423</v>
      </c>
      <c r="N7070" s="2" t="s">
        <v>8765</v>
      </c>
    </row>
    <row r="7071" spans="1:14">
      <c r="A7071" s="2">
        <v>7070</v>
      </c>
      <c r="B7071" s="3" t="s">
        <v>24712</v>
      </c>
      <c r="C7071" s="2" t="s">
        <v>24713</v>
      </c>
      <c r="D7071" s="2">
        <v>9</v>
      </c>
      <c r="E7071" s="2">
        <v>15</v>
      </c>
      <c r="F7071" s="2" t="s">
        <v>24714</v>
      </c>
      <c r="H7071" s="2" t="s">
        <v>17</v>
      </c>
      <c r="K7071" s="4" t="s">
        <v>24715</v>
      </c>
      <c r="L7071" s="4" t="s">
        <v>24716</v>
      </c>
      <c r="M7071" s="2" t="s">
        <v>66</v>
      </c>
      <c r="N7071" s="2" t="s">
        <v>17431</v>
      </c>
    </row>
    <row r="7072" spans="1:14">
      <c r="A7072" s="2">
        <v>7071</v>
      </c>
      <c r="B7072" s="3" t="s">
        <v>24717</v>
      </c>
      <c r="C7072" s="2" t="s">
        <v>24718</v>
      </c>
      <c r="D7072" s="2">
        <v>14</v>
      </c>
      <c r="E7072" s="2">
        <v>15</v>
      </c>
      <c r="F7072" s="2" t="s">
        <v>24719</v>
      </c>
      <c r="H7072" s="2" t="s">
        <v>17</v>
      </c>
      <c r="L7072" s="4" t="s">
        <v>24720</v>
      </c>
    </row>
    <row r="7073" spans="1:14">
      <c r="A7073" s="2">
        <v>7072</v>
      </c>
      <c r="B7073" s="3" t="s">
        <v>24721</v>
      </c>
      <c r="C7073" s="2" t="s">
        <v>24722</v>
      </c>
      <c r="D7073" s="2">
        <v>12</v>
      </c>
      <c r="E7073" s="2">
        <v>15</v>
      </c>
      <c r="F7073" s="2" t="s">
        <v>24723</v>
      </c>
      <c r="H7073" s="2" t="s">
        <v>17</v>
      </c>
      <c r="L7073" s="4" t="s">
        <v>24724</v>
      </c>
      <c r="M7073" s="2" t="s">
        <v>47</v>
      </c>
    </row>
    <row r="7074" spans="1:14">
      <c r="A7074" s="2">
        <v>7073</v>
      </c>
      <c r="B7074" s="3" t="s">
        <v>24725</v>
      </c>
      <c r="C7074" s="2" t="s">
        <v>24726</v>
      </c>
      <c r="D7074" s="2">
        <v>9</v>
      </c>
      <c r="E7074" s="2">
        <v>15</v>
      </c>
      <c r="F7074" s="2" t="s">
        <v>24727</v>
      </c>
      <c r="H7074" s="2" t="s">
        <v>17</v>
      </c>
      <c r="K7074" s="4" t="s">
        <v>24728</v>
      </c>
      <c r="L7074" s="4" t="s">
        <v>24729</v>
      </c>
      <c r="M7074" s="2" t="s">
        <v>66</v>
      </c>
      <c r="N7074" s="2" t="s">
        <v>71</v>
      </c>
    </row>
    <row r="7075" spans="1:14">
      <c r="A7075" s="2">
        <v>7074</v>
      </c>
      <c r="B7075" s="3" t="s">
        <v>24730</v>
      </c>
      <c r="C7075" s="2" t="s">
        <v>24731</v>
      </c>
      <c r="D7075" s="2">
        <v>14</v>
      </c>
      <c r="E7075" s="2">
        <v>15</v>
      </c>
      <c r="F7075" s="2" t="s">
        <v>24732</v>
      </c>
      <c r="H7075" s="2" t="s">
        <v>17</v>
      </c>
      <c r="K7075" s="4" t="s">
        <v>24733</v>
      </c>
      <c r="L7075" s="4" t="s">
        <v>24734</v>
      </c>
      <c r="M7075" s="2" t="s">
        <v>40</v>
      </c>
      <c r="N7075" s="2" t="s">
        <v>1528</v>
      </c>
    </row>
    <row r="7076" spans="1:14">
      <c r="A7076" s="2">
        <v>7075</v>
      </c>
      <c r="B7076" s="3" t="s">
        <v>24735</v>
      </c>
      <c r="C7076" s="2" t="s">
        <v>24736</v>
      </c>
      <c r="D7076" s="2">
        <v>15</v>
      </c>
      <c r="E7076" s="2">
        <v>15</v>
      </c>
      <c r="F7076" s="2" t="s">
        <v>24737</v>
      </c>
      <c r="H7076" s="2" t="s">
        <v>17</v>
      </c>
    </row>
    <row r="7077" spans="1:14">
      <c r="A7077" s="2">
        <v>7076</v>
      </c>
      <c r="B7077" s="3" t="s">
        <v>24738</v>
      </c>
      <c r="C7077" s="2" t="s">
        <v>24739</v>
      </c>
      <c r="D7077" s="2">
        <v>15</v>
      </c>
      <c r="E7077" s="2">
        <v>15</v>
      </c>
      <c r="F7077" s="2" t="s">
        <v>24740</v>
      </c>
      <c r="H7077" s="2" t="s">
        <v>17</v>
      </c>
      <c r="K7077" s="4" t="s">
        <v>24741</v>
      </c>
      <c r="L7077" s="4" t="s">
        <v>24742</v>
      </c>
      <c r="M7077" s="2" t="s">
        <v>35</v>
      </c>
    </row>
    <row r="7078" spans="1:14">
      <c r="A7078" s="2">
        <v>7077</v>
      </c>
      <c r="B7078" s="3" t="s">
        <v>24743</v>
      </c>
      <c r="C7078" s="2" t="s">
        <v>24744</v>
      </c>
      <c r="D7078" s="2">
        <v>14</v>
      </c>
      <c r="E7078" s="2">
        <v>15</v>
      </c>
      <c r="F7078" s="2" t="s">
        <v>24745</v>
      </c>
      <c r="H7078" s="2" t="s">
        <v>17</v>
      </c>
      <c r="K7078" s="4" t="s">
        <v>24746</v>
      </c>
      <c r="L7078" s="4" t="s">
        <v>24747</v>
      </c>
      <c r="M7078" s="2" t="s">
        <v>185</v>
      </c>
      <c r="N7078" s="2" t="s">
        <v>186</v>
      </c>
    </row>
    <row r="7079" spans="1:14">
      <c r="A7079" s="2">
        <v>7078</v>
      </c>
      <c r="B7079" s="3" t="s">
        <v>24748</v>
      </c>
      <c r="C7079" s="2" t="s">
        <v>24749</v>
      </c>
      <c r="D7079" s="2">
        <v>14</v>
      </c>
      <c r="E7079" s="2">
        <v>15</v>
      </c>
      <c r="F7079" s="2" t="s">
        <v>24750</v>
      </c>
      <c r="H7079" s="2" t="s">
        <v>17</v>
      </c>
    </row>
    <row r="7080" spans="1:14">
      <c r="A7080" s="2">
        <v>7079</v>
      </c>
      <c r="B7080" s="3" t="s">
        <v>24751</v>
      </c>
      <c r="C7080" s="2" t="s">
        <v>24752</v>
      </c>
      <c r="D7080" s="2">
        <v>13</v>
      </c>
      <c r="E7080" s="2">
        <v>15</v>
      </c>
      <c r="F7080" s="2" t="s">
        <v>24753</v>
      </c>
      <c r="H7080" s="2" t="s">
        <v>17</v>
      </c>
      <c r="L7080" s="4" t="s">
        <v>19166</v>
      </c>
    </row>
    <row r="7081" spans="1:14">
      <c r="A7081" s="2">
        <v>7080</v>
      </c>
      <c r="B7081" s="3" t="s">
        <v>24754</v>
      </c>
      <c r="C7081" s="2" t="s">
        <v>24755</v>
      </c>
      <c r="D7081" s="2">
        <v>15</v>
      </c>
      <c r="E7081" s="2">
        <v>15</v>
      </c>
      <c r="F7081" s="2" t="s">
        <v>24756</v>
      </c>
      <c r="H7081" s="2" t="s">
        <v>17</v>
      </c>
      <c r="K7081" s="4" t="s">
        <v>24757</v>
      </c>
      <c r="L7081" s="4">
        <v>6474</v>
      </c>
      <c r="M7081" s="2" t="s">
        <v>170</v>
      </c>
      <c r="N7081" s="2" t="s">
        <v>13655</v>
      </c>
    </row>
    <row r="7082" spans="1:14">
      <c r="A7082" s="2">
        <v>7081</v>
      </c>
      <c r="B7082" s="3" t="s">
        <v>24758</v>
      </c>
      <c r="C7082" s="2" t="s">
        <v>24759</v>
      </c>
      <c r="D7082" s="2">
        <v>15</v>
      </c>
      <c r="E7082" s="2">
        <v>15</v>
      </c>
      <c r="F7082" s="2" t="s">
        <v>24760</v>
      </c>
      <c r="H7082" s="2" t="s">
        <v>17</v>
      </c>
      <c r="K7082" s="4" t="s">
        <v>24761</v>
      </c>
      <c r="L7082" s="4" t="s">
        <v>24762</v>
      </c>
      <c r="M7082" s="2" t="s">
        <v>35</v>
      </c>
      <c r="N7082" s="2" t="s">
        <v>15810</v>
      </c>
    </row>
    <row r="7083" spans="1:14">
      <c r="A7083" s="2">
        <v>7082</v>
      </c>
      <c r="B7083" s="3" t="s">
        <v>24763</v>
      </c>
      <c r="C7083" s="2" t="s">
        <v>24764</v>
      </c>
      <c r="D7083" s="2">
        <v>4</v>
      </c>
      <c r="E7083" s="2">
        <v>15</v>
      </c>
      <c r="F7083" s="2" t="s">
        <v>24765</v>
      </c>
      <c r="H7083" s="2" t="s">
        <v>17</v>
      </c>
    </row>
    <row r="7084" spans="1:14">
      <c r="A7084" s="2">
        <v>7083</v>
      </c>
      <c r="B7084" s="3" t="s">
        <v>24766</v>
      </c>
      <c r="C7084" s="2" t="s">
        <v>24767</v>
      </c>
      <c r="D7084" s="2">
        <v>10</v>
      </c>
      <c r="E7084" s="2">
        <v>15</v>
      </c>
      <c r="F7084" s="2" t="s">
        <v>24768</v>
      </c>
      <c r="H7084" s="2" t="s">
        <v>17</v>
      </c>
      <c r="K7084" s="4" t="s">
        <v>24769</v>
      </c>
      <c r="L7084" s="4" t="s">
        <v>24770</v>
      </c>
      <c r="M7084" s="2" t="s">
        <v>66</v>
      </c>
      <c r="N7084" s="2" t="s">
        <v>131</v>
      </c>
    </row>
    <row r="7085" spans="1:14">
      <c r="A7085" s="2">
        <v>7084</v>
      </c>
      <c r="B7085" s="3" t="s">
        <v>24771</v>
      </c>
      <c r="C7085" s="2" t="s">
        <v>24772</v>
      </c>
      <c r="D7085" s="2">
        <v>8</v>
      </c>
      <c r="E7085" s="2">
        <v>15</v>
      </c>
      <c r="F7085" s="2" t="s">
        <v>24773</v>
      </c>
      <c r="H7085" s="2" t="s">
        <v>17</v>
      </c>
      <c r="K7085" s="4" t="s">
        <v>24774</v>
      </c>
      <c r="L7085" s="4">
        <v>1870</v>
      </c>
      <c r="M7085" s="2" t="s">
        <v>35</v>
      </c>
      <c r="N7085" s="2" t="s">
        <v>11401</v>
      </c>
    </row>
    <row r="7086" spans="1:14">
      <c r="A7086" s="2">
        <v>7085</v>
      </c>
      <c r="B7086" s="3" t="s">
        <v>24775</v>
      </c>
      <c r="C7086" s="2" t="s">
        <v>24776</v>
      </c>
      <c r="D7086" s="2">
        <v>15</v>
      </c>
      <c r="E7086" s="2">
        <v>15</v>
      </c>
      <c r="F7086" s="2" t="s">
        <v>24777</v>
      </c>
      <c r="H7086" s="2" t="s">
        <v>17</v>
      </c>
    </row>
    <row r="7087" spans="1:14">
      <c r="A7087" s="2">
        <v>7086</v>
      </c>
      <c r="B7087" s="3" t="s">
        <v>24778</v>
      </c>
      <c r="C7087" s="2" t="s">
        <v>24779</v>
      </c>
      <c r="D7087" s="2">
        <v>15</v>
      </c>
      <c r="E7087" s="2">
        <v>15</v>
      </c>
      <c r="F7087" s="2" t="s">
        <v>24780</v>
      </c>
      <c r="H7087" s="2" t="s">
        <v>17</v>
      </c>
      <c r="K7087" s="4" t="s">
        <v>24781</v>
      </c>
      <c r="M7087" s="2" t="s">
        <v>40</v>
      </c>
      <c r="N7087" s="2" t="s">
        <v>9352</v>
      </c>
    </row>
    <row r="7088" spans="1:14">
      <c r="A7088" s="2">
        <v>7087</v>
      </c>
      <c r="B7088" s="3" t="s">
        <v>24782</v>
      </c>
      <c r="C7088" s="2" t="s">
        <v>24783</v>
      </c>
      <c r="D7088" s="2">
        <v>15</v>
      </c>
      <c r="E7088" s="2">
        <v>15</v>
      </c>
      <c r="F7088" s="2" t="s">
        <v>24784</v>
      </c>
      <c r="H7088" s="2" t="s">
        <v>17</v>
      </c>
    </row>
    <row r="7089" spans="1:14">
      <c r="A7089" s="2">
        <v>7088</v>
      </c>
      <c r="B7089" s="3" t="s">
        <v>24785</v>
      </c>
      <c r="C7089" s="2" t="s">
        <v>24786</v>
      </c>
      <c r="D7089" s="2">
        <v>9</v>
      </c>
      <c r="E7089" s="2">
        <v>15</v>
      </c>
      <c r="F7089" s="2" t="s">
        <v>24787</v>
      </c>
      <c r="H7089" s="2" t="s">
        <v>17</v>
      </c>
      <c r="K7089" s="4" t="s">
        <v>24788</v>
      </c>
      <c r="L7089" s="4" t="s">
        <v>24789</v>
      </c>
      <c r="M7089" s="2" t="s">
        <v>170</v>
      </c>
      <c r="N7089" s="2" t="s">
        <v>323</v>
      </c>
    </row>
    <row r="7090" spans="1:14">
      <c r="A7090" s="2">
        <v>7089</v>
      </c>
      <c r="B7090" s="3" t="s">
        <v>24790</v>
      </c>
      <c r="C7090" s="2" t="s">
        <v>24791</v>
      </c>
      <c r="D7090" s="2">
        <v>15</v>
      </c>
      <c r="E7090" s="2">
        <v>15</v>
      </c>
      <c r="F7090" s="2" t="s">
        <v>24792</v>
      </c>
      <c r="H7090" s="2" t="s">
        <v>17</v>
      </c>
    </row>
    <row r="7091" spans="1:14">
      <c r="A7091" s="2">
        <v>7090</v>
      </c>
      <c r="B7091" s="3" t="s">
        <v>24793</v>
      </c>
      <c r="C7091" s="2" t="s">
        <v>24794</v>
      </c>
      <c r="D7091" s="2">
        <v>14</v>
      </c>
      <c r="E7091" s="2">
        <v>15</v>
      </c>
      <c r="F7091" s="2" t="s">
        <v>24795</v>
      </c>
      <c r="H7091" s="2" t="s">
        <v>17</v>
      </c>
    </row>
    <row r="7092" spans="1:14">
      <c r="A7092" s="2">
        <v>7091</v>
      </c>
      <c r="B7092" s="3" t="s">
        <v>24796</v>
      </c>
      <c r="C7092" s="2" t="s">
        <v>24797</v>
      </c>
      <c r="D7092" s="2">
        <v>15</v>
      </c>
      <c r="E7092" s="2">
        <v>15</v>
      </c>
      <c r="F7092" s="2" t="s">
        <v>24798</v>
      </c>
      <c r="H7092" s="2" t="s">
        <v>17</v>
      </c>
      <c r="K7092" s="4" t="s">
        <v>24799</v>
      </c>
      <c r="L7092" s="4" t="s">
        <v>24800</v>
      </c>
      <c r="M7092" s="2" t="s">
        <v>35</v>
      </c>
      <c r="N7092" s="2" t="s">
        <v>2178</v>
      </c>
    </row>
    <row r="7093" spans="1:14">
      <c r="A7093" s="2">
        <v>7092</v>
      </c>
      <c r="B7093" s="3" t="s">
        <v>24801</v>
      </c>
      <c r="C7093" s="2" t="s">
        <v>24802</v>
      </c>
      <c r="D7093" s="2">
        <v>6</v>
      </c>
      <c r="E7093" s="2">
        <v>15</v>
      </c>
      <c r="F7093" s="2" t="s">
        <v>24803</v>
      </c>
      <c r="H7093" s="2" t="s">
        <v>17</v>
      </c>
      <c r="L7093" s="4" t="s">
        <v>24804</v>
      </c>
    </row>
    <row r="7094" spans="1:14">
      <c r="A7094" s="2">
        <v>7093</v>
      </c>
      <c r="B7094" s="3" t="s">
        <v>24805</v>
      </c>
      <c r="C7094" s="2" t="s">
        <v>24806</v>
      </c>
      <c r="D7094" s="2">
        <v>14</v>
      </c>
      <c r="E7094" s="2">
        <v>15</v>
      </c>
      <c r="F7094" s="2" t="s">
        <v>24807</v>
      </c>
      <c r="H7094" s="2" t="s">
        <v>17</v>
      </c>
    </row>
    <row r="7095" spans="1:14">
      <c r="A7095" s="2">
        <v>7094</v>
      </c>
      <c r="B7095" s="3" t="s">
        <v>24808</v>
      </c>
      <c r="C7095" s="2" t="s">
        <v>24809</v>
      </c>
      <c r="D7095" s="2">
        <v>5</v>
      </c>
      <c r="E7095" s="2">
        <v>15</v>
      </c>
      <c r="F7095" s="2" t="s">
        <v>24810</v>
      </c>
      <c r="H7095" s="2" t="s">
        <v>17</v>
      </c>
      <c r="L7095" s="4" t="s">
        <v>24811</v>
      </c>
    </row>
    <row r="7096" spans="1:14">
      <c r="A7096" s="2">
        <v>7095</v>
      </c>
      <c r="B7096" s="3" t="s">
        <v>24812</v>
      </c>
      <c r="C7096" s="2" t="s">
        <v>24813</v>
      </c>
      <c r="D7096" s="2">
        <v>14</v>
      </c>
      <c r="E7096" s="2">
        <v>15</v>
      </c>
      <c r="F7096" s="2" t="s">
        <v>24814</v>
      </c>
      <c r="H7096" s="2" t="s">
        <v>17</v>
      </c>
      <c r="K7096" s="4" t="s">
        <v>24815</v>
      </c>
      <c r="L7096" s="4" t="s">
        <v>24816</v>
      </c>
      <c r="M7096" s="2" t="s">
        <v>198</v>
      </c>
      <c r="N7096" s="2" t="s">
        <v>1284</v>
      </c>
    </row>
    <row r="7097" spans="1:14">
      <c r="A7097" s="2">
        <v>7096</v>
      </c>
      <c r="B7097" s="3" t="s">
        <v>24817</v>
      </c>
      <c r="C7097" s="2" t="s">
        <v>24818</v>
      </c>
      <c r="D7097" s="2">
        <v>15</v>
      </c>
      <c r="E7097" s="2">
        <v>15</v>
      </c>
      <c r="F7097" s="2" t="s">
        <v>24819</v>
      </c>
      <c r="H7097" s="2" t="s">
        <v>17</v>
      </c>
      <c r="K7097" s="4" t="s">
        <v>24820</v>
      </c>
      <c r="L7097" s="4" t="s">
        <v>24821</v>
      </c>
      <c r="M7097" s="2" t="s">
        <v>91</v>
      </c>
    </row>
    <row r="7098" spans="1:14">
      <c r="A7098" s="2">
        <v>7097</v>
      </c>
      <c r="B7098" s="3" t="s">
        <v>24822</v>
      </c>
      <c r="C7098" s="2" t="s">
        <v>24823</v>
      </c>
      <c r="D7098" s="2">
        <v>15</v>
      </c>
      <c r="E7098" s="2">
        <v>15</v>
      </c>
      <c r="F7098" s="2" t="s">
        <v>24824</v>
      </c>
      <c r="H7098" s="2" t="s">
        <v>17</v>
      </c>
    </row>
    <row r="7099" spans="1:14">
      <c r="A7099" s="2">
        <v>7098</v>
      </c>
      <c r="B7099" s="3" t="s">
        <v>24825</v>
      </c>
      <c r="C7099" s="2" t="s">
        <v>24826</v>
      </c>
      <c r="D7099" s="2">
        <v>15</v>
      </c>
      <c r="E7099" s="2">
        <v>15</v>
      </c>
      <c r="F7099" s="2" t="s">
        <v>24827</v>
      </c>
      <c r="H7099" s="2" t="s">
        <v>17</v>
      </c>
    </row>
    <row r="7100" spans="1:14">
      <c r="A7100" s="2">
        <v>7099</v>
      </c>
      <c r="B7100" s="3" t="s">
        <v>24828</v>
      </c>
      <c r="C7100" s="2" t="s">
        <v>24829</v>
      </c>
      <c r="D7100" s="2">
        <v>14</v>
      </c>
      <c r="E7100" s="2">
        <v>15</v>
      </c>
      <c r="F7100" s="2" t="s">
        <v>24830</v>
      </c>
      <c r="H7100" s="2" t="s">
        <v>17</v>
      </c>
    </row>
    <row r="7101" spans="1:14">
      <c r="A7101" s="2">
        <v>7100</v>
      </c>
      <c r="B7101" s="3" t="s">
        <v>24831</v>
      </c>
      <c r="C7101" s="2" t="s">
        <v>24832</v>
      </c>
      <c r="D7101" s="2">
        <v>15</v>
      </c>
      <c r="E7101" s="2">
        <v>15</v>
      </c>
      <c r="F7101" s="2" t="s">
        <v>24833</v>
      </c>
      <c r="H7101" s="2" t="s">
        <v>17</v>
      </c>
      <c r="K7101" s="4" t="s">
        <v>24834</v>
      </c>
      <c r="L7101" s="4" t="s">
        <v>24835</v>
      </c>
      <c r="M7101" s="2" t="s">
        <v>146</v>
      </c>
      <c r="N7101" s="2" t="s">
        <v>147</v>
      </c>
    </row>
    <row r="7102" spans="1:14">
      <c r="A7102" s="2">
        <v>7101</v>
      </c>
      <c r="B7102" s="3" t="s">
        <v>24836</v>
      </c>
      <c r="C7102" s="2" t="s">
        <v>24837</v>
      </c>
      <c r="D7102" s="2">
        <v>15</v>
      </c>
      <c r="E7102" s="2">
        <v>15</v>
      </c>
      <c r="F7102" s="2" t="s">
        <v>24838</v>
      </c>
      <c r="H7102" s="2" t="s">
        <v>17</v>
      </c>
      <c r="L7102" s="4">
        <v>7134</v>
      </c>
    </row>
    <row r="7103" spans="1:14">
      <c r="A7103" s="2">
        <v>7102</v>
      </c>
      <c r="B7103" s="3" t="s">
        <v>24839</v>
      </c>
      <c r="C7103" s="2" t="s">
        <v>24840</v>
      </c>
      <c r="D7103" s="2">
        <v>14</v>
      </c>
      <c r="E7103" s="2">
        <v>15</v>
      </c>
      <c r="F7103" s="2" t="s">
        <v>24841</v>
      </c>
      <c r="H7103" s="2" t="s">
        <v>17</v>
      </c>
      <c r="K7103" s="4" t="s">
        <v>24842</v>
      </c>
      <c r="L7103" s="4">
        <v>4424</v>
      </c>
      <c r="M7103" s="2" t="s">
        <v>170</v>
      </c>
      <c r="N7103" s="2" t="s">
        <v>323</v>
      </c>
    </row>
    <row r="7104" spans="1:14">
      <c r="A7104" s="2">
        <v>7103</v>
      </c>
      <c r="B7104" s="3" t="s">
        <v>24843</v>
      </c>
      <c r="C7104" s="2" t="s">
        <v>24844</v>
      </c>
      <c r="D7104" s="2">
        <v>8</v>
      </c>
      <c r="E7104" s="2">
        <v>15</v>
      </c>
      <c r="F7104" s="2" t="s">
        <v>24845</v>
      </c>
      <c r="H7104" s="2" t="s">
        <v>17</v>
      </c>
      <c r="L7104" s="4" t="s">
        <v>24846</v>
      </c>
    </row>
    <row r="7105" spans="1:14">
      <c r="A7105" s="2">
        <v>7104</v>
      </c>
      <c r="B7105" s="3" t="s">
        <v>24847</v>
      </c>
      <c r="C7105" s="2" t="s">
        <v>22337</v>
      </c>
      <c r="D7105" s="2">
        <v>15</v>
      </c>
      <c r="E7105" s="2">
        <v>15</v>
      </c>
      <c r="F7105" s="2" t="s">
        <v>24848</v>
      </c>
      <c r="H7105" s="2" t="s">
        <v>17</v>
      </c>
    </row>
    <row r="7106" spans="1:14">
      <c r="A7106" s="2">
        <v>7105</v>
      </c>
      <c r="B7106" s="3" t="s">
        <v>24849</v>
      </c>
      <c r="C7106" s="2" t="s">
        <v>24850</v>
      </c>
      <c r="D7106" s="2">
        <v>15</v>
      </c>
      <c r="E7106" s="2">
        <v>15</v>
      </c>
      <c r="F7106" s="2" t="s">
        <v>24851</v>
      </c>
      <c r="H7106" s="2" t="s">
        <v>17</v>
      </c>
      <c r="K7106" s="4" t="s">
        <v>24852</v>
      </c>
      <c r="L7106" s="4" t="s">
        <v>24853</v>
      </c>
      <c r="M7106" s="2" t="s">
        <v>170</v>
      </c>
      <c r="N7106" s="2" t="s">
        <v>323</v>
      </c>
    </row>
    <row r="7107" spans="1:14">
      <c r="A7107" s="2">
        <v>7106</v>
      </c>
      <c r="B7107" s="3" t="s">
        <v>24854</v>
      </c>
      <c r="C7107" s="2" t="s">
        <v>24855</v>
      </c>
      <c r="D7107" s="2">
        <v>14</v>
      </c>
      <c r="E7107" s="2">
        <v>15</v>
      </c>
      <c r="F7107" s="2" t="s">
        <v>24856</v>
      </c>
      <c r="H7107" s="2" t="s">
        <v>17</v>
      </c>
      <c r="L7107" s="4" t="s">
        <v>24857</v>
      </c>
    </row>
    <row r="7108" spans="1:14">
      <c r="A7108" s="2">
        <v>7107</v>
      </c>
      <c r="B7108" s="3" t="s">
        <v>24858</v>
      </c>
      <c r="C7108" s="2" t="s">
        <v>24859</v>
      </c>
      <c r="D7108" s="2">
        <v>15</v>
      </c>
      <c r="E7108" s="2">
        <v>15</v>
      </c>
      <c r="F7108" s="2" t="s">
        <v>24860</v>
      </c>
      <c r="H7108" s="2" t="s">
        <v>17</v>
      </c>
      <c r="L7108" s="4" t="s">
        <v>24861</v>
      </c>
      <c r="M7108" s="2" t="s">
        <v>40</v>
      </c>
      <c r="N7108" s="2" t="s">
        <v>41</v>
      </c>
    </row>
    <row r="7109" spans="1:14">
      <c r="A7109" s="2">
        <v>7108</v>
      </c>
      <c r="B7109" s="3" t="s">
        <v>24862</v>
      </c>
      <c r="C7109" s="2" t="s">
        <v>24863</v>
      </c>
      <c r="D7109" s="2">
        <v>15</v>
      </c>
      <c r="E7109" s="2">
        <v>15</v>
      </c>
      <c r="F7109" s="2" t="s">
        <v>24864</v>
      </c>
      <c r="H7109" s="2" t="s">
        <v>17</v>
      </c>
      <c r="L7109" s="4">
        <v>3454</v>
      </c>
    </row>
    <row r="7110" spans="1:14">
      <c r="A7110" s="2">
        <v>7109</v>
      </c>
      <c r="B7110" s="3" t="s">
        <v>24865</v>
      </c>
      <c r="C7110" s="2" t="s">
        <v>24866</v>
      </c>
      <c r="D7110" s="2">
        <v>10</v>
      </c>
      <c r="E7110" s="2">
        <v>15</v>
      </c>
      <c r="F7110" s="2" t="s">
        <v>24867</v>
      </c>
      <c r="H7110" s="2" t="s">
        <v>17</v>
      </c>
    </row>
    <row r="7111" spans="1:14">
      <c r="A7111" s="2">
        <v>7110</v>
      </c>
      <c r="B7111" s="3" t="s">
        <v>24868</v>
      </c>
      <c r="C7111" s="2" t="s">
        <v>24869</v>
      </c>
      <c r="D7111" s="2">
        <v>9</v>
      </c>
      <c r="E7111" s="2">
        <v>15</v>
      </c>
      <c r="F7111" s="2" t="s">
        <v>24870</v>
      </c>
      <c r="H7111" s="2" t="s">
        <v>17</v>
      </c>
    </row>
    <row r="7112" spans="1:14">
      <c r="A7112" s="2">
        <v>7111</v>
      </c>
      <c r="B7112" s="3" t="s">
        <v>24871</v>
      </c>
      <c r="C7112" s="2" t="s">
        <v>24872</v>
      </c>
      <c r="D7112" s="2">
        <v>10</v>
      </c>
      <c r="E7112" s="2">
        <v>15</v>
      </c>
      <c r="F7112" s="2" t="s">
        <v>24873</v>
      </c>
      <c r="H7112" s="2" t="s">
        <v>17</v>
      </c>
      <c r="K7112" s="4" t="s">
        <v>24874</v>
      </c>
      <c r="L7112" s="4" t="s">
        <v>24875</v>
      </c>
      <c r="M7112" s="2" t="s">
        <v>170</v>
      </c>
      <c r="N7112" s="2" t="s">
        <v>323</v>
      </c>
    </row>
    <row r="7113" spans="1:14">
      <c r="A7113" s="2">
        <v>7112</v>
      </c>
      <c r="B7113" s="3" t="s">
        <v>24876</v>
      </c>
      <c r="C7113" s="2" t="s">
        <v>24877</v>
      </c>
      <c r="D7113" s="2">
        <v>9</v>
      </c>
      <c r="E7113" s="2">
        <v>15</v>
      </c>
      <c r="F7113" s="2" t="s">
        <v>24878</v>
      </c>
      <c r="H7113" s="2" t="s">
        <v>17</v>
      </c>
      <c r="K7113" s="4" t="s">
        <v>24879</v>
      </c>
      <c r="L7113" s="4" t="s">
        <v>24880</v>
      </c>
      <c r="M7113" s="2" t="s">
        <v>164</v>
      </c>
      <c r="N7113" s="2" t="s">
        <v>165</v>
      </c>
    </row>
    <row r="7114" spans="1:14">
      <c r="A7114" s="2">
        <v>7113</v>
      </c>
      <c r="B7114" s="3" t="s">
        <v>24881</v>
      </c>
      <c r="C7114" s="2" t="s">
        <v>24882</v>
      </c>
      <c r="D7114" s="2">
        <v>15</v>
      </c>
      <c r="E7114" s="2">
        <v>15</v>
      </c>
      <c r="F7114" s="2" t="s">
        <v>24883</v>
      </c>
      <c r="H7114" s="2" t="s">
        <v>17</v>
      </c>
    </row>
    <row r="7115" spans="1:14">
      <c r="A7115" s="2">
        <v>7114</v>
      </c>
      <c r="B7115" s="3" t="s">
        <v>24884</v>
      </c>
      <c r="C7115" s="2" t="s">
        <v>16839</v>
      </c>
      <c r="D7115" s="2">
        <v>14</v>
      </c>
      <c r="E7115" s="2">
        <v>14</v>
      </c>
      <c r="F7115" s="2" t="s">
        <v>24885</v>
      </c>
      <c r="H7115" s="2" t="s">
        <v>17</v>
      </c>
      <c r="K7115" s="4" t="s">
        <v>24886</v>
      </c>
      <c r="L7115" s="4" t="s">
        <v>24887</v>
      </c>
    </row>
    <row r="7116" spans="1:14">
      <c r="A7116" s="2">
        <v>7115</v>
      </c>
      <c r="B7116" s="3" t="s">
        <v>24888</v>
      </c>
      <c r="C7116" s="2" t="s">
        <v>24889</v>
      </c>
      <c r="D7116" s="2">
        <v>6</v>
      </c>
      <c r="E7116" s="2">
        <v>14</v>
      </c>
      <c r="F7116" s="2" t="s">
        <v>24890</v>
      </c>
      <c r="H7116" s="2" t="s">
        <v>17</v>
      </c>
      <c r="K7116" s="4" t="s">
        <v>24891</v>
      </c>
      <c r="L7116" s="4" t="s">
        <v>24892</v>
      </c>
      <c r="M7116" s="2" t="s">
        <v>35</v>
      </c>
      <c r="N7116" s="2" t="s">
        <v>13048</v>
      </c>
    </row>
    <row r="7117" spans="1:14">
      <c r="A7117" s="2">
        <v>7116</v>
      </c>
      <c r="B7117" s="3" t="s">
        <v>24893</v>
      </c>
      <c r="C7117" s="2" t="s">
        <v>24894</v>
      </c>
      <c r="D7117" s="2">
        <v>14</v>
      </c>
      <c r="E7117" s="2">
        <v>14</v>
      </c>
      <c r="F7117" s="2" t="s">
        <v>24895</v>
      </c>
      <c r="H7117" s="2" t="s">
        <v>17</v>
      </c>
      <c r="K7117" s="4" t="s">
        <v>24896</v>
      </c>
      <c r="L7117" s="4" t="s">
        <v>24897</v>
      </c>
    </row>
    <row r="7118" spans="1:14">
      <c r="A7118" s="2">
        <v>7117</v>
      </c>
      <c r="B7118" s="3" t="s">
        <v>24898</v>
      </c>
      <c r="C7118" s="2" t="s">
        <v>24899</v>
      </c>
      <c r="D7118" s="2">
        <v>8</v>
      </c>
      <c r="E7118" s="2">
        <v>14</v>
      </c>
      <c r="F7118" s="2" t="s">
        <v>24900</v>
      </c>
      <c r="H7118" s="2" t="s">
        <v>17</v>
      </c>
    </row>
    <row r="7119" spans="1:14">
      <c r="A7119" s="2">
        <v>7118</v>
      </c>
      <c r="B7119" s="3" t="s">
        <v>24901</v>
      </c>
      <c r="C7119" s="2" t="s">
        <v>24902</v>
      </c>
      <c r="D7119" s="2">
        <v>14</v>
      </c>
      <c r="E7119" s="2">
        <v>14</v>
      </c>
      <c r="F7119" s="2" t="s">
        <v>24903</v>
      </c>
      <c r="H7119" s="2" t="s">
        <v>17</v>
      </c>
      <c r="L7119" s="4" t="s">
        <v>24904</v>
      </c>
    </row>
    <row r="7120" spans="1:14">
      <c r="A7120" s="2">
        <v>7119</v>
      </c>
      <c r="B7120" s="3" t="s">
        <v>24905</v>
      </c>
      <c r="C7120" s="2" t="s">
        <v>24906</v>
      </c>
      <c r="D7120" s="2">
        <v>14</v>
      </c>
      <c r="E7120" s="2">
        <v>14</v>
      </c>
      <c r="F7120" s="2" t="s">
        <v>24907</v>
      </c>
      <c r="H7120" s="2" t="s">
        <v>17</v>
      </c>
    </row>
    <row r="7121" spans="1:14">
      <c r="A7121" s="2">
        <v>7120</v>
      </c>
      <c r="B7121" s="3" t="s">
        <v>24908</v>
      </c>
      <c r="C7121" s="2" t="s">
        <v>24909</v>
      </c>
      <c r="D7121" s="2">
        <v>14</v>
      </c>
      <c r="E7121" s="2">
        <v>14</v>
      </c>
      <c r="F7121" s="2" t="s">
        <v>24910</v>
      </c>
      <c r="H7121" s="2" t="s">
        <v>17</v>
      </c>
      <c r="L7121" s="4" t="s">
        <v>24911</v>
      </c>
    </row>
    <row r="7122" spans="1:14">
      <c r="A7122" s="2">
        <v>7121</v>
      </c>
      <c r="B7122" s="3" t="s">
        <v>24912</v>
      </c>
      <c r="C7122" s="2" t="s">
        <v>24913</v>
      </c>
      <c r="D7122" s="2">
        <v>10</v>
      </c>
      <c r="E7122" s="2">
        <v>14</v>
      </c>
      <c r="F7122" s="2" t="s">
        <v>24914</v>
      </c>
      <c r="H7122" s="2" t="s">
        <v>17</v>
      </c>
      <c r="K7122" s="4" t="s">
        <v>24915</v>
      </c>
      <c r="L7122" s="4">
        <v>239</v>
      </c>
      <c r="M7122" s="2" t="s">
        <v>76</v>
      </c>
    </row>
    <row r="7123" spans="1:14">
      <c r="A7123" s="2">
        <v>7122</v>
      </c>
      <c r="B7123" s="3" t="s">
        <v>24916</v>
      </c>
      <c r="C7123" s="2" t="s">
        <v>24917</v>
      </c>
      <c r="D7123" s="2">
        <v>9</v>
      </c>
      <c r="E7123" s="2">
        <v>14</v>
      </c>
      <c r="F7123" s="2" t="s">
        <v>24918</v>
      </c>
      <c r="H7123" s="2" t="s">
        <v>17</v>
      </c>
      <c r="K7123" s="4" t="s">
        <v>24919</v>
      </c>
      <c r="L7123" s="4">
        <v>6607</v>
      </c>
      <c r="M7123" s="2" t="s">
        <v>198</v>
      </c>
      <c r="N7123" s="2" t="s">
        <v>10323</v>
      </c>
    </row>
    <row r="7124" spans="1:14">
      <c r="A7124" s="2">
        <v>7123</v>
      </c>
      <c r="B7124" s="3" t="s">
        <v>24920</v>
      </c>
      <c r="C7124" s="2" t="s">
        <v>24921</v>
      </c>
      <c r="D7124" s="2">
        <v>14</v>
      </c>
      <c r="E7124" s="2">
        <v>14</v>
      </c>
      <c r="F7124" s="2" t="s">
        <v>24922</v>
      </c>
      <c r="H7124" s="2" t="s">
        <v>17</v>
      </c>
    </row>
    <row r="7125" spans="1:14">
      <c r="A7125" s="2">
        <v>7124</v>
      </c>
      <c r="B7125" s="3" t="s">
        <v>24923</v>
      </c>
      <c r="C7125" s="2" t="s">
        <v>24924</v>
      </c>
      <c r="D7125" s="2">
        <v>14</v>
      </c>
      <c r="E7125" s="2">
        <v>14</v>
      </c>
      <c r="F7125" s="2" t="s">
        <v>24925</v>
      </c>
      <c r="H7125" s="2" t="s">
        <v>17</v>
      </c>
      <c r="K7125" s="4" t="s">
        <v>24926</v>
      </c>
      <c r="L7125" s="4" t="s">
        <v>24927</v>
      </c>
    </row>
    <row r="7126" spans="1:14">
      <c r="A7126" s="2">
        <v>7125</v>
      </c>
      <c r="B7126" s="3" t="s">
        <v>24928</v>
      </c>
      <c r="C7126" s="2" t="s">
        <v>24929</v>
      </c>
      <c r="D7126" s="2">
        <v>5</v>
      </c>
      <c r="E7126" s="2">
        <v>14</v>
      </c>
      <c r="F7126" s="2" t="s">
        <v>24930</v>
      </c>
      <c r="H7126" s="2" t="s">
        <v>17</v>
      </c>
      <c r="K7126" s="4" t="s">
        <v>24931</v>
      </c>
      <c r="L7126" s="4" t="s">
        <v>24932</v>
      </c>
      <c r="M7126" s="2" t="s">
        <v>185</v>
      </c>
      <c r="N7126" s="2" t="s">
        <v>15830</v>
      </c>
    </row>
    <row r="7127" spans="1:14">
      <c r="A7127" s="2">
        <v>7126</v>
      </c>
      <c r="B7127" s="3" t="s">
        <v>24933</v>
      </c>
      <c r="C7127" s="2" t="s">
        <v>24934</v>
      </c>
      <c r="D7127" s="2">
        <v>14</v>
      </c>
      <c r="E7127" s="2">
        <v>14</v>
      </c>
      <c r="F7127" s="2" t="s">
        <v>24935</v>
      </c>
      <c r="H7127" s="2" t="s">
        <v>17</v>
      </c>
    </row>
    <row r="7128" spans="1:14">
      <c r="A7128" s="2">
        <v>7127</v>
      </c>
      <c r="B7128" s="3" t="s">
        <v>24936</v>
      </c>
      <c r="C7128" s="2" t="s">
        <v>24937</v>
      </c>
      <c r="D7128" s="2">
        <v>14</v>
      </c>
      <c r="E7128" s="2">
        <v>14</v>
      </c>
      <c r="F7128" s="2" t="s">
        <v>24938</v>
      </c>
      <c r="H7128" s="2" t="s">
        <v>17</v>
      </c>
      <c r="M7128" s="2" t="s">
        <v>35</v>
      </c>
    </row>
    <row r="7129" spans="1:14">
      <c r="A7129" s="2">
        <v>7128</v>
      </c>
      <c r="B7129" s="3" t="s">
        <v>24939</v>
      </c>
      <c r="C7129" s="2" t="s">
        <v>24940</v>
      </c>
      <c r="D7129" s="2">
        <v>5</v>
      </c>
      <c r="E7129" s="2">
        <v>14</v>
      </c>
      <c r="F7129" s="2" t="s">
        <v>24941</v>
      </c>
      <c r="H7129" s="2" t="s">
        <v>17</v>
      </c>
      <c r="K7129" s="4" t="s">
        <v>24942</v>
      </c>
      <c r="L7129" s="4" t="s">
        <v>24943</v>
      </c>
      <c r="M7129" s="2" t="s">
        <v>170</v>
      </c>
      <c r="N7129" s="2" t="s">
        <v>6859</v>
      </c>
    </row>
    <row r="7130" spans="1:14">
      <c r="A7130" s="2">
        <v>7129</v>
      </c>
      <c r="B7130" s="3" t="s">
        <v>24944</v>
      </c>
      <c r="C7130" s="2" t="s">
        <v>24945</v>
      </c>
      <c r="D7130" s="2">
        <v>14</v>
      </c>
      <c r="E7130" s="2">
        <v>14</v>
      </c>
      <c r="F7130" s="2" t="s">
        <v>24946</v>
      </c>
      <c r="H7130" s="2" t="s">
        <v>17</v>
      </c>
    </row>
    <row r="7131" spans="1:14">
      <c r="A7131" s="2">
        <v>7130</v>
      </c>
      <c r="B7131" s="3" t="s">
        <v>24947</v>
      </c>
      <c r="C7131" s="2" t="s">
        <v>24948</v>
      </c>
      <c r="D7131" s="2">
        <v>14</v>
      </c>
      <c r="E7131" s="2">
        <v>14</v>
      </c>
      <c r="F7131" s="2" t="s">
        <v>24949</v>
      </c>
      <c r="H7131" s="2" t="s">
        <v>17</v>
      </c>
      <c r="K7131" s="4" t="s">
        <v>24950</v>
      </c>
      <c r="M7131" s="2" t="s">
        <v>40</v>
      </c>
      <c r="N7131" s="2" t="s">
        <v>9352</v>
      </c>
    </row>
    <row r="7132" spans="1:14">
      <c r="A7132" s="2">
        <v>7131</v>
      </c>
      <c r="B7132" s="3" t="s">
        <v>24951</v>
      </c>
      <c r="C7132" s="2" t="s">
        <v>24952</v>
      </c>
      <c r="D7132" s="2">
        <v>14</v>
      </c>
      <c r="E7132" s="2">
        <v>14</v>
      </c>
      <c r="F7132" s="2" t="s">
        <v>24953</v>
      </c>
      <c r="H7132" s="2" t="s">
        <v>17</v>
      </c>
      <c r="K7132" s="4" t="s">
        <v>24954</v>
      </c>
      <c r="L7132" s="4">
        <v>2746</v>
      </c>
      <c r="M7132" s="2" t="s">
        <v>85</v>
      </c>
      <c r="N7132" s="2" t="s">
        <v>1868</v>
      </c>
    </row>
    <row r="7133" spans="1:14">
      <c r="A7133" s="2">
        <v>7132</v>
      </c>
      <c r="B7133" s="3" t="s">
        <v>24955</v>
      </c>
      <c r="C7133" s="2" t="s">
        <v>24956</v>
      </c>
      <c r="D7133" s="2">
        <v>14</v>
      </c>
      <c r="E7133" s="2">
        <v>14</v>
      </c>
      <c r="F7133" s="2" t="s">
        <v>24957</v>
      </c>
      <c r="H7133" s="2" t="s">
        <v>17</v>
      </c>
    </row>
    <row r="7134" spans="1:14">
      <c r="A7134" s="2">
        <v>7133</v>
      </c>
      <c r="B7134" s="3" t="s">
        <v>24958</v>
      </c>
      <c r="C7134" s="2" t="s">
        <v>24959</v>
      </c>
      <c r="D7134" s="2">
        <v>5</v>
      </c>
      <c r="E7134" s="2">
        <v>14</v>
      </c>
      <c r="F7134" s="2" t="s">
        <v>24960</v>
      </c>
      <c r="H7134" s="2" t="s">
        <v>17</v>
      </c>
      <c r="K7134" s="4" t="s">
        <v>24961</v>
      </c>
      <c r="L7134" s="4" t="s">
        <v>23413</v>
      </c>
      <c r="M7134" s="2" t="s">
        <v>35</v>
      </c>
      <c r="N7134" s="2" t="s">
        <v>11401</v>
      </c>
    </row>
    <row r="7135" spans="1:14">
      <c r="A7135" s="2">
        <v>7134</v>
      </c>
      <c r="B7135" s="3" t="s">
        <v>24962</v>
      </c>
      <c r="C7135" s="2" t="s">
        <v>24963</v>
      </c>
      <c r="D7135" s="2">
        <v>3</v>
      </c>
      <c r="E7135" s="2">
        <v>14</v>
      </c>
      <c r="F7135" s="2" t="s">
        <v>24964</v>
      </c>
      <c r="H7135" s="2" t="s">
        <v>17</v>
      </c>
      <c r="L7135" s="4" t="s">
        <v>24965</v>
      </c>
    </row>
    <row r="7136" spans="1:14">
      <c r="A7136" s="2">
        <v>7135</v>
      </c>
      <c r="B7136" s="3" t="s">
        <v>24966</v>
      </c>
      <c r="C7136" s="2" t="s">
        <v>24967</v>
      </c>
      <c r="D7136" s="2">
        <v>10</v>
      </c>
      <c r="E7136" s="2">
        <v>14</v>
      </c>
      <c r="F7136" s="2" t="s">
        <v>24968</v>
      </c>
      <c r="H7136" s="2" t="s">
        <v>17</v>
      </c>
      <c r="K7136" s="4" t="s">
        <v>24969</v>
      </c>
      <c r="L7136" s="4">
        <v>1339</v>
      </c>
      <c r="M7136" s="2" t="s">
        <v>40</v>
      </c>
      <c r="N7136" s="2" t="s">
        <v>3693</v>
      </c>
    </row>
    <row r="7137" spans="1:14">
      <c r="A7137" s="2">
        <v>7136</v>
      </c>
      <c r="B7137" s="3" t="s">
        <v>24970</v>
      </c>
      <c r="C7137" s="2" t="s">
        <v>24971</v>
      </c>
      <c r="D7137" s="2">
        <v>11</v>
      </c>
      <c r="E7137" s="2">
        <v>14</v>
      </c>
      <c r="F7137" s="2" t="s">
        <v>24972</v>
      </c>
      <c r="H7137" s="2" t="s">
        <v>17</v>
      </c>
      <c r="K7137" s="4" t="s">
        <v>24973</v>
      </c>
      <c r="L7137" s="4" t="s">
        <v>24974</v>
      </c>
      <c r="M7137" s="2" t="s">
        <v>35</v>
      </c>
      <c r="N7137" s="2" t="s">
        <v>10316</v>
      </c>
    </row>
    <row r="7138" spans="1:14">
      <c r="A7138" s="2">
        <v>7137</v>
      </c>
      <c r="B7138" s="3" t="s">
        <v>24975</v>
      </c>
      <c r="C7138" s="2" t="s">
        <v>24976</v>
      </c>
      <c r="D7138" s="2">
        <v>11</v>
      </c>
      <c r="E7138" s="2">
        <v>14</v>
      </c>
      <c r="F7138" s="2" t="s">
        <v>24977</v>
      </c>
      <c r="H7138" s="2" t="s">
        <v>17</v>
      </c>
      <c r="K7138" s="4" t="s">
        <v>24978</v>
      </c>
      <c r="L7138" s="4" t="s">
        <v>24979</v>
      </c>
      <c r="M7138" s="2" t="s">
        <v>35</v>
      </c>
      <c r="N7138" s="2" t="s">
        <v>672</v>
      </c>
    </row>
    <row r="7139" spans="1:14">
      <c r="A7139" s="2">
        <v>7138</v>
      </c>
      <c r="B7139" s="3" t="s">
        <v>24980</v>
      </c>
      <c r="C7139" s="2" t="s">
        <v>24981</v>
      </c>
      <c r="D7139" s="2">
        <v>3</v>
      </c>
      <c r="E7139" s="2">
        <v>14</v>
      </c>
      <c r="F7139" s="2" t="s">
        <v>24982</v>
      </c>
      <c r="H7139" s="2" t="s">
        <v>17</v>
      </c>
      <c r="K7139" s="4" t="s">
        <v>24983</v>
      </c>
      <c r="L7139" s="4" t="s">
        <v>24984</v>
      </c>
      <c r="M7139" s="2" t="s">
        <v>85</v>
      </c>
      <c r="N7139" s="2" t="s">
        <v>1868</v>
      </c>
    </row>
    <row r="7140" spans="1:14">
      <c r="A7140" s="2">
        <v>7139</v>
      </c>
      <c r="B7140" s="3" t="s">
        <v>24985</v>
      </c>
      <c r="C7140" s="2" t="s">
        <v>23108</v>
      </c>
      <c r="D7140" s="2">
        <v>6</v>
      </c>
      <c r="E7140" s="2">
        <v>14</v>
      </c>
      <c r="F7140" s="2" t="s">
        <v>24986</v>
      </c>
      <c r="H7140" s="2" t="s">
        <v>17</v>
      </c>
      <c r="K7140" s="4" t="s">
        <v>24987</v>
      </c>
      <c r="L7140" s="4" t="s">
        <v>23626</v>
      </c>
      <c r="M7140" s="2" t="s">
        <v>198</v>
      </c>
    </row>
    <row r="7141" spans="1:14">
      <c r="A7141" s="2">
        <v>7140</v>
      </c>
      <c r="B7141" s="3" t="s">
        <v>24988</v>
      </c>
      <c r="C7141" s="2" t="s">
        <v>24989</v>
      </c>
      <c r="D7141" s="2">
        <v>14</v>
      </c>
      <c r="E7141" s="2">
        <v>14</v>
      </c>
      <c r="F7141" s="2" t="s">
        <v>24990</v>
      </c>
      <c r="H7141" s="2" t="s">
        <v>17</v>
      </c>
      <c r="K7141" s="4" t="s">
        <v>24991</v>
      </c>
      <c r="L7141" s="4">
        <v>2881</v>
      </c>
      <c r="M7141" s="2" t="s">
        <v>47</v>
      </c>
      <c r="N7141" s="2" t="s">
        <v>48</v>
      </c>
    </row>
    <row r="7142" spans="1:14">
      <c r="A7142" s="2">
        <v>7141</v>
      </c>
      <c r="B7142" s="3" t="s">
        <v>24992</v>
      </c>
      <c r="C7142" s="2" t="s">
        <v>24993</v>
      </c>
      <c r="D7142" s="2">
        <v>14</v>
      </c>
      <c r="E7142" s="2">
        <v>14</v>
      </c>
      <c r="F7142" s="2" t="s">
        <v>24994</v>
      </c>
      <c r="H7142" s="2" t="s">
        <v>17</v>
      </c>
    </row>
    <row r="7143" spans="1:14">
      <c r="A7143" s="2">
        <v>7142</v>
      </c>
      <c r="B7143" s="3" t="s">
        <v>24995</v>
      </c>
      <c r="C7143" s="2" t="s">
        <v>24996</v>
      </c>
      <c r="D7143" s="2">
        <v>14</v>
      </c>
      <c r="E7143" s="2">
        <v>14</v>
      </c>
      <c r="F7143" s="2" t="s">
        <v>24997</v>
      </c>
      <c r="H7143" s="2" t="s">
        <v>17</v>
      </c>
      <c r="K7143" s="4" t="s">
        <v>24998</v>
      </c>
      <c r="L7143" s="4">
        <v>5898</v>
      </c>
      <c r="M7143" s="2" t="s">
        <v>91</v>
      </c>
      <c r="N7143" s="2" t="s">
        <v>92</v>
      </c>
    </row>
    <row r="7144" spans="1:14">
      <c r="A7144" s="2">
        <v>7143</v>
      </c>
      <c r="B7144" s="3" t="s">
        <v>24999</v>
      </c>
      <c r="C7144" s="2" t="s">
        <v>25000</v>
      </c>
      <c r="D7144" s="2">
        <v>14</v>
      </c>
      <c r="E7144" s="2">
        <v>14</v>
      </c>
      <c r="F7144" s="2" t="s">
        <v>25001</v>
      </c>
      <c r="H7144" s="2" t="s">
        <v>17</v>
      </c>
      <c r="K7144" s="4" t="s">
        <v>25002</v>
      </c>
      <c r="L7144" s="4">
        <v>4245</v>
      </c>
      <c r="M7144" s="2" t="s">
        <v>40</v>
      </c>
      <c r="N7144" s="2" t="s">
        <v>15968</v>
      </c>
    </row>
    <row r="7145" spans="1:14">
      <c r="A7145" s="2">
        <v>7144</v>
      </c>
      <c r="B7145" s="3" t="s">
        <v>25003</v>
      </c>
      <c r="C7145" s="2" t="s">
        <v>4985</v>
      </c>
      <c r="D7145" s="2">
        <v>14</v>
      </c>
      <c r="E7145" s="2">
        <v>14</v>
      </c>
      <c r="F7145" s="2" t="s">
        <v>25004</v>
      </c>
      <c r="H7145" s="2" t="s">
        <v>17</v>
      </c>
    </row>
    <row r="7146" spans="1:14">
      <c r="A7146" s="2">
        <v>7145</v>
      </c>
      <c r="B7146" s="3" t="s">
        <v>25005</v>
      </c>
      <c r="C7146" s="2" t="s">
        <v>25006</v>
      </c>
      <c r="D7146" s="2">
        <v>9</v>
      </c>
      <c r="E7146" s="2">
        <v>14</v>
      </c>
      <c r="F7146" s="2" t="s">
        <v>25007</v>
      </c>
      <c r="H7146" s="2" t="s">
        <v>17</v>
      </c>
      <c r="K7146" s="4" t="s">
        <v>25008</v>
      </c>
      <c r="L7146" s="4" t="s">
        <v>25009</v>
      </c>
    </row>
    <row r="7147" spans="1:14">
      <c r="A7147" s="2">
        <v>7146</v>
      </c>
      <c r="B7147" s="3" t="s">
        <v>25010</v>
      </c>
      <c r="C7147" s="2" t="s">
        <v>25011</v>
      </c>
      <c r="D7147" s="2">
        <v>9</v>
      </c>
      <c r="E7147" s="2">
        <v>14</v>
      </c>
      <c r="F7147" s="2" t="s">
        <v>25012</v>
      </c>
      <c r="H7147" s="2" t="s">
        <v>17</v>
      </c>
      <c r="K7147" s="4" t="s">
        <v>25013</v>
      </c>
      <c r="L7147" s="4" t="s">
        <v>25014</v>
      </c>
      <c r="M7147" s="2" t="s">
        <v>85</v>
      </c>
    </row>
    <row r="7148" spans="1:14">
      <c r="A7148" s="2">
        <v>7147</v>
      </c>
      <c r="B7148" s="3" t="s">
        <v>25015</v>
      </c>
      <c r="C7148" s="2" t="s">
        <v>25016</v>
      </c>
      <c r="D7148" s="2">
        <v>6</v>
      </c>
      <c r="E7148" s="2">
        <v>14</v>
      </c>
      <c r="F7148" s="2" t="s">
        <v>25017</v>
      </c>
      <c r="H7148" s="2" t="s">
        <v>17</v>
      </c>
    </row>
    <row r="7149" spans="1:14">
      <c r="A7149" s="2">
        <v>7148</v>
      </c>
      <c r="B7149" s="3" t="s">
        <v>25018</v>
      </c>
      <c r="C7149" s="2" t="s">
        <v>25019</v>
      </c>
      <c r="D7149" s="2">
        <v>14</v>
      </c>
      <c r="E7149" s="2">
        <v>14</v>
      </c>
      <c r="F7149" s="2" t="s">
        <v>25020</v>
      </c>
      <c r="H7149" s="2" t="s">
        <v>17</v>
      </c>
      <c r="K7149" s="4" t="s">
        <v>25021</v>
      </c>
      <c r="L7149" s="4" t="s">
        <v>25022</v>
      </c>
      <c r="M7149" s="2" t="s">
        <v>66</v>
      </c>
      <c r="N7149" s="2" t="s">
        <v>3640</v>
      </c>
    </row>
    <row r="7150" spans="1:14">
      <c r="A7150" s="2">
        <v>7149</v>
      </c>
      <c r="B7150" s="3" t="s">
        <v>25023</v>
      </c>
      <c r="C7150" s="2" t="s">
        <v>25024</v>
      </c>
      <c r="D7150" s="2">
        <v>14</v>
      </c>
      <c r="E7150" s="2">
        <v>14</v>
      </c>
      <c r="F7150" s="2" t="s">
        <v>25025</v>
      </c>
      <c r="H7150" s="2" t="s">
        <v>17</v>
      </c>
      <c r="K7150" s="4" t="s">
        <v>25026</v>
      </c>
      <c r="L7150" s="4">
        <v>7756</v>
      </c>
      <c r="M7150" s="2" t="s">
        <v>170</v>
      </c>
      <c r="N7150" s="2" t="s">
        <v>323</v>
      </c>
    </row>
    <row r="7151" spans="1:14">
      <c r="A7151" s="2">
        <v>7150</v>
      </c>
      <c r="B7151" s="3" t="s">
        <v>25027</v>
      </c>
      <c r="C7151" s="2" t="s">
        <v>25028</v>
      </c>
      <c r="D7151" s="2">
        <v>5</v>
      </c>
      <c r="E7151" s="2">
        <v>14</v>
      </c>
      <c r="F7151" s="2" t="s">
        <v>25029</v>
      </c>
      <c r="H7151" s="2" t="s">
        <v>17</v>
      </c>
      <c r="K7151" s="4" t="s">
        <v>25030</v>
      </c>
      <c r="L7151" s="4" t="s">
        <v>23449</v>
      </c>
    </row>
    <row r="7152" spans="1:14">
      <c r="A7152" s="2">
        <v>7151</v>
      </c>
      <c r="B7152" s="3" t="s">
        <v>25031</v>
      </c>
      <c r="C7152" s="2" t="s">
        <v>25032</v>
      </c>
      <c r="D7152" s="2">
        <v>14</v>
      </c>
      <c r="E7152" s="2">
        <v>14</v>
      </c>
      <c r="F7152" s="2" t="s">
        <v>25033</v>
      </c>
      <c r="H7152" s="2" t="s">
        <v>17</v>
      </c>
      <c r="K7152" s="4" t="s">
        <v>25034</v>
      </c>
      <c r="L7152" s="4" t="s">
        <v>25035</v>
      </c>
      <c r="M7152" s="2" t="s">
        <v>146</v>
      </c>
      <c r="N7152" s="2" t="s">
        <v>147</v>
      </c>
    </row>
    <row r="7153" spans="1:14">
      <c r="A7153" s="2">
        <v>7152</v>
      </c>
      <c r="B7153" s="3" t="s">
        <v>25036</v>
      </c>
      <c r="C7153" s="2" t="s">
        <v>13923</v>
      </c>
      <c r="D7153" s="2">
        <v>14</v>
      </c>
      <c r="E7153" s="2">
        <v>14</v>
      </c>
      <c r="F7153" s="2" t="s">
        <v>25037</v>
      </c>
      <c r="H7153" s="2" t="s">
        <v>17</v>
      </c>
    </row>
    <row r="7154" spans="1:14">
      <c r="A7154" s="2">
        <v>7153</v>
      </c>
      <c r="B7154" s="3" t="s">
        <v>25038</v>
      </c>
      <c r="C7154" s="2" t="s">
        <v>14758</v>
      </c>
      <c r="D7154" s="2">
        <v>14</v>
      </c>
      <c r="E7154" s="2">
        <v>14</v>
      </c>
      <c r="F7154" s="2" t="s">
        <v>25039</v>
      </c>
      <c r="H7154" s="2" t="s">
        <v>17</v>
      </c>
      <c r="K7154" s="4" t="s">
        <v>25040</v>
      </c>
      <c r="L7154" s="4">
        <v>5412</v>
      </c>
    </row>
    <row r="7155" spans="1:14">
      <c r="A7155" s="2">
        <v>7154</v>
      </c>
      <c r="B7155" s="3" t="s">
        <v>25041</v>
      </c>
      <c r="C7155" s="2" t="s">
        <v>25042</v>
      </c>
      <c r="D7155" s="2">
        <v>5</v>
      </c>
      <c r="E7155" s="2">
        <v>14</v>
      </c>
      <c r="F7155" s="2" t="s">
        <v>25043</v>
      </c>
      <c r="H7155" s="2" t="s">
        <v>17</v>
      </c>
      <c r="K7155" s="4" t="s">
        <v>25044</v>
      </c>
      <c r="L7155" s="4" t="s">
        <v>25045</v>
      </c>
      <c r="M7155" s="2" t="s">
        <v>47</v>
      </c>
      <c r="N7155" s="2" t="s">
        <v>691</v>
      </c>
    </row>
    <row r="7156" spans="1:14">
      <c r="A7156" s="2">
        <v>7155</v>
      </c>
      <c r="B7156" s="3" t="s">
        <v>25046</v>
      </c>
      <c r="C7156" s="2" t="s">
        <v>25047</v>
      </c>
      <c r="D7156" s="2">
        <v>11</v>
      </c>
      <c r="E7156" s="2">
        <v>14</v>
      </c>
      <c r="F7156" s="2" t="s">
        <v>25048</v>
      </c>
      <c r="H7156" s="2" t="s">
        <v>17</v>
      </c>
      <c r="K7156" s="4" t="s">
        <v>25049</v>
      </c>
      <c r="L7156" s="4">
        <v>59</v>
      </c>
      <c r="M7156" s="2" t="s">
        <v>146</v>
      </c>
      <c r="N7156" s="2" t="s">
        <v>22071</v>
      </c>
    </row>
    <row r="7157" spans="1:14">
      <c r="A7157" s="2">
        <v>7156</v>
      </c>
      <c r="B7157" s="3" t="s">
        <v>25050</v>
      </c>
      <c r="C7157" s="2" t="s">
        <v>25051</v>
      </c>
      <c r="D7157" s="2">
        <v>14</v>
      </c>
      <c r="E7157" s="2">
        <v>14</v>
      </c>
      <c r="F7157" s="2" t="s">
        <v>25052</v>
      </c>
      <c r="H7157" s="2" t="s">
        <v>17</v>
      </c>
      <c r="K7157" s="4" t="s">
        <v>25053</v>
      </c>
      <c r="L7157" s="4" t="s">
        <v>25054</v>
      </c>
      <c r="M7157" s="2" t="s">
        <v>47</v>
      </c>
      <c r="N7157" s="2" t="s">
        <v>1538</v>
      </c>
    </row>
    <row r="7158" spans="1:14">
      <c r="A7158" s="2">
        <v>7157</v>
      </c>
      <c r="B7158" s="3" t="s">
        <v>25055</v>
      </c>
      <c r="C7158" s="2" t="s">
        <v>25056</v>
      </c>
      <c r="D7158" s="2">
        <v>10</v>
      </c>
      <c r="E7158" s="2">
        <v>14</v>
      </c>
      <c r="F7158" s="2" t="s">
        <v>25057</v>
      </c>
      <c r="H7158" s="2" t="s">
        <v>17</v>
      </c>
      <c r="K7158" s="4" t="s">
        <v>25058</v>
      </c>
      <c r="L7158" s="4" t="s">
        <v>25059</v>
      </c>
      <c r="M7158" s="2" t="s">
        <v>66</v>
      </c>
      <c r="N7158" s="2" t="s">
        <v>12230</v>
      </c>
    </row>
    <row r="7159" spans="1:14">
      <c r="A7159" s="2">
        <v>7158</v>
      </c>
      <c r="B7159" s="3" t="s">
        <v>25060</v>
      </c>
      <c r="C7159" s="2" t="s">
        <v>25061</v>
      </c>
      <c r="D7159" s="2">
        <v>13</v>
      </c>
      <c r="E7159" s="2">
        <v>14</v>
      </c>
      <c r="F7159" s="2" t="s">
        <v>25062</v>
      </c>
      <c r="H7159" s="2" t="s">
        <v>17</v>
      </c>
    </row>
    <row r="7160" spans="1:14">
      <c r="A7160" s="2">
        <v>7159</v>
      </c>
      <c r="B7160" s="3" t="s">
        <v>25063</v>
      </c>
      <c r="C7160" s="2" t="s">
        <v>25064</v>
      </c>
      <c r="D7160" s="2">
        <v>14</v>
      </c>
      <c r="E7160" s="2">
        <v>14</v>
      </c>
      <c r="F7160" s="2" t="s">
        <v>25065</v>
      </c>
      <c r="H7160" s="2" t="s">
        <v>17</v>
      </c>
      <c r="K7160" s="4" t="s">
        <v>25066</v>
      </c>
      <c r="L7160" s="4" t="s">
        <v>25067</v>
      </c>
      <c r="M7160" s="2" t="s">
        <v>85</v>
      </c>
      <c r="N7160" s="2" t="s">
        <v>1868</v>
      </c>
    </row>
    <row r="7161" spans="1:14">
      <c r="A7161" s="2">
        <v>7160</v>
      </c>
      <c r="B7161" s="3" t="s">
        <v>25068</v>
      </c>
      <c r="C7161" s="2" t="s">
        <v>25069</v>
      </c>
      <c r="D7161" s="2">
        <v>14</v>
      </c>
      <c r="E7161" s="2">
        <v>14</v>
      </c>
      <c r="F7161" s="2" t="s">
        <v>25070</v>
      </c>
      <c r="H7161" s="2" t="s">
        <v>17</v>
      </c>
      <c r="L7161" s="4" t="s">
        <v>25071</v>
      </c>
      <c r="M7161" s="2" t="s">
        <v>35</v>
      </c>
    </row>
    <row r="7162" spans="1:14">
      <c r="A7162" s="2">
        <v>7161</v>
      </c>
      <c r="B7162" s="3" t="s">
        <v>25072</v>
      </c>
      <c r="C7162" s="2" t="s">
        <v>25073</v>
      </c>
      <c r="D7162" s="2">
        <v>9</v>
      </c>
      <c r="E7162" s="2">
        <v>14</v>
      </c>
      <c r="F7162" s="2" t="s">
        <v>25074</v>
      </c>
      <c r="H7162" s="2" t="s">
        <v>17</v>
      </c>
      <c r="K7162" s="4" t="s">
        <v>25075</v>
      </c>
      <c r="L7162" s="4" t="s">
        <v>25076</v>
      </c>
      <c r="M7162" s="2" t="s">
        <v>198</v>
      </c>
      <c r="N7162" s="2" t="s">
        <v>13489</v>
      </c>
    </row>
    <row r="7163" spans="1:14">
      <c r="A7163" s="2">
        <v>7162</v>
      </c>
      <c r="B7163" s="3" t="s">
        <v>25077</v>
      </c>
      <c r="C7163" s="2" t="s">
        <v>23924</v>
      </c>
      <c r="D7163" s="2">
        <v>9</v>
      </c>
      <c r="E7163" s="2">
        <v>14</v>
      </c>
      <c r="F7163" s="2" t="s">
        <v>25078</v>
      </c>
      <c r="H7163" s="2" t="s">
        <v>17</v>
      </c>
      <c r="K7163" s="4" t="s">
        <v>25079</v>
      </c>
      <c r="L7163" s="4">
        <v>1251</v>
      </c>
      <c r="M7163" s="2" t="s">
        <v>35</v>
      </c>
      <c r="N7163" s="2" t="s">
        <v>12700</v>
      </c>
    </row>
    <row r="7164" spans="1:14">
      <c r="A7164" s="2">
        <v>7163</v>
      </c>
      <c r="B7164" s="3" t="s">
        <v>25080</v>
      </c>
      <c r="C7164" s="2" t="s">
        <v>25081</v>
      </c>
      <c r="D7164" s="2">
        <v>8</v>
      </c>
      <c r="E7164" s="2">
        <v>14</v>
      </c>
      <c r="F7164" s="2" t="s">
        <v>25082</v>
      </c>
      <c r="H7164" s="2" t="s">
        <v>17</v>
      </c>
      <c r="K7164" s="4" t="s">
        <v>25083</v>
      </c>
      <c r="L7164" s="4" t="s">
        <v>25084</v>
      </c>
      <c r="M7164" s="2" t="s">
        <v>170</v>
      </c>
      <c r="N7164" s="2" t="s">
        <v>323</v>
      </c>
    </row>
    <row r="7165" spans="1:14">
      <c r="A7165" s="2">
        <v>7164</v>
      </c>
      <c r="B7165" s="3" t="s">
        <v>25085</v>
      </c>
      <c r="C7165" s="2" t="s">
        <v>25086</v>
      </c>
      <c r="D7165" s="2">
        <v>10</v>
      </c>
      <c r="E7165" s="2">
        <v>14</v>
      </c>
      <c r="F7165" s="2" t="s">
        <v>25087</v>
      </c>
      <c r="H7165" s="2" t="s">
        <v>17</v>
      </c>
    </row>
    <row r="7166" spans="1:14">
      <c r="A7166" s="2">
        <v>7165</v>
      </c>
      <c r="B7166" s="3" t="s">
        <v>25088</v>
      </c>
      <c r="C7166" s="2" t="s">
        <v>25089</v>
      </c>
      <c r="D7166" s="2">
        <v>11</v>
      </c>
      <c r="E7166" s="2">
        <v>14</v>
      </c>
      <c r="F7166" s="2" t="s">
        <v>25090</v>
      </c>
      <c r="H7166" s="2" t="s">
        <v>17</v>
      </c>
    </row>
    <row r="7167" spans="1:14">
      <c r="A7167" s="2">
        <v>7166</v>
      </c>
      <c r="B7167" s="3" t="s">
        <v>25091</v>
      </c>
      <c r="C7167" s="2" t="s">
        <v>18931</v>
      </c>
      <c r="D7167" s="2">
        <v>14</v>
      </c>
      <c r="E7167" s="2">
        <v>14</v>
      </c>
      <c r="F7167" s="2" t="s">
        <v>19559</v>
      </c>
      <c r="H7167" s="2" t="s">
        <v>17</v>
      </c>
      <c r="K7167" s="4" t="s">
        <v>25092</v>
      </c>
      <c r="L7167" s="4" t="s">
        <v>25093</v>
      </c>
      <c r="M7167" s="2" t="s">
        <v>66</v>
      </c>
      <c r="N7167" s="2" t="s">
        <v>3640</v>
      </c>
    </row>
    <row r="7168" spans="1:14">
      <c r="A7168" s="2">
        <v>7167</v>
      </c>
      <c r="B7168" s="3" t="s">
        <v>25094</v>
      </c>
      <c r="C7168" s="2" t="s">
        <v>25095</v>
      </c>
      <c r="D7168" s="2">
        <v>14</v>
      </c>
      <c r="E7168" s="2">
        <v>14</v>
      </c>
      <c r="F7168" s="2" t="s">
        <v>25096</v>
      </c>
      <c r="H7168" s="2" t="s">
        <v>17</v>
      </c>
    </row>
    <row r="7169" spans="1:14">
      <c r="A7169" s="2">
        <v>7168</v>
      </c>
      <c r="B7169" s="3" t="s">
        <v>25097</v>
      </c>
      <c r="C7169" s="2" t="s">
        <v>25098</v>
      </c>
      <c r="D7169" s="2">
        <v>7</v>
      </c>
      <c r="E7169" s="2">
        <v>14</v>
      </c>
      <c r="F7169" s="2" t="s">
        <v>25099</v>
      </c>
      <c r="H7169" s="2" t="s">
        <v>17</v>
      </c>
      <c r="L7169" s="4" t="s">
        <v>25100</v>
      </c>
    </row>
    <row r="7170" spans="1:14">
      <c r="A7170" s="2">
        <v>7169</v>
      </c>
      <c r="B7170" s="3" t="s">
        <v>25101</v>
      </c>
      <c r="C7170" s="2" t="s">
        <v>25102</v>
      </c>
      <c r="D7170" s="2">
        <v>5</v>
      </c>
      <c r="E7170" s="2">
        <v>14</v>
      </c>
      <c r="F7170" s="2" t="s">
        <v>25103</v>
      </c>
      <c r="H7170" s="2" t="s">
        <v>17</v>
      </c>
      <c r="K7170" s="4" t="s">
        <v>25104</v>
      </c>
      <c r="L7170" s="4" t="s">
        <v>25105</v>
      </c>
      <c r="M7170" s="2" t="s">
        <v>198</v>
      </c>
    </row>
    <row r="7171" spans="1:14">
      <c r="A7171" s="2">
        <v>7170</v>
      </c>
      <c r="B7171" s="3" t="s">
        <v>25106</v>
      </c>
      <c r="C7171" s="2" t="s">
        <v>25107</v>
      </c>
      <c r="D7171" s="2">
        <v>14</v>
      </c>
      <c r="E7171" s="2">
        <v>14</v>
      </c>
      <c r="F7171" s="2" t="s">
        <v>25108</v>
      </c>
      <c r="H7171" s="2" t="s">
        <v>17</v>
      </c>
    </row>
    <row r="7172" spans="1:14">
      <c r="A7172" s="2">
        <v>7171</v>
      </c>
      <c r="B7172" s="3" t="s">
        <v>25109</v>
      </c>
      <c r="C7172" s="2" t="s">
        <v>10909</v>
      </c>
      <c r="D7172" s="2">
        <v>11</v>
      </c>
      <c r="E7172" s="2">
        <v>14</v>
      </c>
      <c r="F7172" s="2" t="s">
        <v>25110</v>
      </c>
      <c r="H7172" s="2" t="s">
        <v>17</v>
      </c>
      <c r="K7172" s="4" t="s">
        <v>25111</v>
      </c>
      <c r="L7172" s="4" t="s">
        <v>25112</v>
      </c>
      <c r="M7172" s="2" t="s">
        <v>85</v>
      </c>
      <c r="N7172" s="2" t="s">
        <v>86</v>
      </c>
    </row>
    <row r="7173" spans="1:14">
      <c r="A7173" s="2">
        <v>7172</v>
      </c>
      <c r="B7173" s="3" t="s">
        <v>25113</v>
      </c>
      <c r="C7173" s="2" t="s">
        <v>25114</v>
      </c>
      <c r="D7173" s="2">
        <v>2</v>
      </c>
      <c r="E7173" s="2">
        <v>14</v>
      </c>
      <c r="F7173" s="2" t="s">
        <v>25115</v>
      </c>
      <c r="H7173" s="2" t="s">
        <v>17</v>
      </c>
      <c r="K7173" s="4" t="s">
        <v>25116</v>
      </c>
      <c r="L7173" s="4" t="s">
        <v>25117</v>
      </c>
      <c r="M7173" s="2" t="s">
        <v>198</v>
      </c>
      <c r="N7173" s="2" t="s">
        <v>10323</v>
      </c>
    </row>
    <row r="7174" spans="1:14">
      <c r="A7174" s="2">
        <v>7173</v>
      </c>
      <c r="B7174" s="3" t="s">
        <v>25118</v>
      </c>
      <c r="C7174" s="2" t="s">
        <v>25119</v>
      </c>
      <c r="D7174" s="2">
        <v>13</v>
      </c>
      <c r="E7174" s="2">
        <v>13</v>
      </c>
      <c r="F7174" s="2" t="s">
        <v>25120</v>
      </c>
      <c r="H7174" s="2" t="s">
        <v>17</v>
      </c>
      <c r="K7174" s="4" t="s">
        <v>25121</v>
      </c>
      <c r="L7174" s="4">
        <v>1976</v>
      </c>
      <c r="M7174" s="2" t="s">
        <v>198</v>
      </c>
      <c r="N7174" s="2" t="s">
        <v>199</v>
      </c>
    </row>
    <row r="7175" spans="1:14">
      <c r="A7175" s="2">
        <v>7174</v>
      </c>
      <c r="B7175" s="3" t="s">
        <v>25122</v>
      </c>
      <c r="C7175" s="2" t="s">
        <v>25123</v>
      </c>
      <c r="D7175" s="2">
        <v>13</v>
      </c>
      <c r="E7175" s="2">
        <v>13</v>
      </c>
      <c r="F7175" s="2" t="s">
        <v>25124</v>
      </c>
      <c r="H7175" s="2" t="s">
        <v>17</v>
      </c>
      <c r="K7175" s="4" t="s">
        <v>25125</v>
      </c>
      <c r="L7175" s="4" t="s">
        <v>25126</v>
      </c>
      <c r="M7175" s="2" t="s">
        <v>85</v>
      </c>
      <c r="N7175" s="2" t="s">
        <v>1868</v>
      </c>
    </row>
    <row r="7176" spans="1:14">
      <c r="A7176" s="2">
        <v>7175</v>
      </c>
      <c r="B7176" s="3" t="s">
        <v>25127</v>
      </c>
      <c r="C7176" s="2" t="s">
        <v>25128</v>
      </c>
      <c r="D7176" s="2">
        <v>13</v>
      </c>
      <c r="E7176" s="2">
        <v>13</v>
      </c>
      <c r="F7176" s="2" t="s">
        <v>25129</v>
      </c>
      <c r="H7176" s="2" t="s">
        <v>17</v>
      </c>
      <c r="L7176" s="4" t="s">
        <v>25130</v>
      </c>
    </row>
    <row r="7177" spans="1:14">
      <c r="A7177" s="2">
        <v>7176</v>
      </c>
      <c r="B7177" s="3" t="s">
        <v>25131</v>
      </c>
      <c r="C7177" s="2" t="s">
        <v>25132</v>
      </c>
      <c r="D7177" s="2">
        <v>12</v>
      </c>
      <c r="E7177" s="2">
        <v>13</v>
      </c>
      <c r="F7177" s="2" t="s">
        <v>25133</v>
      </c>
      <c r="H7177" s="2" t="s">
        <v>17</v>
      </c>
      <c r="K7177" s="4" t="s">
        <v>25134</v>
      </c>
      <c r="L7177" s="4" t="s">
        <v>25135</v>
      </c>
      <c r="M7177" s="2" t="s">
        <v>146</v>
      </c>
      <c r="N7177" s="2" t="s">
        <v>5903</v>
      </c>
    </row>
    <row r="7178" spans="1:14">
      <c r="A7178" s="2">
        <v>7177</v>
      </c>
      <c r="B7178" s="3" t="s">
        <v>25136</v>
      </c>
      <c r="C7178" s="2" t="s">
        <v>25137</v>
      </c>
      <c r="D7178" s="2">
        <v>13</v>
      </c>
      <c r="E7178" s="2">
        <v>13</v>
      </c>
      <c r="F7178" s="2" t="s">
        <v>25138</v>
      </c>
      <c r="H7178" s="2" t="s">
        <v>17</v>
      </c>
      <c r="K7178" s="4" t="s">
        <v>25139</v>
      </c>
      <c r="L7178" s="4" t="s">
        <v>25140</v>
      </c>
      <c r="M7178" s="2" t="s">
        <v>47</v>
      </c>
      <c r="N7178" s="2" t="s">
        <v>48</v>
      </c>
    </row>
    <row r="7179" spans="1:14">
      <c r="A7179" s="2">
        <v>7178</v>
      </c>
      <c r="B7179" s="3" t="s">
        <v>25141</v>
      </c>
      <c r="C7179" s="2" t="s">
        <v>25142</v>
      </c>
      <c r="D7179" s="2">
        <v>13</v>
      </c>
      <c r="E7179" s="2">
        <v>13</v>
      </c>
      <c r="F7179" s="2" t="s">
        <v>25143</v>
      </c>
      <c r="H7179" s="2" t="s">
        <v>17</v>
      </c>
      <c r="K7179" s="4" t="s">
        <v>25144</v>
      </c>
      <c r="L7179" s="4">
        <v>1370</v>
      </c>
      <c r="M7179" s="2" t="s">
        <v>35</v>
      </c>
      <c r="N7179" s="2" t="s">
        <v>10316</v>
      </c>
    </row>
    <row r="7180" spans="1:14">
      <c r="A7180" s="2">
        <v>7179</v>
      </c>
      <c r="B7180" s="3" t="s">
        <v>25145</v>
      </c>
      <c r="C7180" s="2" t="s">
        <v>25146</v>
      </c>
      <c r="D7180" s="2">
        <v>12</v>
      </c>
      <c r="E7180" s="2">
        <v>13</v>
      </c>
      <c r="F7180" s="2" t="s">
        <v>25147</v>
      </c>
      <c r="H7180" s="2" t="s">
        <v>17</v>
      </c>
      <c r="L7180" s="4" t="s">
        <v>25148</v>
      </c>
    </row>
    <row r="7181" spans="1:14">
      <c r="A7181" s="2">
        <v>7180</v>
      </c>
      <c r="B7181" s="3" t="s">
        <v>25149</v>
      </c>
      <c r="C7181" s="2" t="s">
        <v>25150</v>
      </c>
      <c r="D7181" s="2">
        <v>13</v>
      </c>
      <c r="E7181" s="2">
        <v>13</v>
      </c>
      <c r="F7181" s="2" t="s">
        <v>25151</v>
      </c>
      <c r="H7181" s="2" t="s">
        <v>17</v>
      </c>
    </row>
    <row r="7182" spans="1:14">
      <c r="A7182" s="2">
        <v>7181</v>
      </c>
      <c r="B7182" s="3" t="s">
        <v>25152</v>
      </c>
      <c r="C7182" s="2" t="s">
        <v>25153</v>
      </c>
      <c r="D7182" s="2">
        <v>13</v>
      </c>
      <c r="E7182" s="2">
        <v>13</v>
      </c>
      <c r="F7182" s="2" t="s">
        <v>25154</v>
      </c>
      <c r="H7182" s="2" t="s">
        <v>17</v>
      </c>
    </row>
    <row r="7183" spans="1:14">
      <c r="A7183" s="2">
        <v>7182</v>
      </c>
      <c r="B7183" s="3" t="s">
        <v>25155</v>
      </c>
      <c r="C7183" s="2" t="s">
        <v>25156</v>
      </c>
      <c r="D7183" s="2">
        <v>13</v>
      </c>
      <c r="E7183" s="2">
        <v>13</v>
      </c>
      <c r="F7183" s="2" t="s">
        <v>25157</v>
      </c>
      <c r="H7183" s="2" t="s">
        <v>17</v>
      </c>
      <c r="K7183" s="4" t="s">
        <v>25158</v>
      </c>
      <c r="L7183" s="4" t="s">
        <v>25159</v>
      </c>
      <c r="M7183" s="2" t="s">
        <v>35</v>
      </c>
    </row>
    <row r="7184" spans="1:14">
      <c r="A7184" s="2">
        <v>7183</v>
      </c>
      <c r="B7184" s="3" t="s">
        <v>25160</v>
      </c>
      <c r="C7184" s="2" t="s">
        <v>25161</v>
      </c>
      <c r="D7184" s="2">
        <v>12</v>
      </c>
      <c r="E7184" s="2">
        <v>13</v>
      </c>
      <c r="F7184" s="2" t="s">
        <v>25162</v>
      </c>
      <c r="H7184" s="2" t="s">
        <v>17</v>
      </c>
      <c r="K7184" s="4" t="s">
        <v>25163</v>
      </c>
      <c r="L7184" s="4" t="s">
        <v>25164</v>
      </c>
      <c r="M7184" s="2" t="s">
        <v>85</v>
      </c>
      <c r="N7184" s="2" t="s">
        <v>4522</v>
      </c>
    </row>
    <row r="7185" spans="1:14">
      <c r="A7185" s="2">
        <v>7184</v>
      </c>
      <c r="B7185" s="3" t="s">
        <v>25165</v>
      </c>
      <c r="C7185" s="2" t="s">
        <v>25166</v>
      </c>
      <c r="D7185" s="2">
        <v>12</v>
      </c>
      <c r="E7185" s="2">
        <v>13</v>
      </c>
      <c r="F7185" s="2" t="s">
        <v>25167</v>
      </c>
      <c r="H7185" s="2" t="s">
        <v>17</v>
      </c>
      <c r="K7185" s="4" t="s">
        <v>25168</v>
      </c>
      <c r="L7185" s="4" t="s">
        <v>25169</v>
      </c>
      <c r="M7185" s="2" t="s">
        <v>40</v>
      </c>
    </row>
    <row r="7186" spans="1:14">
      <c r="A7186" s="2">
        <v>7185</v>
      </c>
      <c r="B7186" s="3" t="s">
        <v>25170</v>
      </c>
      <c r="C7186" s="2" t="s">
        <v>24186</v>
      </c>
      <c r="D7186" s="2">
        <v>5</v>
      </c>
      <c r="E7186" s="2">
        <v>13</v>
      </c>
      <c r="F7186" s="2" t="s">
        <v>25171</v>
      </c>
      <c r="H7186" s="2" t="s">
        <v>17</v>
      </c>
      <c r="K7186" s="4" t="s">
        <v>25172</v>
      </c>
      <c r="L7186" s="4" t="s">
        <v>25173</v>
      </c>
    </row>
    <row r="7187" spans="1:14">
      <c r="A7187" s="2">
        <v>7186</v>
      </c>
      <c r="B7187" s="3" t="s">
        <v>25174</v>
      </c>
      <c r="C7187" s="2" t="s">
        <v>25175</v>
      </c>
      <c r="D7187" s="2">
        <v>12</v>
      </c>
      <c r="E7187" s="2">
        <v>13</v>
      </c>
      <c r="F7187" s="2" t="s">
        <v>25176</v>
      </c>
      <c r="H7187" s="2" t="s">
        <v>17</v>
      </c>
      <c r="K7187" s="4" t="s">
        <v>25177</v>
      </c>
      <c r="L7187" s="4" t="s">
        <v>25178</v>
      </c>
      <c r="M7187" s="2" t="s">
        <v>91</v>
      </c>
      <c r="N7187" s="2" t="s">
        <v>11063</v>
      </c>
    </row>
    <row r="7188" spans="1:14">
      <c r="A7188" s="2">
        <v>7187</v>
      </c>
      <c r="B7188" s="3" t="s">
        <v>25179</v>
      </c>
      <c r="C7188" s="2" t="s">
        <v>25180</v>
      </c>
      <c r="D7188" s="2">
        <v>9</v>
      </c>
      <c r="E7188" s="2">
        <v>13</v>
      </c>
      <c r="F7188" s="2" t="s">
        <v>25181</v>
      </c>
      <c r="H7188" s="2" t="s">
        <v>17</v>
      </c>
      <c r="M7188" s="2" t="s">
        <v>198</v>
      </c>
    </row>
    <row r="7189" spans="1:14">
      <c r="A7189" s="2">
        <v>7188</v>
      </c>
      <c r="B7189" s="3" t="s">
        <v>25182</v>
      </c>
      <c r="C7189" s="2" t="s">
        <v>25183</v>
      </c>
      <c r="D7189" s="2">
        <v>12</v>
      </c>
      <c r="E7189" s="2">
        <v>13</v>
      </c>
      <c r="F7189" s="2" t="s">
        <v>25184</v>
      </c>
      <c r="H7189" s="2" t="s">
        <v>17</v>
      </c>
      <c r="K7189" s="4" t="s">
        <v>25185</v>
      </c>
      <c r="L7189" s="4" t="s">
        <v>16071</v>
      </c>
      <c r="M7189" s="2" t="s">
        <v>140</v>
      </c>
      <c r="N7189" s="2" t="s">
        <v>141</v>
      </c>
    </row>
    <row r="7190" spans="1:14">
      <c r="A7190" s="2">
        <v>7189</v>
      </c>
      <c r="B7190" s="3" t="s">
        <v>25186</v>
      </c>
      <c r="C7190" s="2" t="s">
        <v>25187</v>
      </c>
      <c r="D7190" s="2">
        <v>13</v>
      </c>
      <c r="E7190" s="2">
        <v>13</v>
      </c>
      <c r="F7190" s="2" t="s">
        <v>25188</v>
      </c>
      <c r="H7190" s="2" t="s">
        <v>17</v>
      </c>
    </row>
    <row r="7191" spans="1:14">
      <c r="A7191" s="2">
        <v>7190</v>
      </c>
      <c r="B7191" s="3" t="s">
        <v>25189</v>
      </c>
      <c r="C7191" s="2" t="s">
        <v>25190</v>
      </c>
      <c r="D7191" s="2">
        <v>9</v>
      </c>
      <c r="E7191" s="2">
        <v>13</v>
      </c>
      <c r="F7191" s="2" t="s">
        <v>25191</v>
      </c>
      <c r="H7191" s="2" t="s">
        <v>17</v>
      </c>
      <c r="K7191" s="4" t="s">
        <v>25192</v>
      </c>
      <c r="L7191" s="4" t="s">
        <v>25193</v>
      </c>
      <c r="M7191" s="2" t="s">
        <v>76</v>
      </c>
    </row>
    <row r="7192" spans="1:14">
      <c r="A7192" s="2">
        <v>7191</v>
      </c>
      <c r="B7192" s="3" t="s">
        <v>25194</v>
      </c>
      <c r="C7192" s="2" t="s">
        <v>19937</v>
      </c>
      <c r="D7192" s="2">
        <v>13</v>
      </c>
      <c r="E7192" s="2">
        <v>13</v>
      </c>
      <c r="F7192" s="2" t="s">
        <v>25195</v>
      </c>
      <c r="H7192" s="2" t="s">
        <v>17</v>
      </c>
    </row>
    <row r="7193" spans="1:14">
      <c r="A7193" s="2">
        <v>7192</v>
      </c>
      <c r="B7193" s="3" t="s">
        <v>25196</v>
      </c>
      <c r="C7193" s="2" t="s">
        <v>25197</v>
      </c>
      <c r="D7193" s="2">
        <v>7</v>
      </c>
      <c r="E7193" s="2">
        <v>13</v>
      </c>
      <c r="F7193" s="2" t="s">
        <v>25198</v>
      </c>
      <c r="H7193" s="2" t="s">
        <v>17</v>
      </c>
      <c r="K7193" s="4" t="s">
        <v>25199</v>
      </c>
      <c r="L7193" s="4" t="s">
        <v>25200</v>
      </c>
      <c r="M7193" s="2" t="s">
        <v>47</v>
      </c>
      <c r="N7193" s="2" t="s">
        <v>48</v>
      </c>
    </row>
    <row r="7194" spans="1:14">
      <c r="A7194" s="2">
        <v>7193</v>
      </c>
      <c r="B7194" s="3" t="s">
        <v>25201</v>
      </c>
      <c r="C7194" s="2" t="s">
        <v>25202</v>
      </c>
      <c r="D7194" s="2">
        <v>7</v>
      </c>
      <c r="E7194" s="2">
        <v>13</v>
      </c>
      <c r="F7194" s="2" t="s">
        <v>25203</v>
      </c>
      <c r="H7194" s="2" t="s">
        <v>17</v>
      </c>
      <c r="K7194" s="4" t="s">
        <v>25204</v>
      </c>
      <c r="L7194" s="4" t="s">
        <v>25205</v>
      </c>
      <c r="M7194" s="2" t="s">
        <v>35</v>
      </c>
      <c r="N7194" s="2" t="s">
        <v>11401</v>
      </c>
    </row>
    <row r="7195" spans="1:14">
      <c r="A7195" s="2">
        <v>7194</v>
      </c>
      <c r="B7195" s="3" t="s">
        <v>25206</v>
      </c>
      <c r="C7195" s="2" t="s">
        <v>25207</v>
      </c>
      <c r="D7195" s="2">
        <v>13</v>
      </c>
      <c r="E7195" s="2">
        <v>13</v>
      </c>
      <c r="F7195" s="2" t="s">
        <v>25208</v>
      </c>
      <c r="H7195" s="2" t="s">
        <v>17</v>
      </c>
      <c r="K7195" s="4" t="s">
        <v>25209</v>
      </c>
      <c r="L7195" s="4" t="s">
        <v>25210</v>
      </c>
      <c r="M7195" s="2" t="s">
        <v>170</v>
      </c>
      <c r="N7195" s="2" t="s">
        <v>323</v>
      </c>
    </row>
    <row r="7196" spans="1:14">
      <c r="A7196" s="2">
        <v>7195</v>
      </c>
      <c r="B7196" s="3" t="s">
        <v>25211</v>
      </c>
      <c r="C7196" s="2" t="s">
        <v>25212</v>
      </c>
      <c r="D7196" s="2">
        <v>13</v>
      </c>
      <c r="E7196" s="2">
        <v>13</v>
      </c>
      <c r="F7196" s="2" t="s">
        <v>25213</v>
      </c>
      <c r="H7196" s="2" t="s">
        <v>17</v>
      </c>
    </row>
    <row r="7197" spans="1:14">
      <c r="A7197" s="2">
        <v>7196</v>
      </c>
      <c r="B7197" s="3" t="s">
        <v>25214</v>
      </c>
      <c r="C7197" s="2" t="s">
        <v>25215</v>
      </c>
      <c r="D7197" s="2">
        <v>11</v>
      </c>
      <c r="E7197" s="2">
        <v>13</v>
      </c>
      <c r="F7197" s="2" t="s">
        <v>25216</v>
      </c>
      <c r="H7197" s="2" t="s">
        <v>17</v>
      </c>
    </row>
    <row r="7198" spans="1:14">
      <c r="A7198" s="2">
        <v>7197</v>
      </c>
      <c r="B7198" s="3" t="s">
        <v>25217</v>
      </c>
      <c r="C7198" s="2" t="s">
        <v>25218</v>
      </c>
      <c r="D7198" s="2">
        <v>7</v>
      </c>
      <c r="E7198" s="2">
        <v>13</v>
      </c>
      <c r="F7198" s="2" t="s">
        <v>25219</v>
      </c>
      <c r="H7198" s="2" t="s">
        <v>17</v>
      </c>
      <c r="L7198" s="4" t="s">
        <v>13908</v>
      </c>
      <c r="M7198" s="2" t="s">
        <v>198</v>
      </c>
      <c r="N7198" s="2" t="s">
        <v>5846</v>
      </c>
    </row>
    <row r="7199" spans="1:14">
      <c r="A7199" s="2">
        <v>7198</v>
      </c>
      <c r="B7199" s="3" t="s">
        <v>25220</v>
      </c>
      <c r="C7199" s="2" t="s">
        <v>25221</v>
      </c>
      <c r="D7199" s="2">
        <v>13</v>
      </c>
      <c r="E7199" s="2">
        <v>13</v>
      </c>
      <c r="F7199" s="2" t="s">
        <v>25222</v>
      </c>
      <c r="H7199" s="2" t="s">
        <v>17</v>
      </c>
      <c r="L7199" s="4" t="s">
        <v>25223</v>
      </c>
      <c r="M7199" s="2" t="s">
        <v>35</v>
      </c>
      <c r="N7199" s="2" t="s">
        <v>11401</v>
      </c>
    </row>
    <row r="7200" spans="1:14">
      <c r="A7200" s="2">
        <v>7199</v>
      </c>
      <c r="B7200" s="3" t="s">
        <v>25224</v>
      </c>
      <c r="C7200" s="2" t="s">
        <v>25225</v>
      </c>
      <c r="D7200" s="2">
        <v>11</v>
      </c>
      <c r="E7200" s="2">
        <v>13</v>
      </c>
      <c r="F7200" s="2" t="s">
        <v>25226</v>
      </c>
      <c r="H7200" s="2" t="s">
        <v>17</v>
      </c>
    </row>
    <row r="7201" spans="1:14">
      <c r="A7201" s="2">
        <v>7200</v>
      </c>
      <c r="B7201" s="3" t="s">
        <v>25227</v>
      </c>
      <c r="C7201" s="2" t="s">
        <v>25228</v>
      </c>
      <c r="D7201" s="2">
        <v>11</v>
      </c>
      <c r="E7201" s="2">
        <v>13</v>
      </c>
      <c r="F7201" s="2" t="s">
        <v>25229</v>
      </c>
      <c r="H7201" s="2" t="s">
        <v>17</v>
      </c>
    </row>
    <row r="7202" spans="1:14">
      <c r="A7202" s="2">
        <v>7201</v>
      </c>
      <c r="B7202" s="3" t="s">
        <v>25230</v>
      </c>
      <c r="C7202" s="2" t="s">
        <v>25231</v>
      </c>
      <c r="D7202" s="2">
        <v>13</v>
      </c>
      <c r="E7202" s="2">
        <v>13</v>
      </c>
      <c r="F7202" s="2" t="s">
        <v>25232</v>
      </c>
      <c r="H7202" s="2" t="s">
        <v>17</v>
      </c>
      <c r="K7202" s="4" t="s">
        <v>25233</v>
      </c>
      <c r="L7202" s="4" t="s">
        <v>25234</v>
      </c>
      <c r="M7202" s="2" t="s">
        <v>185</v>
      </c>
      <c r="N7202" s="2" t="s">
        <v>15830</v>
      </c>
    </row>
    <row r="7203" spans="1:14">
      <c r="A7203" s="2">
        <v>7202</v>
      </c>
      <c r="B7203" s="3" t="s">
        <v>25235</v>
      </c>
      <c r="C7203" s="2" t="s">
        <v>25236</v>
      </c>
      <c r="D7203" s="2">
        <v>13</v>
      </c>
      <c r="E7203" s="2">
        <v>13</v>
      </c>
      <c r="F7203" s="2" t="s">
        <v>25237</v>
      </c>
      <c r="H7203" s="2" t="s">
        <v>17</v>
      </c>
      <c r="K7203" s="4" t="s">
        <v>25238</v>
      </c>
      <c r="L7203" s="4">
        <v>2521</v>
      </c>
      <c r="M7203" s="2" t="s">
        <v>164</v>
      </c>
    </row>
    <row r="7204" spans="1:14">
      <c r="A7204" s="2">
        <v>7203</v>
      </c>
      <c r="B7204" s="3" t="s">
        <v>25239</v>
      </c>
      <c r="C7204" s="2" t="s">
        <v>25240</v>
      </c>
      <c r="D7204" s="2">
        <v>10</v>
      </c>
      <c r="E7204" s="2">
        <v>13</v>
      </c>
      <c r="F7204" s="2" t="s">
        <v>25241</v>
      </c>
      <c r="H7204" s="2" t="s">
        <v>17</v>
      </c>
      <c r="K7204" s="4" t="s">
        <v>25242</v>
      </c>
      <c r="L7204" s="4" t="s">
        <v>25243</v>
      </c>
    </row>
    <row r="7205" spans="1:14">
      <c r="A7205" s="2">
        <v>7204</v>
      </c>
      <c r="B7205" s="3" t="s">
        <v>25244</v>
      </c>
      <c r="C7205" s="2" t="s">
        <v>25245</v>
      </c>
      <c r="D7205" s="2">
        <v>13</v>
      </c>
      <c r="E7205" s="2">
        <v>13</v>
      </c>
      <c r="F7205" s="2" t="s">
        <v>25246</v>
      </c>
      <c r="H7205" s="2" t="s">
        <v>17</v>
      </c>
    </row>
    <row r="7206" spans="1:14">
      <c r="A7206" s="2">
        <v>7205</v>
      </c>
      <c r="B7206" s="3" t="s">
        <v>25247</v>
      </c>
      <c r="C7206" s="2" t="s">
        <v>25248</v>
      </c>
      <c r="D7206" s="2">
        <v>12</v>
      </c>
      <c r="E7206" s="2">
        <v>13</v>
      </c>
      <c r="F7206" s="2" t="s">
        <v>25249</v>
      </c>
      <c r="H7206" s="2" t="s">
        <v>17</v>
      </c>
    </row>
    <row r="7207" spans="1:14">
      <c r="A7207" s="2">
        <v>7206</v>
      </c>
      <c r="B7207" s="3" t="s">
        <v>25250</v>
      </c>
      <c r="C7207" s="2" t="s">
        <v>9459</v>
      </c>
      <c r="D7207" s="2">
        <v>13</v>
      </c>
      <c r="E7207" s="2">
        <v>13</v>
      </c>
      <c r="F7207" s="2" t="s">
        <v>25251</v>
      </c>
      <c r="H7207" s="2" t="s">
        <v>17</v>
      </c>
    </row>
    <row r="7208" spans="1:14">
      <c r="A7208" s="2">
        <v>7207</v>
      </c>
      <c r="B7208" s="3" t="s">
        <v>25252</v>
      </c>
      <c r="C7208" s="2" t="s">
        <v>18781</v>
      </c>
      <c r="D7208" s="2">
        <v>8</v>
      </c>
      <c r="E7208" s="2">
        <v>13</v>
      </c>
      <c r="F7208" s="2" t="s">
        <v>25253</v>
      </c>
      <c r="H7208" s="2" t="s">
        <v>17</v>
      </c>
      <c r="K7208" s="4" t="s">
        <v>25254</v>
      </c>
      <c r="L7208" s="4" t="s">
        <v>25255</v>
      </c>
      <c r="M7208" s="2" t="s">
        <v>164</v>
      </c>
    </row>
    <row r="7209" spans="1:14">
      <c r="A7209" s="2">
        <v>7208</v>
      </c>
      <c r="B7209" s="3" t="s">
        <v>25256</v>
      </c>
      <c r="C7209" s="2" t="s">
        <v>25257</v>
      </c>
      <c r="D7209" s="2">
        <v>13</v>
      </c>
      <c r="E7209" s="2">
        <v>13</v>
      </c>
      <c r="F7209" s="2" t="s">
        <v>25258</v>
      </c>
      <c r="H7209" s="2" t="s">
        <v>17</v>
      </c>
      <c r="K7209" s="4" t="s">
        <v>25259</v>
      </c>
      <c r="L7209" s="4">
        <v>468</v>
      </c>
      <c r="M7209" s="2" t="s">
        <v>140</v>
      </c>
      <c r="N7209" s="2" t="s">
        <v>25260</v>
      </c>
    </row>
    <row r="7210" spans="1:14">
      <c r="A7210" s="2">
        <v>7209</v>
      </c>
      <c r="B7210" s="3" t="s">
        <v>25261</v>
      </c>
      <c r="C7210" s="2" t="s">
        <v>25262</v>
      </c>
      <c r="D7210" s="2">
        <v>10</v>
      </c>
      <c r="E7210" s="2">
        <v>13</v>
      </c>
      <c r="F7210" s="2" t="s">
        <v>25263</v>
      </c>
      <c r="H7210" s="2" t="s">
        <v>17</v>
      </c>
    </row>
    <row r="7211" spans="1:14">
      <c r="A7211" s="2">
        <v>7210</v>
      </c>
      <c r="B7211" s="3" t="s">
        <v>25264</v>
      </c>
      <c r="C7211" s="2" t="s">
        <v>25265</v>
      </c>
      <c r="D7211" s="2">
        <v>13</v>
      </c>
      <c r="E7211" s="2">
        <v>13</v>
      </c>
      <c r="F7211" s="2" t="s">
        <v>25266</v>
      </c>
      <c r="H7211" s="2" t="s">
        <v>17</v>
      </c>
    </row>
    <row r="7212" spans="1:14">
      <c r="A7212" s="2">
        <v>7211</v>
      </c>
      <c r="B7212" s="3" t="s">
        <v>25267</v>
      </c>
      <c r="C7212" s="2" t="s">
        <v>18217</v>
      </c>
      <c r="D7212" s="2">
        <v>13</v>
      </c>
      <c r="E7212" s="2">
        <v>13</v>
      </c>
      <c r="F7212" s="2" t="s">
        <v>25268</v>
      </c>
      <c r="H7212" s="2" t="s">
        <v>17</v>
      </c>
      <c r="K7212" s="4" t="s">
        <v>25269</v>
      </c>
      <c r="L7212" s="4" t="s">
        <v>25270</v>
      </c>
      <c r="M7212" s="2" t="s">
        <v>35</v>
      </c>
      <c r="N7212" s="2" t="s">
        <v>11458</v>
      </c>
    </row>
    <row r="7213" spans="1:14">
      <c r="A7213" s="2">
        <v>7212</v>
      </c>
      <c r="B7213" s="3" t="s">
        <v>25271</v>
      </c>
      <c r="C7213" s="2" t="s">
        <v>25272</v>
      </c>
      <c r="D7213" s="2">
        <v>13</v>
      </c>
      <c r="E7213" s="2">
        <v>13</v>
      </c>
      <c r="F7213" s="2" t="s">
        <v>25273</v>
      </c>
      <c r="H7213" s="2" t="s">
        <v>17</v>
      </c>
    </row>
    <row r="7214" spans="1:14">
      <c r="A7214" s="2">
        <v>7213</v>
      </c>
      <c r="B7214" s="3" t="s">
        <v>25274</v>
      </c>
      <c r="C7214" s="2" t="s">
        <v>25275</v>
      </c>
      <c r="D7214" s="2">
        <v>8</v>
      </c>
      <c r="E7214" s="2">
        <v>13</v>
      </c>
      <c r="F7214" s="2" t="s">
        <v>25276</v>
      </c>
      <c r="H7214" s="2" t="s">
        <v>17</v>
      </c>
      <c r="L7214" s="4" t="s">
        <v>25277</v>
      </c>
    </row>
    <row r="7215" spans="1:14">
      <c r="A7215" s="2">
        <v>7214</v>
      </c>
      <c r="B7215" s="3" t="s">
        <v>25278</v>
      </c>
      <c r="C7215" s="2" t="s">
        <v>25279</v>
      </c>
      <c r="D7215" s="2">
        <v>13</v>
      </c>
      <c r="E7215" s="2">
        <v>13</v>
      </c>
      <c r="F7215" s="2" t="s">
        <v>25280</v>
      </c>
      <c r="H7215" s="2" t="s">
        <v>17</v>
      </c>
    </row>
    <row r="7216" spans="1:14">
      <c r="A7216" s="2">
        <v>7215</v>
      </c>
      <c r="B7216" s="3" t="s">
        <v>25281</v>
      </c>
      <c r="C7216" s="2" t="s">
        <v>25282</v>
      </c>
      <c r="D7216" s="2">
        <v>12</v>
      </c>
      <c r="E7216" s="2">
        <v>13</v>
      </c>
      <c r="F7216" s="2" t="s">
        <v>25283</v>
      </c>
      <c r="H7216" s="2" t="s">
        <v>17</v>
      </c>
    </row>
    <row r="7217" spans="1:14">
      <c r="A7217" s="2">
        <v>7216</v>
      </c>
      <c r="B7217" s="3" t="s">
        <v>25284</v>
      </c>
      <c r="C7217" s="2" t="s">
        <v>16111</v>
      </c>
      <c r="D7217" s="2">
        <v>13</v>
      </c>
      <c r="E7217" s="2">
        <v>13</v>
      </c>
      <c r="F7217" s="2" t="s">
        <v>25285</v>
      </c>
      <c r="H7217" s="2" t="s">
        <v>17</v>
      </c>
    </row>
    <row r="7218" spans="1:14">
      <c r="A7218" s="2">
        <v>7217</v>
      </c>
      <c r="B7218" s="3" t="s">
        <v>25286</v>
      </c>
      <c r="C7218" s="2" t="s">
        <v>25287</v>
      </c>
      <c r="D7218" s="2">
        <v>13</v>
      </c>
      <c r="E7218" s="2">
        <v>13</v>
      </c>
      <c r="F7218" s="2" t="s">
        <v>25288</v>
      </c>
      <c r="H7218" s="2" t="s">
        <v>17</v>
      </c>
      <c r="L7218" s="4">
        <v>4563</v>
      </c>
      <c r="M7218" s="2" t="s">
        <v>35</v>
      </c>
      <c r="N7218" s="2" t="s">
        <v>15810</v>
      </c>
    </row>
    <row r="7219" spans="1:14">
      <c r="A7219" s="2">
        <v>7218</v>
      </c>
      <c r="B7219" s="3" t="s">
        <v>25289</v>
      </c>
      <c r="C7219" s="2" t="s">
        <v>25290</v>
      </c>
      <c r="D7219" s="2">
        <v>12</v>
      </c>
      <c r="E7219" s="2">
        <v>13</v>
      </c>
      <c r="F7219" s="2" t="s">
        <v>25291</v>
      </c>
      <c r="H7219" s="2" t="s">
        <v>17</v>
      </c>
      <c r="L7219" s="4" t="s">
        <v>25292</v>
      </c>
      <c r="M7219" s="2" t="s">
        <v>18</v>
      </c>
      <c r="N7219" s="2" t="s">
        <v>19</v>
      </c>
    </row>
    <row r="7220" spans="1:14">
      <c r="A7220" s="2">
        <v>7219</v>
      </c>
      <c r="B7220" s="3" t="s">
        <v>25293</v>
      </c>
      <c r="C7220" s="2" t="s">
        <v>25294</v>
      </c>
      <c r="D7220" s="2">
        <v>10</v>
      </c>
      <c r="E7220" s="2">
        <v>13</v>
      </c>
      <c r="F7220" s="2" t="s">
        <v>25295</v>
      </c>
      <c r="H7220" s="2" t="s">
        <v>17</v>
      </c>
      <c r="K7220" s="4" t="s">
        <v>25296</v>
      </c>
      <c r="L7220" s="4" t="s">
        <v>25297</v>
      </c>
      <c r="M7220" s="2" t="s">
        <v>76</v>
      </c>
      <c r="N7220" s="2" t="s">
        <v>7284</v>
      </c>
    </row>
    <row r="7221" spans="1:14">
      <c r="A7221" s="2">
        <v>7220</v>
      </c>
      <c r="B7221" s="3" t="s">
        <v>25298</v>
      </c>
      <c r="C7221" s="2" t="s">
        <v>25299</v>
      </c>
      <c r="D7221" s="2">
        <v>13</v>
      </c>
      <c r="E7221" s="2">
        <v>13</v>
      </c>
      <c r="F7221" s="2" t="s">
        <v>25300</v>
      </c>
      <c r="H7221" s="2" t="s">
        <v>17</v>
      </c>
      <c r="K7221" s="4" t="s">
        <v>25301</v>
      </c>
      <c r="L7221" s="4" t="s">
        <v>25302</v>
      </c>
      <c r="M7221" s="2" t="s">
        <v>198</v>
      </c>
      <c r="N7221" s="2" t="s">
        <v>199</v>
      </c>
    </row>
    <row r="7222" spans="1:14">
      <c r="A7222" s="2">
        <v>7221</v>
      </c>
      <c r="B7222" s="3" t="s">
        <v>25303</v>
      </c>
      <c r="C7222" s="2" t="s">
        <v>25304</v>
      </c>
      <c r="D7222" s="2">
        <v>11</v>
      </c>
      <c r="E7222" s="2">
        <v>13</v>
      </c>
      <c r="F7222" s="2" t="s">
        <v>25305</v>
      </c>
      <c r="H7222" s="2" t="s">
        <v>17</v>
      </c>
      <c r="K7222" s="4" t="s">
        <v>25306</v>
      </c>
      <c r="L7222" s="4" t="s">
        <v>25307</v>
      </c>
      <c r="M7222" s="2" t="s">
        <v>146</v>
      </c>
    </row>
    <row r="7223" spans="1:14">
      <c r="A7223" s="2">
        <v>7222</v>
      </c>
      <c r="B7223" s="3" t="s">
        <v>25308</v>
      </c>
      <c r="C7223" s="2" t="s">
        <v>25309</v>
      </c>
      <c r="D7223" s="2">
        <v>13</v>
      </c>
      <c r="E7223" s="2">
        <v>13</v>
      </c>
      <c r="F7223" s="2" t="s">
        <v>25310</v>
      </c>
      <c r="H7223" s="2" t="s">
        <v>17</v>
      </c>
    </row>
    <row r="7224" spans="1:14">
      <c r="A7224" s="2">
        <v>7223</v>
      </c>
      <c r="B7224" s="3" t="s">
        <v>25311</v>
      </c>
      <c r="C7224" s="2" t="s">
        <v>25312</v>
      </c>
      <c r="D7224" s="2">
        <v>11</v>
      </c>
      <c r="E7224" s="2">
        <v>13</v>
      </c>
      <c r="F7224" s="2" t="s">
        <v>25313</v>
      </c>
      <c r="H7224" s="2" t="s">
        <v>17</v>
      </c>
      <c r="L7224" s="4" t="s">
        <v>25314</v>
      </c>
      <c r="M7224" s="2" t="s">
        <v>40</v>
      </c>
      <c r="N7224" s="2" t="s">
        <v>1528</v>
      </c>
    </row>
    <row r="7225" spans="1:14">
      <c r="A7225" s="2">
        <v>7224</v>
      </c>
      <c r="B7225" s="3" t="s">
        <v>25315</v>
      </c>
      <c r="C7225" s="2" t="s">
        <v>25316</v>
      </c>
      <c r="D7225" s="2">
        <v>6</v>
      </c>
      <c r="E7225" s="2">
        <v>13</v>
      </c>
      <c r="F7225" s="2" t="s">
        <v>25317</v>
      </c>
      <c r="H7225" s="2" t="s">
        <v>17</v>
      </c>
      <c r="L7225" s="4" t="s">
        <v>25318</v>
      </c>
    </row>
    <row r="7226" spans="1:14">
      <c r="A7226" s="2">
        <v>7225</v>
      </c>
      <c r="B7226" s="3" t="s">
        <v>25319</v>
      </c>
      <c r="C7226" s="2" t="s">
        <v>25320</v>
      </c>
      <c r="D7226" s="2">
        <v>13</v>
      </c>
      <c r="E7226" s="2">
        <v>13</v>
      </c>
      <c r="F7226" s="2" t="s">
        <v>25321</v>
      </c>
      <c r="H7226" s="2" t="s">
        <v>17</v>
      </c>
      <c r="M7226" s="2" t="s">
        <v>35</v>
      </c>
      <c r="N7226" s="2" t="s">
        <v>12348</v>
      </c>
    </row>
    <row r="7227" spans="1:14">
      <c r="A7227" s="2">
        <v>7226</v>
      </c>
      <c r="B7227" s="3" t="s">
        <v>25322</v>
      </c>
      <c r="C7227" s="2" t="s">
        <v>25323</v>
      </c>
      <c r="D7227" s="2">
        <v>13</v>
      </c>
      <c r="E7227" s="2">
        <v>13</v>
      </c>
      <c r="F7227" s="2" t="s">
        <v>25324</v>
      </c>
      <c r="H7227" s="2" t="s">
        <v>17</v>
      </c>
    </row>
    <row r="7228" spans="1:14">
      <c r="A7228" s="2">
        <v>7227</v>
      </c>
      <c r="B7228" s="3" t="s">
        <v>25325</v>
      </c>
      <c r="C7228" s="2" t="s">
        <v>25326</v>
      </c>
      <c r="D7228" s="2">
        <v>13</v>
      </c>
      <c r="E7228" s="2">
        <v>13</v>
      </c>
      <c r="F7228" s="2" t="s">
        <v>25327</v>
      </c>
      <c r="H7228" s="2" t="s">
        <v>17</v>
      </c>
    </row>
    <row r="7229" spans="1:14">
      <c r="A7229" s="2">
        <v>7228</v>
      </c>
      <c r="B7229" s="3" t="s">
        <v>25328</v>
      </c>
      <c r="C7229" s="2" t="s">
        <v>25329</v>
      </c>
      <c r="D7229" s="2">
        <v>12</v>
      </c>
      <c r="E7229" s="2">
        <v>12</v>
      </c>
      <c r="F7229" s="2" t="s">
        <v>25330</v>
      </c>
      <c r="H7229" s="2" t="s">
        <v>17</v>
      </c>
      <c r="L7229" s="4" t="s">
        <v>15169</v>
      </c>
      <c r="M7229" s="2" t="s">
        <v>170</v>
      </c>
      <c r="N7229" s="2" t="s">
        <v>323</v>
      </c>
    </row>
    <row r="7230" spans="1:14">
      <c r="A7230" s="2">
        <v>7229</v>
      </c>
      <c r="B7230" s="3" t="s">
        <v>25331</v>
      </c>
      <c r="C7230" s="2" t="s">
        <v>25332</v>
      </c>
      <c r="D7230" s="2">
        <v>12</v>
      </c>
      <c r="E7230" s="2">
        <v>12</v>
      </c>
      <c r="F7230" s="2" t="s">
        <v>25333</v>
      </c>
      <c r="H7230" s="2" t="s">
        <v>17</v>
      </c>
      <c r="K7230" s="4" t="s">
        <v>25334</v>
      </c>
      <c r="L7230" s="4" t="s">
        <v>25335</v>
      </c>
      <c r="M7230" s="2" t="s">
        <v>185</v>
      </c>
      <c r="N7230" s="2" t="s">
        <v>838</v>
      </c>
    </row>
    <row r="7231" spans="1:14">
      <c r="A7231" s="2">
        <v>7230</v>
      </c>
      <c r="B7231" s="3" t="s">
        <v>25336</v>
      </c>
      <c r="C7231" s="2" t="s">
        <v>25337</v>
      </c>
      <c r="D7231" s="2">
        <v>5</v>
      </c>
      <c r="E7231" s="2">
        <v>12</v>
      </c>
      <c r="F7231" s="2" t="s">
        <v>25338</v>
      </c>
      <c r="H7231" s="2" t="s">
        <v>17</v>
      </c>
      <c r="K7231" s="4" t="s">
        <v>25339</v>
      </c>
      <c r="L7231" s="4" t="s">
        <v>25340</v>
      </c>
      <c r="M7231" s="2" t="s">
        <v>40</v>
      </c>
      <c r="N7231" s="2" t="s">
        <v>41</v>
      </c>
    </row>
    <row r="7232" spans="1:14">
      <c r="A7232" s="2">
        <v>7231</v>
      </c>
      <c r="B7232" s="3" t="s">
        <v>25341</v>
      </c>
      <c r="C7232" s="2" t="s">
        <v>24917</v>
      </c>
      <c r="D7232" s="2">
        <v>12</v>
      </c>
      <c r="E7232" s="2">
        <v>12</v>
      </c>
      <c r="F7232" s="2" t="s">
        <v>25342</v>
      </c>
      <c r="H7232" s="2" t="s">
        <v>17</v>
      </c>
      <c r="K7232" s="4" t="s">
        <v>25343</v>
      </c>
      <c r="L7232" s="4" t="s">
        <v>25344</v>
      </c>
      <c r="M7232" s="2" t="s">
        <v>198</v>
      </c>
    </row>
    <row r="7233" spans="1:14">
      <c r="A7233" s="2">
        <v>7232</v>
      </c>
      <c r="B7233" s="3" t="s">
        <v>25345</v>
      </c>
      <c r="C7233" s="2" t="s">
        <v>25346</v>
      </c>
      <c r="D7233" s="2">
        <v>12</v>
      </c>
      <c r="E7233" s="2">
        <v>12</v>
      </c>
      <c r="F7233" s="2" t="s">
        <v>25347</v>
      </c>
      <c r="H7233" s="2" t="s">
        <v>17</v>
      </c>
      <c r="K7233" s="4" t="s">
        <v>25348</v>
      </c>
      <c r="L7233" s="4" t="s">
        <v>25349</v>
      </c>
    </row>
    <row r="7234" spans="1:14">
      <c r="A7234" s="2">
        <v>7233</v>
      </c>
      <c r="B7234" s="3" t="s">
        <v>25350</v>
      </c>
      <c r="C7234" s="2" t="s">
        <v>25351</v>
      </c>
      <c r="D7234" s="2">
        <v>12</v>
      </c>
      <c r="E7234" s="2">
        <v>12</v>
      </c>
      <c r="F7234" s="2" t="s">
        <v>25352</v>
      </c>
      <c r="H7234" s="2" t="s">
        <v>17</v>
      </c>
      <c r="L7234" s="4" t="s">
        <v>25353</v>
      </c>
    </row>
    <row r="7235" spans="1:14">
      <c r="A7235" s="2">
        <v>7234</v>
      </c>
      <c r="B7235" s="3" t="s">
        <v>25354</v>
      </c>
      <c r="C7235" s="2" t="s">
        <v>25355</v>
      </c>
      <c r="D7235" s="2">
        <v>7</v>
      </c>
      <c r="E7235" s="2">
        <v>12</v>
      </c>
      <c r="F7235" s="2" t="s">
        <v>25356</v>
      </c>
      <c r="H7235" s="2" t="s">
        <v>17</v>
      </c>
      <c r="L7235" s="4" t="s">
        <v>25357</v>
      </c>
      <c r="M7235" s="2" t="s">
        <v>40</v>
      </c>
    </row>
    <row r="7236" spans="1:14">
      <c r="A7236" s="2">
        <v>7235</v>
      </c>
      <c r="B7236" s="3" t="s">
        <v>25358</v>
      </c>
      <c r="C7236" s="2" t="s">
        <v>25359</v>
      </c>
      <c r="D7236" s="2">
        <v>6</v>
      </c>
      <c r="E7236" s="2">
        <v>12</v>
      </c>
      <c r="F7236" s="2" t="s">
        <v>25360</v>
      </c>
      <c r="H7236" s="2" t="s">
        <v>17</v>
      </c>
      <c r="K7236" s="4" t="s">
        <v>25361</v>
      </c>
      <c r="L7236" s="4" t="s">
        <v>25362</v>
      </c>
      <c r="M7236" s="2" t="s">
        <v>154</v>
      </c>
      <c r="N7236" s="2" t="s">
        <v>208</v>
      </c>
    </row>
    <row r="7237" spans="1:14">
      <c r="A7237" s="2">
        <v>7236</v>
      </c>
      <c r="B7237" s="3" t="s">
        <v>25363</v>
      </c>
      <c r="C7237" s="2" t="s">
        <v>25364</v>
      </c>
      <c r="D7237" s="2">
        <v>12</v>
      </c>
      <c r="E7237" s="2">
        <v>12</v>
      </c>
      <c r="F7237" s="2" t="s">
        <v>25365</v>
      </c>
      <c r="H7237" s="2" t="s">
        <v>17</v>
      </c>
      <c r="L7237" s="4" t="s">
        <v>25366</v>
      </c>
      <c r="M7237" s="2" t="s">
        <v>198</v>
      </c>
      <c r="N7237" s="2" t="s">
        <v>5291</v>
      </c>
    </row>
    <row r="7238" spans="1:14">
      <c r="A7238" s="2">
        <v>7237</v>
      </c>
      <c r="B7238" s="3" t="s">
        <v>25367</v>
      </c>
      <c r="C7238" s="2" t="s">
        <v>25368</v>
      </c>
      <c r="D7238" s="2">
        <v>10</v>
      </c>
      <c r="E7238" s="2">
        <v>12</v>
      </c>
      <c r="F7238" s="2" t="s">
        <v>25369</v>
      </c>
      <c r="H7238" s="2" t="s">
        <v>17</v>
      </c>
    </row>
    <row r="7239" spans="1:14">
      <c r="A7239" s="2">
        <v>7238</v>
      </c>
      <c r="B7239" s="3" t="s">
        <v>25370</v>
      </c>
      <c r="C7239" s="2" t="s">
        <v>25371</v>
      </c>
      <c r="D7239" s="2">
        <v>10</v>
      </c>
      <c r="E7239" s="2">
        <v>12</v>
      </c>
      <c r="F7239" s="2" t="s">
        <v>25372</v>
      </c>
      <c r="H7239" s="2" t="s">
        <v>17</v>
      </c>
    </row>
    <row r="7240" spans="1:14">
      <c r="A7240" s="2">
        <v>7239</v>
      </c>
      <c r="B7240" s="3" t="s">
        <v>25373</v>
      </c>
      <c r="C7240" s="2" t="s">
        <v>25374</v>
      </c>
      <c r="D7240" s="2">
        <v>12</v>
      </c>
      <c r="E7240" s="2">
        <v>12</v>
      </c>
      <c r="F7240" s="2" t="s">
        <v>25375</v>
      </c>
      <c r="H7240" s="2" t="s">
        <v>17</v>
      </c>
    </row>
    <row r="7241" spans="1:14">
      <c r="A7241" s="2">
        <v>7240</v>
      </c>
      <c r="B7241" s="3" t="s">
        <v>25376</v>
      </c>
      <c r="C7241" s="2" t="s">
        <v>22692</v>
      </c>
      <c r="D7241" s="2">
        <v>9</v>
      </c>
      <c r="E7241" s="2">
        <v>12</v>
      </c>
      <c r="F7241" s="2" t="s">
        <v>25377</v>
      </c>
      <c r="H7241" s="2" t="s">
        <v>17</v>
      </c>
    </row>
    <row r="7242" spans="1:14">
      <c r="A7242" s="2">
        <v>7241</v>
      </c>
      <c r="B7242" s="3" t="s">
        <v>25378</v>
      </c>
      <c r="C7242" s="2" t="s">
        <v>25379</v>
      </c>
      <c r="D7242" s="2">
        <v>11</v>
      </c>
      <c r="E7242" s="2">
        <v>12</v>
      </c>
      <c r="F7242" s="2" t="s">
        <v>25380</v>
      </c>
      <c r="H7242" s="2" t="s">
        <v>17</v>
      </c>
      <c r="K7242" s="4" t="s">
        <v>25381</v>
      </c>
      <c r="L7242" s="4" t="s">
        <v>25382</v>
      </c>
      <c r="M7242" s="2" t="s">
        <v>170</v>
      </c>
      <c r="N7242" s="2" t="s">
        <v>323</v>
      </c>
    </row>
    <row r="7243" spans="1:14">
      <c r="A7243" s="2">
        <v>7242</v>
      </c>
      <c r="B7243" s="3" t="s">
        <v>25383</v>
      </c>
      <c r="C7243" s="2" t="s">
        <v>25384</v>
      </c>
      <c r="D7243" s="2">
        <v>12</v>
      </c>
      <c r="E7243" s="2">
        <v>12</v>
      </c>
      <c r="F7243" s="2" t="s">
        <v>25385</v>
      </c>
      <c r="H7243" s="2" t="s">
        <v>17</v>
      </c>
      <c r="K7243" s="4" t="s">
        <v>25386</v>
      </c>
      <c r="L7243" s="4" t="s">
        <v>25387</v>
      </c>
      <c r="M7243" s="2" t="s">
        <v>35</v>
      </c>
      <c r="N7243" s="2" t="s">
        <v>11552</v>
      </c>
    </row>
    <row r="7244" spans="1:14">
      <c r="A7244" s="2">
        <v>7243</v>
      </c>
      <c r="B7244" s="3" t="s">
        <v>25388</v>
      </c>
      <c r="C7244" s="2" t="s">
        <v>25389</v>
      </c>
      <c r="D7244" s="2">
        <v>12</v>
      </c>
      <c r="E7244" s="2">
        <v>12</v>
      </c>
      <c r="F7244" s="2" t="s">
        <v>25390</v>
      </c>
      <c r="H7244" s="2" t="s">
        <v>17</v>
      </c>
      <c r="K7244" s="4" t="s">
        <v>25391</v>
      </c>
      <c r="L7244" s="4" t="s">
        <v>25392</v>
      </c>
      <c r="M7244" s="2" t="s">
        <v>198</v>
      </c>
      <c r="N7244" s="2" t="s">
        <v>199</v>
      </c>
    </row>
    <row r="7245" spans="1:14">
      <c r="A7245" s="2">
        <v>7244</v>
      </c>
      <c r="B7245" s="3" t="s">
        <v>25393</v>
      </c>
      <c r="C7245" s="2" t="s">
        <v>23870</v>
      </c>
      <c r="D7245" s="2">
        <v>12</v>
      </c>
      <c r="E7245" s="2">
        <v>12</v>
      </c>
      <c r="F7245" s="2" t="s">
        <v>25394</v>
      </c>
      <c r="H7245" s="2" t="s">
        <v>17</v>
      </c>
      <c r="K7245" s="4" t="s">
        <v>25395</v>
      </c>
      <c r="L7245" s="4" t="s">
        <v>25396</v>
      </c>
      <c r="M7245" s="2" t="s">
        <v>35</v>
      </c>
      <c r="N7245" s="2" t="s">
        <v>11401</v>
      </c>
    </row>
    <row r="7246" spans="1:14">
      <c r="A7246" s="2">
        <v>7245</v>
      </c>
      <c r="B7246" s="3" t="s">
        <v>25397</v>
      </c>
      <c r="C7246" s="2" t="s">
        <v>25398</v>
      </c>
      <c r="D7246" s="2">
        <v>12</v>
      </c>
      <c r="E7246" s="2">
        <v>12</v>
      </c>
      <c r="F7246" s="2" t="s">
        <v>25399</v>
      </c>
      <c r="H7246" s="2" t="s">
        <v>17</v>
      </c>
    </row>
    <row r="7247" spans="1:14">
      <c r="A7247" s="2">
        <v>7246</v>
      </c>
      <c r="B7247" s="3" t="s">
        <v>25400</v>
      </c>
      <c r="C7247" s="2" t="s">
        <v>25401</v>
      </c>
      <c r="D7247" s="2">
        <v>12</v>
      </c>
      <c r="E7247" s="2">
        <v>12</v>
      </c>
      <c r="F7247" s="2" t="s">
        <v>25402</v>
      </c>
      <c r="H7247" s="2" t="s">
        <v>17</v>
      </c>
      <c r="K7247" s="4" t="s">
        <v>25403</v>
      </c>
      <c r="L7247" s="4" t="s">
        <v>25404</v>
      </c>
    </row>
    <row r="7248" spans="1:14">
      <c r="A7248" s="2">
        <v>7247</v>
      </c>
      <c r="B7248" s="3" t="s">
        <v>25405</v>
      </c>
      <c r="C7248" s="2" t="s">
        <v>23108</v>
      </c>
      <c r="D7248" s="2">
        <v>12</v>
      </c>
      <c r="E7248" s="2">
        <v>12</v>
      </c>
      <c r="F7248" s="2" t="s">
        <v>25406</v>
      </c>
      <c r="H7248" s="2" t="s">
        <v>17</v>
      </c>
      <c r="K7248" s="4" t="s">
        <v>25407</v>
      </c>
      <c r="L7248" s="4" t="s">
        <v>25408</v>
      </c>
      <c r="M7248" s="2" t="s">
        <v>198</v>
      </c>
    </row>
    <row r="7249" spans="1:14">
      <c r="A7249" s="2">
        <v>7248</v>
      </c>
      <c r="B7249" s="3" t="s">
        <v>25409</v>
      </c>
      <c r="C7249" s="2" t="s">
        <v>22754</v>
      </c>
      <c r="D7249" s="2">
        <v>7</v>
      </c>
      <c r="E7249" s="2">
        <v>12</v>
      </c>
      <c r="F7249" s="2" t="s">
        <v>25410</v>
      </c>
      <c r="H7249" s="2" t="s">
        <v>17</v>
      </c>
      <c r="K7249" s="4" t="s">
        <v>25411</v>
      </c>
      <c r="L7249" s="4" t="s">
        <v>25412</v>
      </c>
      <c r="M7249" s="2" t="s">
        <v>140</v>
      </c>
    </row>
    <row r="7250" spans="1:14">
      <c r="A7250" s="2">
        <v>7249</v>
      </c>
      <c r="B7250" s="3" t="s">
        <v>25413</v>
      </c>
      <c r="C7250" s="2" t="s">
        <v>25414</v>
      </c>
      <c r="D7250" s="2">
        <v>12</v>
      </c>
      <c r="E7250" s="2">
        <v>12</v>
      </c>
      <c r="F7250" s="2" t="s">
        <v>25415</v>
      </c>
      <c r="H7250" s="2" t="s">
        <v>17</v>
      </c>
      <c r="K7250" s="4" t="s">
        <v>25416</v>
      </c>
      <c r="L7250" s="4" t="s">
        <v>25417</v>
      </c>
      <c r="M7250" s="2" t="s">
        <v>198</v>
      </c>
    </row>
    <row r="7251" spans="1:14">
      <c r="A7251" s="2">
        <v>7250</v>
      </c>
      <c r="B7251" s="3" t="s">
        <v>25418</v>
      </c>
      <c r="C7251" s="2" t="s">
        <v>25419</v>
      </c>
      <c r="D7251" s="2">
        <v>10</v>
      </c>
      <c r="E7251" s="2">
        <v>12</v>
      </c>
      <c r="F7251" s="2" t="s">
        <v>25420</v>
      </c>
      <c r="H7251" s="2" t="s">
        <v>17</v>
      </c>
      <c r="K7251" s="4" t="s">
        <v>25421</v>
      </c>
      <c r="L7251" s="4" t="s">
        <v>25422</v>
      </c>
      <c r="M7251" s="2" t="s">
        <v>185</v>
      </c>
      <c r="N7251" s="2" t="s">
        <v>24312</v>
      </c>
    </row>
    <row r="7252" spans="1:14">
      <c r="A7252" s="2">
        <v>7251</v>
      </c>
      <c r="B7252" s="3" t="s">
        <v>25423</v>
      </c>
      <c r="C7252" s="2" t="s">
        <v>25424</v>
      </c>
      <c r="D7252" s="2">
        <v>10</v>
      </c>
      <c r="E7252" s="2">
        <v>12</v>
      </c>
      <c r="F7252" s="2" t="s">
        <v>25425</v>
      </c>
      <c r="H7252" s="2" t="s">
        <v>17</v>
      </c>
    </row>
    <row r="7253" spans="1:14">
      <c r="A7253" s="2">
        <v>7252</v>
      </c>
      <c r="B7253" s="3" t="s">
        <v>25426</v>
      </c>
      <c r="C7253" s="2" t="s">
        <v>25427</v>
      </c>
      <c r="D7253" s="2">
        <v>12</v>
      </c>
      <c r="E7253" s="2">
        <v>12</v>
      </c>
      <c r="F7253" s="2" t="s">
        <v>25428</v>
      </c>
      <c r="H7253" s="2" t="s">
        <v>17</v>
      </c>
      <c r="K7253" s="4" t="s">
        <v>25429</v>
      </c>
      <c r="L7253" s="4" t="s">
        <v>25430</v>
      </c>
    </row>
    <row r="7254" spans="1:14">
      <c r="A7254" s="2">
        <v>7253</v>
      </c>
      <c r="B7254" s="3" t="s">
        <v>25431</v>
      </c>
      <c r="C7254" s="2" t="s">
        <v>25432</v>
      </c>
      <c r="D7254" s="2">
        <v>10</v>
      </c>
      <c r="E7254" s="2">
        <v>12</v>
      </c>
      <c r="F7254" s="2" t="s">
        <v>25433</v>
      </c>
      <c r="H7254" s="2" t="s">
        <v>17</v>
      </c>
      <c r="K7254" s="4" t="s">
        <v>25434</v>
      </c>
      <c r="L7254" s="4">
        <v>1376</v>
      </c>
    </row>
    <row r="7255" spans="1:14">
      <c r="A7255" s="2">
        <v>7254</v>
      </c>
      <c r="B7255" s="3" t="s">
        <v>25435</v>
      </c>
      <c r="C7255" s="2" t="s">
        <v>8646</v>
      </c>
      <c r="D7255" s="2">
        <v>6</v>
      </c>
      <c r="E7255" s="2">
        <v>12</v>
      </c>
      <c r="F7255" s="2" t="s">
        <v>25436</v>
      </c>
      <c r="H7255" s="2" t="s">
        <v>17</v>
      </c>
      <c r="K7255" s="4" t="s">
        <v>25437</v>
      </c>
      <c r="L7255" s="4" t="s">
        <v>25438</v>
      </c>
      <c r="M7255" s="2" t="s">
        <v>35</v>
      </c>
      <c r="N7255" s="2" t="s">
        <v>16052</v>
      </c>
    </row>
    <row r="7256" spans="1:14">
      <c r="A7256" s="2">
        <v>7255</v>
      </c>
      <c r="B7256" s="3" t="s">
        <v>25439</v>
      </c>
      <c r="C7256" s="2" t="s">
        <v>24802</v>
      </c>
      <c r="D7256" s="2">
        <v>10</v>
      </c>
      <c r="E7256" s="2">
        <v>12</v>
      </c>
      <c r="F7256" s="2" t="s">
        <v>25440</v>
      </c>
      <c r="H7256" s="2" t="s">
        <v>17</v>
      </c>
      <c r="L7256" s="4" t="s">
        <v>24804</v>
      </c>
    </row>
    <row r="7257" spans="1:14">
      <c r="A7257" s="2">
        <v>7256</v>
      </c>
      <c r="B7257" s="3" t="s">
        <v>25441</v>
      </c>
      <c r="C7257" s="2" t="s">
        <v>25442</v>
      </c>
      <c r="D7257" s="2">
        <v>12</v>
      </c>
      <c r="E7257" s="2">
        <v>12</v>
      </c>
      <c r="F7257" s="2" t="s">
        <v>25443</v>
      </c>
      <c r="H7257" s="2" t="s">
        <v>17</v>
      </c>
      <c r="K7257" s="4" t="s">
        <v>25444</v>
      </c>
      <c r="L7257" s="4" t="s">
        <v>25445</v>
      </c>
      <c r="M7257" s="2" t="s">
        <v>170</v>
      </c>
      <c r="N7257" s="2" t="s">
        <v>323</v>
      </c>
    </row>
    <row r="7258" spans="1:14">
      <c r="A7258" s="2">
        <v>7257</v>
      </c>
      <c r="B7258" s="3" t="s">
        <v>25446</v>
      </c>
      <c r="C7258" s="2" t="s">
        <v>25447</v>
      </c>
      <c r="D7258" s="2">
        <v>6</v>
      </c>
      <c r="E7258" s="2">
        <v>12</v>
      </c>
      <c r="F7258" s="2" t="s">
        <v>25448</v>
      </c>
      <c r="H7258" s="2" t="s">
        <v>17</v>
      </c>
    </row>
    <row r="7259" spans="1:14">
      <c r="A7259" s="2">
        <v>7258</v>
      </c>
      <c r="B7259" s="3" t="s">
        <v>25449</v>
      </c>
      <c r="C7259" s="2" t="s">
        <v>25450</v>
      </c>
      <c r="D7259" s="2">
        <v>12</v>
      </c>
      <c r="E7259" s="2">
        <v>12</v>
      </c>
      <c r="F7259" s="2" t="s">
        <v>25451</v>
      </c>
      <c r="H7259" s="2" t="s">
        <v>17</v>
      </c>
      <c r="K7259" s="4" t="s">
        <v>25452</v>
      </c>
      <c r="L7259" s="4" t="s">
        <v>25453</v>
      </c>
      <c r="M7259" s="2" t="s">
        <v>170</v>
      </c>
      <c r="N7259" s="2" t="s">
        <v>1762</v>
      </c>
    </row>
    <row r="7260" spans="1:14">
      <c r="A7260" s="2">
        <v>7259</v>
      </c>
      <c r="B7260" s="3" t="s">
        <v>25454</v>
      </c>
      <c r="C7260" s="2" t="s">
        <v>18217</v>
      </c>
      <c r="D7260" s="2">
        <v>6</v>
      </c>
      <c r="E7260" s="2">
        <v>12</v>
      </c>
      <c r="F7260" s="2" t="s">
        <v>25455</v>
      </c>
      <c r="H7260" s="2" t="s">
        <v>17</v>
      </c>
      <c r="K7260" s="4" t="s">
        <v>25456</v>
      </c>
      <c r="L7260" s="4" t="s">
        <v>25457</v>
      </c>
    </row>
    <row r="7261" spans="1:14">
      <c r="A7261" s="2">
        <v>7260</v>
      </c>
      <c r="B7261" s="3" t="s">
        <v>25458</v>
      </c>
      <c r="C7261" s="2" t="s">
        <v>25272</v>
      </c>
      <c r="D7261" s="2">
        <v>12</v>
      </c>
      <c r="E7261" s="2">
        <v>12</v>
      </c>
      <c r="F7261" s="2" t="s">
        <v>25459</v>
      </c>
      <c r="H7261" s="2" t="s">
        <v>17</v>
      </c>
    </row>
    <row r="7262" spans="1:14">
      <c r="A7262" s="2">
        <v>7261</v>
      </c>
      <c r="B7262" s="3" t="s">
        <v>25460</v>
      </c>
      <c r="C7262" s="2" t="s">
        <v>25461</v>
      </c>
      <c r="D7262" s="2">
        <v>12</v>
      </c>
      <c r="E7262" s="2">
        <v>12</v>
      </c>
      <c r="F7262" s="2" t="s">
        <v>25462</v>
      </c>
      <c r="H7262" s="2" t="s">
        <v>17</v>
      </c>
      <c r="K7262" s="4" t="s">
        <v>25463</v>
      </c>
      <c r="N7262" s="2" t="s">
        <v>19808</v>
      </c>
    </row>
    <row r="7263" spans="1:14">
      <c r="A7263" s="2">
        <v>7262</v>
      </c>
      <c r="B7263" s="3" t="s">
        <v>25464</v>
      </c>
      <c r="C7263" s="2" t="s">
        <v>25465</v>
      </c>
      <c r="D7263" s="2">
        <v>9</v>
      </c>
      <c r="E7263" s="2">
        <v>12</v>
      </c>
      <c r="F7263" s="2" t="s">
        <v>25466</v>
      </c>
      <c r="H7263" s="2" t="s">
        <v>17</v>
      </c>
      <c r="K7263" s="4" t="s">
        <v>25467</v>
      </c>
      <c r="L7263" s="4" t="s">
        <v>25468</v>
      </c>
      <c r="M7263" s="2" t="s">
        <v>185</v>
      </c>
      <c r="N7263" s="2" t="s">
        <v>9113</v>
      </c>
    </row>
    <row r="7264" spans="1:14">
      <c r="A7264" s="2">
        <v>7263</v>
      </c>
      <c r="B7264" s="3" t="s">
        <v>25469</v>
      </c>
      <c r="C7264" s="2" t="s">
        <v>25470</v>
      </c>
      <c r="D7264" s="2">
        <v>9</v>
      </c>
      <c r="E7264" s="2">
        <v>12</v>
      </c>
      <c r="F7264" s="2" t="s">
        <v>25471</v>
      </c>
      <c r="H7264" s="2" t="s">
        <v>17</v>
      </c>
      <c r="K7264" s="4" t="s">
        <v>25472</v>
      </c>
      <c r="L7264" s="4" t="s">
        <v>25473</v>
      </c>
      <c r="M7264" s="2" t="s">
        <v>170</v>
      </c>
      <c r="N7264" s="2" t="s">
        <v>323</v>
      </c>
    </row>
    <row r="7265" spans="1:14">
      <c r="A7265" s="2">
        <v>7264</v>
      </c>
      <c r="B7265" s="3" t="s">
        <v>25474</v>
      </c>
      <c r="C7265" s="2" t="s">
        <v>22837</v>
      </c>
      <c r="D7265" s="2">
        <v>4</v>
      </c>
      <c r="E7265" s="2">
        <v>12</v>
      </c>
      <c r="F7265" s="2" t="s">
        <v>25475</v>
      </c>
      <c r="H7265" s="2" t="s">
        <v>17</v>
      </c>
      <c r="K7265" s="4" t="s">
        <v>25476</v>
      </c>
      <c r="L7265" s="4" t="s">
        <v>25477</v>
      </c>
      <c r="M7265" s="2" t="s">
        <v>35</v>
      </c>
      <c r="N7265" s="2" t="s">
        <v>11401</v>
      </c>
    </row>
    <row r="7266" spans="1:14">
      <c r="A7266" s="2">
        <v>7265</v>
      </c>
      <c r="B7266" s="3" t="s">
        <v>25478</v>
      </c>
      <c r="C7266" s="2" t="s">
        <v>25479</v>
      </c>
      <c r="D7266" s="2">
        <v>8</v>
      </c>
      <c r="E7266" s="2">
        <v>12</v>
      </c>
      <c r="F7266" s="2" t="s">
        <v>25480</v>
      </c>
      <c r="H7266" s="2" t="s">
        <v>17</v>
      </c>
      <c r="L7266" s="4" t="s">
        <v>25481</v>
      </c>
    </row>
    <row r="7267" spans="1:14">
      <c r="A7267" s="2">
        <v>7266</v>
      </c>
      <c r="B7267" s="3" t="s">
        <v>25482</v>
      </c>
      <c r="C7267" s="2" t="s">
        <v>25483</v>
      </c>
      <c r="D7267" s="2">
        <v>6</v>
      </c>
      <c r="E7267" s="2">
        <v>12</v>
      </c>
      <c r="F7267" s="2" t="s">
        <v>25484</v>
      </c>
      <c r="H7267" s="2" t="s">
        <v>17</v>
      </c>
      <c r="L7267" s="4" t="s">
        <v>25485</v>
      </c>
    </row>
    <row r="7268" spans="1:14">
      <c r="A7268" s="2">
        <v>7267</v>
      </c>
      <c r="B7268" s="3" t="s">
        <v>25486</v>
      </c>
      <c r="C7268" s="2" t="s">
        <v>25487</v>
      </c>
      <c r="D7268" s="2">
        <v>8</v>
      </c>
      <c r="E7268" s="2">
        <v>12</v>
      </c>
      <c r="F7268" s="2" t="s">
        <v>25488</v>
      </c>
      <c r="H7268" s="2" t="s">
        <v>17</v>
      </c>
      <c r="K7268" s="4" t="s">
        <v>25489</v>
      </c>
      <c r="L7268" s="4">
        <v>4423</v>
      </c>
      <c r="M7268" s="2" t="s">
        <v>140</v>
      </c>
      <c r="N7268" s="2" t="s">
        <v>4862</v>
      </c>
    </row>
    <row r="7269" spans="1:14">
      <c r="A7269" s="2">
        <v>7268</v>
      </c>
      <c r="B7269" s="3" t="s">
        <v>25490</v>
      </c>
      <c r="C7269" s="2" t="s">
        <v>25491</v>
      </c>
      <c r="D7269" s="2">
        <v>12</v>
      </c>
      <c r="E7269" s="2">
        <v>12</v>
      </c>
      <c r="F7269" s="2" t="s">
        <v>25492</v>
      </c>
      <c r="H7269" s="2" t="s">
        <v>17</v>
      </c>
      <c r="K7269" s="4" t="s">
        <v>25493</v>
      </c>
      <c r="L7269" s="4" t="s">
        <v>25494</v>
      </c>
      <c r="M7269" s="2" t="s">
        <v>47</v>
      </c>
      <c r="N7269" s="2" t="s">
        <v>48</v>
      </c>
    </row>
    <row r="7270" spans="1:14">
      <c r="A7270" s="2">
        <v>7269</v>
      </c>
      <c r="B7270" s="3" t="s">
        <v>25495</v>
      </c>
      <c r="C7270" s="2" t="s">
        <v>23714</v>
      </c>
      <c r="D7270" s="2">
        <v>12</v>
      </c>
      <c r="E7270" s="2">
        <v>12</v>
      </c>
      <c r="F7270" s="2" t="s">
        <v>25496</v>
      </c>
      <c r="H7270" s="2" t="s">
        <v>17</v>
      </c>
    </row>
    <row r="7271" spans="1:14">
      <c r="A7271" s="2">
        <v>7270</v>
      </c>
      <c r="B7271" s="3" t="s">
        <v>25497</v>
      </c>
      <c r="C7271" s="2" t="s">
        <v>12481</v>
      </c>
      <c r="D7271" s="2">
        <v>12</v>
      </c>
      <c r="E7271" s="2">
        <v>12</v>
      </c>
      <c r="F7271" s="2" t="s">
        <v>25498</v>
      </c>
      <c r="H7271" s="2" t="s">
        <v>17</v>
      </c>
    </row>
    <row r="7272" spans="1:14">
      <c r="A7272" s="2">
        <v>7271</v>
      </c>
      <c r="B7272" s="3" t="s">
        <v>25499</v>
      </c>
      <c r="C7272" s="2" t="s">
        <v>25500</v>
      </c>
      <c r="D7272" s="2">
        <v>3</v>
      </c>
      <c r="E7272" s="2">
        <v>12</v>
      </c>
      <c r="F7272" s="2" t="s">
        <v>25501</v>
      </c>
      <c r="H7272" s="2" t="s">
        <v>17</v>
      </c>
      <c r="K7272" s="4" t="s">
        <v>25502</v>
      </c>
      <c r="L7272" s="4" t="s">
        <v>25503</v>
      </c>
      <c r="M7272" s="2" t="s">
        <v>85</v>
      </c>
    </row>
    <row r="7273" spans="1:14">
      <c r="A7273" s="2">
        <v>7272</v>
      </c>
      <c r="B7273" s="3" t="s">
        <v>25504</v>
      </c>
      <c r="C7273" s="2" t="s">
        <v>25505</v>
      </c>
      <c r="D7273" s="2">
        <v>12</v>
      </c>
      <c r="E7273" s="2">
        <v>12</v>
      </c>
      <c r="F7273" s="2" t="s">
        <v>25506</v>
      </c>
      <c r="H7273" s="2" t="s">
        <v>17</v>
      </c>
      <c r="K7273" s="4" t="s">
        <v>25507</v>
      </c>
      <c r="L7273" s="4">
        <v>4686</v>
      </c>
      <c r="M7273" s="2" t="s">
        <v>164</v>
      </c>
      <c r="N7273" s="2" t="s">
        <v>9222</v>
      </c>
    </row>
    <row r="7274" spans="1:14">
      <c r="A7274" s="2">
        <v>7273</v>
      </c>
      <c r="B7274" s="3" t="s">
        <v>25508</v>
      </c>
      <c r="C7274" s="2" t="s">
        <v>25509</v>
      </c>
      <c r="D7274" s="2">
        <v>10</v>
      </c>
      <c r="E7274" s="2">
        <v>12</v>
      </c>
      <c r="F7274" s="2" t="s">
        <v>25510</v>
      </c>
      <c r="H7274" s="2" t="s">
        <v>17</v>
      </c>
      <c r="K7274" s="4" t="s">
        <v>25511</v>
      </c>
      <c r="L7274" s="4" t="s">
        <v>25512</v>
      </c>
      <c r="M7274" s="2" t="s">
        <v>85</v>
      </c>
      <c r="N7274" s="2" t="s">
        <v>1963</v>
      </c>
    </row>
    <row r="7275" spans="1:14">
      <c r="A7275" s="2">
        <v>7274</v>
      </c>
      <c r="B7275" s="3" t="s">
        <v>25513</v>
      </c>
      <c r="C7275" s="2" t="s">
        <v>25514</v>
      </c>
      <c r="D7275" s="2">
        <v>9</v>
      </c>
      <c r="E7275" s="2">
        <v>12</v>
      </c>
      <c r="F7275" s="2" t="s">
        <v>25515</v>
      </c>
      <c r="H7275" s="2" t="s">
        <v>17</v>
      </c>
      <c r="K7275" s="4" t="s">
        <v>25516</v>
      </c>
      <c r="L7275" s="4" t="s">
        <v>25517</v>
      </c>
      <c r="M7275" s="2" t="s">
        <v>198</v>
      </c>
    </row>
    <row r="7276" spans="1:14">
      <c r="A7276" s="2">
        <v>7275</v>
      </c>
      <c r="B7276" s="3" t="s">
        <v>25518</v>
      </c>
      <c r="C7276" s="2" t="s">
        <v>25519</v>
      </c>
      <c r="D7276" s="2">
        <v>12</v>
      </c>
      <c r="E7276" s="2">
        <v>12</v>
      </c>
      <c r="F7276" s="2" t="s">
        <v>25520</v>
      </c>
      <c r="H7276" s="2" t="s">
        <v>17</v>
      </c>
    </row>
    <row r="7277" spans="1:14">
      <c r="A7277" s="2">
        <v>7276</v>
      </c>
      <c r="B7277" s="3" t="s">
        <v>25521</v>
      </c>
      <c r="C7277" s="2" t="s">
        <v>25522</v>
      </c>
      <c r="D7277" s="2">
        <v>9</v>
      </c>
      <c r="E7277" s="2">
        <v>12</v>
      </c>
      <c r="F7277" s="2" t="s">
        <v>25523</v>
      </c>
      <c r="H7277" s="2" t="s">
        <v>17</v>
      </c>
      <c r="K7277" s="4" t="s">
        <v>25524</v>
      </c>
      <c r="L7277" s="4" t="s">
        <v>25525</v>
      </c>
      <c r="M7277" s="2" t="s">
        <v>40</v>
      </c>
      <c r="N7277" s="2" t="s">
        <v>9352</v>
      </c>
    </row>
    <row r="7278" spans="1:14">
      <c r="A7278" s="2">
        <v>7277</v>
      </c>
      <c r="B7278" s="3" t="s">
        <v>25526</v>
      </c>
      <c r="C7278" s="2" t="s">
        <v>25527</v>
      </c>
      <c r="D7278" s="2">
        <v>10</v>
      </c>
      <c r="E7278" s="2">
        <v>12</v>
      </c>
      <c r="F7278" s="2" t="s">
        <v>25528</v>
      </c>
      <c r="H7278" s="2" t="s">
        <v>17</v>
      </c>
    </row>
    <row r="7279" spans="1:14">
      <c r="A7279" s="2">
        <v>7278</v>
      </c>
      <c r="B7279" s="3" t="s">
        <v>25529</v>
      </c>
      <c r="C7279" s="2" t="s">
        <v>25530</v>
      </c>
      <c r="D7279" s="2">
        <v>12</v>
      </c>
      <c r="E7279" s="2">
        <v>12</v>
      </c>
      <c r="F7279" s="2" t="s">
        <v>25531</v>
      </c>
      <c r="H7279" s="2" t="s">
        <v>17</v>
      </c>
      <c r="K7279" s="4" t="s">
        <v>25532</v>
      </c>
      <c r="L7279" s="4" t="s">
        <v>25533</v>
      </c>
      <c r="M7279" s="2" t="s">
        <v>198</v>
      </c>
      <c r="N7279" s="2" t="s">
        <v>199</v>
      </c>
    </row>
    <row r="7280" spans="1:14">
      <c r="A7280" s="2">
        <v>7279</v>
      </c>
      <c r="B7280" s="3" t="s">
        <v>25534</v>
      </c>
      <c r="C7280" s="2" t="s">
        <v>24410</v>
      </c>
      <c r="D7280" s="2">
        <v>4</v>
      </c>
      <c r="E7280" s="2">
        <v>12</v>
      </c>
      <c r="F7280" s="2" t="s">
        <v>25535</v>
      </c>
      <c r="H7280" s="2" t="s">
        <v>17</v>
      </c>
      <c r="L7280" s="4" t="s">
        <v>25536</v>
      </c>
    </row>
    <row r="7281" spans="1:14">
      <c r="A7281" s="2">
        <v>7280</v>
      </c>
      <c r="B7281" s="3" t="s">
        <v>25537</v>
      </c>
      <c r="C7281" s="2" t="s">
        <v>25538</v>
      </c>
      <c r="D7281" s="2">
        <v>12</v>
      </c>
      <c r="E7281" s="2">
        <v>12</v>
      </c>
      <c r="F7281" s="2" t="s">
        <v>25539</v>
      </c>
      <c r="H7281" s="2" t="s">
        <v>17</v>
      </c>
    </row>
    <row r="7282" spans="1:14">
      <c r="A7282" s="2">
        <v>7281</v>
      </c>
      <c r="B7282" s="3" t="s">
        <v>25540</v>
      </c>
      <c r="C7282" s="2" t="s">
        <v>25541</v>
      </c>
      <c r="D7282" s="2">
        <v>4</v>
      </c>
      <c r="E7282" s="2">
        <v>12</v>
      </c>
      <c r="F7282" s="2" t="s">
        <v>25542</v>
      </c>
      <c r="H7282" s="2" t="s">
        <v>17</v>
      </c>
      <c r="L7282" s="4" t="s">
        <v>25543</v>
      </c>
      <c r="M7282" s="2" t="s">
        <v>198</v>
      </c>
      <c r="N7282" s="2" t="s">
        <v>199</v>
      </c>
    </row>
    <row r="7283" spans="1:14">
      <c r="A7283" s="2">
        <v>7282</v>
      </c>
      <c r="B7283" s="3" t="s">
        <v>25544</v>
      </c>
      <c r="C7283" s="2" t="s">
        <v>23960</v>
      </c>
      <c r="D7283" s="2">
        <v>6</v>
      </c>
      <c r="E7283" s="2">
        <v>12</v>
      </c>
      <c r="F7283" s="2" t="s">
        <v>25545</v>
      </c>
      <c r="H7283" s="2" t="s">
        <v>17</v>
      </c>
      <c r="K7283" s="4" t="s">
        <v>25546</v>
      </c>
      <c r="L7283" s="4" t="s">
        <v>25547</v>
      </c>
      <c r="N7283" s="2" t="s">
        <v>15964</v>
      </c>
    </row>
    <row r="7284" spans="1:14">
      <c r="A7284" s="2">
        <v>7283</v>
      </c>
      <c r="B7284" s="3" t="s">
        <v>25548</v>
      </c>
      <c r="C7284" s="2" t="s">
        <v>25549</v>
      </c>
      <c r="D7284" s="2">
        <v>12</v>
      </c>
      <c r="E7284" s="2">
        <v>12</v>
      </c>
      <c r="F7284" s="2" t="s">
        <v>25550</v>
      </c>
      <c r="H7284" s="2" t="s">
        <v>17</v>
      </c>
      <c r="K7284" s="4" t="s">
        <v>25551</v>
      </c>
      <c r="L7284" s="4" t="s">
        <v>25552</v>
      </c>
      <c r="M7284" s="2" t="s">
        <v>192</v>
      </c>
      <c r="N7284" s="2" t="s">
        <v>193</v>
      </c>
    </row>
    <row r="7285" spans="1:14">
      <c r="A7285" s="2">
        <v>7284</v>
      </c>
      <c r="B7285" s="3" t="s">
        <v>25553</v>
      </c>
      <c r="C7285" s="2" t="s">
        <v>25554</v>
      </c>
      <c r="D7285" s="2">
        <v>9</v>
      </c>
      <c r="E7285" s="2">
        <v>12</v>
      </c>
      <c r="F7285" s="2" t="s">
        <v>25555</v>
      </c>
      <c r="H7285" s="2" t="s">
        <v>17</v>
      </c>
      <c r="K7285" s="4" t="s">
        <v>25556</v>
      </c>
      <c r="L7285" s="4" t="s">
        <v>25557</v>
      </c>
      <c r="M7285" s="2" t="s">
        <v>185</v>
      </c>
      <c r="N7285" s="2" t="s">
        <v>838</v>
      </c>
    </row>
    <row r="7286" spans="1:14">
      <c r="A7286" s="2">
        <v>7285</v>
      </c>
      <c r="B7286" s="3" t="s">
        <v>25558</v>
      </c>
      <c r="C7286" s="2" t="s">
        <v>25559</v>
      </c>
      <c r="D7286" s="2">
        <v>8</v>
      </c>
      <c r="E7286" s="2">
        <v>12</v>
      </c>
      <c r="F7286" s="2" t="s">
        <v>25560</v>
      </c>
      <c r="H7286" s="2" t="s">
        <v>17</v>
      </c>
      <c r="K7286" s="4" t="s">
        <v>25561</v>
      </c>
      <c r="L7286" s="4" t="s">
        <v>25562</v>
      </c>
      <c r="M7286" s="2" t="s">
        <v>40</v>
      </c>
      <c r="N7286" s="2" t="s">
        <v>2157</v>
      </c>
    </row>
    <row r="7287" spans="1:14">
      <c r="A7287" s="2">
        <v>7286</v>
      </c>
      <c r="B7287" s="3" t="s">
        <v>25563</v>
      </c>
      <c r="C7287" s="2" t="s">
        <v>25564</v>
      </c>
      <c r="D7287" s="2">
        <v>11</v>
      </c>
      <c r="E7287" s="2">
        <v>11</v>
      </c>
      <c r="F7287" s="2" t="s">
        <v>25565</v>
      </c>
      <c r="H7287" s="2" t="s">
        <v>17</v>
      </c>
    </row>
    <row r="7288" spans="1:14">
      <c r="A7288" s="2">
        <v>7287</v>
      </c>
      <c r="B7288" s="3" t="s">
        <v>25566</v>
      </c>
      <c r="C7288" s="2" t="s">
        <v>25567</v>
      </c>
      <c r="D7288" s="2">
        <v>11</v>
      </c>
      <c r="E7288" s="2">
        <v>11</v>
      </c>
      <c r="F7288" s="2" t="s">
        <v>25568</v>
      </c>
      <c r="H7288" s="2" t="s">
        <v>17</v>
      </c>
      <c r="K7288" s="4" t="s">
        <v>25569</v>
      </c>
      <c r="L7288" s="4" t="s">
        <v>25570</v>
      </c>
      <c r="M7288" s="2" t="s">
        <v>47</v>
      </c>
      <c r="N7288" s="2" t="s">
        <v>9325</v>
      </c>
    </row>
    <row r="7289" spans="1:14">
      <c r="A7289" s="2">
        <v>7288</v>
      </c>
      <c r="B7289" s="3" t="s">
        <v>25571</v>
      </c>
      <c r="C7289" s="2" t="s">
        <v>25572</v>
      </c>
      <c r="D7289" s="2">
        <v>9</v>
      </c>
      <c r="E7289" s="2">
        <v>11</v>
      </c>
      <c r="F7289" s="2" t="s">
        <v>25573</v>
      </c>
      <c r="H7289" s="2" t="s">
        <v>17</v>
      </c>
      <c r="K7289" s="4" t="s">
        <v>25574</v>
      </c>
      <c r="L7289" s="4" t="s">
        <v>25575</v>
      </c>
    </row>
    <row r="7290" spans="1:14">
      <c r="A7290" s="2">
        <v>7289</v>
      </c>
      <c r="B7290" s="3" t="s">
        <v>25576</v>
      </c>
      <c r="C7290" s="2" t="s">
        <v>25577</v>
      </c>
      <c r="D7290" s="2">
        <v>9</v>
      </c>
      <c r="E7290" s="2">
        <v>11</v>
      </c>
      <c r="F7290" s="2" t="s">
        <v>25578</v>
      </c>
      <c r="H7290" s="2" t="s">
        <v>17</v>
      </c>
    </row>
    <row r="7291" spans="1:14">
      <c r="A7291" s="2">
        <v>7290</v>
      </c>
      <c r="B7291" s="3" t="s">
        <v>25579</v>
      </c>
      <c r="C7291" s="2" t="s">
        <v>25580</v>
      </c>
      <c r="D7291" s="2">
        <v>7</v>
      </c>
      <c r="E7291" s="2">
        <v>11</v>
      </c>
      <c r="F7291" s="2" t="s">
        <v>25581</v>
      </c>
      <c r="H7291" s="2" t="s">
        <v>17</v>
      </c>
      <c r="K7291" s="4" t="s">
        <v>25582</v>
      </c>
      <c r="L7291" s="4" t="s">
        <v>25583</v>
      </c>
      <c r="M7291" s="2" t="s">
        <v>66</v>
      </c>
      <c r="N7291" s="2" t="s">
        <v>3640</v>
      </c>
    </row>
    <row r="7292" spans="1:14">
      <c r="A7292" s="2">
        <v>7291</v>
      </c>
      <c r="B7292" s="3" t="s">
        <v>25584</v>
      </c>
      <c r="C7292" s="2" t="s">
        <v>24921</v>
      </c>
      <c r="D7292" s="2">
        <v>11</v>
      </c>
      <c r="E7292" s="2">
        <v>11</v>
      </c>
      <c r="F7292" s="2" t="s">
        <v>25585</v>
      </c>
      <c r="H7292" s="2" t="s">
        <v>17</v>
      </c>
    </row>
    <row r="7293" spans="1:14">
      <c r="A7293" s="2">
        <v>7292</v>
      </c>
      <c r="B7293" s="3" t="s">
        <v>25586</v>
      </c>
      <c r="C7293" s="2" t="s">
        <v>25587</v>
      </c>
      <c r="D7293" s="2">
        <v>11</v>
      </c>
      <c r="E7293" s="2">
        <v>11</v>
      </c>
      <c r="F7293" s="2" t="s">
        <v>25588</v>
      </c>
      <c r="H7293" s="2" t="s">
        <v>17</v>
      </c>
      <c r="K7293" s="4" t="s">
        <v>25589</v>
      </c>
      <c r="L7293" s="4" t="s">
        <v>25590</v>
      </c>
      <c r="M7293" s="2" t="s">
        <v>91</v>
      </c>
      <c r="N7293" s="2" t="s">
        <v>25591</v>
      </c>
    </row>
    <row r="7294" spans="1:14">
      <c r="A7294" s="2">
        <v>7293</v>
      </c>
      <c r="B7294" s="3" t="s">
        <v>25592</v>
      </c>
      <c r="C7294" s="2" t="s">
        <v>25593</v>
      </c>
      <c r="D7294" s="2">
        <v>11</v>
      </c>
      <c r="E7294" s="2">
        <v>11</v>
      </c>
      <c r="F7294" s="2" t="s">
        <v>25594</v>
      </c>
      <c r="H7294" s="2" t="s">
        <v>17</v>
      </c>
      <c r="L7294" s="4" t="s">
        <v>25595</v>
      </c>
      <c r="M7294" s="2" t="s">
        <v>35</v>
      </c>
    </row>
    <row r="7295" spans="1:14">
      <c r="A7295" s="2">
        <v>7294</v>
      </c>
      <c r="B7295" s="3" t="s">
        <v>25596</v>
      </c>
      <c r="C7295" s="2" t="s">
        <v>25597</v>
      </c>
      <c r="D7295" s="2">
        <v>11</v>
      </c>
      <c r="E7295" s="2">
        <v>11</v>
      </c>
      <c r="F7295" s="2" t="s">
        <v>25598</v>
      </c>
      <c r="H7295" s="2" t="s">
        <v>17</v>
      </c>
      <c r="L7295" s="4" t="s">
        <v>25599</v>
      </c>
    </row>
    <row r="7296" spans="1:14">
      <c r="A7296" s="2">
        <v>7295</v>
      </c>
      <c r="B7296" s="3" t="s">
        <v>25600</v>
      </c>
      <c r="C7296" s="2" t="s">
        <v>25601</v>
      </c>
      <c r="D7296" s="2">
        <v>10</v>
      </c>
      <c r="E7296" s="2">
        <v>11</v>
      </c>
      <c r="F7296" s="2" t="s">
        <v>25602</v>
      </c>
      <c r="H7296" s="2" t="s">
        <v>17</v>
      </c>
      <c r="K7296" s="4" t="s">
        <v>25603</v>
      </c>
      <c r="L7296" s="4" t="s">
        <v>24526</v>
      </c>
      <c r="M7296" s="2" t="s">
        <v>18</v>
      </c>
      <c r="N7296" s="2" t="s">
        <v>19</v>
      </c>
    </row>
    <row r="7297" spans="1:14">
      <c r="A7297" s="2">
        <v>7296</v>
      </c>
      <c r="B7297" s="3" t="s">
        <v>25604</v>
      </c>
      <c r="C7297" s="2" t="s">
        <v>21876</v>
      </c>
      <c r="D7297" s="2">
        <v>10</v>
      </c>
      <c r="E7297" s="2">
        <v>11</v>
      </c>
      <c r="F7297" s="2" t="s">
        <v>25605</v>
      </c>
      <c r="H7297" s="2" t="s">
        <v>17</v>
      </c>
      <c r="K7297" s="4" t="s">
        <v>25606</v>
      </c>
      <c r="L7297" s="4" t="s">
        <v>25607</v>
      </c>
      <c r="M7297" s="2" t="s">
        <v>185</v>
      </c>
      <c r="N7297" s="2" t="s">
        <v>4985</v>
      </c>
    </row>
    <row r="7298" spans="1:14">
      <c r="A7298" s="2">
        <v>7297</v>
      </c>
      <c r="B7298" s="3" t="s">
        <v>25608</v>
      </c>
      <c r="C7298" s="2" t="s">
        <v>25609</v>
      </c>
      <c r="D7298" s="2">
        <v>11</v>
      </c>
      <c r="E7298" s="2">
        <v>11</v>
      </c>
      <c r="F7298" s="2" t="s">
        <v>25610</v>
      </c>
      <c r="H7298" s="2" t="s">
        <v>17</v>
      </c>
      <c r="K7298" s="4" t="s">
        <v>25611</v>
      </c>
      <c r="L7298" s="4" t="s">
        <v>25612</v>
      </c>
      <c r="M7298" s="2" t="s">
        <v>66</v>
      </c>
      <c r="N7298" s="2" t="s">
        <v>71</v>
      </c>
    </row>
    <row r="7299" spans="1:14">
      <c r="A7299" s="2">
        <v>7298</v>
      </c>
      <c r="B7299" s="3" t="s">
        <v>25613</v>
      </c>
      <c r="C7299" s="2" t="s">
        <v>24546</v>
      </c>
      <c r="D7299" s="2">
        <v>5</v>
      </c>
      <c r="E7299" s="2">
        <v>11</v>
      </c>
      <c r="F7299" s="2" t="s">
        <v>25614</v>
      </c>
      <c r="H7299" s="2" t="s">
        <v>17</v>
      </c>
      <c r="K7299" s="4" t="s">
        <v>25615</v>
      </c>
      <c r="L7299" s="4" t="s">
        <v>25616</v>
      </c>
      <c r="M7299" s="2" t="s">
        <v>85</v>
      </c>
    </row>
    <row r="7300" spans="1:14">
      <c r="A7300" s="2">
        <v>7299</v>
      </c>
      <c r="B7300" s="3" t="s">
        <v>25617</v>
      </c>
      <c r="C7300" s="2" t="s">
        <v>25618</v>
      </c>
      <c r="D7300" s="2">
        <v>11</v>
      </c>
      <c r="E7300" s="2">
        <v>11</v>
      </c>
      <c r="F7300" s="2" t="s">
        <v>25619</v>
      </c>
      <c r="H7300" s="2" t="s">
        <v>17</v>
      </c>
    </row>
    <row r="7301" spans="1:14">
      <c r="A7301" s="2">
        <v>7300</v>
      </c>
      <c r="B7301" s="3" t="s">
        <v>25620</v>
      </c>
      <c r="C7301" s="2" t="s">
        <v>25621</v>
      </c>
      <c r="D7301" s="2">
        <v>11</v>
      </c>
      <c r="E7301" s="2">
        <v>11</v>
      </c>
      <c r="F7301" s="2" t="s">
        <v>25622</v>
      </c>
      <c r="H7301" s="2" t="s">
        <v>17</v>
      </c>
      <c r="K7301" s="4" t="s">
        <v>25623</v>
      </c>
      <c r="L7301" s="4" t="s">
        <v>25624</v>
      </c>
      <c r="M7301" s="2" t="s">
        <v>47</v>
      </c>
      <c r="N7301" s="2" t="s">
        <v>48</v>
      </c>
    </row>
    <row r="7302" spans="1:14">
      <c r="A7302" s="2">
        <v>7301</v>
      </c>
      <c r="B7302" s="3" t="s">
        <v>25625</v>
      </c>
      <c r="C7302" s="2" t="s">
        <v>25626</v>
      </c>
      <c r="D7302" s="2">
        <v>9</v>
      </c>
      <c r="E7302" s="2">
        <v>11</v>
      </c>
      <c r="F7302" s="2" t="s">
        <v>25627</v>
      </c>
      <c r="H7302" s="2" t="s">
        <v>17</v>
      </c>
      <c r="K7302" s="4" t="s">
        <v>25628</v>
      </c>
      <c r="M7302" s="2" t="s">
        <v>85</v>
      </c>
      <c r="N7302" s="2" t="s">
        <v>1868</v>
      </c>
    </row>
    <row r="7303" spans="1:14">
      <c r="A7303" s="2">
        <v>7302</v>
      </c>
      <c r="B7303" s="3" t="s">
        <v>25629</v>
      </c>
      <c r="C7303" s="2" t="s">
        <v>22320</v>
      </c>
      <c r="D7303" s="2">
        <v>6</v>
      </c>
      <c r="E7303" s="2">
        <v>11</v>
      </c>
      <c r="F7303" s="2" t="s">
        <v>22321</v>
      </c>
      <c r="H7303" s="2" t="s">
        <v>17</v>
      </c>
      <c r="K7303" s="4" t="s">
        <v>25630</v>
      </c>
      <c r="L7303" s="4" t="s">
        <v>25631</v>
      </c>
      <c r="M7303" s="2" t="s">
        <v>170</v>
      </c>
      <c r="N7303" s="2" t="s">
        <v>171</v>
      </c>
    </row>
    <row r="7304" spans="1:14">
      <c r="A7304" s="2">
        <v>7303</v>
      </c>
      <c r="B7304" s="3" t="s">
        <v>25632</v>
      </c>
      <c r="C7304" s="2" t="s">
        <v>24840</v>
      </c>
      <c r="D7304" s="2">
        <v>7</v>
      </c>
      <c r="E7304" s="2">
        <v>11</v>
      </c>
      <c r="F7304" s="2" t="s">
        <v>25633</v>
      </c>
      <c r="H7304" s="2" t="s">
        <v>17</v>
      </c>
      <c r="K7304" s="4" t="s">
        <v>25634</v>
      </c>
      <c r="L7304" s="4" t="s">
        <v>25635</v>
      </c>
      <c r="M7304" s="2" t="s">
        <v>40</v>
      </c>
      <c r="N7304" s="2" t="s">
        <v>41</v>
      </c>
    </row>
    <row r="7305" spans="1:14">
      <c r="A7305" s="2">
        <v>7304</v>
      </c>
      <c r="B7305" s="3" t="s">
        <v>25636</v>
      </c>
      <c r="C7305" s="2" t="s">
        <v>25637</v>
      </c>
      <c r="D7305" s="2">
        <v>7</v>
      </c>
      <c r="E7305" s="2">
        <v>11</v>
      </c>
      <c r="F7305" s="2" t="s">
        <v>25638</v>
      </c>
      <c r="H7305" s="2" t="s">
        <v>17</v>
      </c>
      <c r="K7305" s="4" t="s">
        <v>25639</v>
      </c>
      <c r="L7305" s="4" t="s">
        <v>25640</v>
      </c>
      <c r="M7305" s="2" t="s">
        <v>170</v>
      </c>
      <c r="N7305" s="2" t="s">
        <v>323</v>
      </c>
    </row>
    <row r="7306" spans="1:14">
      <c r="A7306" s="2">
        <v>7305</v>
      </c>
      <c r="B7306" s="3" t="s">
        <v>25641</v>
      </c>
      <c r="C7306" s="2" t="s">
        <v>14012</v>
      </c>
      <c r="D7306" s="2">
        <v>10</v>
      </c>
      <c r="E7306" s="2">
        <v>11</v>
      </c>
      <c r="F7306" s="2" t="s">
        <v>25642</v>
      </c>
      <c r="H7306" s="2" t="s">
        <v>17</v>
      </c>
      <c r="K7306" s="4" t="s">
        <v>25643</v>
      </c>
      <c r="L7306" s="4" t="s">
        <v>25644</v>
      </c>
      <c r="M7306" s="2" t="s">
        <v>170</v>
      </c>
      <c r="N7306" s="2" t="s">
        <v>323</v>
      </c>
    </row>
    <row r="7307" spans="1:14">
      <c r="A7307" s="2">
        <v>7306</v>
      </c>
      <c r="B7307" s="3" t="s">
        <v>25645</v>
      </c>
      <c r="C7307" s="2" t="s">
        <v>25646</v>
      </c>
      <c r="D7307" s="2">
        <v>11</v>
      </c>
      <c r="E7307" s="2">
        <v>11</v>
      </c>
      <c r="F7307" s="2" t="s">
        <v>25647</v>
      </c>
      <c r="H7307" s="2" t="s">
        <v>17</v>
      </c>
      <c r="L7307" s="4" t="s">
        <v>25648</v>
      </c>
    </row>
    <row r="7308" spans="1:14">
      <c r="A7308" s="2">
        <v>7307</v>
      </c>
      <c r="B7308" s="3" t="s">
        <v>25649</v>
      </c>
      <c r="C7308" s="2" t="s">
        <v>25650</v>
      </c>
      <c r="D7308" s="2">
        <v>11</v>
      </c>
      <c r="E7308" s="2">
        <v>11</v>
      </c>
      <c r="F7308" s="2" t="s">
        <v>25651</v>
      </c>
      <c r="H7308" s="2" t="s">
        <v>17</v>
      </c>
    </row>
    <row r="7309" spans="1:14">
      <c r="A7309" s="2">
        <v>7308</v>
      </c>
      <c r="B7309" s="3" t="s">
        <v>25652</v>
      </c>
      <c r="C7309" s="2" t="s">
        <v>18360</v>
      </c>
      <c r="D7309" s="2">
        <v>2</v>
      </c>
      <c r="E7309" s="2">
        <v>11</v>
      </c>
      <c r="F7309" s="2" t="s">
        <v>18361</v>
      </c>
      <c r="H7309" s="2" t="s">
        <v>17</v>
      </c>
      <c r="K7309" s="4" t="s">
        <v>25653</v>
      </c>
      <c r="L7309" s="4" t="s">
        <v>25654</v>
      </c>
      <c r="M7309" s="2" t="s">
        <v>198</v>
      </c>
    </row>
    <row r="7310" spans="1:14">
      <c r="A7310" s="2">
        <v>7309</v>
      </c>
      <c r="B7310" s="3" t="s">
        <v>25655</v>
      </c>
      <c r="C7310" s="2" t="s">
        <v>25656</v>
      </c>
      <c r="D7310" s="2">
        <v>10</v>
      </c>
      <c r="E7310" s="2">
        <v>11</v>
      </c>
      <c r="F7310" s="2" t="s">
        <v>25657</v>
      </c>
      <c r="H7310" s="2" t="s">
        <v>17</v>
      </c>
    </row>
    <row r="7311" spans="1:14">
      <c r="A7311" s="2">
        <v>7310</v>
      </c>
      <c r="B7311" s="3" t="s">
        <v>25658</v>
      </c>
      <c r="C7311" s="2" t="s">
        <v>25659</v>
      </c>
      <c r="D7311" s="2">
        <v>10</v>
      </c>
      <c r="E7311" s="2">
        <v>11</v>
      </c>
      <c r="F7311" s="2" t="s">
        <v>25660</v>
      </c>
      <c r="H7311" s="2" t="s">
        <v>17</v>
      </c>
      <c r="K7311" s="4" t="s">
        <v>25661</v>
      </c>
      <c r="L7311" s="4" t="s">
        <v>25662</v>
      </c>
      <c r="M7311" s="2" t="s">
        <v>170</v>
      </c>
      <c r="N7311" s="2" t="s">
        <v>323</v>
      </c>
    </row>
    <row r="7312" spans="1:14">
      <c r="A7312" s="2">
        <v>7311</v>
      </c>
      <c r="B7312" s="3" t="s">
        <v>25663</v>
      </c>
      <c r="C7312" s="2" t="s">
        <v>25664</v>
      </c>
      <c r="D7312" s="2">
        <v>10</v>
      </c>
      <c r="E7312" s="2">
        <v>11</v>
      </c>
      <c r="F7312" s="2" t="s">
        <v>25665</v>
      </c>
      <c r="H7312" s="2" t="s">
        <v>17</v>
      </c>
    </row>
    <row r="7313" spans="1:14">
      <c r="A7313" s="2">
        <v>7312</v>
      </c>
      <c r="B7313" s="3" t="s">
        <v>25666</v>
      </c>
      <c r="C7313" s="2" t="s">
        <v>25667</v>
      </c>
      <c r="D7313" s="2">
        <v>11</v>
      </c>
      <c r="E7313" s="2">
        <v>11</v>
      </c>
      <c r="F7313" s="2" t="s">
        <v>25668</v>
      </c>
      <c r="H7313" s="2" t="s">
        <v>17</v>
      </c>
      <c r="K7313" s="4" t="s">
        <v>25669</v>
      </c>
      <c r="L7313" s="4" t="s">
        <v>25297</v>
      </c>
      <c r="M7313" s="2" t="s">
        <v>40</v>
      </c>
    </row>
    <row r="7314" spans="1:14">
      <c r="A7314" s="2">
        <v>7313</v>
      </c>
      <c r="B7314" s="3" t="s">
        <v>25670</v>
      </c>
      <c r="C7314" s="2" t="s">
        <v>25671</v>
      </c>
      <c r="D7314" s="2">
        <v>11</v>
      </c>
      <c r="E7314" s="2">
        <v>11</v>
      </c>
      <c r="F7314" s="2" t="s">
        <v>25672</v>
      </c>
      <c r="H7314" s="2" t="s">
        <v>17</v>
      </c>
    </row>
    <row r="7315" spans="1:14">
      <c r="A7315" s="2">
        <v>7314</v>
      </c>
      <c r="B7315" s="3" t="s">
        <v>25673</v>
      </c>
      <c r="C7315" s="2" t="s">
        <v>25674</v>
      </c>
      <c r="D7315" s="2">
        <v>6</v>
      </c>
      <c r="E7315" s="2">
        <v>11</v>
      </c>
      <c r="F7315" s="2" t="s">
        <v>25675</v>
      </c>
      <c r="H7315" s="2" t="s">
        <v>17</v>
      </c>
      <c r="K7315" s="4" t="s">
        <v>25676</v>
      </c>
      <c r="L7315" s="4" t="s">
        <v>25677</v>
      </c>
      <c r="M7315" s="2" t="s">
        <v>170</v>
      </c>
      <c r="N7315" s="2" t="s">
        <v>323</v>
      </c>
    </row>
    <row r="7316" spans="1:14">
      <c r="A7316" s="2">
        <v>7315</v>
      </c>
      <c r="B7316" s="3" t="s">
        <v>25678</v>
      </c>
      <c r="C7316" s="2" t="s">
        <v>25679</v>
      </c>
      <c r="D7316" s="2">
        <v>6</v>
      </c>
      <c r="E7316" s="2">
        <v>11</v>
      </c>
      <c r="F7316" s="2" t="s">
        <v>25680</v>
      </c>
      <c r="H7316" s="2" t="s">
        <v>17</v>
      </c>
      <c r="K7316" s="4" t="s">
        <v>25681</v>
      </c>
      <c r="L7316" s="4" t="s">
        <v>25682</v>
      </c>
      <c r="M7316" s="2" t="s">
        <v>198</v>
      </c>
      <c r="N7316" s="2" t="s">
        <v>199</v>
      </c>
    </row>
    <row r="7317" spans="1:14">
      <c r="A7317" s="2">
        <v>7316</v>
      </c>
      <c r="B7317" s="3" t="s">
        <v>25683</v>
      </c>
      <c r="C7317" s="2" t="s">
        <v>25684</v>
      </c>
      <c r="D7317" s="2">
        <v>10</v>
      </c>
      <c r="E7317" s="2">
        <v>10</v>
      </c>
      <c r="F7317" s="2" t="s">
        <v>25685</v>
      </c>
      <c r="H7317" s="2" t="s">
        <v>17</v>
      </c>
    </row>
    <row r="7318" spans="1:14">
      <c r="A7318" s="2">
        <v>7317</v>
      </c>
      <c r="B7318" s="3" t="s">
        <v>25686</v>
      </c>
      <c r="C7318" s="2" t="s">
        <v>25687</v>
      </c>
      <c r="D7318" s="2">
        <v>10</v>
      </c>
      <c r="E7318" s="2">
        <v>10</v>
      </c>
      <c r="F7318" s="2" t="s">
        <v>25688</v>
      </c>
      <c r="H7318" s="2" t="s">
        <v>17</v>
      </c>
      <c r="K7318" s="4" t="s">
        <v>25689</v>
      </c>
      <c r="L7318" s="4" t="s">
        <v>25690</v>
      </c>
    </row>
    <row r="7319" spans="1:14">
      <c r="A7319" s="2">
        <v>7318</v>
      </c>
      <c r="B7319" s="3" t="s">
        <v>25691</v>
      </c>
      <c r="C7319" s="2" t="s">
        <v>18526</v>
      </c>
      <c r="D7319" s="2">
        <v>10</v>
      </c>
      <c r="E7319" s="2">
        <v>10</v>
      </c>
      <c r="F7319" s="2" t="s">
        <v>25692</v>
      </c>
      <c r="H7319" s="2" t="s">
        <v>17</v>
      </c>
      <c r="K7319" s="4" t="s">
        <v>25693</v>
      </c>
      <c r="M7319" s="2" t="s">
        <v>35</v>
      </c>
      <c r="N7319" s="2" t="s">
        <v>11401</v>
      </c>
    </row>
    <row r="7320" spans="1:14">
      <c r="A7320" s="2">
        <v>7319</v>
      </c>
      <c r="B7320" s="3" t="s">
        <v>25694</v>
      </c>
      <c r="C7320" s="2" t="s">
        <v>25695</v>
      </c>
      <c r="D7320" s="2">
        <v>10</v>
      </c>
      <c r="E7320" s="2">
        <v>10</v>
      </c>
      <c r="F7320" s="2" t="s">
        <v>25696</v>
      </c>
      <c r="H7320" s="2" t="s">
        <v>17</v>
      </c>
      <c r="K7320" s="4" t="s">
        <v>25697</v>
      </c>
      <c r="M7320" s="2" t="s">
        <v>170</v>
      </c>
      <c r="N7320" s="2" t="s">
        <v>171</v>
      </c>
    </row>
    <row r="7321" spans="1:14">
      <c r="A7321" s="2">
        <v>7320</v>
      </c>
      <c r="B7321" s="3" t="s">
        <v>25698</v>
      </c>
      <c r="C7321" s="2" t="s">
        <v>25699</v>
      </c>
      <c r="D7321" s="2">
        <v>4</v>
      </c>
      <c r="E7321" s="2">
        <v>10</v>
      </c>
      <c r="F7321" s="2" t="s">
        <v>25700</v>
      </c>
      <c r="H7321" s="2" t="s">
        <v>17</v>
      </c>
      <c r="K7321" s="4" t="s">
        <v>25701</v>
      </c>
      <c r="L7321" s="4" t="s">
        <v>25702</v>
      </c>
      <c r="M7321" s="2" t="s">
        <v>85</v>
      </c>
    </row>
    <row r="7322" spans="1:14">
      <c r="A7322" s="2">
        <v>7321</v>
      </c>
      <c r="B7322" s="3" t="s">
        <v>25703</v>
      </c>
      <c r="C7322" s="2" t="s">
        <v>25704</v>
      </c>
      <c r="D7322" s="2">
        <v>10</v>
      </c>
      <c r="E7322" s="2">
        <v>10</v>
      </c>
      <c r="F7322" s="2" t="s">
        <v>25705</v>
      </c>
      <c r="H7322" s="2" t="s">
        <v>17</v>
      </c>
    </row>
    <row r="7323" spans="1:14">
      <c r="A7323" s="2">
        <v>7322</v>
      </c>
      <c r="B7323" s="3" t="s">
        <v>25706</v>
      </c>
      <c r="C7323" s="2" t="s">
        <v>25707</v>
      </c>
      <c r="D7323" s="2">
        <v>10</v>
      </c>
      <c r="E7323" s="2">
        <v>10</v>
      </c>
      <c r="F7323" s="2" t="s">
        <v>25708</v>
      </c>
      <c r="H7323" s="2" t="s">
        <v>17</v>
      </c>
    </row>
    <row r="7324" spans="1:14">
      <c r="A7324" s="2">
        <v>7323</v>
      </c>
      <c r="B7324" s="3" t="s">
        <v>25709</v>
      </c>
      <c r="C7324" s="2" t="s">
        <v>25710</v>
      </c>
      <c r="D7324" s="2">
        <v>9</v>
      </c>
      <c r="E7324" s="2">
        <v>10</v>
      </c>
      <c r="F7324" s="2" t="s">
        <v>25711</v>
      </c>
      <c r="H7324" s="2" t="s">
        <v>17</v>
      </c>
      <c r="K7324" s="4" t="s">
        <v>25712</v>
      </c>
      <c r="L7324" s="4" t="s">
        <v>17234</v>
      </c>
      <c r="M7324" s="2" t="s">
        <v>146</v>
      </c>
      <c r="N7324" s="2" t="s">
        <v>18464</v>
      </c>
    </row>
    <row r="7325" spans="1:14">
      <c r="A7325" s="2">
        <v>7324</v>
      </c>
      <c r="B7325" s="3" t="s">
        <v>25713</v>
      </c>
      <c r="C7325" s="2" t="s">
        <v>24460</v>
      </c>
      <c r="D7325" s="2">
        <v>10</v>
      </c>
      <c r="E7325" s="2">
        <v>10</v>
      </c>
      <c r="F7325" s="2" t="s">
        <v>25714</v>
      </c>
      <c r="H7325" s="2" t="s">
        <v>17</v>
      </c>
    </row>
    <row r="7326" spans="1:14">
      <c r="A7326" s="2">
        <v>7325</v>
      </c>
      <c r="B7326" s="3" t="s">
        <v>25715</v>
      </c>
      <c r="C7326" s="2" t="s">
        <v>25716</v>
      </c>
      <c r="D7326" s="2">
        <v>10</v>
      </c>
      <c r="E7326" s="2">
        <v>10</v>
      </c>
      <c r="F7326" s="2" t="s">
        <v>25717</v>
      </c>
      <c r="H7326" s="2" t="s">
        <v>17</v>
      </c>
    </row>
    <row r="7327" spans="1:14">
      <c r="A7327" s="2">
        <v>7326</v>
      </c>
      <c r="B7327" s="3" t="s">
        <v>25718</v>
      </c>
      <c r="C7327" s="2" t="s">
        <v>25719</v>
      </c>
      <c r="D7327" s="2">
        <v>10</v>
      </c>
      <c r="E7327" s="2">
        <v>10</v>
      </c>
      <c r="F7327" s="2" t="s">
        <v>25720</v>
      </c>
      <c r="H7327" s="2" t="s">
        <v>17</v>
      </c>
    </row>
    <row r="7328" spans="1:14">
      <c r="A7328" s="2">
        <v>7327</v>
      </c>
      <c r="B7328" s="3" t="s">
        <v>25721</v>
      </c>
      <c r="C7328" s="2" t="s">
        <v>25722</v>
      </c>
      <c r="D7328" s="2">
        <v>10</v>
      </c>
      <c r="E7328" s="2">
        <v>10</v>
      </c>
      <c r="F7328" s="2" t="s">
        <v>25723</v>
      </c>
      <c r="H7328" s="2" t="s">
        <v>17</v>
      </c>
      <c r="M7328" s="2" t="s">
        <v>185</v>
      </c>
    </row>
    <row r="7329" spans="1:14">
      <c r="A7329" s="2">
        <v>7328</v>
      </c>
      <c r="B7329" s="3" t="s">
        <v>25724</v>
      </c>
      <c r="C7329" s="2" t="s">
        <v>25725</v>
      </c>
      <c r="D7329" s="2">
        <v>10</v>
      </c>
      <c r="E7329" s="2">
        <v>10</v>
      </c>
      <c r="F7329" s="2" t="s">
        <v>25726</v>
      </c>
      <c r="H7329" s="2" t="s">
        <v>17</v>
      </c>
      <c r="K7329" s="4" t="s">
        <v>25727</v>
      </c>
      <c r="L7329" s="4" t="s">
        <v>25728</v>
      </c>
      <c r="M7329" s="2" t="s">
        <v>185</v>
      </c>
      <c r="N7329" s="2" t="s">
        <v>20097</v>
      </c>
    </row>
    <row r="7330" spans="1:14">
      <c r="A7330" s="2">
        <v>7329</v>
      </c>
      <c r="B7330" s="3" t="s">
        <v>25729</v>
      </c>
      <c r="C7330" s="2" t="s">
        <v>25730</v>
      </c>
      <c r="D7330" s="2">
        <v>5</v>
      </c>
      <c r="E7330" s="2">
        <v>10</v>
      </c>
      <c r="F7330" s="2" t="s">
        <v>25731</v>
      </c>
      <c r="H7330" s="2" t="s">
        <v>17</v>
      </c>
      <c r="K7330" s="4" t="s">
        <v>25732</v>
      </c>
      <c r="L7330" s="4" t="s">
        <v>25733</v>
      </c>
      <c r="M7330" s="2" t="s">
        <v>35</v>
      </c>
    </row>
    <row r="7331" spans="1:14">
      <c r="A7331" s="2">
        <v>7330</v>
      </c>
      <c r="B7331" s="3" t="s">
        <v>25734</v>
      </c>
      <c r="C7331" s="2" t="s">
        <v>25735</v>
      </c>
      <c r="D7331" s="2">
        <v>10</v>
      </c>
      <c r="E7331" s="2">
        <v>10</v>
      </c>
      <c r="F7331" s="2" t="s">
        <v>25736</v>
      </c>
      <c r="H7331" s="2" t="s">
        <v>17</v>
      </c>
    </row>
    <row r="7332" spans="1:14">
      <c r="A7332" s="2">
        <v>7331</v>
      </c>
      <c r="B7332" s="3" t="s">
        <v>25737</v>
      </c>
      <c r="C7332" s="2" t="s">
        <v>25738</v>
      </c>
      <c r="D7332" s="2">
        <v>10</v>
      </c>
      <c r="E7332" s="2">
        <v>10</v>
      </c>
      <c r="F7332" s="2" t="s">
        <v>25739</v>
      </c>
      <c r="H7332" s="2" t="s">
        <v>17</v>
      </c>
    </row>
    <row r="7333" spans="1:14">
      <c r="A7333" s="2">
        <v>7332</v>
      </c>
      <c r="B7333" s="3" t="s">
        <v>25740</v>
      </c>
      <c r="C7333" s="2" t="s">
        <v>23418</v>
      </c>
      <c r="D7333" s="2">
        <v>2</v>
      </c>
      <c r="E7333" s="2">
        <v>10</v>
      </c>
      <c r="F7333" s="2" t="s">
        <v>25741</v>
      </c>
      <c r="H7333" s="2" t="s">
        <v>17</v>
      </c>
      <c r="L7333" s="4" t="s">
        <v>25742</v>
      </c>
    </row>
    <row r="7334" spans="1:14">
      <c r="A7334" s="2">
        <v>7333</v>
      </c>
      <c r="B7334" s="3" t="s">
        <v>25743</v>
      </c>
      <c r="C7334" s="2" t="s">
        <v>25744</v>
      </c>
      <c r="D7334" s="2">
        <v>10</v>
      </c>
      <c r="E7334" s="2">
        <v>10</v>
      </c>
      <c r="F7334" s="2" t="s">
        <v>25745</v>
      </c>
      <c r="H7334" s="2" t="s">
        <v>17</v>
      </c>
    </row>
    <row r="7335" spans="1:14">
      <c r="A7335" s="2">
        <v>7334</v>
      </c>
      <c r="B7335" s="3" t="s">
        <v>25746</v>
      </c>
      <c r="C7335" s="2" t="s">
        <v>25747</v>
      </c>
      <c r="D7335" s="2">
        <v>10</v>
      </c>
      <c r="E7335" s="2">
        <v>10</v>
      </c>
      <c r="F7335" s="2" t="s">
        <v>25748</v>
      </c>
      <c r="H7335" s="2" t="s">
        <v>17</v>
      </c>
    </row>
    <row r="7336" spans="1:14">
      <c r="A7336" s="2">
        <v>7335</v>
      </c>
      <c r="B7336" s="3" t="s">
        <v>25749</v>
      </c>
      <c r="C7336" s="2" t="s">
        <v>24202</v>
      </c>
      <c r="D7336" s="2">
        <v>10</v>
      </c>
      <c r="E7336" s="2">
        <v>10</v>
      </c>
      <c r="F7336" s="2" t="s">
        <v>25750</v>
      </c>
      <c r="H7336" s="2" t="s">
        <v>17</v>
      </c>
    </row>
    <row r="7337" spans="1:14">
      <c r="A7337" s="2">
        <v>7336</v>
      </c>
      <c r="B7337" s="3" t="s">
        <v>25751</v>
      </c>
      <c r="C7337" s="2" t="s">
        <v>25752</v>
      </c>
      <c r="D7337" s="2">
        <v>10</v>
      </c>
      <c r="E7337" s="2">
        <v>10</v>
      </c>
      <c r="F7337" s="2" t="s">
        <v>25753</v>
      </c>
      <c r="H7337" s="2" t="s">
        <v>17</v>
      </c>
      <c r="K7337" s="4" t="s">
        <v>25754</v>
      </c>
      <c r="L7337" s="4" t="s">
        <v>25755</v>
      </c>
      <c r="M7337" s="2" t="s">
        <v>146</v>
      </c>
      <c r="N7337" s="2" t="s">
        <v>147</v>
      </c>
    </row>
    <row r="7338" spans="1:14">
      <c r="A7338" s="2">
        <v>7337</v>
      </c>
      <c r="B7338" s="3" t="s">
        <v>25756</v>
      </c>
      <c r="C7338" s="2" t="s">
        <v>25757</v>
      </c>
      <c r="D7338" s="2">
        <v>10</v>
      </c>
      <c r="E7338" s="2">
        <v>10</v>
      </c>
      <c r="F7338" s="2" t="s">
        <v>25758</v>
      </c>
      <c r="H7338" s="2" t="s">
        <v>17</v>
      </c>
    </row>
    <row r="7339" spans="1:14">
      <c r="A7339" s="2">
        <v>7338</v>
      </c>
      <c r="B7339" s="3" t="s">
        <v>25759</v>
      </c>
      <c r="C7339" s="2" t="s">
        <v>23440</v>
      </c>
      <c r="D7339" s="2">
        <v>10</v>
      </c>
      <c r="E7339" s="2">
        <v>10</v>
      </c>
      <c r="F7339" s="2" t="s">
        <v>25760</v>
      </c>
      <c r="H7339" s="2" t="s">
        <v>17</v>
      </c>
    </row>
    <row r="7340" spans="1:14">
      <c r="A7340" s="2">
        <v>7339</v>
      </c>
      <c r="B7340" s="3" t="s">
        <v>25761</v>
      </c>
      <c r="C7340" s="2" t="s">
        <v>23446</v>
      </c>
      <c r="D7340" s="2">
        <v>10</v>
      </c>
      <c r="E7340" s="2">
        <v>10</v>
      </c>
      <c r="F7340" s="2" t="s">
        <v>25762</v>
      </c>
      <c r="H7340" s="2" t="s">
        <v>17</v>
      </c>
    </row>
    <row r="7341" spans="1:14">
      <c r="A7341" s="2">
        <v>7340</v>
      </c>
      <c r="B7341" s="3" t="s">
        <v>25763</v>
      </c>
      <c r="C7341" s="2" t="s">
        <v>25764</v>
      </c>
      <c r="D7341" s="2">
        <v>4</v>
      </c>
      <c r="E7341" s="2">
        <v>10</v>
      </c>
      <c r="F7341" s="2" t="s">
        <v>25765</v>
      </c>
      <c r="H7341" s="2" t="s">
        <v>17</v>
      </c>
      <c r="K7341" s="4" t="s">
        <v>25766</v>
      </c>
      <c r="L7341" s="4" t="s">
        <v>20220</v>
      </c>
    </row>
    <row r="7342" spans="1:14">
      <c r="A7342" s="2">
        <v>7341</v>
      </c>
      <c r="B7342" s="3" t="s">
        <v>25767</v>
      </c>
      <c r="C7342" s="2" t="s">
        <v>25768</v>
      </c>
      <c r="D7342" s="2">
        <v>10</v>
      </c>
      <c r="E7342" s="2">
        <v>10</v>
      </c>
      <c r="F7342" s="2" t="s">
        <v>25769</v>
      </c>
      <c r="H7342" s="2" t="s">
        <v>17</v>
      </c>
    </row>
    <row r="7343" spans="1:14">
      <c r="A7343" s="2">
        <v>7342</v>
      </c>
      <c r="B7343" s="3" t="s">
        <v>25770</v>
      </c>
      <c r="C7343" s="2" t="s">
        <v>25771</v>
      </c>
      <c r="D7343" s="2">
        <v>10</v>
      </c>
      <c r="E7343" s="2">
        <v>10</v>
      </c>
      <c r="F7343" s="2" t="s">
        <v>25772</v>
      </c>
      <c r="H7343" s="2" t="s">
        <v>17</v>
      </c>
      <c r="K7343" s="4" t="s">
        <v>25773</v>
      </c>
      <c r="L7343" s="4" t="s">
        <v>25774</v>
      </c>
      <c r="M7343" s="2" t="s">
        <v>85</v>
      </c>
      <c r="N7343" s="2" t="s">
        <v>4522</v>
      </c>
    </row>
    <row r="7344" spans="1:14">
      <c r="A7344" s="2">
        <v>7343</v>
      </c>
      <c r="B7344" s="3" t="s">
        <v>25775</v>
      </c>
      <c r="C7344" s="2" t="s">
        <v>25776</v>
      </c>
      <c r="D7344" s="2">
        <v>10</v>
      </c>
      <c r="E7344" s="2">
        <v>10</v>
      </c>
      <c r="F7344" s="2" t="s">
        <v>17333</v>
      </c>
      <c r="H7344" s="2" t="s">
        <v>17</v>
      </c>
      <c r="M7344" s="2" t="s">
        <v>47</v>
      </c>
      <c r="N7344" s="2" t="s">
        <v>17335</v>
      </c>
    </row>
    <row r="7345" spans="1:14">
      <c r="A7345" s="2">
        <v>7344</v>
      </c>
      <c r="B7345" s="3" t="s">
        <v>25777</v>
      </c>
      <c r="C7345" s="2" t="s">
        <v>25778</v>
      </c>
      <c r="D7345" s="2">
        <v>9</v>
      </c>
      <c r="E7345" s="2">
        <v>10</v>
      </c>
      <c r="F7345" s="2" t="s">
        <v>25779</v>
      </c>
      <c r="H7345" s="2" t="s">
        <v>17</v>
      </c>
    </row>
    <row r="7346" spans="1:14">
      <c r="A7346" s="2">
        <v>7345</v>
      </c>
      <c r="B7346" s="3" t="s">
        <v>25780</v>
      </c>
      <c r="C7346" s="2" t="s">
        <v>25781</v>
      </c>
      <c r="D7346" s="2">
        <v>10</v>
      </c>
      <c r="E7346" s="2">
        <v>10</v>
      </c>
      <c r="F7346" s="2" t="s">
        <v>25782</v>
      </c>
      <c r="H7346" s="2" t="s">
        <v>17</v>
      </c>
      <c r="K7346" s="4" t="s">
        <v>25783</v>
      </c>
      <c r="L7346" s="4" t="s">
        <v>18941</v>
      </c>
      <c r="M7346" s="2" t="s">
        <v>198</v>
      </c>
    </row>
    <row r="7347" spans="1:14">
      <c r="A7347" s="2">
        <v>7346</v>
      </c>
      <c r="B7347" s="3" t="s">
        <v>25784</v>
      </c>
      <c r="C7347" s="2" t="s">
        <v>25785</v>
      </c>
      <c r="D7347" s="2">
        <v>10</v>
      </c>
      <c r="E7347" s="2">
        <v>10</v>
      </c>
      <c r="F7347" s="2" t="s">
        <v>25786</v>
      </c>
      <c r="H7347" s="2" t="s">
        <v>17</v>
      </c>
      <c r="L7347" s="4" t="s">
        <v>25599</v>
      </c>
    </row>
    <row r="7348" spans="1:14">
      <c r="A7348" s="2">
        <v>7347</v>
      </c>
      <c r="B7348" s="3" t="s">
        <v>25787</v>
      </c>
      <c r="C7348" s="2" t="s">
        <v>25788</v>
      </c>
      <c r="D7348" s="2">
        <v>10</v>
      </c>
      <c r="E7348" s="2">
        <v>10</v>
      </c>
      <c r="F7348" s="2" t="s">
        <v>25789</v>
      </c>
      <c r="H7348" s="2" t="s">
        <v>17</v>
      </c>
    </row>
    <row r="7349" spans="1:14">
      <c r="A7349" s="2">
        <v>7348</v>
      </c>
      <c r="B7349" s="3" t="s">
        <v>25790</v>
      </c>
      <c r="C7349" s="2" t="s">
        <v>25791</v>
      </c>
      <c r="D7349" s="2">
        <v>10</v>
      </c>
      <c r="E7349" s="2">
        <v>10</v>
      </c>
      <c r="F7349" s="2" t="s">
        <v>25792</v>
      </c>
      <c r="H7349" s="2" t="s">
        <v>17</v>
      </c>
      <c r="K7349" s="4" t="s">
        <v>25793</v>
      </c>
      <c r="L7349" s="4" t="s">
        <v>20158</v>
      </c>
      <c r="M7349" s="2" t="s">
        <v>85</v>
      </c>
      <c r="N7349" s="2" t="s">
        <v>4522</v>
      </c>
    </row>
    <row r="7350" spans="1:14">
      <c r="A7350" s="2">
        <v>7349</v>
      </c>
      <c r="B7350" s="3" t="s">
        <v>25794</v>
      </c>
      <c r="C7350" s="2" t="s">
        <v>25795</v>
      </c>
      <c r="D7350" s="2">
        <v>10</v>
      </c>
      <c r="E7350" s="2">
        <v>10</v>
      </c>
      <c r="F7350" s="2" t="s">
        <v>25796</v>
      </c>
      <c r="H7350" s="2" t="s">
        <v>17</v>
      </c>
    </row>
    <row r="7351" spans="1:14">
      <c r="A7351" s="2">
        <v>7350</v>
      </c>
      <c r="B7351" s="3" t="s">
        <v>25797</v>
      </c>
      <c r="C7351" s="2" t="s">
        <v>25798</v>
      </c>
      <c r="D7351" s="2">
        <v>9</v>
      </c>
      <c r="E7351" s="2">
        <v>10</v>
      </c>
      <c r="F7351" s="2" t="s">
        <v>25799</v>
      </c>
      <c r="H7351" s="2" t="s">
        <v>17</v>
      </c>
    </row>
    <row r="7352" spans="1:14">
      <c r="A7352" s="2">
        <v>7351</v>
      </c>
      <c r="B7352" s="3" t="s">
        <v>25800</v>
      </c>
      <c r="C7352" s="2" t="s">
        <v>25801</v>
      </c>
      <c r="D7352" s="2">
        <v>7</v>
      </c>
      <c r="E7352" s="2">
        <v>10</v>
      </c>
      <c r="F7352" s="2" t="s">
        <v>25802</v>
      </c>
      <c r="H7352" s="2" t="s">
        <v>17</v>
      </c>
      <c r="L7352" s="4" t="s">
        <v>25803</v>
      </c>
    </row>
    <row r="7353" spans="1:14">
      <c r="A7353" s="2">
        <v>7352</v>
      </c>
      <c r="B7353" s="3" t="s">
        <v>25804</v>
      </c>
      <c r="C7353" s="2" t="s">
        <v>25805</v>
      </c>
      <c r="D7353" s="2">
        <v>10</v>
      </c>
      <c r="E7353" s="2">
        <v>10</v>
      </c>
      <c r="F7353" s="2" t="s">
        <v>25806</v>
      </c>
      <c r="H7353" s="2" t="s">
        <v>17</v>
      </c>
      <c r="L7353" s="4" t="s">
        <v>25807</v>
      </c>
    </row>
    <row r="7354" spans="1:14">
      <c r="A7354" s="2">
        <v>7353</v>
      </c>
      <c r="B7354" s="3" t="s">
        <v>25808</v>
      </c>
      <c r="C7354" s="2" t="s">
        <v>25809</v>
      </c>
      <c r="D7354" s="2">
        <v>9</v>
      </c>
      <c r="E7354" s="2">
        <v>10</v>
      </c>
      <c r="F7354" s="2" t="s">
        <v>25810</v>
      </c>
      <c r="H7354" s="2" t="s">
        <v>17</v>
      </c>
      <c r="K7354" s="4" t="s">
        <v>25811</v>
      </c>
      <c r="L7354" s="4" t="s">
        <v>25812</v>
      </c>
    </row>
    <row r="7355" spans="1:14">
      <c r="A7355" s="2">
        <v>7354</v>
      </c>
      <c r="B7355" s="3" t="s">
        <v>25813</v>
      </c>
      <c r="C7355" s="2" t="s">
        <v>19972</v>
      </c>
      <c r="D7355" s="2">
        <v>10</v>
      </c>
      <c r="E7355" s="2">
        <v>10</v>
      </c>
      <c r="F7355" s="2" t="s">
        <v>25814</v>
      </c>
      <c r="H7355" s="2" t="s">
        <v>17</v>
      </c>
      <c r="M7355" s="2" t="s">
        <v>35</v>
      </c>
    </row>
    <row r="7356" spans="1:14">
      <c r="A7356" s="2">
        <v>7355</v>
      </c>
      <c r="B7356" s="3" t="s">
        <v>25815</v>
      </c>
      <c r="C7356" s="2" t="s">
        <v>25816</v>
      </c>
      <c r="D7356" s="2">
        <v>10</v>
      </c>
      <c r="E7356" s="2">
        <v>10</v>
      </c>
      <c r="F7356" s="2" t="s">
        <v>25817</v>
      </c>
      <c r="H7356" s="2" t="s">
        <v>17</v>
      </c>
    </row>
    <row r="7357" spans="1:14">
      <c r="A7357" s="2">
        <v>7356</v>
      </c>
      <c r="B7357" s="3" t="s">
        <v>25818</v>
      </c>
      <c r="C7357" s="2" t="s">
        <v>25819</v>
      </c>
      <c r="D7357" s="2">
        <v>10</v>
      </c>
      <c r="E7357" s="2">
        <v>10</v>
      </c>
      <c r="F7357" s="2" t="s">
        <v>25820</v>
      </c>
      <c r="H7357" s="2" t="s">
        <v>17</v>
      </c>
      <c r="L7357" s="4" t="s">
        <v>25821</v>
      </c>
    </row>
    <row r="7358" spans="1:14">
      <c r="A7358" s="2">
        <v>7357</v>
      </c>
      <c r="B7358" s="3" t="s">
        <v>25822</v>
      </c>
      <c r="C7358" s="2" t="s">
        <v>25000</v>
      </c>
      <c r="D7358" s="2">
        <v>10</v>
      </c>
      <c r="E7358" s="2">
        <v>10</v>
      </c>
      <c r="F7358" s="2" t="s">
        <v>25823</v>
      </c>
      <c r="H7358" s="2" t="s">
        <v>17</v>
      </c>
      <c r="K7358" s="4" t="s">
        <v>25824</v>
      </c>
      <c r="L7358" s="4" t="s">
        <v>25825</v>
      </c>
    </row>
    <row r="7359" spans="1:14">
      <c r="A7359" s="2">
        <v>7358</v>
      </c>
      <c r="B7359" s="3" t="s">
        <v>25826</v>
      </c>
      <c r="C7359" s="2" t="s">
        <v>25827</v>
      </c>
      <c r="D7359" s="2">
        <v>10</v>
      </c>
      <c r="E7359" s="2">
        <v>10</v>
      </c>
      <c r="F7359" s="2" t="s">
        <v>25828</v>
      </c>
      <c r="H7359" s="2" t="s">
        <v>17</v>
      </c>
      <c r="L7359" s="4" t="s">
        <v>25829</v>
      </c>
    </row>
    <row r="7360" spans="1:14">
      <c r="A7360" s="2">
        <v>7359</v>
      </c>
      <c r="B7360" s="3" t="s">
        <v>25830</v>
      </c>
      <c r="C7360" s="2" t="s">
        <v>25831</v>
      </c>
      <c r="D7360" s="2">
        <v>4</v>
      </c>
      <c r="E7360" s="2">
        <v>10</v>
      </c>
      <c r="F7360" s="2" t="s">
        <v>25832</v>
      </c>
      <c r="H7360" s="2" t="s">
        <v>17</v>
      </c>
      <c r="K7360" s="4" t="s">
        <v>25833</v>
      </c>
      <c r="L7360" s="4" t="s">
        <v>25834</v>
      </c>
      <c r="M7360" s="2" t="s">
        <v>423</v>
      </c>
      <c r="N7360" s="2" t="s">
        <v>8765</v>
      </c>
    </row>
    <row r="7361" spans="1:14">
      <c r="A7361" s="2">
        <v>7360</v>
      </c>
      <c r="B7361" s="3" t="s">
        <v>25835</v>
      </c>
      <c r="C7361" s="2" t="s">
        <v>9449</v>
      </c>
      <c r="D7361" s="2">
        <v>10</v>
      </c>
      <c r="E7361" s="2">
        <v>10</v>
      </c>
      <c r="F7361" s="2" t="s">
        <v>25836</v>
      </c>
      <c r="H7361" s="2" t="s">
        <v>17</v>
      </c>
    </row>
    <row r="7362" spans="1:14">
      <c r="A7362" s="2">
        <v>7361</v>
      </c>
      <c r="B7362" s="3" t="s">
        <v>25837</v>
      </c>
      <c r="C7362" s="2" t="s">
        <v>25838</v>
      </c>
      <c r="D7362" s="2">
        <v>10</v>
      </c>
      <c r="E7362" s="2">
        <v>10</v>
      </c>
      <c r="F7362" s="2" t="s">
        <v>25839</v>
      </c>
      <c r="H7362" s="2" t="s">
        <v>17</v>
      </c>
    </row>
    <row r="7363" spans="1:14">
      <c r="A7363" s="2">
        <v>7362</v>
      </c>
      <c r="B7363" s="3" t="s">
        <v>25840</v>
      </c>
      <c r="C7363" s="2" t="s">
        <v>25841</v>
      </c>
      <c r="D7363" s="2">
        <v>10</v>
      </c>
      <c r="E7363" s="2">
        <v>10</v>
      </c>
      <c r="F7363" s="2" t="s">
        <v>25842</v>
      </c>
      <c r="H7363" s="2" t="s">
        <v>17</v>
      </c>
      <c r="L7363" s="4" t="s">
        <v>25843</v>
      </c>
      <c r="M7363" s="2" t="s">
        <v>40</v>
      </c>
      <c r="N7363" s="2" t="s">
        <v>41</v>
      </c>
    </row>
    <row r="7364" spans="1:14">
      <c r="A7364" s="2">
        <v>7363</v>
      </c>
      <c r="B7364" s="3" t="s">
        <v>25844</v>
      </c>
      <c r="C7364" s="2" t="s">
        <v>25845</v>
      </c>
      <c r="D7364" s="2">
        <v>4</v>
      </c>
      <c r="E7364" s="2">
        <v>10</v>
      </c>
      <c r="F7364" s="2" t="s">
        <v>25846</v>
      </c>
      <c r="H7364" s="2" t="s">
        <v>17</v>
      </c>
      <c r="K7364" s="4" t="s">
        <v>25847</v>
      </c>
      <c r="L7364" s="4" t="s">
        <v>25848</v>
      </c>
      <c r="M7364" s="2" t="s">
        <v>85</v>
      </c>
    </row>
    <row r="7365" spans="1:14">
      <c r="A7365" s="2">
        <v>7364</v>
      </c>
      <c r="B7365" s="3" t="s">
        <v>25849</v>
      </c>
      <c r="C7365" s="2" t="s">
        <v>25850</v>
      </c>
      <c r="D7365" s="2">
        <v>9</v>
      </c>
      <c r="E7365" s="2">
        <v>10</v>
      </c>
      <c r="F7365" s="2" t="s">
        <v>25851</v>
      </c>
      <c r="H7365" s="2" t="s">
        <v>17</v>
      </c>
    </row>
    <row r="7366" spans="1:14">
      <c r="A7366" s="2">
        <v>7365</v>
      </c>
      <c r="B7366" s="3" t="s">
        <v>25852</v>
      </c>
      <c r="C7366" s="2" t="s">
        <v>25853</v>
      </c>
      <c r="D7366" s="2">
        <v>10</v>
      </c>
      <c r="E7366" s="2">
        <v>10</v>
      </c>
      <c r="F7366" s="2" t="s">
        <v>25854</v>
      </c>
      <c r="H7366" s="2" t="s">
        <v>17</v>
      </c>
    </row>
    <row r="7367" spans="1:14">
      <c r="A7367" s="2">
        <v>7366</v>
      </c>
      <c r="B7367" s="3" t="s">
        <v>25855</v>
      </c>
      <c r="C7367" s="2" t="s">
        <v>13224</v>
      </c>
      <c r="D7367" s="2">
        <v>5</v>
      </c>
      <c r="E7367" s="2">
        <v>10</v>
      </c>
      <c r="F7367" s="2" t="s">
        <v>25856</v>
      </c>
      <c r="H7367" s="2" t="s">
        <v>17</v>
      </c>
    </row>
    <row r="7368" spans="1:14">
      <c r="A7368" s="2">
        <v>7367</v>
      </c>
      <c r="B7368" s="3" t="s">
        <v>25857</v>
      </c>
      <c r="C7368" s="2" t="s">
        <v>25858</v>
      </c>
      <c r="D7368" s="2">
        <v>10</v>
      </c>
      <c r="E7368" s="2">
        <v>10</v>
      </c>
      <c r="F7368" s="2" t="s">
        <v>25859</v>
      </c>
      <c r="H7368" s="2" t="s">
        <v>17</v>
      </c>
    </row>
    <row r="7369" spans="1:14">
      <c r="A7369" s="2">
        <v>7368</v>
      </c>
      <c r="B7369" s="3" t="s">
        <v>25860</v>
      </c>
      <c r="C7369" s="2" t="s">
        <v>25861</v>
      </c>
      <c r="D7369" s="2">
        <v>5</v>
      </c>
      <c r="E7369" s="2">
        <v>10</v>
      </c>
      <c r="F7369" s="2" t="s">
        <v>25862</v>
      </c>
      <c r="H7369" s="2" t="s">
        <v>17</v>
      </c>
      <c r="K7369" s="4" t="s">
        <v>25863</v>
      </c>
      <c r="L7369" s="4" t="s">
        <v>25864</v>
      </c>
      <c r="M7369" s="2" t="s">
        <v>40</v>
      </c>
      <c r="N7369" s="2" t="s">
        <v>41</v>
      </c>
    </row>
    <row r="7370" spans="1:14">
      <c r="A7370" s="2">
        <v>7369</v>
      </c>
      <c r="B7370" s="3" t="s">
        <v>25865</v>
      </c>
      <c r="C7370" s="2" t="s">
        <v>25866</v>
      </c>
      <c r="D7370" s="2">
        <v>10</v>
      </c>
      <c r="E7370" s="2">
        <v>10</v>
      </c>
      <c r="F7370" s="2" t="s">
        <v>25867</v>
      </c>
      <c r="H7370" s="2" t="s">
        <v>17</v>
      </c>
      <c r="K7370" s="4" t="s">
        <v>25868</v>
      </c>
      <c r="L7370" s="4" t="s">
        <v>25869</v>
      </c>
    </row>
    <row r="7371" spans="1:14">
      <c r="A7371" s="2">
        <v>7370</v>
      </c>
      <c r="B7371" s="3" t="s">
        <v>25870</v>
      </c>
      <c r="C7371" s="2" t="s">
        <v>25871</v>
      </c>
      <c r="D7371" s="2">
        <v>10</v>
      </c>
      <c r="E7371" s="2">
        <v>10</v>
      </c>
      <c r="F7371" s="2" t="s">
        <v>25872</v>
      </c>
      <c r="H7371" s="2" t="s">
        <v>17</v>
      </c>
      <c r="K7371" s="4" t="s">
        <v>25873</v>
      </c>
      <c r="L7371" s="4">
        <v>648</v>
      </c>
      <c r="M7371" s="2" t="s">
        <v>76</v>
      </c>
    </row>
    <row r="7372" spans="1:14">
      <c r="A7372" s="2">
        <v>7371</v>
      </c>
      <c r="B7372" s="3" t="s">
        <v>25874</v>
      </c>
      <c r="C7372" s="2" t="s">
        <v>25875</v>
      </c>
      <c r="D7372" s="2">
        <v>5</v>
      </c>
      <c r="E7372" s="2">
        <v>10</v>
      </c>
      <c r="F7372" s="2" t="s">
        <v>25876</v>
      </c>
      <c r="H7372" s="2" t="s">
        <v>17</v>
      </c>
      <c r="K7372" s="4" t="s">
        <v>25877</v>
      </c>
      <c r="L7372" s="4" t="s">
        <v>25878</v>
      </c>
      <c r="M7372" s="2" t="s">
        <v>40</v>
      </c>
      <c r="N7372" s="2" t="s">
        <v>41</v>
      </c>
    </row>
    <row r="7373" spans="1:14">
      <c r="A7373" s="2">
        <v>7372</v>
      </c>
      <c r="B7373" s="3" t="s">
        <v>25879</v>
      </c>
      <c r="C7373" s="2" t="s">
        <v>25880</v>
      </c>
      <c r="D7373" s="2">
        <v>10</v>
      </c>
      <c r="E7373" s="2">
        <v>10</v>
      </c>
      <c r="F7373" s="2" t="s">
        <v>25881</v>
      </c>
      <c r="H7373" s="2" t="s">
        <v>17</v>
      </c>
    </row>
    <row r="7374" spans="1:14">
      <c r="A7374" s="2">
        <v>7373</v>
      </c>
      <c r="B7374" s="3" t="s">
        <v>25882</v>
      </c>
      <c r="C7374" s="2" t="s">
        <v>25883</v>
      </c>
      <c r="D7374" s="2">
        <v>10</v>
      </c>
      <c r="E7374" s="2">
        <v>10</v>
      </c>
      <c r="F7374" s="2" t="s">
        <v>25884</v>
      </c>
      <c r="H7374" s="2" t="s">
        <v>17</v>
      </c>
    </row>
    <row r="7375" spans="1:14">
      <c r="A7375" s="2">
        <v>7374</v>
      </c>
      <c r="B7375" s="3" t="s">
        <v>25885</v>
      </c>
      <c r="C7375" s="2" t="s">
        <v>25886</v>
      </c>
      <c r="D7375" s="2">
        <v>10</v>
      </c>
      <c r="E7375" s="2">
        <v>10</v>
      </c>
      <c r="F7375" s="2" t="s">
        <v>25887</v>
      </c>
      <c r="H7375" s="2" t="s">
        <v>17</v>
      </c>
    </row>
    <row r="7376" spans="1:14">
      <c r="A7376" s="2">
        <v>7375</v>
      </c>
      <c r="B7376" s="3" t="s">
        <v>25888</v>
      </c>
      <c r="C7376" s="2" t="s">
        <v>25889</v>
      </c>
      <c r="D7376" s="2">
        <v>9</v>
      </c>
      <c r="E7376" s="2">
        <v>10</v>
      </c>
      <c r="F7376" s="2" t="s">
        <v>25890</v>
      </c>
      <c r="H7376" s="2" t="s">
        <v>17</v>
      </c>
      <c r="L7376" s="4" t="s">
        <v>25891</v>
      </c>
      <c r="M7376" s="2" t="s">
        <v>164</v>
      </c>
    </row>
    <row r="7377" spans="1:14">
      <c r="A7377" s="2">
        <v>7376</v>
      </c>
      <c r="B7377" s="3" t="s">
        <v>25892</v>
      </c>
      <c r="C7377" s="2" t="s">
        <v>18903</v>
      </c>
      <c r="D7377" s="2">
        <v>10</v>
      </c>
      <c r="E7377" s="2">
        <v>10</v>
      </c>
      <c r="F7377" s="2" t="s">
        <v>25893</v>
      </c>
      <c r="H7377" s="2" t="s">
        <v>17</v>
      </c>
      <c r="K7377" s="4" t="s">
        <v>25894</v>
      </c>
      <c r="L7377" s="4" t="s">
        <v>25895</v>
      </c>
      <c r="M7377" s="2" t="s">
        <v>66</v>
      </c>
      <c r="N7377" s="2" t="s">
        <v>71</v>
      </c>
    </row>
    <row r="7378" spans="1:14">
      <c r="A7378" s="2">
        <v>7377</v>
      </c>
      <c r="B7378" s="3" t="s">
        <v>25896</v>
      </c>
      <c r="C7378" s="2" t="s">
        <v>25897</v>
      </c>
      <c r="D7378" s="2">
        <v>10</v>
      </c>
      <c r="E7378" s="2">
        <v>10</v>
      </c>
      <c r="F7378" s="2" t="s">
        <v>25898</v>
      </c>
      <c r="H7378" s="2" t="s">
        <v>17</v>
      </c>
    </row>
    <row r="7379" spans="1:14">
      <c r="A7379" s="2">
        <v>7378</v>
      </c>
      <c r="B7379" s="3" t="s">
        <v>25899</v>
      </c>
      <c r="C7379" s="2" t="s">
        <v>25900</v>
      </c>
      <c r="D7379" s="2">
        <v>6</v>
      </c>
      <c r="E7379" s="2">
        <v>10</v>
      </c>
      <c r="F7379" s="2" t="s">
        <v>25901</v>
      </c>
      <c r="H7379" s="2" t="s">
        <v>17</v>
      </c>
      <c r="K7379" s="4" t="s">
        <v>25902</v>
      </c>
      <c r="L7379" s="4" t="s">
        <v>25903</v>
      </c>
    </row>
    <row r="7380" spans="1:14">
      <c r="A7380" s="2">
        <v>7379</v>
      </c>
      <c r="B7380" s="3" t="s">
        <v>25904</v>
      </c>
      <c r="C7380" s="2" t="s">
        <v>25905</v>
      </c>
      <c r="D7380" s="2">
        <v>8</v>
      </c>
      <c r="E7380" s="2">
        <v>10</v>
      </c>
      <c r="F7380" s="2" t="s">
        <v>25906</v>
      </c>
      <c r="H7380" s="2" t="s">
        <v>17</v>
      </c>
    </row>
    <row r="7381" spans="1:14">
      <c r="A7381" s="2">
        <v>7380</v>
      </c>
      <c r="B7381" s="3" t="s">
        <v>25907</v>
      </c>
      <c r="C7381" s="2" t="s">
        <v>25908</v>
      </c>
      <c r="D7381" s="2">
        <v>10</v>
      </c>
      <c r="E7381" s="2">
        <v>10</v>
      </c>
      <c r="F7381" s="2" t="s">
        <v>25909</v>
      </c>
      <c r="H7381" s="2" t="s">
        <v>17</v>
      </c>
      <c r="K7381" s="4" t="s">
        <v>25910</v>
      </c>
      <c r="L7381" s="4" t="s">
        <v>25911</v>
      </c>
      <c r="M7381" s="2" t="s">
        <v>185</v>
      </c>
    </row>
    <row r="7382" spans="1:14">
      <c r="A7382" s="2">
        <v>7381</v>
      </c>
      <c r="B7382" s="3" t="s">
        <v>25912</v>
      </c>
      <c r="C7382" s="2" t="s">
        <v>25913</v>
      </c>
      <c r="D7382" s="2">
        <v>10</v>
      </c>
      <c r="E7382" s="2">
        <v>10</v>
      </c>
      <c r="F7382" s="2" t="s">
        <v>25914</v>
      </c>
      <c r="H7382" s="2" t="s">
        <v>17</v>
      </c>
    </row>
    <row r="7383" spans="1:14">
      <c r="A7383" s="2">
        <v>7382</v>
      </c>
      <c r="B7383" s="3" t="s">
        <v>25915</v>
      </c>
      <c r="C7383" s="2" t="s">
        <v>25916</v>
      </c>
      <c r="D7383" s="2">
        <v>10</v>
      </c>
      <c r="E7383" s="2">
        <v>10</v>
      </c>
      <c r="F7383" s="2" t="s">
        <v>25917</v>
      </c>
      <c r="H7383" s="2" t="s">
        <v>17</v>
      </c>
    </row>
    <row r="7384" spans="1:14">
      <c r="A7384" s="2">
        <v>7383</v>
      </c>
      <c r="B7384" s="3" t="s">
        <v>25918</v>
      </c>
      <c r="C7384" s="2" t="s">
        <v>25919</v>
      </c>
      <c r="D7384" s="2">
        <v>10</v>
      </c>
      <c r="E7384" s="2">
        <v>10</v>
      </c>
      <c r="F7384" s="2" t="s">
        <v>25920</v>
      </c>
      <c r="H7384" s="2" t="s">
        <v>17</v>
      </c>
    </row>
    <row r="7385" spans="1:14">
      <c r="A7385" s="2">
        <v>7384</v>
      </c>
      <c r="B7385" s="3" t="s">
        <v>25921</v>
      </c>
      <c r="C7385" s="2" t="s">
        <v>25922</v>
      </c>
      <c r="D7385" s="2">
        <v>10</v>
      </c>
      <c r="E7385" s="2">
        <v>10</v>
      </c>
      <c r="F7385" s="2" t="s">
        <v>25923</v>
      </c>
      <c r="H7385" s="2" t="s">
        <v>17</v>
      </c>
    </row>
    <row r="7386" spans="1:14">
      <c r="A7386" s="2">
        <v>7385</v>
      </c>
      <c r="B7386" s="3" t="s">
        <v>25924</v>
      </c>
      <c r="C7386" s="2" t="s">
        <v>25925</v>
      </c>
      <c r="D7386" s="2">
        <v>10</v>
      </c>
      <c r="E7386" s="2">
        <v>10</v>
      </c>
      <c r="F7386" s="2" t="s">
        <v>25926</v>
      </c>
      <c r="H7386" s="2" t="s">
        <v>17</v>
      </c>
    </row>
    <row r="7387" spans="1:14">
      <c r="A7387" s="2">
        <v>7386</v>
      </c>
      <c r="B7387" s="3" t="s">
        <v>25927</v>
      </c>
      <c r="C7387" s="2" t="s">
        <v>25928</v>
      </c>
      <c r="D7387" s="2">
        <v>10</v>
      </c>
      <c r="E7387" s="2">
        <v>10</v>
      </c>
      <c r="F7387" s="2" t="s">
        <v>25929</v>
      </c>
      <c r="H7387" s="2" t="s">
        <v>17</v>
      </c>
    </row>
    <row r="7388" spans="1:14">
      <c r="A7388" s="2">
        <v>7387</v>
      </c>
      <c r="B7388" s="3" t="s">
        <v>25930</v>
      </c>
      <c r="C7388" s="2" t="s">
        <v>25931</v>
      </c>
      <c r="D7388" s="2">
        <v>2</v>
      </c>
      <c r="E7388" s="2">
        <v>10</v>
      </c>
      <c r="F7388" s="2" t="s">
        <v>25932</v>
      </c>
      <c r="H7388" s="2" t="s">
        <v>17</v>
      </c>
      <c r="K7388" s="4" t="s">
        <v>25933</v>
      </c>
      <c r="L7388" s="4" t="s">
        <v>25934</v>
      </c>
      <c r="M7388" s="2" t="s">
        <v>47</v>
      </c>
    </row>
    <row r="7389" spans="1:14">
      <c r="A7389" s="2">
        <v>7388</v>
      </c>
      <c r="B7389" s="3" t="s">
        <v>25935</v>
      </c>
      <c r="C7389" s="2" t="s">
        <v>25936</v>
      </c>
      <c r="D7389" s="2">
        <v>10</v>
      </c>
      <c r="E7389" s="2">
        <v>10</v>
      </c>
      <c r="F7389" s="2" t="s">
        <v>25937</v>
      </c>
      <c r="H7389" s="2" t="s">
        <v>17</v>
      </c>
      <c r="K7389" s="4" t="s">
        <v>25938</v>
      </c>
      <c r="L7389" s="4" t="s">
        <v>25939</v>
      </c>
      <c r="M7389" s="2" t="s">
        <v>91</v>
      </c>
    </row>
    <row r="7390" spans="1:14">
      <c r="A7390" s="2">
        <v>7389</v>
      </c>
      <c r="B7390" s="3" t="s">
        <v>25940</v>
      </c>
      <c r="C7390" s="2" t="s">
        <v>25941</v>
      </c>
      <c r="D7390" s="2">
        <v>10</v>
      </c>
      <c r="E7390" s="2">
        <v>10</v>
      </c>
      <c r="F7390" s="2" t="s">
        <v>25942</v>
      </c>
      <c r="H7390" s="2" t="s">
        <v>17</v>
      </c>
    </row>
    <row r="7391" spans="1:14">
      <c r="A7391" s="2">
        <v>7390</v>
      </c>
      <c r="B7391" s="3" t="s">
        <v>25943</v>
      </c>
      <c r="C7391" s="2" t="s">
        <v>25944</v>
      </c>
      <c r="D7391" s="2">
        <v>5</v>
      </c>
      <c r="E7391" s="2">
        <v>10</v>
      </c>
      <c r="F7391" s="2" t="s">
        <v>25945</v>
      </c>
      <c r="H7391" s="2" t="s">
        <v>17</v>
      </c>
      <c r="K7391" s="4" t="s">
        <v>25946</v>
      </c>
      <c r="L7391" s="4" t="s">
        <v>25947</v>
      </c>
    </row>
    <row r="7392" spans="1:14">
      <c r="A7392" s="2">
        <v>7391</v>
      </c>
      <c r="B7392" s="3" t="s">
        <v>25948</v>
      </c>
      <c r="C7392" s="2" t="s">
        <v>25949</v>
      </c>
      <c r="D7392" s="2">
        <v>10</v>
      </c>
      <c r="E7392" s="2">
        <v>10</v>
      </c>
      <c r="F7392" s="2" t="s">
        <v>25950</v>
      </c>
      <c r="H7392" s="2" t="s">
        <v>17</v>
      </c>
    </row>
    <row r="7393" spans="1:14">
      <c r="A7393" s="2">
        <v>7392</v>
      </c>
      <c r="B7393" s="3" t="s">
        <v>25951</v>
      </c>
      <c r="C7393" s="2" t="s">
        <v>25952</v>
      </c>
      <c r="D7393" s="2">
        <v>1</v>
      </c>
      <c r="E7393" s="2">
        <v>9</v>
      </c>
      <c r="F7393" s="2" t="s">
        <v>25953</v>
      </c>
      <c r="H7393" s="2" t="s">
        <v>17</v>
      </c>
      <c r="L7393" s="4" t="s">
        <v>25954</v>
      </c>
      <c r="M7393" s="2" t="s">
        <v>40</v>
      </c>
    </row>
    <row r="7394" spans="1:14">
      <c r="A7394" s="2">
        <v>7393</v>
      </c>
      <c r="B7394" s="3" t="s">
        <v>25955</v>
      </c>
      <c r="C7394" s="2" t="s">
        <v>25956</v>
      </c>
      <c r="D7394" s="2">
        <v>5</v>
      </c>
      <c r="E7394" s="2">
        <v>9</v>
      </c>
      <c r="F7394" s="2" t="s">
        <v>25957</v>
      </c>
      <c r="H7394" s="2" t="s">
        <v>17</v>
      </c>
      <c r="L7394" s="4" t="s">
        <v>25958</v>
      </c>
    </row>
    <row r="7395" spans="1:14">
      <c r="A7395" s="2">
        <v>7394</v>
      </c>
      <c r="B7395" s="3" t="s">
        <v>25959</v>
      </c>
      <c r="C7395" s="2" t="s">
        <v>25960</v>
      </c>
      <c r="D7395" s="2">
        <v>4</v>
      </c>
      <c r="E7395" s="2">
        <v>9</v>
      </c>
      <c r="F7395" s="2" t="s">
        <v>25961</v>
      </c>
      <c r="H7395" s="2" t="s">
        <v>17</v>
      </c>
      <c r="L7395" s="4" t="s">
        <v>25962</v>
      </c>
      <c r="M7395" s="2" t="s">
        <v>164</v>
      </c>
      <c r="N7395" s="2" t="s">
        <v>6164</v>
      </c>
    </row>
    <row r="7396" spans="1:14">
      <c r="A7396" s="2">
        <v>7395</v>
      </c>
      <c r="B7396" s="3" t="s">
        <v>25963</v>
      </c>
      <c r="C7396" s="2" t="s">
        <v>25964</v>
      </c>
      <c r="D7396" s="2">
        <v>7</v>
      </c>
      <c r="E7396" s="2">
        <v>9</v>
      </c>
      <c r="F7396" s="2" t="s">
        <v>25965</v>
      </c>
      <c r="H7396" s="2" t="s">
        <v>17</v>
      </c>
      <c r="M7396" s="2" t="s">
        <v>40</v>
      </c>
    </row>
    <row r="7397" spans="1:14">
      <c r="A7397" s="2">
        <v>7396</v>
      </c>
      <c r="B7397" s="3" t="s">
        <v>25966</v>
      </c>
      <c r="C7397" s="2" t="s">
        <v>25967</v>
      </c>
      <c r="D7397" s="2">
        <v>9</v>
      </c>
      <c r="E7397" s="2">
        <v>9</v>
      </c>
      <c r="F7397" s="2" t="s">
        <v>25968</v>
      </c>
      <c r="H7397" s="2" t="s">
        <v>17</v>
      </c>
      <c r="L7397" s="4" t="s">
        <v>25969</v>
      </c>
    </row>
    <row r="7398" spans="1:14">
      <c r="A7398" s="2">
        <v>7397</v>
      </c>
      <c r="B7398" s="3" t="s">
        <v>25970</v>
      </c>
      <c r="C7398" s="2" t="s">
        <v>5867</v>
      </c>
      <c r="D7398" s="2">
        <v>9</v>
      </c>
      <c r="E7398" s="2">
        <v>9</v>
      </c>
      <c r="F7398" s="2" t="s">
        <v>25971</v>
      </c>
      <c r="H7398" s="2" t="s">
        <v>17</v>
      </c>
    </row>
    <row r="7399" spans="1:14">
      <c r="A7399" s="2">
        <v>7398</v>
      </c>
      <c r="B7399" s="3" t="s">
        <v>25972</v>
      </c>
      <c r="C7399" s="2" t="s">
        <v>25973</v>
      </c>
      <c r="D7399" s="2">
        <v>6</v>
      </c>
      <c r="E7399" s="2">
        <v>9</v>
      </c>
      <c r="F7399" s="2" t="s">
        <v>25974</v>
      </c>
      <c r="H7399" s="2" t="s">
        <v>17</v>
      </c>
    </row>
    <row r="7400" spans="1:14">
      <c r="A7400" s="2">
        <v>7399</v>
      </c>
      <c r="B7400" s="3" t="s">
        <v>25975</v>
      </c>
      <c r="C7400" s="2" t="s">
        <v>25976</v>
      </c>
      <c r="D7400" s="2">
        <v>9</v>
      </c>
      <c r="E7400" s="2">
        <v>9</v>
      </c>
      <c r="F7400" s="2" t="s">
        <v>25977</v>
      </c>
      <c r="H7400" s="2" t="s">
        <v>17</v>
      </c>
      <c r="K7400" s="4" t="s">
        <v>25978</v>
      </c>
      <c r="L7400" s="4" t="s">
        <v>25979</v>
      </c>
    </row>
    <row r="7401" spans="1:14">
      <c r="A7401" s="2">
        <v>7400</v>
      </c>
      <c r="B7401" s="3" t="s">
        <v>25980</v>
      </c>
      <c r="C7401" s="2" t="s">
        <v>24894</v>
      </c>
      <c r="D7401" s="2">
        <v>5</v>
      </c>
      <c r="E7401" s="2">
        <v>9</v>
      </c>
      <c r="F7401" s="2" t="s">
        <v>25981</v>
      </c>
      <c r="H7401" s="2" t="s">
        <v>17</v>
      </c>
    </row>
    <row r="7402" spans="1:14">
      <c r="A7402" s="2">
        <v>7401</v>
      </c>
      <c r="B7402" s="3" t="s">
        <v>25982</v>
      </c>
      <c r="C7402" s="2" t="s">
        <v>25983</v>
      </c>
      <c r="D7402" s="2">
        <v>9</v>
      </c>
      <c r="E7402" s="2">
        <v>9</v>
      </c>
      <c r="F7402" s="2" t="s">
        <v>25984</v>
      </c>
      <c r="H7402" s="2" t="s">
        <v>17</v>
      </c>
    </row>
    <row r="7403" spans="1:14">
      <c r="A7403" s="2">
        <v>7402</v>
      </c>
      <c r="B7403" s="3" t="s">
        <v>25985</v>
      </c>
      <c r="C7403" s="2" t="s">
        <v>25986</v>
      </c>
      <c r="D7403" s="2">
        <v>9</v>
      </c>
      <c r="E7403" s="2">
        <v>9</v>
      </c>
      <c r="F7403" s="2" t="s">
        <v>25987</v>
      </c>
      <c r="H7403" s="2" t="s">
        <v>17</v>
      </c>
      <c r="K7403" s="4" t="s">
        <v>25988</v>
      </c>
      <c r="L7403" s="4">
        <v>2055</v>
      </c>
      <c r="M7403" s="2" t="s">
        <v>185</v>
      </c>
      <c r="N7403" s="2" t="s">
        <v>838</v>
      </c>
    </row>
    <row r="7404" spans="1:14">
      <c r="A7404" s="2">
        <v>7403</v>
      </c>
      <c r="B7404" s="3" t="s">
        <v>25989</v>
      </c>
      <c r="C7404" s="2" t="s">
        <v>25990</v>
      </c>
      <c r="D7404" s="2">
        <v>3</v>
      </c>
      <c r="E7404" s="2">
        <v>9</v>
      </c>
      <c r="F7404" s="2" t="s">
        <v>25991</v>
      </c>
      <c r="H7404" s="2" t="s">
        <v>17</v>
      </c>
      <c r="K7404" s="4" t="s">
        <v>25992</v>
      </c>
      <c r="L7404" s="4" t="s">
        <v>25993</v>
      </c>
    </row>
    <row r="7405" spans="1:14">
      <c r="A7405" s="2">
        <v>7404</v>
      </c>
      <c r="B7405" s="3" t="s">
        <v>25994</v>
      </c>
      <c r="C7405" s="2" t="s">
        <v>25995</v>
      </c>
      <c r="D7405" s="2">
        <v>9</v>
      </c>
      <c r="E7405" s="2">
        <v>9</v>
      </c>
      <c r="F7405" s="2" t="s">
        <v>25996</v>
      </c>
      <c r="H7405" s="2" t="s">
        <v>17</v>
      </c>
      <c r="K7405" s="4" t="s">
        <v>25997</v>
      </c>
      <c r="L7405" s="4" t="s">
        <v>25998</v>
      </c>
      <c r="M7405" s="2" t="s">
        <v>35</v>
      </c>
      <c r="N7405" s="2" t="s">
        <v>11458</v>
      </c>
    </row>
    <row r="7406" spans="1:14">
      <c r="A7406" s="2">
        <v>7405</v>
      </c>
      <c r="B7406" s="3" t="s">
        <v>25999</v>
      </c>
      <c r="C7406" s="2" t="s">
        <v>26000</v>
      </c>
      <c r="D7406" s="2">
        <v>9</v>
      </c>
      <c r="E7406" s="2">
        <v>9</v>
      </c>
      <c r="F7406" s="2" t="s">
        <v>26001</v>
      </c>
      <c r="H7406" s="2" t="s">
        <v>17</v>
      </c>
      <c r="K7406" s="4" t="s">
        <v>26002</v>
      </c>
      <c r="L7406" s="4" t="s">
        <v>26003</v>
      </c>
      <c r="M7406" s="2" t="s">
        <v>170</v>
      </c>
      <c r="N7406" s="2" t="s">
        <v>323</v>
      </c>
    </row>
    <row r="7407" spans="1:14">
      <c r="A7407" s="2">
        <v>7406</v>
      </c>
      <c r="B7407" s="3" t="s">
        <v>26004</v>
      </c>
      <c r="C7407" s="2" t="s">
        <v>26005</v>
      </c>
      <c r="D7407" s="2">
        <v>9</v>
      </c>
      <c r="E7407" s="2">
        <v>9</v>
      </c>
      <c r="F7407" s="2" t="s">
        <v>26006</v>
      </c>
      <c r="H7407" s="2" t="s">
        <v>17</v>
      </c>
      <c r="K7407" s="4" t="s">
        <v>26007</v>
      </c>
      <c r="L7407" s="4" t="s">
        <v>26008</v>
      </c>
      <c r="M7407" s="2" t="s">
        <v>66</v>
      </c>
      <c r="N7407" s="2" t="s">
        <v>71</v>
      </c>
    </row>
    <row r="7408" spans="1:14">
      <c r="A7408" s="2">
        <v>7407</v>
      </c>
      <c r="B7408" s="3" t="s">
        <v>26009</v>
      </c>
      <c r="C7408" s="2" t="s">
        <v>26010</v>
      </c>
      <c r="D7408" s="2">
        <v>9</v>
      </c>
      <c r="E7408" s="2">
        <v>9</v>
      </c>
      <c r="F7408" s="2" t="s">
        <v>26011</v>
      </c>
      <c r="H7408" s="2" t="s">
        <v>17</v>
      </c>
      <c r="K7408" s="4" t="s">
        <v>26012</v>
      </c>
      <c r="L7408" s="4" t="s">
        <v>26013</v>
      </c>
      <c r="M7408" s="2" t="s">
        <v>170</v>
      </c>
      <c r="N7408" s="2" t="s">
        <v>323</v>
      </c>
    </row>
    <row r="7409" spans="1:14">
      <c r="A7409" s="2">
        <v>7408</v>
      </c>
      <c r="B7409" s="3" t="s">
        <v>26014</v>
      </c>
      <c r="C7409" s="2" t="s">
        <v>26015</v>
      </c>
      <c r="D7409" s="2">
        <v>5</v>
      </c>
      <c r="E7409" s="2">
        <v>9</v>
      </c>
      <c r="F7409" s="2" t="s">
        <v>26016</v>
      </c>
      <c r="H7409" s="2" t="s">
        <v>17</v>
      </c>
      <c r="K7409" s="4" t="s">
        <v>26017</v>
      </c>
      <c r="L7409" s="4">
        <v>2553</v>
      </c>
      <c r="M7409" s="2" t="s">
        <v>146</v>
      </c>
      <c r="N7409" s="2" t="s">
        <v>16761</v>
      </c>
    </row>
    <row r="7410" spans="1:14">
      <c r="A7410" s="2">
        <v>7409</v>
      </c>
      <c r="B7410" s="3" t="s">
        <v>26018</v>
      </c>
      <c r="C7410" s="2" t="s">
        <v>25355</v>
      </c>
      <c r="D7410" s="2">
        <v>4</v>
      </c>
      <c r="E7410" s="2">
        <v>9</v>
      </c>
      <c r="F7410" s="2" t="s">
        <v>26019</v>
      </c>
      <c r="H7410" s="2" t="s">
        <v>17</v>
      </c>
      <c r="K7410" s="4" t="s">
        <v>26020</v>
      </c>
      <c r="L7410" s="4" t="s">
        <v>26021</v>
      </c>
      <c r="M7410" s="2" t="s">
        <v>40</v>
      </c>
    </row>
    <row r="7411" spans="1:14">
      <c r="A7411" s="2">
        <v>7410</v>
      </c>
      <c r="B7411" s="3" t="s">
        <v>26022</v>
      </c>
      <c r="C7411" s="2" t="s">
        <v>26023</v>
      </c>
      <c r="D7411" s="2">
        <v>9</v>
      </c>
      <c r="E7411" s="2">
        <v>9</v>
      </c>
      <c r="F7411" s="2" t="s">
        <v>26024</v>
      </c>
      <c r="H7411" s="2" t="s">
        <v>17</v>
      </c>
    </row>
    <row r="7412" spans="1:14">
      <c r="A7412" s="2">
        <v>7411</v>
      </c>
      <c r="B7412" s="3" t="s">
        <v>26025</v>
      </c>
      <c r="C7412" s="2" t="s">
        <v>26026</v>
      </c>
      <c r="D7412" s="2">
        <v>9</v>
      </c>
      <c r="E7412" s="2">
        <v>9</v>
      </c>
      <c r="F7412" s="2" t="s">
        <v>26027</v>
      </c>
      <c r="H7412" s="2" t="s">
        <v>17</v>
      </c>
    </row>
    <row r="7413" spans="1:14">
      <c r="A7413" s="2">
        <v>7412</v>
      </c>
      <c r="B7413" s="3" t="s">
        <v>26028</v>
      </c>
      <c r="C7413" s="2" t="s">
        <v>26029</v>
      </c>
      <c r="D7413" s="2">
        <v>5</v>
      </c>
      <c r="E7413" s="2">
        <v>9</v>
      </c>
      <c r="F7413" s="2" t="s">
        <v>26030</v>
      </c>
      <c r="H7413" s="2" t="s">
        <v>17</v>
      </c>
      <c r="L7413" s="4" t="s">
        <v>26031</v>
      </c>
    </row>
    <row r="7414" spans="1:14">
      <c r="A7414" s="2">
        <v>7413</v>
      </c>
      <c r="B7414" s="3" t="s">
        <v>26032</v>
      </c>
      <c r="C7414" s="2" t="s">
        <v>26033</v>
      </c>
      <c r="D7414" s="2">
        <v>9</v>
      </c>
      <c r="E7414" s="2">
        <v>9</v>
      </c>
      <c r="F7414" s="2" t="s">
        <v>26034</v>
      </c>
      <c r="H7414" s="2" t="s">
        <v>17</v>
      </c>
    </row>
    <row r="7415" spans="1:14">
      <c r="A7415" s="2">
        <v>7414</v>
      </c>
      <c r="B7415" s="3" t="s">
        <v>26035</v>
      </c>
      <c r="C7415" s="2" t="s">
        <v>26036</v>
      </c>
      <c r="D7415" s="2">
        <v>6</v>
      </c>
      <c r="E7415" s="2">
        <v>9</v>
      </c>
      <c r="F7415" s="2" t="s">
        <v>26037</v>
      </c>
      <c r="H7415" s="2" t="s">
        <v>17</v>
      </c>
      <c r="L7415" s="4" t="s">
        <v>26038</v>
      </c>
      <c r="M7415" s="2" t="s">
        <v>66</v>
      </c>
    </row>
    <row r="7416" spans="1:14">
      <c r="A7416" s="2">
        <v>7415</v>
      </c>
      <c r="B7416" s="3" t="s">
        <v>26039</v>
      </c>
      <c r="C7416" s="2" t="s">
        <v>26040</v>
      </c>
      <c r="D7416" s="2">
        <v>9</v>
      </c>
      <c r="E7416" s="2">
        <v>9</v>
      </c>
      <c r="F7416" s="2" t="s">
        <v>26041</v>
      </c>
      <c r="H7416" s="2" t="s">
        <v>17</v>
      </c>
    </row>
    <row r="7417" spans="1:14">
      <c r="A7417" s="2">
        <v>7416</v>
      </c>
      <c r="B7417" s="3" t="s">
        <v>26042</v>
      </c>
      <c r="C7417" s="2" t="s">
        <v>26043</v>
      </c>
      <c r="D7417" s="2">
        <v>9</v>
      </c>
      <c r="E7417" s="2">
        <v>9</v>
      </c>
      <c r="F7417" s="2" t="s">
        <v>26044</v>
      </c>
      <c r="H7417" s="2" t="s">
        <v>17</v>
      </c>
      <c r="K7417" s="4" t="s">
        <v>26045</v>
      </c>
      <c r="L7417" s="4" t="s">
        <v>26046</v>
      </c>
    </row>
    <row r="7418" spans="1:14">
      <c r="A7418" s="2">
        <v>7417</v>
      </c>
      <c r="B7418" s="3" t="s">
        <v>26047</v>
      </c>
      <c r="C7418" s="2" t="s">
        <v>26048</v>
      </c>
      <c r="D7418" s="2">
        <v>3</v>
      </c>
      <c r="E7418" s="2">
        <v>9</v>
      </c>
      <c r="F7418" s="2" t="s">
        <v>26049</v>
      </c>
      <c r="H7418" s="2" t="s">
        <v>17</v>
      </c>
      <c r="K7418" s="4" t="s">
        <v>26050</v>
      </c>
      <c r="L7418" s="4" t="s">
        <v>26051</v>
      </c>
      <c r="M7418" s="2" t="s">
        <v>35</v>
      </c>
      <c r="N7418" s="2" t="s">
        <v>14848</v>
      </c>
    </row>
    <row r="7419" spans="1:14">
      <c r="A7419" s="2">
        <v>7418</v>
      </c>
      <c r="B7419" s="3" t="s">
        <v>26052</v>
      </c>
      <c r="C7419" s="2" t="s">
        <v>26053</v>
      </c>
      <c r="D7419" s="2">
        <v>7</v>
      </c>
      <c r="E7419" s="2">
        <v>9</v>
      </c>
      <c r="F7419" s="2" t="s">
        <v>26054</v>
      </c>
      <c r="H7419" s="2" t="s">
        <v>17</v>
      </c>
      <c r="K7419" s="4" t="s">
        <v>26055</v>
      </c>
      <c r="L7419" s="4" t="s">
        <v>26056</v>
      </c>
      <c r="M7419" s="2" t="s">
        <v>40</v>
      </c>
      <c r="N7419" s="2" t="s">
        <v>41</v>
      </c>
    </row>
    <row r="7420" spans="1:14">
      <c r="A7420" s="2">
        <v>7419</v>
      </c>
      <c r="B7420" s="3" t="s">
        <v>26057</v>
      </c>
      <c r="C7420" s="2" t="s">
        <v>22705</v>
      </c>
      <c r="D7420" s="2">
        <v>5</v>
      </c>
      <c r="E7420" s="2">
        <v>9</v>
      </c>
      <c r="F7420" s="2" t="s">
        <v>26058</v>
      </c>
      <c r="H7420" s="2" t="s">
        <v>17</v>
      </c>
      <c r="K7420" s="4" t="s">
        <v>26059</v>
      </c>
      <c r="L7420" s="4" t="s">
        <v>26060</v>
      </c>
      <c r="N7420" s="2" t="s">
        <v>26061</v>
      </c>
    </row>
    <row r="7421" spans="1:14">
      <c r="A7421" s="2">
        <v>7420</v>
      </c>
      <c r="B7421" s="3" t="s">
        <v>26062</v>
      </c>
      <c r="C7421" s="2" t="s">
        <v>26063</v>
      </c>
      <c r="D7421" s="2">
        <v>5</v>
      </c>
      <c r="E7421" s="2">
        <v>9</v>
      </c>
      <c r="F7421" s="2" t="s">
        <v>26064</v>
      </c>
      <c r="H7421" s="2" t="s">
        <v>17</v>
      </c>
      <c r="K7421" s="4" t="s">
        <v>26065</v>
      </c>
      <c r="L7421" s="4" t="s">
        <v>26066</v>
      </c>
      <c r="M7421" s="2" t="s">
        <v>40</v>
      </c>
      <c r="N7421" s="2" t="s">
        <v>2157</v>
      </c>
    </row>
    <row r="7422" spans="1:14">
      <c r="A7422" s="2">
        <v>7421</v>
      </c>
      <c r="B7422" s="3" t="s">
        <v>26067</v>
      </c>
      <c r="C7422" s="2" t="s">
        <v>26068</v>
      </c>
      <c r="D7422" s="2">
        <v>8</v>
      </c>
      <c r="E7422" s="2">
        <v>9</v>
      </c>
      <c r="F7422" s="2" t="s">
        <v>26069</v>
      </c>
      <c r="H7422" s="2" t="s">
        <v>17</v>
      </c>
      <c r="K7422" s="4" t="s">
        <v>26070</v>
      </c>
      <c r="L7422" s="4" t="s">
        <v>19065</v>
      </c>
      <c r="M7422" s="2" t="s">
        <v>170</v>
      </c>
      <c r="N7422" s="2" t="s">
        <v>171</v>
      </c>
    </row>
    <row r="7423" spans="1:14">
      <c r="A7423" s="2">
        <v>7422</v>
      </c>
      <c r="B7423" s="3" t="s">
        <v>26071</v>
      </c>
      <c r="C7423" s="2" t="s">
        <v>6900</v>
      </c>
      <c r="D7423" s="2">
        <v>9</v>
      </c>
      <c r="E7423" s="2">
        <v>9</v>
      </c>
      <c r="F7423" s="2" t="s">
        <v>26072</v>
      </c>
      <c r="H7423" s="2" t="s">
        <v>17</v>
      </c>
      <c r="K7423" s="4" t="s">
        <v>26073</v>
      </c>
      <c r="L7423" s="4" t="s">
        <v>26074</v>
      </c>
    </row>
    <row r="7424" spans="1:14">
      <c r="A7424" s="2">
        <v>7423</v>
      </c>
      <c r="B7424" s="3" t="s">
        <v>26075</v>
      </c>
      <c r="C7424" s="2" t="s">
        <v>24263</v>
      </c>
      <c r="D7424" s="2">
        <v>9</v>
      </c>
      <c r="E7424" s="2">
        <v>9</v>
      </c>
      <c r="F7424" s="2" t="s">
        <v>26076</v>
      </c>
      <c r="H7424" s="2" t="s">
        <v>17</v>
      </c>
    </row>
    <row r="7425" spans="1:14">
      <c r="A7425" s="2">
        <v>7424</v>
      </c>
      <c r="B7425" s="3" t="s">
        <v>26077</v>
      </c>
      <c r="C7425" s="2" t="s">
        <v>26078</v>
      </c>
      <c r="D7425" s="2">
        <v>7</v>
      </c>
      <c r="E7425" s="2">
        <v>9</v>
      </c>
      <c r="F7425" s="2" t="s">
        <v>26079</v>
      </c>
      <c r="H7425" s="2" t="s">
        <v>17</v>
      </c>
      <c r="K7425" s="4" t="s">
        <v>26080</v>
      </c>
      <c r="L7425" s="4" t="s">
        <v>26081</v>
      </c>
      <c r="M7425" s="2" t="s">
        <v>40</v>
      </c>
      <c r="N7425" s="2" t="s">
        <v>9352</v>
      </c>
    </row>
    <row r="7426" spans="1:14">
      <c r="A7426" s="2">
        <v>7425</v>
      </c>
      <c r="B7426" s="3" t="s">
        <v>26082</v>
      </c>
      <c r="C7426" s="2" t="s">
        <v>26083</v>
      </c>
      <c r="D7426" s="2">
        <v>4</v>
      </c>
      <c r="E7426" s="2">
        <v>9</v>
      </c>
      <c r="F7426" s="2" t="s">
        <v>26084</v>
      </c>
      <c r="H7426" s="2" t="s">
        <v>17</v>
      </c>
    </row>
    <row r="7427" spans="1:14">
      <c r="A7427" s="2">
        <v>7426</v>
      </c>
      <c r="B7427" s="3" t="s">
        <v>26085</v>
      </c>
      <c r="C7427" s="2" t="s">
        <v>26086</v>
      </c>
      <c r="D7427" s="2">
        <v>9</v>
      </c>
      <c r="E7427" s="2">
        <v>9</v>
      </c>
      <c r="F7427" s="2" t="s">
        <v>26087</v>
      </c>
      <c r="H7427" s="2" t="s">
        <v>17</v>
      </c>
    </row>
    <row r="7428" spans="1:14">
      <c r="A7428" s="2">
        <v>7427</v>
      </c>
      <c r="B7428" s="3" t="s">
        <v>26088</v>
      </c>
      <c r="C7428" s="2" t="s">
        <v>26089</v>
      </c>
      <c r="D7428" s="2">
        <v>9</v>
      </c>
      <c r="E7428" s="2">
        <v>9</v>
      </c>
      <c r="F7428" s="2" t="s">
        <v>26090</v>
      </c>
      <c r="H7428" s="2" t="s">
        <v>17</v>
      </c>
    </row>
    <row r="7429" spans="1:14">
      <c r="A7429" s="2">
        <v>7428</v>
      </c>
      <c r="B7429" s="3" t="s">
        <v>26091</v>
      </c>
      <c r="C7429" s="2" t="s">
        <v>26092</v>
      </c>
      <c r="D7429" s="2">
        <v>8</v>
      </c>
      <c r="E7429" s="2">
        <v>9</v>
      </c>
      <c r="F7429" s="2" t="s">
        <v>26093</v>
      </c>
      <c r="H7429" s="2" t="s">
        <v>17</v>
      </c>
      <c r="K7429" s="4" t="s">
        <v>26094</v>
      </c>
      <c r="L7429" s="4" t="s">
        <v>21466</v>
      </c>
      <c r="M7429" s="2" t="s">
        <v>969</v>
      </c>
      <c r="N7429" s="2" t="s">
        <v>323</v>
      </c>
    </row>
    <row r="7430" spans="1:14">
      <c r="A7430" s="2">
        <v>7429</v>
      </c>
      <c r="B7430" s="3" t="s">
        <v>26095</v>
      </c>
      <c r="C7430" s="2" t="s">
        <v>26096</v>
      </c>
      <c r="D7430" s="2">
        <v>9</v>
      </c>
      <c r="E7430" s="2">
        <v>9</v>
      </c>
      <c r="F7430" s="2" t="s">
        <v>26097</v>
      </c>
      <c r="H7430" s="2" t="s">
        <v>17</v>
      </c>
      <c r="K7430" s="4" t="s">
        <v>26098</v>
      </c>
      <c r="L7430" s="4" t="s">
        <v>26099</v>
      </c>
      <c r="M7430" s="2" t="s">
        <v>185</v>
      </c>
    </row>
    <row r="7431" spans="1:14">
      <c r="A7431" s="2">
        <v>7430</v>
      </c>
      <c r="B7431" s="3" t="s">
        <v>26100</v>
      </c>
      <c r="C7431" s="2" t="s">
        <v>26101</v>
      </c>
      <c r="D7431" s="2">
        <v>9</v>
      </c>
      <c r="E7431" s="2">
        <v>9</v>
      </c>
      <c r="F7431" s="2" t="s">
        <v>26102</v>
      </c>
      <c r="H7431" s="2" t="s">
        <v>17</v>
      </c>
    </row>
    <row r="7432" spans="1:14">
      <c r="A7432" s="2">
        <v>7431</v>
      </c>
      <c r="B7432" s="3" t="s">
        <v>26103</v>
      </c>
      <c r="C7432" s="2" t="s">
        <v>19358</v>
      </c>
      <c r="D7432" s="2">
        <v>9</v>
      </c>
      <c r="E7432" s="2">
        <v>9</v>
      </c>
      <c r="F7432" s="2" t="s">
        <v>26104</v>
      </c>
      <c r="H7432" s="2" t="s">
        <v>17</v>
      </c>
    </row>
    <row r="7433" spans="1:14">
      <c r="A7433" s="2">
        <v>7432</v>
      </c>
      <c r="B7433" s="3" t="s">
        <v>26105</v>
      </c>
      <c r="C7433" s="2" t="s">
        <v>26106</v>
      </c>
      <c r="D7433" s="2">
        <v>9</v>
      </c>
      <c r="E7433" s="2">
        <v>9</v>
      </c>
      <c r="F7433" s="2" t="s">
        <v>26107</v>
      </c>
      <c r="H7433" s="2" t="s">
        <v>17</v>
      </c>
    </row>
    <row r="7434" spans="1:14">
      <c r="A7434" s="2">
        <v>7433</v>
      </c>
      <c r="B7434" s="3" t="s">
        <v>26108</v>
      </c>
      <c r="C7434" s="2" t="s">
        <v>26109</v>
      </c>
      <c r="D7434" s="2">
        <v>5</v>
      </c>
      <c r="E7434" s="2">
        <v>9</v>
      </c>
      <c r="F7434" s="2" t="s">
        <v>26110</v>
      </c>
      <c r="H7434" s="2" t="s">
        <v>17</v>
      </c>
      <c r="K7434" s="4" t="s">
        <v>26111</v>
      </c>
      <c r="L7434" s="4" t="s">
        <v>26112</v>
      </c>
      <c r="M7434" s="2" t="s">
        <v>170</v>
      </c>
      <c r="N7434" s="2" t="s">
        <v>323</v>
      </c>
    </row>
    <row r="7435" spans="1:14">
      <c r="A7435" s="2">
        <v>7434</v>
      </c>
      <c r="B7435" s="3" t="s">
        <v>26113</v>
      </c>
      <c r="C7435" s="2" t="s">
        <v>26114</v>
      </c>
      <c r="D7435" s="2">
        <v>7</v>
      </c>
      <c r="E7435" s="2">
        <v>9</v>
      </c>
      <c r="F7435" s="2" t="s">
        <v>26115</v>
      </c>
      <c r="H7435" s="2" t="s">
        <v>17</v>
      </c>
      <c r="K7435" s="4" t="s">
        <v>26116</v>
      </c>
      <c r="L7435" s="4" t="s">
        <v>26117</v>
      </c>
      <c r="M7435" s="2" t="s">
        <v>185</v>
      </c>
      <c r="N7435" s="2" t="s">
        <v>24312</v>
      </c>
    </row>
    <row r="7436" spans="1:14">
      <c r="A7436" s="2">
        <v>7435</v>
      </c>
      <c r="B7436" s="3" t="s">
        <v>26118</v>
      </c>
      <c r="C7436" s="2" t="s">
        <v>26119</v>
      </c>
      <c r="D7436" s="2">
        <v>7</v>
      </c>
      <c r="E7436" s="2">
        <v>9</v>
      </c>
      <c r="F7436" s="2" t="s">
        <v>26120</v>
      </c>
      <c r="H7436" s="2" t="s">
        <v>17</v>
      </c>
      <c r="K7436" s="4" t="s">
        <v>26121</v>
      </c>
      <c r="L7436" s="4" t="s">
        <v>26122</v>
      </c>
      <c r="M7436" s="2" t="s">
        <v>423</v>
      </c>
      <c r="N7436" s="2" t="s">
        <v>3005</v>
      </c>
    </row>
    <row r="7437" spans="1:14">
      <c r="A7437" s="2">
        <v>7436</v>
      </c>
      <c r="B7437" s="3" t="s">
        <v>26123</v>
      </c>
      <c r="C7437" s="2" t="s">
        <v>26124</v>
      </c>
      <c r="D7437" s="2">
        <v>9</v>
      </c>
      <c r="E7437" s="2">
        <v>9</v>
      </c>
      <c r="F7437" s="2" t="s">
        <v>26125</v>
      </c>
      <c r="H7437" s="2" t="s">
        <v>17</v>
      </c>
    </row>
    <row r="7438" spans="1:14">
      <c r="A7438" s="2">
        <v>7437</v>
      </c>
      <c r="B7438" s="3" t="s">
        <v>26126</v>
      </c>
      <c r="C7438" s="2" t="s">
        <v>26127</v>
      </c>
      <c r="D7438" s="2">
        <v>9</v>
      </c>
      <c r="E7438" s="2">
        <v>9</v>
      </c>
      <c r="F7438" s="2" t="s">
        <v>26128</v>
      </c>
      <c r="H7438" s="2" t="s">
        <v>17</v>
      </c>
    </row>
    <row r="7439" spans="1:14">
      <c r="A7439" s="2">
        <v>7438</v>
      </c>
      <c r="B7439" s="3" t="s">
        <v>26129</v>
      </c>
      <c r="C7439" s="2" t="s">
        <v>26130</v>
      </c>
      <c r="D7439" s="2">
        <v>3</v>
      </c>
      <c r="E7439" s="2">
        <v>9</v>
      </c>
      <c r="F7439" s="2" t="s">
        <v>26131</v>
      </c>
      <c r="H7439" s="2" t="s">
        <v>17</v>
      </c>
      <c r="K7439" s="4" t="s">
        <v>26132</v>
      </c>
      <c r="L7439" s="4" t="s">
        <v>26133</v>
      </c>
      <c r="M7439" s="2" t="s">
        <v>198</v>
      </c>
      <c r="N7439" s="2" t="s">
        <v>199</v>
      </c>
    </row>
    <row r="7440" spans="1:14">
      <c r="A7440" s="2">
        <v>7439</v>
      </c>
      <c r="B7440" s="3" t="s">
        <v>26134</v>
      </c>
      <c r="C7440" s="2" t="s">
        <v>26135</v>
      </c>
      <c r="D7440" s="2">
        <v>5</v>
      </c>
      <c r="E7440" s="2">
        <v>9</v>
      </c>
      <c r="F7440" s="2" t="s">
        <v>26136</v>
      </c>
      <c r="H7440" s="2" t="s">
        <v>17</v>
      </c>
      <c r="K7440" s="4" t="s">
        <v>26137</v>
      </c>
      <c r="L7440" s="4" t="s">
        <v>26138</v>
      </c>
      <c r="M7440" s="2" t="s">
        <v>40</v>
      </c>
    </row>
    <row r="7441" spans="1:14">
      <c r="A7441" s="2">
        <v>7440</v>
      </c>
      <c r="B7441" s="3" t="s">
        <v>26139</v>
      </c>
      <c r="C7441" s="2" t="s">
        <v>26140</v>
      </c>
      <c r="D7441" s="2">
        <v>1</v>
      </c>
      <c r="E7441" s="2">
        <v>9</v>
      </c>
      <c r="F7441" s="2" t="s">
        <v>26141</v>
      </c>
      <c r="H7441" s="2" t="s">
        <v>17</v>
      </c>
      <c r="K7441" s="4" t="s">
        <v>26142</v>
      </c>
      <c r="L7441" s="4" t="s">
        <v>26143</v>
      </c>
      <c r="M7441" s="2" t="s">
        <v>40</v>
      </c>
      <c r="N7441" s="2" t="s">
        <v>41</v>
      </c>
    </row>
    <row r="7442" spans="1:14">
      <c r="A7442" s="2">
        <v>7441</v>
      </c>
      <c r="B7442" s="3" t="s">
        <v>26144</v>
      </c>
      <c r="C7442" s="2" t="s">
        <v>26145</v>
      </c>
      <c r="D7442" s="2">
        <v>8</v>
      </c>
      <c r="E7442" s="2">
        <v>9</v>
      </c>
      <c r="F7442" s="2" t="s">
        <v>26146</v>
      </c>
      <c r="H7442" s="2" t="s">
        <v>17</v>
      </c>
    </row>
    <row r="7443" spans="1:14">
      <c r="A7443" s="2">
        <v>7442</v>
      </c>
      <c r="B7443" s="3" t="s">
        <v>26147</v>
      </c>
      <c r="C7443" s="2" t="s">
        <v>26148</v>
      </c>
      <c r="D7443" s="2">
        <v>5</v>
      </c>
      <c r="E7443" s="2">
        <v>9</v>
      </c>
      <c r="F7443" s="2" t="s">
        <v>26149</v>
      </c>
      <c r="H7443" s="2" t="s">
        <v>17</v>
      </c>
      <c r="K7443" s="4" t="s">
        <v>26150</v>
      </c>
      <c r="L7443" s="4" t="s">
        <v>26151</v>
      </c>
      <c r="M7443" s="2" t="s">
        <v>170</v>
      </c>
      <c r="N7443" s="2" t="s">
        <v>323</v>
      </c>
    </row>
    <row r="7444" spans="1:14">
      <c r="A7444" s="2">
        <v>7443</v>
      </c>
      <c r="B7444" s="3" t="s">
        <v>26152</v>
      </c>
      <c r="C7444" s="2" t="s">
        <v>26153</v>
      </c>
      <c r="D7444" s="2">
        <v>5</v>
      </c>
      <c r="E7444" s="2">
        <v>9</v>
      </c>
      <c r="F7444" s="2" t="s">
        <v>26154</v>
      </c>
      <c r="H7444" s="2" t="s">
        <v>17</v>
      </c>
    </row>
    <row r="7445" spans="1:14">
      <c r="A7445" s="2">
        <v>7444</v>
      </c>
      <c r="B7445" s="3" t="s">
        <v>26155</v>
      </c>
      <c r="C7445" s="2" t="s">
        <v>26156</v>
      </c>
      <c r="D7445" s="2">
        <v>8</v>
      </c>
      <c r="E7445" s="2">
        <v>9</v>
      </c>
      <c r="F7445" s="2" t="s">
        <v>26157</v>
      </c>
      <c r="H7445" s="2" t="s">
        <v>17</v>
      </c>
      <c r="K7445" s="4" t="s">
        <v>26158</v>
      </c>
      <c r="L7445" s="4" t="s">
        <v>26159</v>
      </c>
      <c r="M7445" s="2" t="s">
        <v>198</v>
      </c>
      <c r="N7445" s="2" t="s">
        <v>199</v>
      </c>
    </row>
    <row r="7446" spans="1:14">
      <c r="A7446" s="2">
        <v>7445</v>
      </c>
      <c r="B7446" s="3" t="s">
        <v>26160</v>
      </c>
      <c r="C7446" s="2" t="s">
        <v>26161</v>
      </c>
      <c r="D7446" s="2">
        <v>4</v>
      </c>
      <c r="E7446" s="2">
        <v>9</v>
      </c>
      <c r="F7446" s="2" t="s">
        <v>26162</v>
      </c>
      <c r="H7446" s="2" t="s">
        <v>17</v>
      </c>
      <c r="K7446" s="4" t="s">
        <v>26163</v>
      </c>
      <c r="L7446" s="4" t="s">
        <v>26164</v>
      </c>
      <c r="M7446" s="2" t="s">
        <v>35</v>
      </c>
    </row>
    <row r="7447" spans="1:14">
      <c r="A7447" s="2">
        <v>7446</v>
      </c>
      <c r="B7447" s="3" t="s">
        <v>26165</v>
      </c>
      <c r="C7447" s="2" t="s">
        <v>26166</v>
      </c>
      <c r="D7447" s="2">
        <v>5</v>
      </c>
      <c r="E7447" s="2">
        <v>9</v>
      </c>
      <c r="F7447" s="2" t="s">
        <v>26167</v>
      </c>
      <c r="H7447" s="2" t="s">
        <v>17</v>
      </c>
    </row>
    <row r="7448" spans="1:14">
      <c r="A7448" s="2">
        <v>7447</v>
      </c>
      <c r="B7448" s="3" t="s">
        <v>26168</v>
      </c>
      <c r="C7448" s="2" t="s">
        <v>26169</v>
      </c>
      <c r="D7448" s="2">
        <v>8</v>
      </c>
      <c r="E7448" s="2">
        <v>9</v>
      </c>
      <c r="F7448" s="2" t="s">
        <v>26170</v>
      </c>
      <c r="H7448" s="2" t="s">
        <v>17</v>
      </c>
    </row>
    <row r="7449" spans="1:14">
      <c r="A7449" s="2">
        <v>7448</v>
      </c>
      <c r="B7449" s="3" t="s">
        <v>26171</v>
      </c>
      <c r="C7449" s="2" t="s">
        <v>26172</v>
      </c>
      <c r="D7449" s="2">
        <v>5</v>
      </c>
      <c r="E7449" s="2">
        <v>9</v>
      </c>
      <c r="F7449" s="2" t="s">
        <v>26173</v>
      </c>
      <c r="H7449" s="2" t="s">
        <v>17</v>
      </c>
      <c r="K7449" s="4" t="s">
        <v>25574</v>
      </c>
      <c r="L7449" s="4" t="s">
        <v>26174</v>
      </c>
      <c r="M7449" s="2" t="s">
        <v>40</v>
      </c>
    </row>
    <row r="7450" spans="1:14">
      <c r="A7450" s="2">
        <v>7449</v>
      </c>
      <c r="B7450" s="3" t="s">
        <v>26175</v>
      </c>
      <c r="C7450" s="2" t="s">
        <v>26176</v>
      </c>
      <c r="D7450" s="2">
        <v>9</v>
      </c>
      <c r="E7450" s="2">
        <v>9</v>
      </c>
      <c r="F7450" s="2" t="s">
        <v>26177</v>
      </c>
      <c r="H7450" s="2" t="s">
        <v>17</v>
      </c>
    </row>
    <row r="7451" spans="1:14">
      <c r="A7451" s="2">
        <v>7450</v>
      </c>
      <c r="B7451" s="3" t="s">
        <v>26178</v>
      </c>
      <c r="C7451" s="2" t="s">
        <v>25509</v>
      </c>
      <c r="D7451" s="2">
        <v>5</v>
      </c>
      <c r="E7451" s="2">
        <v>9</v>
      </c>
      <c r="F7451" s="2" t="s">
        <v>26179</v>
      </c>
      <c r="H7451" s="2" t="s">
        <v>17</v>
      </c>
    </row>
    <row r="7452" spans="1:14">
      <c r="A7452" s="2">
        <v>7451</v>
      </c>
      <c r="B7452" s="3" t="s">
        <v>26180</v>
      </c>
      <c r="C7452" s="2" t="s">
        <v>4592</v>
      </c>
      <c r="D7452" s="2">
        <v>5</v>
      </c>
      <c r="E7452" s="2">
        <v>9</v>
      </c>
      <c r="F7452" s="2" t="s">
        <v>26181</v>
      </c>
      <c r="H7452" s="2" t="s">
        <v>17</v>
      </c>
      <c r="K7452" s="4" t="s">
        <v>26182</v>
      </c>
      <c r="L7452" s="4" t="s">
        <v>26183</v>
      </c>
      <c r="M7452" s="2" t="s">
        <v>170</v>
      </c>
      <c r="N7452" s="2" t="s">
        <v>323</v>
      </c>
    </row>
    <row r="7453" spans="1:14">
      <c r="A7453" s="2">
        <v>7452</v>
      </c>
      <c r="B7453" s="3" t="s">
        <v>26184</v>
      </c>
      <c r="C7453" s="2" t="s">
        <v>26185</v>
      </c>
      <c r="D7453" s="2">
        <v>6</v>
      </c>
      <c r="E7453" s="2">
        <v>9</v>
      </c>
      <c r="F7453" s="2" t="s">
        <v>26186</v>
      </c>
      <c r="H7453" s="2" t="s">
        <v>17</v>
      </c>
      <c r="L7453" s="4" t="s">
        <v>26187</v>
      </c>
    </row>
    <row r="7454" spans="1:14">
      <c r="A7454" s="2">
        <v>7453</v>
      </c>
      <c r="B7454" s="3" t="s">
        <v>26188</v>
      </c>
      <c r="C7454" s="2" t="s">
        <v>26189</v>
      </c>
      <c r="D7454" s="2">
        <v>3</v>
      </c>
      <c r="E7454" s="2">
        <v>9</v>
      </c>
      <c r="F7454" s="2" t="s">
        <v>26190</v>
      </c>
      <c r="H7454" s="2" t="s">
        <v>17</v>
      </c>
      <c r="K7454" s="4" t="s">
        <v>26191</v>
      </c>
      <c r="L7454" s="4" t="s">
        <v>26192</v>
      </c>
    </row>
    <row r="7455" spans="1:14">
      <c r="A7455" s="2">
        <v>7454</v>
      </c>
      <c r="B7455" s="3" t="s">
        <v>26193</v>
      </c>
      <c r="C7455" s="2" t="s">
        <v>26194</v>
      </c>
      <c r="D7455" s="2">
        <v>8</v>
      </c>
      <c r="E7455" s="2">
        <v>9</v>
      </c>
      <c r="F7455" s="2" t="s">
        <v>26195</v>
      </c>
      <c r="H7455" s="2" t="s">
        <v>17</v>
      </c>
      <c r="K7455" s="4" t="s">
        <v>26196</v>
      </c>
      <c r="L7455" s="4" t="s">
        <v>26197</v>
      </c>
      <c r="M7455" s="2" t="s">
        <v>85</v>
      </c>
      <c r="N7455" s="2" t="s">
        <v>1356</v>
      </c>
    </row>
    <row r="7456" spans="1:14">
      <c r="A7456" s="2">
        <v>7455</v>
      </c>
      <c r="B7456" s="3" t="s">
        <v>26198</v>
      </c>
      <c r="C7456" s="2" t="s">
        <v>25667</v>
      </c>
      <c r="D7456" s="2">
        <v>8</v>
      </c>
      <c r="E7456" s="2">
        <v>9</v>
      </c>
      <c r="F7456" s="2" t="s">
        <v>26199</v>
      </c>
      <c r="H7456" s="2" t="s">
        <v>17</v>
      </c>
      <c r="K7456" s="4" t="s">
        <v>26200</v>
      </c>
      <c r="L7456" s="4" t="s">
        <v>26201</v>
      </c>
      <c r="M7456" s="2" t="s">
        <v>53</v>
      </c>
      <c r="N7456" s="2" t="s">
        <v>54</v>
      </c>
    </row>
    <row r="7457" spans="1:14">
      <c r="A7457" s="2">
        <v>7456</v>
      </c>
      <c r="B7457" s="3" t="s">
        <v>26202</v>
      </c>
      <c r="C7457" s="2" t="s">
        <v>26203</v>
      </c>
      <c r="D7457" s="2">
        <v>9</v>
      </c>
      <c r="E7457" s="2">
        <v>9</v>
      </c>
      <c r="F7457" s="2" t="s">
        <v>26204</v>
      </c>
      <c r="H7457" s="2" t="s">
        <v>17</v>
      </c>
      <c r="L7457" s="4" t="s">
        <v>26205</v>
      </c>
      <c r="M7457" s="2" t="s">
        <v>40</v>
      </c>
    </row>
    <row r="7458" spans="1:14">
      <c r="A7458" s="2">
        <v>7457</v>
      </c>
      <c r="B7458" s="3" t="s">
        <v>26206</v>
      </c>
      <c r="C7458" s="2" t="s">
        <v>25671</v>
      </c>
      <c r="D7458" s="2">
        <v>9</v>
      </c>
      <c r="E7458" s="2">
        <v>9</v>
      </c>
      <c r="F7458" s="2" t="s">
        <v>26207</v>
      </c>
      <c r="H7458" s="2" t="s">
        <v>17</v>
      </c>
    </row>
    <row r="7459" spans="1:14">
      <c r="A7459" s="2">
        <v>7458</v>
      </c>
      <c r="B7459" s="3" t="s">
        <v>26208</v>
      </c>
      <c r="C7459" s="2" t="s">
        <v>26209</v>
      </c>
      <c r="D7459" s="2">
        <v>4</v>
      </c>
      <c r="E7459" s="2">
        <v>9</v>
      </c>
      <c r="F7459" s="2" t="s">
        <v>26210</v>
      </c>
      <c r="H7459" s="2" t="s">
        <v>17</v>
      </c>
      <c r="K7459" s="4" t="s">
        <v>26211</v>
      </c>
      <c r="L7459" s="4" t="s">
        <v>26212</v>
      </c>
      <c r="M7459" s="2" t="s">
        <v>164</v>
      </c>
      <c r="N7459" s="2" t="s">
        <v>165</v>
      </c>
    </row>
    <row r="7460" spans="1:14">
      <c r="A7460" s="2">
        <v>7459</v>
      </c>
      <c r="B7460" s="3" t="s">
        <v>26213</v>
      </c>
      <c r="C7460" s="2" t="s">
        <v>26214</v>
      </c>
      <c r="D7460" s="2">
        <v>6</v>
      </c>
      <c r="E7460" s="2">
        <v>9</v>
      </c>
      <c r="F7460" s="2" t="s">
        <v>26215</v>
      </c>
      <c r="H7460" s="2" t="s">
        <v>17</v>
      </c>
      <c r="K7460" s="4" t="s">
        <v>26216</v>
      </c>
      <c r="L7460" s="4" t="s">
        <v>26217</v>
      </c>
      <c r="M7460" s="2" t="s">
        <v>35</v>
      </c>
      <c r="N7460" s="2" t="s">
        <v>22695</v>
      </c>
    </row>
    <row r="7461" spans="1:14">
      <c r="A7461" s="2">
        <v>7460</v>
      </c>
      <c r="B7461" s="3" t="s">
        <v>26218</v>
      </c>
      <c r="C7461" s="2" t="s">
        <v>26219</v>
      </c>
      <c r="D7461" s="2">
        <v>9</v>
      </c>
      <c r="E7461" s="2">
        <v>9</v>
      </c>
      <c r="F7461" s="2" t="s">
        <v>26220</v>
      </c>
      <c r="H7461" s="2" t="s">
        <v>17</v>
      </c>
      <c r="K7461" s="4" t="s">
        <v>26221</v>
      </c>
      <c r="L7461" s="4" t="s">
        <v>26222</v>
      </c>
    </row>
    <row r="7462" spans="1:14">
      <c r="A7462" s="2">
        <v>7461</v>
      </c>
      <c r="B7462" s="3" t="s">
        <v>26223</v>
      </c>
      <c r="C7462" s="2" t="s">
        <v>26224</v>
      </c>
      <c r="D7462" s="2">
        <v>8</v>
      </c>
      <c r="E7462" s="2">
        <v>9</v>
      </c>
      <c r="F7462" s="2" t="s">
        <v>26225</v>
      </c>
      <c r="H7462" s="2" t="s">
        <v>17</v>
      </c>
      <c r="L7462" s="4" t="s">
        <v>26226</v>
      </c>
    </row>
    <row r="7463" spans="1:14">
      <c r="A7463" s="2">
        <v>7462</v>
      </c>
      <c r="B7463" s="3" t="s">
        <v>26227</v>
      </c>
      <c r="C7463" s="2" t="s">
        <v>26228</v>
      </c>
      <c r="D7463" s="2">
        <v>9</v>
      </c>
      <c r="E7463" s="2">
        <v>9</v>
      </c>
      <c r="F7463" s="2" t="s">
        <v>26229</v>
      </c>
      <c r="H7463" s="2" t="s">
        <v>17</v>
      </c>
      <c r="K7463" s="4" t="s">
        <v>26230</v>
      </c>
      <c r="L7463" s="4" t="s">
        <v>26231</v>
      </c>
      <c r="M7463" s="2" t="s">
        <v>85</v>
      </c>
      <c r="N7463" s="2" t="s">
        <v>86</v>
      </c>
    </row>
    <row r="7464" spans="1:14">
      <c r="A7464" s="2">
        <v>7463</v>
      </c>
      <c r="B7464" s="3" t="s">
        <v>26232</v>
      </c>
      <c r="C7464" s="2" t="s">
        <v>26233</v>
      </c>
      <c r="D7464" s="2">
        <v>7</v>
      </c>
      <c r="E7464" s="2">
        <v>9</v>
      </c>
      <c r="F7464" s="2" t="s">
        <v>26234</v>
      </c>
      <c r="H7464" s="2" t="s">
        <v>17</v>
      </c>
      <c r="L7464" s="4" t="s">
        <v>26235</v>
      </c>
      <c r="M7464" s="2" t="s">
        <v>146</v>
      </c>
      <c r="N7464" s="2" t="s">
        <v>26236</v>
      </c>
    </row>
    <row r="7465" spans="1:14">
      <c r="A7465" s="2">
        <v>7464</v>
      </c>
      <c r="B7465" s="3" t="s">
        <v>26237</v>
      </c>
      <c r="C7465" s="2" t="s">
        <v>26238</v>
      </c>
      <c r="D7465" s="2">
        <v>9</v>
      </c>
      <c r="E7465" s="2">
        <v>9</v>
      </c>
      <c r="F7465" s="2" t="s">
        <v>26239</v>
      </c>
      <c r="H7465" s="2" t="s">
        <v>17</v>
      </c>
      <c r="K7465" s="4" t="s">
        <v>26240</v>
      </c>
      <c r="L7465" s="4" t="s">
        <v>26241</v>
      </c>
      <c r="M7465" s="2" t="s">
        <v>66</v>
      </c>
      <c r="N7465" s="2" t="s">
        <v>71</v>
      </c>
    </row>
    <row r="7466" spans="1:14">
      <c r="A7466" s="2">
        <v>7465</v>
      </c>
      <c r="B7466" s="3" t="s">
        <v>26242</v>
      </c>
      <c r="C7466" s="2" t="s">
        <v>26243</v>
      </c>
      <c r="D7466" s="2">
        <v>3</v>
      </c>
      <c r="E7466" s="2">
        <v>9</v>
      </c>
      <c r="F7466" s="2" t="s">
        <v>26244</v>
      </c>
      <c r="H7466" s="2" t="s">
        <v>17</v>
      </c>
      <c r="K7466" s="4" t="s">
        <v>26245</v>
      </c>
      <c r="L7466" s="4" t="s">
        <v>26246</v>
      </c>
    </row>
    <row r="7467" spans="1:14">
      <c r="A7467" s="2">
        <v>7466</v>
      </c>
      <c r="B7467" s="3" t="s">
        <v>26247</v>
      </c>
      <c r="C7467" s="2" t="s">
        <v>26248</v>
      </c>
      <c r="D7467" s="2">
        <v>8</v>
      </c>
      <c r="E7467" s="2">
        <v>9</v>
      </c>
      <c r="F7467" s="2" t="s">
        <v>26249</v>
      </c>
      <c r="H7467" s="2" t="s">
        <v>17</v>
      </c>
      <c r="K7467" s="4" t="s">
        <v>26250</v>
      </c>
      <c r="L7467" s="4" t="s">
        <v>26251</v>
      </c>
      <c r="M7467" s="2" t="s">
        <v>35</v>
      </c>
      <c r="N7467" s="2" t="s">
        <v>10783</v>
      </c>
    </row>
    <row r="7468" spans="1:14">
      <c r="A7468" s="2">
        <v>7467</v>
      </c>
      <c r="B7468" s="3" t="s">
        <v>26252</v>
      </c>
      <c r="C7468" s="2" t="s">
        <v>26253</v>
      </c>
      <c r="D7468" s="2">
        <v>5</v>
      </c>
      <c r="E7468" s="2">
        <v>9</v>
      </c>
      <c r="F7468" s="2" t="s">
        <v>26254</v>
      </c>
      <c r="H7468" s="2" t="s">
        <v>17</v>
      </c>
      <c r="K7468" s="4" t="s">
        <v>26255</v>
      </c>
      <c r="L7468" s="4" t="s">
        <v>23425</v>
      </c>
      <c r="M7468" s="2" t="s">
        <v>40</v>
      </c>
    </row>
    <row r="7469" spans="1:14">
      <c r="A7469" s="2">
        <v>7468</v>
      </c>
      <c r="B7469" s="3" t="s">
        <v>26256</v>
      </c>
      <c r="C7469" s="2" t="s">
        <v>26257</v>
      </c>
      <c r="D7469" s="2">
        <v>4</v>
      </c>
      <c r="E7469" s="2">
        <v>8</v>
      </c>
      <c r="F7469" s="2" t="s">
        <v>26258</v>
      </c>
      <c r="H7469" s="2" t="s">
        <v>17</v>
      </c>
      <c r="M7469" s="2" t="s">
        <v>146</v>
      </c>
      <c r="N7469" s="2" t="s">
        <v>18464</v>
      </c>
    </row>
    <row r="7470" spans="1:14">
      <c r="A7470" s="2">
        <v>7469</v>
      </c>
      <c r="B7470" s="3" t="s">
        <v>26259</v>
      </c>
      <c r="C7470" s="2" t="s">
        <v>24155</v>
      </c>
      <c r="D7470" s="2">
        <v>6</v>
      </c>
      <c r="E7470" s="2">
        <v>8</v>
      </c>
      <c r="F7470" s="2" t="s">
        <v>26260</v>
      </c>
      <c r="H7470" s="2" t="s">
        <v>17</v>
      </c>
      <c r="L7470" s="4">
        <v>84</v>
      </c>
    </row>
    <row r="7471" spans="1:14">
      <c r="A7471" s="2">
        <v>7470</v>
      </c>
      <c r="B7471" s="3" t="s">
        <v>26261</v>
      </c>
      <c r="C7471" s="2" t="s">
        <v>26262</v>
      </c>
      <c r="D7471" s="2">
        <v>8</v>
      </c>
      <c r="E7471" s="2">
        <v>8</v>
      </c>
      <c r="F7471" s="2" t="s">
        <v>26263</v>
      </c>
      <c r="H7471" s="2" t="s">
        <v>17</v>
      </c>
      <c r="L7471" s="4" t="s">
        <v>26264</v>
      </c>
    </row>
    <row r="7472" spans="1:14">
      <c r="A7472" s="2">
        <v>7471</v>
      </c>
      <c r="B7472" s="3" t="s">
        <v>26265</v>
      </c>
      <c r="C7472" s="2" t="s">
        <v>26266</v>
      </c>
      <c r="D7472" s="2">
        <v>8</v>
      </c>
      <c r="E7472" s="2">
        <v>8</v>
      </c>
      <c r="F7472" s="2" t="s">
        <v>26267</v>
      </c>
      <c r="H7472" s="2" t="s">
        <v>17</v>
      </c>
    </row>
    <row r="7473" spans="1:14">
      <c r="A7473" s="2">
        <v>7472</v>
      </c>
      <c r="B7473" s="3" t="s">
        <v>26268</v>
      </c>
      <c r="C7473" s="2" t="s">
        <v>26269</v>
      </c>
      <c r="D7473" s="2">
        <v>8</v>
      </c>
      <c r="E7473" s="2">
        <v>8</v>
      </c>
      <c r="F7473" s="2" t="s">
        <v>26270</v>
      </c>
      <c r="H7473" s="2" t="s">
        <v>17</v>
      </c>
    </row>
    <row r="7474" spans="1:14">
      <c r="A7474" s="2">
        <v>7473</v>
      </c>
      <c r="B7474" s="3" t="s">
        <v>26271</v>
      </c>
      <c r="C7474" s="2" t="s">
        <v>24906</v>
      </c>
      <c r="D7474" s="2">
        <v>8</v>
      </c>
      <c r="E7474" s="2">
        <v>8</v>
      </c>
      <c r="F7474" s="2" t="s">
        <v>26272</v>
      </c>
      <c r="H7474" s="2" t="s">
        <v>17</v>
      </c>
      <c r="M7474" s="2" t="s">
        <v>170</v>
      </c>
      <c r="N7474" s="2" t="s">
        <v>323</v>
      </c>
    </row>
    <row r="7475" spans="1:14">
      <c r="A7475" s="2">
        <v>7474</v>
      </c>
      <c r="B7475" s="3" t="s">
        <v>26273</v>
      </c>
      <c r="C7475" s="2" t="s">
        <v>26274</v>
      </c>
      <c r="D7475" s="2">
        <v>8</v>
      </c>
      <c r="E7475" s="2">
        <v>8</v>
      </c>
      <c r="F7475" s="2" t="s">
        <v>26275</v>
      </c>
      <c r="H7475" s="2" t="s">
        <v>17</v>
      </c>
    </row>
    <row r="7476" spans="1:14">
      <c r="A7476" s="2">
        <v>7475</v>
      </c>
      <c r="B7476" s="3" t="s">
        <v>26276</v>
      </c>
      <c r="C7476" s="2" t="s">
        <v>26277</v>
      </c>
      <c r="D7476" s="2">
        <v>8</v>
      </c>
      <c r="E7476" s="2">
        <v>8</v>
      </c>
      <c r="F7476" s="2" t="s">
        <v>26278</v>
      </c>
      <c r="H7476" s="2" t="s">
        <v>17</v>
      </c>
      <c r="K7476" s="4" t="s">
        <v>26279</v>
      </c>
      <c r="L7476" s="4" t="s">
        <v>20006</v>
      </c>
      <c r="M7476" s="2" t="s">
        <v>170</v>
      </c>
      <c r="N7476" s="2" t="s">
        <v>323</v>
      </c>
    </row>
    <row r="7477" spans="1:14">
      <c r="A7477" s="2">
        <v>7476</v>
      </c>
      <c r="B7477" s="3" t="s">
        <v>26280</v>
      </c>
      <c r="C7477" s="2" t="s">
        <v>26281</v>
      </c>
      <c r="D7477" s="2">
        <v>7</v>
      </c>
      <c r="E7477" s="2">
        <v>8</v>
      </c>
      <c r="F7477" s="2" t="s">
        <v>26282</v>
      </c>
      <c r="H7477" s="2" t="s">
        <v>17</v>
      </c>
      <c r="K7477" s="4" t="s">
        <v>26283</v>
      </c>
      <c r="L7477" s="4" t="s">
        <v>26284</v>
      </c>
    </row>
    <row r="7478" spans="1:14">
      <c r="A7478" s="2">
        <v>7477</v>
      </c>
      <c r="B7478" s="3" t="s">
        <v>26285</v>
      </c>
      <c r="C7478" s="2" t="s">
        <v>26286</v>
      </c>
      <c r="D7478" s="2">
        <v>8</v>
      </c>
      <c r="E7478" s="2">
        <v>8</v>
      </c>
      <c r="F7478" s="2" t="s">
        <v>26287</v>
      </c>
      <c r="H7478" s="2" t="s">
        <v>17</v>
      </c>
      <c r="K7478" s="4" t="s">
        <v>26288</v>
      </c>
      <c r="M7478" s="2" t="s">
        <v>336</v>
      </c>
      <c r="N7478" s="2" t="s">
        <v>26289</v>
      </c>
    </row>
    <row r="7479" spans="1:14">
      <c r="A7479" s="2">
        <v>7478</v>
      </c>
      <c r="B7479" s="3" t="s">
        <v>26290</v>
      </c>
      <c r="C7479" s="2" t="s">
        <v>23440</v>
      </c>
      <c r="D7479" s="2">
        <v>2</v>
      </c>
      <c r="E7479" s="2">
        <v>8</v>
      </c>
      <c r="F7479" s="2" t="s">
        <v>26291</v>
      </c>
      <c r="H7479" s="2" t="s">
        <v>17</v>
      </c>
      <c r="L7479" s="4" t="s">
        <v>26292</v>
      </c>
    </row>
    <row r="7480" spans="1:14">
      <c r="A7480" s="2">
        <v>7479</v>
      </c>
      <c r="B7480" s="3" t="s">
        <v>26293</v>
      </c>
      <c r="C7480" s="2" t="s">
        <v>26294</v>
      </c>
      <c r="D7480" s="2">
        <v>8</v>
      </c>
      <c r="E7480" s="2">
        <v>8</v>
      </c>
      <c r="F7480" s="2" t="s">
        <v>26295</v>
      </c>
      <c r="H7480" s="2" t="s">
        <v>17</v>
      </c>
      <c r="K7480" s="4" t="s">
        <v>26296</v>
      </c>
      <c r="M7480" s="2" t="s">
        <v>146</v>
      </c>
    </row>
    <row r="7481" spans="1:14">
      <c r="A7481" s="2">
        <v>7480</v>
      </c>
      <c r="B7481" s="3" t="s">
        <v>26297</v>
      </c>
      <c r="C7481" s="2" t="s">
        <v>26298</v>
      </c>
      <c r="D7481" s="2">
        <v>8</v>
      </c>
      <c r="E7481" s="2">
        <v>8</v>
      </c>
      <c r="F7481" s="2" t="s">
        <v>26299</v>
      </c>
      <c r="H7481" s="2" t="s">
        <v>17</v>
      </c>
      <c r="K7481" s="4" t="s">
        <v>26300</v>
      </c>
      <c r="L7481" s="4" t="s">
        <v>19392</v>
      </c>
    </row>
    <row r="7482" spans="1:14">
      <c r="A7482" s="2">
        <v>7481</v>
      </c>
      <c r="B7482" s="3" t="s">
        <v>26301</v>
      </c>
      <c r="C7482" s="2" t="s">
        <v>26302</v>
      </c>
      <c r="D7482" s="2">
        <v>5</v>
      </c>
      <c r="E7482" s="2">
        <v>8</v>
      </c>
      <c r="F7482" s="2" t="s">
        <v>26303</v>
      </c>
      <c r="H7482" s="2" t="s">
        <v>17</v>
      </c>
      <c r="K7482" s="4" t="s">
        <v>26304</v>
      </c>
      <c r="L7482" s="4" t="s">
        <v>26305</v>
      </c>
      <c r="N7482" s="2" t="s">
        <v>15964</v>
      </c>
    </row>
    <row r="7483" spans="1:14">
      <c r="A7483" s="2">
        <v>7482</v>
      </c>
      <c r="B7483" s="3" t="s">
        <v>26306</v>
      </c>
      <c r="C7483" s="2" t="s">
        <v>11150</v>
      </c>
      <c r="D7483" s="2">
        <v>8</v>
      </c>
      <c r="E7483" s="2">
        <v>8</v>
      </c>
      <c r="F7483" s="2" t="s">
        <v>26307</v>
      </c>
      <c r="H7483" s="2" t="s">
        <v>17</v>
      </c>
    </row>
    <row r="7484" spans="1:14">
      <c r="A7484" s="2">
        <v>7483</v>
      </c>
      <c r="B7484" s="3" t="s">
        <v>26308</v>
      </c>
      <c r="C7484" s="2" t="s">
        <v>21307</v>
      </c>
      <c r="D7484" s="2">
        <v>4</v>
      </c>
      <c r="E7484" s="2">
        <v>8</v>
      </c>
      <c r="F7484" s="2" t="s">
        <v>26309</v>
      </c>
      <c r="H7484" s="2" t="s">
        <v>17</v>
      </c>
      <c r="K7484" s="4" t="s">
        <v>26310</v>
      </c>
      <c r="L7484" s="4" t="s">
        <v>26311</v>
      </c>
    </row>
    <row r="7485" spans="1:14">
      <c r="A7485" s="2">
        <v>7484</v>
      </c>
      <c r="B7485" s="3" t="s">
        <v>26312</v>
      </c>
      <c r="C7485" s="2" t="s">
        <v>26313</v>
      </c>
      <c r="D7485" s="2">
        <v>3</v>
      </c>
      <c r="E7485" s="2">
        <v>8</v>
      </c>
      <c r="F7485" s="2" t="s">
        <v>26314</v>
      </c>
      <c r="H7485" s="2" t="s">
        <v>17</v>
      </c>
      <c r="L7485" s="4" t="s">
        <v>26315</v>
      </c>
      <c r="M7485" s="2" t="s">
        <v>53</v>
      </c>
    </row>
    <row r="7486" spans="1:14">
      <c r="A7486" s="2">
        <v>7485</v>
      </c>
      <c r="B7486" s="3" t="s">
        <v>26316</v>
      </c>
      <c r="C7486" s="2" t="s">
        <v>26317</v>
      </c>
      <c r="D7486" s="2">
        <v>5</v>
      </c>
      <c r="E7486" s="2">
        <v>8</v>
      </c>
      <c r="F7486" s="2" t="s">
        <v>26318</v>
      </c>
      <c r="H7486" s="2" t="s">
        <v>17</v>
      </c>
      <c r="K7486" s="4" t="s">
        <v>26319</v>
      </c>
      <c r="L7486" s="4" t="s">
        <v>26320</v>
      </c>
    </row>
    <row r="7487" spans="1:14">
      <c r="A7487" s="2">
        <v>7486</v>
      </c>
      <c r="B7487" s="3" t="s">
        <v>26321</v>
      </c>
      <c r="C7487" s="2" t="s">
        <v>26322</v>
      </c>
      <c r="D7487" s="2">
        <v>5</v>
      </c>
      <c r="E7487" s="2">
        <v>8</v>
      </c>
      <c r="F7487" s="2" t="s">
        <v>26323</v>
      </c>
      <c r="H7487" s="2" t="s">
        <v>17</v>
      </c>
      <c r="K7487" s="4" t="s">
        <v>26324</v>
      </c>
      <c r="L7487" s="4" t="s">
        <v>26325</v>
      </c>
      <c r="M7487" s="2" t="s">
        <v>66</v>
      </c>
      <c r="N7487" s="2" t="s">
        <v>131</v>
      </c>
    </row>
    <row r="7488" spans="1:14">
      <c r="A7488" s="2">
        <v>7487</v>
      </c>
      <c r="B7488" s="3" t="s">
        <v>26326</v>
      </c>
      <c r="C7488" s="2" t="s">
        <v>26327</v>
      </c>
      <c r="D7488" s="2">
        <v>2</v>
      </c>
      <c r="E7488" s="2">
        <v>8</v>
      </c>
      <c r="F7488" s="2" t="s">
        <v>26328</v>
      </c>
      <c r="H7488" s="2" t="s">
        <v>17</v>
      </c>
      <c r="L7488" s="4" t="s">
        <v>26329</v>
      </c>
      <c r="M7488" s="2" t="s">
        <v>91</v>
      </c>
    </row>
    <row r="7489" spans="1:14">
      <c r="A7489" s="2">
        <v>7488</v>
      </c>
      <c r="B7489" s="3" t="s">
        <v>26330</v>
      </c>
      <c r="C7489" s="2" t="s">
        <v>26331</v>
      </c>
      <c r="D7489" s="2">
        <v>8</v>
      </c>
      <c r="E7489" s="2">
        <v>8</v>
      </c>
      <c r="F7489" s="2" t="s">
        <v>26332</v>
      </c>
      <c r="H7489" s="2" t="s">
        <v>17</v>
      </c>
      <c r="K7489" s="4" t="s">
        <v>26333</v>
      </c>
      <c r="L7489" s="4" t="s">
        <v>26334</v>
      </c>
      <c r="M7489" s="2" t="s">
        <v>47</v>
      </c>
      <c r="N7489" s="2" t="s">
        <v>48</v>
      </c>
    </row>
    <row r="7490" spans="1:14">
      <c r="A7490" s="2">
        <v>7489</v>
      </c>
      <c r="B7490" s="3" t="s">
        <v>26335</v>
      </c>
      <c r="C7490" s="2" t="s">
        <v>26336</v>
      </c>
      <c r="D7490" s="2">
        <v>8</v>
      </c>
      <c r="E7490" s="2">
        <v>8</v>
      </c>
      <c r="F7490" s="2" t="s">
        <v>26337</v>
      </c>
      <c r="H7490" s="2" t="s">
        <v>17</v>
      </c>
    </row>
    <row r="7491" spans="1:14">
      <c r="A7491" s="2">
        <v>7490</v>
      </c>
      <c r="B7491" s="3" t="s">
        <v>26338</v>
      </c>
      <c r="C7491" s="2" t="s">
        <v>21351</v>
      </c>
      <c r="D7491" s="2">
        <v>4</v>
      </c>
      <c r="E7491" s="2">
        <v>8</v>
      </c>
      <c r="F7491" s="2" t="s">
        <v>26339</v>
      </c>
      <c r="H7491" s="2" t="s">
        <v>17</v>
      </c>
      <c r="K7491" s="4" t="s">
        <v>26340</v>
      </c>
      <c r="L7491" s="4" t="s">
        <v>26341</v>
      </c>
      <c r="M7491" s="2" t="s">
        <v>185</v>
      </c>
      <c r="N7491" s="2" t="s">
        <v>10783</v>
      </c>
    </row>
    <row r="7492" spans="1:14">
      <c r="A7492" s="2">
        <v>7491</v>
      </c>
      <c r="B7492" s="3" t="s">
        <v>26342</v>
      </c>
      <c r="C7492" s="2" t="s">
        <v>26343</v>
      </c>
      <c r="D7492" s="2">
        <v>8</v>
      </c>
      <c r="E7492" s="2">
        <v>8</v>
      </c>
      <c r="F7492" s="2" t="s">
        <v>26344</v>
      </c>
      <c r="H7492" s="2" t="s">
        <v>17</v>
      </c>
    </row>
    <row r="7493" spans="1:14">
      <c r="A7493" s="2">
        <v>7492</v>
      </c>
      <c r="B7493" s="3" t="s">
        <v>26345</v>
      </c>
      <c r="C7493" s="2" t="s">
        <v>26346</v>
      </c>
      <c r="D7493" s="2">
        <v>3</v>
      </c>
      <c r="E7493" s="2">
        <v>8</v>
      </c>
      <c r="F7493" s="2" t="s">
        <v>26347</v>
      </c>
      <c r="H7493" s="2" t="s">
        <v>17</v>
      </c>
      <c r="K7493" s="4" t="s">
        <v>26348</v>
      </c>
      <c r="L7493" s="4" t="s">
        <v>26349</v>
      </c>
      <c r="M7493" s="2" t="s">
        <v>40</v>
      </c>
      <c r="N7493" s="2" t="s">
        <v>9352</v>
      </c>
    </row>
    <row r="7494" spans="1:14">
      <c r="A7494" s="2">
        <v>7493</v>
      </c>
      <c r="B7494" s="3" t="s">
        <v>26350</v>
      </c>
      <c r="C7494" s="2" t="s">
        <v>26351</v>
      </c>
      <c r="D7494" s="2">
        <v>5</v>
      </c>
      <c r="E7494" s="2">
        <v>8</v>
      </c>
      <c r="F7494" s="2" t="s">
        <v>26352</v>
      </c>
      <c r="H7494" s="2" t="s">
        <v>17</v>
      </c>
      <c r="K7494" s="4" t="s">
        <v>26353</v>
      </c>
      <c r="L7494" s="4" t="s">
        <v>26354</v>
      </c>
      <c r="M7494" s="2" t="s">
        <v>85</v>
      </c>
      <c r="N7494" s="2" t="s">
        <v>1356</v>
      </c>
    </row>
    <row r="7495" spans="1:14">
      <c r="A7495" s="2">
        <v>7494</v>
      </c>
      <c r="B7495" s="3" t="s">
        <v>26355</v>
      </c>
      <c r="C7495" s="2" t="s">
        <v>26356</v>
      </c>
      <c r="D7495" s="2">
        <v>2</v>
      </c>
      <c r="E7495" s="2">
        <v>8</v>
      </c>
      <c r="F7495" s="2" t="s">
        <v>26357</v>
      </c>
      <c r="H7495" s="2" t="s">
        <v>17</v>
      </c>
      <c r="L7495" s="4" t="s">
        <v>26358</v>
      </c>
      <c r="M7495" s="2" t="s">
        <v>198</v>
      </c>
      <c r="N7495" s="2" t="s">
        <v>26359</v>
      </c>
    </row>
    <row r="7496" spans="1:14">
      <c r="A7496" s="2">
        <v>7495</v>
      </c>
      <c r="B7496" s="3" t="s">
        <v>26360</v>
      </c>
      <c r="C7496" s="2" t="s">
        <v>19733</v>
      </c>
      <c r="D7496" s="2">
        <v>3</v>
      </c>
      <c r="E7496" s="2">
        <v>8</v>
      </c>
      <c r="F7496" s="2" t="s">
        <v>19734</v>
      </c>
      <c r="H7496" s="2" t="s">
        <v>17</v>
      </c>
      <c r="K7496" s="4" t="s">
        <v>26361</v>
      </c>
      <c r="L7496" s="4" t="s">
        <v>26362</v>
      </c>
      <c r="M7496" s="2" t="s">
        <v>198</v>
      </c>
      <c r="N7496" s="2" t="s">
        <v>199</v>
      </c>
    </row>
    <row r="7497" spans="1:14">
      <c r="A7497" s="2">
        <v>7496</v>
      </c>
      <c r="B7497" s="3" t="s">
        <v>26363</v>
      </c>
      <c r="C7497" s="2" t="s">
        <v>26364</v>
      </c>
      <c r="D7497" s="2">
        <v>8</v>
      </c>
      <c r="E7497" s="2">
        <v>8</v>
      </c>
      <c r="F7497" s="2" t="s">
        <v>26365</v>
      </c>
      <c r="H7497" s="2" t="s">
        <v>17</v>
      </c>
    </row>
    <row r="7498" spans="1:14">
      <c r="A7498" s="2">
        <v>7497</v>
      </c>
      <c r="B7498" s="3" t="s">
        <v>26366</v>
      </c>
      <c r="C7498" s="2" t="s">
        <v>26367</v>
      </c>
      <c r="D7498" s="2">
        <v>8</v>
      </c>
      <c r="E7498" s="2">
        <v>8</v>
      </c>
      <c r="F7498" s="2" t="s">
        <v>26368</v>
      </c>
      <c r="H7498" s="2" t="s">
        <v>17</v>
      </c>
      <c r="K7498" s="4" t="s">
        <v>26369</v>
      </c>
      <c r="L7498" s="4" t="s">
        <v>26370</v>
      </c>
      <c r="M7498" s="2" t="s">
        <v>198</v>
      </c>
      <c r="N7498" s="2" t="s">
        <v>199</v>
      </c>
    </row>
    <row r="7499" spans="1:14">
      <c r="A7499" s="2">
        <v>7498</v>
      </c>
      <c r="B7499" s="3" t="s">
        <v>26371</v>
      </c>
      <c r="C7499" s="2" t="s">
        <v>26372</v>
      </c>
      <c r="D7499" s="2">
        <v>7</v>
      </c>
      <c r="E7499" s="2">
        <v>8</v>
      </c>
      <c r="F7499" s="2" t="s">
        <v>26373</v>
      </c>
      <c r="H7499" s="2" t="s">
        <v>17</v>
      </c>
      <c r="K7499" s="4" t="s">
        <v>26374</v>
      </c>
      <c r="L7499" s="4" t="s">
        <v>26375</v>
      </c>
      <c r="M7499" s="2" t="s">
        <v>66</v>
      </c>
      <c r="N7499" s="2" t="s">
        <v>12230</v>
      </c>
    </row>
    <row r="7500" spans="1:14">
      <c r="A7500" s="2">
        <v>7499</v>
      </c>
      <c r="B7500" s="3" t="s">
        <v>26376</v>
      </c>
      <c r="C7500" s="2" t="s">
        <v>26377</v>
      </c>
      <c r="D7500" s="2">
        <v>8</v>
      </c>
      <c r="E7500" s="2">
        <v>8</v>
      </c>
      <c r="F7500" s="2" t="s">
        <v>26378</v>
      </c>
      <c r="H7500" s="2" t="s">
        <v>17</v>
      </c>
      <c r="L7500" s="4" t="s">
        <v>26379</v>
      </c>
    </row>
    <row r="7501" spans="1:14">
      <c r="A7501" s="2">
        <v>7500</v>
      </c>
      <c r="B7501" s="3" t="s">
        <v>26380</v>
      </c>
      <c r="C7501" s="2" t="s">
        <v>26381</v>
      </c>
      <c r="D7501" s="2">
        <v>5</v>
      </c>
      <c r="E7501" s="2">
        <v>8</v>
      </c>
      <c r="F7501" s="2" t="s">
        <v>26382</v>
      </c>
      <c r="H7501" s="2" t="s">
        <v>17</v>
      </c>
    </row>
    <row r="7502" spans="1:14">
      <c r="A7502" s="2">
        <v>7501</v>
      </c>
      <c r="B7502" s="3" t="s">
        <v>26383</v>
      </c>
      <c r="C7502" s="2" t="s">
        <v>26384</v>
      </c>
      <c r="D7502" s="2">
        <v>8</v>
      </c>
      <c r="E7502" s="2">
        <v>8</v>
      </c>
      <c r="F7502" s="2" t="s">
        <v>26385</v>
      </c>
      <c r="H7502" s="2" t="s">
        <v>17</v>
      </c>
    </row>
    <row r="7503" spans="1:14">
      <c r="A7503" s="2">
        <v>7502</v>
      </c>
      <c r="B7503" s="3" t="s">
        <v>26386</v>
      </c>
      <c r="C7503" s="2" t="s">
        <v>26387</v>
      </c>
      <c r="D7503" s="2">
        <v>8</v>
      </c>
      <c r="E7503" s="2">
        <v>8</v>
      </c>
      <c r="F7503" s="2" t="s">
        <v>26388</v>
      </c>
      <c r="H7503" s="2" t="s">
        <v>17</v>
      </c>
    </row>
    <row r="7504" spans="1:14">
      <c r="A7504" s="2">
        <v>7503</v>
      </c>
      <c r="B7504" s="3" t="s">
        <v>26389</v>
      </c>
      <c r="C7504" s="2" t="s">
        <v>26390</v>
      </c>
      <c r="D7504" s="2">
        <v>2</v>
      </c>
      <c r="E7504" s="2">
        <v>8</v>
      </c>
      <c r="F7504" s="2" t="s">
        <v>26391</v>
      </c>
      <c r="H7504" s="2" t="s">
        <v>17</v>
      </c>
    </row>
    <row r="7505" spans="1:14">
      <c r="A7505" s="2">
        <v>7504</v>
      </c>
      <c r="B7505" s="3" t="s">
        <v>26392</v>
      </c>
      <c r="C7505" s="2" t="s">
        <v>26393</v>
      </c>
      <c r="D7505" s="2">
        <v>2</v>
      </c>
      <c r="E7505" s="2">
        <v>8</v>
      </c>
      <c r="F7505" s="2" t="s">
        <v>26394</v>
      </c>
      <c r="H7505" s="2" t="s">
        <v>17</v>
      </c>
      <c r="L7505" s="4" t="s">
        <v>26395</v>
      </c>
    </row>
    <row r="7506" spans="1:14">
      <c r="A7506" s="2">
        <v>7505</v>
      </c>
      <c r="B7506" s="3" t="s">
        <v>26396</v>
      </c>
      <c r="C7506" s="2" t="s">
        <v>26397</v>
      </c>
      <c r="D7506" s="2">
        <v>8</v>
      </c>
      <c r="E7506" s="2">
        <v>8</v>
      </c>
      <c r="F7506" s="2" t="s">
        <v>26398</v>
      </c>
      <c r="H7506" s="2" t="s">
        <v>17</v>
      </c>
    </row>
    <row r="7507" spans="1:14">
      <c r="A7507" s="2">
        <v>7506</v>
      </c>
      <c r="B7507" s="3" t="s">
        <v>26399</v>
      </c>
      <c r="C7507" s="2" t="s">
        <v>26400</v>
      </c>
      <c r="D7507" s="2">
        <v>2</v>
      </c>
      <c r="E7507" s="2">
        <v>8</v>
      </c>
      <c r="F7507" s="2" t="s">
        <v>26401</v>
      </c>
      <c r="H7507" s="2" t="s">
        <v>17</v>
      </c>
      <c r="K7507" s="4" t="s">
        <v>26402</v>
      </c>
      <c r="L7507" s="4" t="s">
        <v>26403</v>
      </c>
      <c r="M7507" s="2" t="s">
        <v>40</v>
      </c>
      <c r="N7507" s="2" t="s">
        <v>41</v>
      </c>
    </row>
    <row r="7508" spans="1:14">
      <c r="A7508" s="2">
        <v>7507</v>
      </c>
      <c r="B7508" s="3" t="s">
        <v>26404</v>
      </c>
      <c r="C7508" s="2" t="s">
        <v>26405</v>
      </c>
      <c r="D7508" s="2">
        <v>7</v>
      </c>
      <c r="E7508" s="2">
        <v>8</v>
      </c>
      <c r="F7508" s="2" t="s">
        <v>26406</v>
      </c>
      <c r="H7508" s="2" t="s">
        <v>17</v>
      </c>
      <c r="K7508" s="4" t="s">
        <v>26407</v>
      </c>
      <c r="L7508" s="4" t="s">
        <v>26408</v>
      </c>
      <c r="M7508" s="2" t="s">
        <v>140</v>
      </c>
    </row>
    <row r="7509" spans="1:14">
      <c r="A7509" s="2">
        <v>7508</v>
      </c>
      <c r="B7509" s="3" t="s">
        <v>26409</v>
      </c>
      <c r="C7509" s="2" t="s">
        <v>26410</v>
      </c>
      <c r="D7509" s="2">
        <v>3</v>
      </c>
      <c r="E7509" s="2">
        <v>8</v>
      </c>
      <c r="F7509" s="2" t="s">
        <v>26411</v>
      </c>
      <c r="H7509" s="2" t="s">
        <v>17</v>
      </c>
      <c r="L7509" s="4" t="s">
        <v>26412</v>
      </c>
      <c r="M7509" s="2" t="s">
        <v>40</v>
      </c>
    </row>
    <row r="7510" spans="1:14">
      <c r="A7510" s="2">
        <v>7509</v>
      </c>
      <c r="B7510" s="3" t="s">
        <v>26413</v>
      </c>
      <c r="C7510" s="2" t="s">
        <v>26414</v>
      </c>
      <c r="D7510" s="2">
        <v>8</v>
      </c>
      <c r="E7510" s="2">
        <v>8</v>
      </c>
      <c r="F7510" s="2" t="s">
        <v>26415</v>
      </c>
      <c r="H7510" s="2" t="s">
        <v>17</v>
      </c>
      <c r="K7510" s="4" t="s">
        <v>26416</v>
      </c>
      <c r="L7510" s="4" t="s">
        <v>26417</v>
      </c>
      <c r="M7510" s="2" t="s">
        <v>13668</v>
      </c>
      <c r="N7510" s="2" t="s">
        <v>323</v>
      </c>
    </row>
    <row r="7511" spans="1:14">
      <c r="A7511" s="2">
        <v>7510</v>
      </c>
      <c r="B7511" s="3" t="s">
        <v>26418</v>
      </c>
      <c r="C7511" s="2" t="s">
        <v>26419</v>
      </c>
      <c r="D7511" s="2">
        <v>8</v>
      </c>
      <c r="E7511" s="2">
        <v>8</v>
      </c>
      <c r="F7511" s="2" t="s">
        <v>26420</v>
      </c>
      <c r="H7511" s="2" t="s">
        <v>17</v>
      </c>
      <c r="K7511" s="4" t="s">
        <v>26421</v>
      </c>
      <c r="L7511" s="4" t="s">
        <v>26422</v>
      </c>
      <c r="M7511" s="2" t="s">
        <v>40</v>
      </c>
      <c r="N7511" s="2" t="s">
        <v>12371</v>
      </c>
    </row>
    <row r="7512" spans="1:14">
      <c r="A7512" s="2">
        <v>7511</v>
      </c>
      <c r="B7512" s="3" t="s">
        <v>26423</v>
      </c>
      <c r="C7512" s="2" t="s">
        <v>26424</v>
      </c>
      <c r="D7512" s="2">
        <v>4</v>
      </c>
      <c r="E7512" s="2">
        <v>8</v>
      </c>
      <c r="F7512" s="2" t="s">
        <v>26425</v>
      </c>
      <c r="H7512" s="2" t="s">
        <v>17</v>
      </c>
    </row>
    <row r="7513" spans="1:14">
      <c r="A7513" s="2">
        <v>7512</v>
      </c>
      <c r="B7513" s="3" t="s">
        <v>26426</v>
      </c>
      <c r="C7513" s="2" t="s">
        <v>26427</v>
      </c>
      <c r="D7513" s="2">
        <v>8</v>
      </c>
      <c r="E7513" s="2">
        <v>8</v>
      </c>
      <c r="F7513" s="2" t="s">
        <v>26428</v>
      </c>
      <c r="H7513" s="2" t="s">
        <v>17</v>
      </c>
    </row>
    <row r="7514" spans="1:14">
      <c r="A7514" s="2">
        <v>7513</v>
      </c>
      <c r="B7514" s="3" t="s">
        <v>26429</v>
      </c>
      <c r="C7514" s="2" t="s">
        <v>26430</v>
      </c>
      <c r="D7514" s="2">
        <v>8</v>
      </c>
      <c r="E7514" s="2">
        <v>8</v>
      </c>
      <c r="F7514" s="2" t="s">
        <v>26431</v>
      </c>
      <c r="H7514" s="2" t="s">
        <v>17</v>
      </c>
      <c r="L7514" s="4" t="s">
        <v>26432</v>
      </c>
      <c r="M7514" s="2" t="s">
        <v>47</v>
      </c>
    </row>
    <row r="7515" spans="1:14">
      <c r="A7515" s="2">
        <v>7514</v>
      </c>
      <c r="B7515" s="3" t="s">
        <v>26433</v>
      </c>
      <c r="C7515" s="2" t="s">
        <v>24077</v>
      </c>
      <c r="D7515" s="2">
        <v>8</v>
      </c>
      <c r="E7515" s="2">
        <v>8</v>
      </c>
      <c r="F7515" s="2" t="s">
        <v>26434</v>
      </c>
      <c r="H7515" s="2" t="s">
        <v>17</v>
      </c>
      <c r="K7515" s="4" t="s">
        <v>26435</v>
      </c>
      <c r="L7515" s="4" t="s">
        <v>26436</v>
      </c>
      <c r="M7515" s="2" t="s">
        <v>198</v>
      </c>
      <c r="N7515" s="2" t="s">
        <v>5846</v>
      </c>
    </row>
    <row r="7516" spans="1:14">
      <c r="A7516" s="2">
        <v>7515</v>
      </c>
      <c r="B7516" s="3" t="s">
        <v>26437</v>
      </c>
      <c r="C7516" s="2" t="s">
        <v>26438</v>
      </c>
      <c r="D7516" s="2">
        <v>8</v>
      </c>
      <c r="E7516" s="2">
        <v>8</v>
      </c>
      <c r="F7516" s="2" t="s">
        <v>26439</v>
      </c>
      <c r="H7516" s="2" t="s">
        <v>17</v>
      </c>
    </row>
    <row r="7517" spans="1:14">
      <c r="A7517" s="2">
        <v>7516</v>
      </c>
      <c r="B7517" s="3" t="s">
        <v>26440</v>
      </c>
      <c r="C7517" s="2" t="s">
        <v>26441</v>
      </c>
      <c r="D7517" s="2">
        <v>7</v>
      </c>
      <c r="E7517" s="2">
        <v>8</v>
      </c>
      <c r="F7517" s="2" t="s">
        <v>26442</v>
      </c>
      <c r="H7517" s="2" t="s">
        <v>17</v>
      </c>
      <c r="K7517" s="4" t="s">
        <v>26443</v>
      </c>
      <c r="L7517" s="4" t="s">
        <v>26444</v>
      </c>
      <c r="M7517" s="2" t="s">
        <v>164</v>
      </c>
      <c r="N7517" s="2" t="s">
        <v>165</v>
      </c>
    </row>
    <row r="7518" spans="1:14">
      <c r="A7518" s="2">
        <v>7517</v>
      </c>
      <c r="B7518" s="3" t="s">
        <v>26445</v>
      </c>
      <c r="C7518" s="2" t="s">
        <v>21742</v>
      </c>
      <c r="D7518" s="2">
        <v>4</v>
      </c>
      <c r="E7518" s="2">
        <v>8</v>
      </c>
      <c r="F7518" s="2" t="s">
        <v>26446</v>
      </c>
      <c r="H7518" s="2" t="s">
        <v>17</v>
      </c>
      <c r="K7518" s="4" t="s">
        <v>26447</v>
      </c>
      <c r="L7518" s="4" t="s">
        <v>26448</v>
      </c>
      <c r="M7518" s="2" t="s">
        <v>40</v>
      </c>
      <c r="N7518" s="2" t="s">
        <v>1528</v>
      </c>
    </row>
    <row r="7519" spans="1:14">
      <c r="A7519" s="2">
        <v>7518</v>
      </c>
      <c r="B7519" s="3" t="s">
        <v>26449</v>
      </c>
      <c r="C7519" s="2" t="s">
        <v>26450</v>
      </c>
      <c r="D7519" s="2">
        <v>8</v>
      </c>
      <c r="E7519" s="2">
        <v>8</v>
      </c>
      <c r="F7519" s="2" t="s">
        <v>26451</v>
      </c>
      <c r="H7519" s="2" t="s">
        <v>17</v>
      </c>
    </row>
    <row r="7520" spans="1:14">
      <c r="A7520" s="2">
        <v>7519</v>
      </c>
      <c r="B7520" s="3" t="s">
        <v>26452</v>
      </c>
      <c r="C7520" s="2" t="s">
        <v>26453</v>
      </c>
      <c r="D7520" s="2">
        <v>7</v>
      </c>
      <c r="E7520" s="2">
        <v>7</v>
      </c>
      <c r="F7520" s="2" t="s">
        <v>26454</v>
      </c>
      <c r="H7520" s="2" t="s">
        <v>17</v>
      </c>
    </row>
    <row r="7521" spans="1:14">
      <c r="A7521" s="2">
        <v>7520</v>
      </c>
      <c r="B7521" s="3" t="s">
        <v>26455</v>
      </c>
      <c r="C7521" s="2" t="s">
        <v>26456</v>
      </c>
      <c r="D7521" s="2">
        <v>6</v>
      </c>
      <c r="E7521" s="2">
        <v>7</v>
      </c>
      <c r="F7521" s="2" t="s">
        <v>26457</v>
      </c>
      <c r="H7521" s="2" t="s">
        <v>17</v>
      </c>
      <c r="K7521" s="4" t="s">
        <v>26458</v>
      </c>
      <c r="L7521" s="4" t="s">
        <v>26459</v>
      </c>
      <c r="M7521" s="2" t="s">
        <v>76</v>
      </c>
      <c r="N7521" s="2" t="s">
        <v>764</v>
      </c>
    </row>
    <row r="7522" spans="1:14">
      <c r="A7522" s="2">
        <v>7521</v>
      </c>
      <c r="B7522" s="3" t="s">
        <v>26460</v>
      </c>
      <c r="C7522" s="2" t="s">
        <v>26461</v>
      </c>
      <c r="D7522" s="2">
        <v>6</v>
      </c>
      <c r="E7522" s="2">
        <v>7</v>
      </c>
      <c r="F7522" s="2" t="s">
        <v>26462</v>
      </c>
      <c r="H7522" s="2" t="s">
        <v>17</v>
      </c>
      <c r="K7522" s="4" t="s">
        <v>26463</v>
      </c>
      <c r="L7522" s="4" t="s">
        <v>26464</v>
      </c>
      <c r="M7522" s="2" t="s">
        <v>198</v>
      </c>
      <c r="N7522" s="2" t="s">
        <v>199</v>
      </c>
    </row>
    <row r="7523" spans="1:14">
      <c r="A7523" s="2">
        <v>7522</v>
      </c>
      <c r="B7523" s="3" t="s">
        <v>26465</v>
      </c>
      <c r="C7523" s="2" t="s">
        <v>26466</v>
      </c>
      <c r="D7523" s="2">
        <v>6</v>
      </c>
      <c r="E7523" s="2">
        <v>7</v>
      </c>
      <c r="F7523" s="2" t="s">
        <v>26467</v>
      </c>
      <c r="H7523" s="2" t="s">
        <v>17</v>
      </c>
    </row>
    <row r="7524" spans="1:14">
      <c r="A7524" s="2">
        <v>7523</v>
      </c>
      <c r="B7524" s="3" t="s">
        <v>26468</v>
      </c>
      <c r="C7524" s="2" t="s">
        <v>26469</v>
      </c>
      <c r="D7524" s="2">
        <v>4</v>
      </c>
      <c r="E7524" s="2">
        <v>7</v>
      </c>
      <c r="F7524" s="2" t="s">
        <v>26470</v>
      </c>
      <c r="H7524" s="2" t="s">
        <v>17</v>
      </c>
    </row>
    <row r="7525" spans="1:14">
      <c r="A7525" s="2">
        <v>7524</v>
      </c>
      <c r="B7525" s="3" t="s">
        <v>26471</v>
      </c>
      <c r="C7525" s="2" t="s">
        <v>13461</v>
      </c>
      <c r="D7525" s="2">
        <v>7</v>
      </c>
      <c r="E7525" s="2">
        <v>7</v>
      </c>
      <c r="F7525" s="2" t="s">
        <v>26472</v>
      </c>
      <c r="H7525" s="2" t="s">
        <v>17</v>
      </c>
    </row>
    <row r="7526" spans="1:14">
      <c r="A7526" s="2">
        <v>7525</v>
      </c>
      <c r="B7526" s="3" t="s">
        <v>26473</v>
      </c>
      <c r="C7526" s="2" t="s">
        <v>26474</v>
      </c>
      <c r="D7526" s="2">
        <v>7</v>
      </c>
      <c r="E7526" s="2">
        <v>7</v>
      </c>
      <c r="F7526" s="2" t="s">
        <v>26475</v>
      </c>
      <c r="H7526" s="2" t="s">
        <v>17</v>
      </c>
    </row>
    <row r="7527" spans="1:14">
      <c r="A7527" s="2">
        <v>7526</v>
      </c>
      <c r="B7527" s="3" t="s">
        <v>26476</v>
      </c>
      <c r="C7527" s="2" t="s">
        <v>26477</v>
      </c>
      <c r="D7527" s="2">
        <v>6</v>
      </c>
      <c r="E7527" s="2">
        <v>7</v>
      </c>
      <c r="F7527" s="2" t="s">
        <v>26478</v>
      </c>
      <c r="H7527" s="2" t="s">
        <v>17</v>
      </c>
    </row>
    <row r="7528" spans="1:14">
      <c r="A7528" s="2">
        <v>7527</v>
      </c>
      <c r="B7528" s="3" t="s">
        <v>26479</v>
      </c>
      <c r="C7528" s="2" t="s">
        <v>25364</v>
      </c>
      <c r="D7528" s="2">
        <v>4</v>
      </c>
      <c r="E7528" s="2">
        <v>7</v>
      </c>
      <c r="F7528" s="2" t="s">
        <v>26480</v>
      </c>
      <c r="H7528" s="2" t="s">
        <v>17</v>
      </c>
      <c r="L7528" s="4" t="s">
        <v>26481</v>
      </c>
    </row>
    <row r="7529" spans="1:14">
      <c r="A7529" s="2">
        <v>7528</v>
      </c>
      <c r="B7529" s="3" t="s">
        <v>26482</v>
      </c>
      <c r="C7529" s="2" t="s">
        <v>17030</v>
      </c>
      <c r="D7529" s="2">
        <v>7</v>
      </c>
      <c r="E7529" s="2">
        <v>7</v>
      </c>
      <c r="F7529" s="2" t="s">
        <v>26483</v>
      </c>
      <c r="H7529" s="2" t="s">
        <v>17</v>
      </c>
      <c r="L7529" s="4" t="s">
        <v>26484</v>
      </c>
    </row>
    <row r="7530" spans="1:14">
      <c r="A7530" s="2">
        <v>7529</v>
      </c>
      <c r="B7530" s="3" t="s">
        <v>26485</v>
      </c>
      <c r="C7530" s="2" t="s">
        <v>26486</v>
      </c>
      <c r="D7530" s="2">
        <v>2</v>
      </c>
      <c r="E7530" s="2">
        <v>7</v>
      </c>
      <c r="F7530" s="2" t="s">
        <v>26487</v>
      </c>
      <c r="H7530" s="2" t="s">
        <v>17</v>
      </c>
      <c r="L7530" s="4" t="s">
        <v>26488</v>
      </c>
      <c r="M7530" s="2" t="s">
        <v>40</v>
      </c>
      <c r="N7530" s="2" t="s">
        <v>13336</v>
      </c>
    </row>
    <row r="7531" spans="1:14">
      <c r="A7531" s="2">
        <v>7530</v>
      </c>
      <c r="B7531" s="3" t="s">
        <v>26489</v>
      </c>
      <c r="C7531" s="2" t="s">
        <v>26490</v>
      </c>
      <c r="D7531" s="2">
        <v>7</v>
      </c>
      <c r="E7531" s="2">
        <v>7</v>
      </c>
      <c r="F7531" s="2" t="s">
        <v>26491</v>
      </c>
      <c r="H7531" s="2" t="s">
        <v>17</v>
      </c>
    </row>
    <row r="7532" spans="1:14">
      <c r="A7532" s="2">
        <v>7531</v>
      </c>
      <c r="B7532" s="3" t="s">
        <v>26492</v>
      </c>
      <c r="C7532" s="2" t="s">
        <v>26493</v>
      </c>
      <c r="D7532" s="2">
        <v>4</v>
      </c>
      <c r="E7532" s="2">
        <v>7</v>
      </c>
      <c r="F7532" s="2" t="s">
        <v>26494</v>
      </c>
      <c r="H7532" s="2" t="s">
        <v>17</v>
      </c>
    </row>
    <row r="7533" spans="1:14">
      <c r="A7533" s="2">
        <v>7532</v>
      </c>
      <c r="B7533" s="3" t="s">
        <v>26495</v>
      </c>
      <c r="C7533" s="2" t="s">
        <v>26496</v>
      </c>
      <c r="D7533" s="2">
        <v>2</v>
      </c>
      <c r="E7533" s="2">
        <v>7</v>
      </c>
      <c r="F7533" s="2" t="s">
        <v>26497</v>
      </c>
      <c r="H7533" s="2" t="s">
        <v>17</v>
      </c>
      <c r="K7533" s="4" t="s">
        <v>26498</v>
      </c>
      <c r="L7533" s="4" t="s">
        <v>26499</v>
      </c>
    </row>
    <row r="7534" spans="1:14">
      <c r="A7534" s="2">
        <v>7533</v>
      </c>
      <c r="B7534" s="3" t="s">
        <v>26500</v>
      </c>
      <c r="C7534" s="2" t="s">
        <v>26501</v>
      </c>
      <c r="D7534" s="2">
        <v>7</v>
      </c>
      <c r="E7534" s="2">
        <v>7</v>
      </c>
      <c r="F7534" s="2" t="s">
        <v>26502</v>
      </c>
      <c r="H7534" s="2" t="s">
        <v>17</v>
      </c>
      <c r="K7534" s="4" t="s">
        <v>26503</v>
      </c>
      <c r="L7534" s="4" t="s">
        <v>26504</v>
      </c>
      <c r="M7534" s="2" t="s">
        <v>35</v>
      </c>
      <c r="N7534" s="2" t="s">
        <v>1032</v>
      </c>
    </row>
    <row r="7535" spans="1:14">
      <c r="A7535" s="2">
        <v>7534</v>
      </c>
      <c r="B7535" s="3" t="s">
        <v>26505</v>
      </c>
      <c r="C7535" s="2" t="s">
        <v>26506</v>
      </c>
      <c r="D7535" s="2">
        <v>6</v>
      </c>
      <c r="E7535" s="2">
        <v>7</v>
      </c>
      <c r="F7535" s="2" t="s">
        <v>26507</v>
      </c>
      <c r="H7535" s="2" t="s">
        <v>17</v>
      </c>
    </row>
    <row r="7536" spans="1:14">
      <c r="A7536" s="2">
        <v>7535</v>
      </c>
      <c r="B7536" s="3" t="s">
        <v>26508</v>
      </c>
      <c r="C7536" s="2" t="s">
        <v>26509</v>
      </c>
      <c r="D7536" s="2">
        <v>1</v>
      </c>
      <c r="E7536" s="2">
        <v>7</v>
      </c>
      <c r="F7536" s="2" t="s">
        <v>26510</v>
      </c>
      <c r="H7536" s="2" t="s">
        <v>17</v>
      </c>
      <c r="L7536" s="4" t="s">
        <v>26511</v>
      </c>
      <c r="M7536" s="2" t="s">
        <v>423</v>
      </c>
      <c r="N7536" s="2" t="s">
        <v>8765</v>
      </c>
    </row>
    <row r="7537" spans="1:14">
      <c r="A7537" s="2">
        <v>7536</v>
      </c>
      <c r="B7537" s="3" t="s">
        <v>26512</v>
      </c>
      <c r="C7537" s="2" t="s">
        <v>26513</v>
      </c>
      <c r="D7537" s="2">
        <v>6</v>
      </c>
      <c r="E7537" s="2">
        <v>7</v>
      </c>
      <c r="F7537" s="2" t="s">
        <v>26514</v>
      </c>
      <c r="H7537" s="2" t="s">
        <v>17</v>
      </c>
      <c r="K7537" s="4" t="s">
        <v>26515</v>
      </c>
      <c r="L7537" s="4" t="s">
        <v>26516</v>
      </c>
      <c r="M7537" s="2" t="s">
        <v>76</v>
      </c>
      <c r="N7537" s="2" t="s">
        <v>11263</v>
      </c>
    </row>
    <row r="7538" spans="1:14">
      <c r="A7538" s="2">
        <v>7537</v>
      </c>
      <c r="B7538" s="3" t="s">
        <v>26517</v>
      </c>
      <c r="C7538" s="2" t="s">
        <v>26518</v>
      </c>
      <c r="D7538" s="2">
        <v>4</v>
      </c>
      <c r="E7538" s="2">
        <v>7</v>
      </c>
      <c r="F7538" s="2" t="s">
        <v>26519</v>
      </c>
      <c r="H7538" s="2" t="s">
        <v>17</v>
      </c>
      <c r="K7538" s="4" t="s">
        <v>26520</v>
      </c>
      <c r="L7538" s="4" t="s">
        <v>26521</v>
      </c>
    </row>
    <row r="7539" spans="1:14">
      <c r="A7539" s="2">
        <v>7538</v>
      </c>
      <c r="B7539" s="3" t="s">
        <v>26522</v>
      </c>
      <c r="C7539" s="2" t="s">
        <v>26523</v>
      </c>
      <c r="D7539" s="2">
        <v>1</v>
      </c>
      <c r="E7539" s="2">
        <v>7</v>
      </c>
      <c r="F7539" s="2" t="s">
        <v>26524</v>
      </c>
      <c r="H7539" s="2" t="s">
        <v>17</v>
      </c>
      <c r="L7539" s="4" t="s">
        <v>26525</v>
      </c>
      <c r="M7539" s="2" t="s">
        <v>18</v>
      </c>
      <c r="N7539" s="2" t="s">
        <v>19</v>
      </c>
    </row>
    <row r="7540" spans="1:14">
      <c r="A7540" s="2">
        <v>7539</v>
      </c>
      <c r="B7540" s="3" t="s">
        <v>26526</v>
      </c>
      <c r="C7540" s="2" t="s">
        <v>24278</v>
      </c>
      <c r="D7540" s="2">
        <v>6</v>
      </c>
      <c r="E7540" s="2">
        <v>7</v>
      </c>
      <c r="F7540" s="2" t="s">
        <v>26527</v>
      </c>
      <c r="H7540" s="2" t="s">
        <v>17</v>
      </c>
      <c r="K7540" s="4" t="s">
        <v>26528</v>
      </c>
    </row>
    <row r="7541" spans="1:14">
      <c r="A7541" s="2">
        <v>7540</v>
      </c>
      <c r="B7541" s="3" t="s">
        <v>26529</v>
      </c>
      <c r="C7541" s="2" t="s">
        <v>26530</v>
      </c>
      <c r="D7541" s="2">
        <v>6</v>
      </c>
      <c r="E7541" s="2">
        <v>7</v>
      </c>
      <c r="F7541" s="2" t="s">
        <v>26531</v>
      </c>
      <c r="H7541" s="2" t="s">
        <v>17</v>
      </c>
      <c r="K7541" s="4" t="s">
        <v>26532</v>
      </c>
      <c r="L7541" s="4" t="s">
        <v>26533</v>
      </c>
    </row>
    <row r="7542" spans="1:14">
      <c r="A7542" s="2">
        <v>7541</v>
      </c>
      <c r="B7542" s="3" t="s">
        <v>26534</v>
      </c>
      <c r="C7542" s="2" t="s">
        <v>26535</v>
      </c>
      <c r="D7542" s="2">
        <v>7</v>
      </c>
      <c r="E7542" s="2">
        <v>7</v>
      </c>
      <c r="F7542" s="2" t="s">
        <v>26536</v>
      </c>
      <c r="H7542" s="2" t="s">
        <v>17</v>
      </c>
      <c r="L7542" s="4" t="s">
        <v>26537</v>
      </c>
      <c r="M7542" s="2" t="s">
        <v>170</v>
      </c>
      <c r="N7542" s="2" t="s">
        <v>323</v>
      </c>
    </row>
    <row r="7543" spans="1:14">
      <c r="A7543" s="2">
        <v>7542</v>
      </c>
      <c r="B7543" s="3" t="s">
        <v>26538</v>
      </c>
      <c r="C7543" s="2" t="s">
        <v>26539</v>
      </c>
      <c r="D7543" s="2">
        <v>6</v>
      </c>
      <c r="E7543" s="2">
        <v>7</v>
      </c>
      <c r="F7543" s="2" t="s">
        <v>26540</v>
      </c>
      <c r="H7543" s="2" t="s">
        <v>17</v>
      </c>
      <c r="K7543" s="4" t="s">
        <v>26541</v>
      </c>
      <c r="L7543" s="4" t="s">
        <v>19625</v>
      </c>
      <c r="M7543" s="2" t="s">
        <v>170</v>
      </c>
      <c r="N7543" s="2" t="s">
        <v>323</v>
      </c>
    </row>
    <row r="7544" spans="1:14">
      <c r="A7544" s="2">
        <v>7543</v>
      </c>
      <c r="B7544" s="3" t="s">
        <v>26542</v>
      </c>
      <c r="C7544" s="2" t="s">
        <v>26543</v>
      </c>
      <c r="D7544" s="2">
        <v>7</v>
      </c>
      <c r="E7544" s="2">
        <v>7</v>
      </c>
      <c r="F7544" s="2" t="s">
        <v>23134</v>
      </c>
      <c r="H7544" s="2" t="s">
        <v>17</v>
      </c>
      <c r="M7544" s="2" t="s">
        <v>35</v>
      </c>
      <c r="N7544" s="2" t="s">
        <v>703</v>
      </c>
    </row>
    <row r="7545" spans="1:14">
      <c r="A7545" s="2">
        <v>7544</v>
      </c>
      <c r="B7545" s="3" t="s">
        <v>26544</v>
      </c>
      <c r="C7545" s="2" t="s">
        <v>26545</v>
      </c>
      <c r="D7545" s="2">
        <v>7</v>
      </c>
      <c r="E7545" s="2">
        <v>7</v>
      </c>
      <c r="F7545" s="2" t="s">
        <v>26546</v>
      </c>
      <c r="H7545" s="2" t="s">
        <v>17</v>
      </c>
    </row>
    <row r="7546" spans="1:14">
      <c r="A7546" s="2">
        <v>7545</v>
      </c>
      <c r="B7546" s="3" t="s">
        <v>26547</v>
      </c>
      <c r="C7546" s="2" t="s">
        <v>12317</v>
      </c>
      <c r="D7546" s="2">
        <v>7</v>
      </c>
      <c r="E7546" s="2">
        <v>7</v>
      </c>
      <c r="F7546" s="2" t="s">
        <v>26548</v>
      </c>
      <c r="H7546" s="2" t="s">
        <v>17</v>
      </c>
      <c r="K7546" s="4" t="s">
        <v>26549</v>
      </c>
      <c r="L7546" s="4" t="s">
        <v>26550</v>
      </c>
      <c r="M7546" s="2" t="s">
        <v>40</v>
      </c>
      <c r="N7546" s="2" t="s">
        <v>41</v>
      </c>
    </row>
    <row r="7547" spans="1:14">
      <c r="A7547" s="2">
        <v>7546</v>
      </c>
      <c r="B7547" s="3" t="s">
        <v>26551</v>
      </c>
      <c r="C7547" s="2" t="s">
        <v>4321</v>
      </c>
      <c r="D7547" s="2">
        <v>7</v>
      </c>
      <c r="E7547" s="2">
        <v>7</v>
      </c>
      <c r="F7547" s="2" t="s">
        <v>26552</v>
      </c>
      <c r="H7547" s="2" t="s">
        <v>17</v>
      </c>
      <c r="K7547" s="4" t="s">
        <v>26553</v>
      </c>
      <c r="L7547" s="4" t="s">
        <v>20856</v>
      </c>
      <c r="M7547" s="2" t="s">
        <v>140</v>
      </c>
      <c r="N7547" s="2" t="s">
        <v>14207</v>
      </c>
    </row>
    <row r="7548" spans="1:14">
      <c r="A7548" s="2">
        <v>7547</v>
      </c>
      <c r="B7548" s="3" t="s">
        <v>26554</v>
      </c>
      <c r="C7548" s="2" t="s">
        <v>26555</v>
      </c>
      <c r="D7548" s="2">
        <v>4</v>
      </c>
      <c r="E7548" s="2">
        <v>7</v>
      </c>
      <c r="F7548" s="2" t="s">
        <v>26556</v>
      </c>
      <c r="H7548" s="2" t="s">
        <v>17</v>
      </c>
      <c r="K7548" s="4" t="s">
        <v>26557</v>
      </c>
      <c r="L7548" s="4" t="s">
        <v>26558</v>
      </c>
      <c r="M7548" s="2" t="s">
        <v>35</v>
      </c>
    </row>
    <row r="7549" spans="1:14">
      <c r="A7549" s="2">
        <v>7548</v>
      </c>
      <c r="B7549" s="3" t="s">
        <v>26559</v>
      </c>
      <c r="C7549" s="2" t="s">
        <v>26560</v>
      </c>
      <c r="D7549" s="2">
        <v>6</v>
      </c>
      <c r="E7549" s="2">
        <v>7</v>
      </c>
      <c r="F7549" s="2" t="s">
        <v>26561</v>
      </c>
      <c r="H7549" s="2" t="s">
        <v>17</v>
      </c>
      <c r="K7549" s="4" t="s">
        <v>26562</v>
      </c>
      <c r="L7549" s="4" t="s">
        <v>26563</v>
      </c>
      <c r="M7549" s="2" t="s">
        <v>35</v>
      </c>
      <c r="N7549" s="2" t="s">
        <v>12348</v>
      </c>
    </row>
    <row r="7550" spans="1:14">
      <c r="A7550" s="2">
        <v>7549</v>
      </c>
      <c r="B7550" s="3" t="s">
        <v>26564</v>
      </c>
      <c r="C7550" s="2" t="s">
        <v>26565</v>
      </c>
      <c r="D7550" s="2">
        <v>4</v>
      </c>
      <c r="E7550" s="2">
        <v>7</v>
      </c>
      <c r="F7550" s="2" t="s">
        <v>26566</v>
      </c>
      <c r="H7550" s="2" t="s">
        <v>17</v>
      </c>
      <c r="K7550" s="4" t="s">
        <v>26567</v>
      </c>
      <c r="L7550" s="4" t="s">
        <v>26568</v>
      </c>
      <c r="M7550" s="2" t="s">
        <v>198</v>
      </c>
    </row>
    <row r="7551" spans="1:14">
      <c r="A7551" s="2">
        <v>7550</v>
      </c>
      <c r="B7551" s="3" t="s">
        <v>26569</v>
      </c>
      <c r="C7551" s="2" t="s">
        <v>26570</v>
      </c>
      <c r="D7551" s="2">
        <v>2</v>
      </c>
      <c r="E7551" s="2">
        <v>7</v>
      </c>
      <c r="F7551" s="2" t="s">
        <v>26571</v>
      </c>
      <c r="H7551" s="2" t="s">
        <v>17</v>
      </c>
      <c r="K7551" s="4" t="s">
        <v>26572</v>
      </c>
      <c r="L7551" s="4" t="s">
        <v>17811</v>
      </c>
      <c r="M7551" s="2" t="s">
        <v>40</v>
      </c>
      <c r="N7551" s="2" t="s">
        <v>41</v>
      </c>
    </row>
    <row r="7552" spans="1:14">
      <c r="A7552" s="2">
        <v>7551</v>
      </c>
      <c r="B7552" s="3" t="s">
        <v>26573</v>
      </c>
      <c r="C7552" s="2" t="s">
        <v>26574</v>
      </c>
      <c r="D7552" s="2">
        <v>4</v>
      </c>
      <c r="E7552" s="2">
        <v>7</v>
      </c>
      <c r="F7552" s="2" t="s">
        <v>26575</v>
      </c>
      <c r="H7552" s="2" t="s">
        <v>17</v>
      </c>
      <c r="K7552" s="4" t="s">
        <v>26576</v>
      </c>
      <c r="L7552" s="4" t="s">
        <v>26577</v>
      </c>
    </row>
    <row r="7553" spans="1:14">
      <c r="A7553" s="2">
        <v>7552</v>
      </c>
      <c r="B7553" s="3" t="s">
        <v>26578</v>
      </c>
      <c r="C7553" s="2" t="s">
        <v>26579</v>
      </c>
      <c r="D7553" s="2">
        <v>3</v>
      </c>
      <c r="E7553" s="2">
        <v>7</v>
      </c>
      <c r="F7553" s="2" t="s">
        <v>26580</v>
      </c>
      <c r="H7553" s="2" t="s">
        <v>17</v>
      </c>
      <c r="L7553" s="4" t="s">
        <v>26581</v>
      </c>
    </row>
    <row r="7554" spans="1:14">
      <c r="A7554" s="2">
        <v>7553</v>
      </c>
      <c r="B7554" s="3" t="s">
        <v>26582</v>
      </c>
      <c r="C7554" s="2" t="s">
        <v>26583</v>
      </c>
      <c r="D7554" s="2">
        <v>3</v>
      </c>
      <c r="E7554" s="2">
        <v>7</v>
      </c>
      <c r="F7554" s="2" t="s">
        <v>24070</v>
      </c>
      <c r="H7554" s="2" t="s">
        <v>17</v>
      </c>
      <c r="K7554" s="4" t="s">
        <v>26584</v>
      </c>
      <c r="L7554" s="4" t="s">
        <v>26585</v>
      </c>
      <c r="N7554" s="2" t="s">
        <v>14703</v>
      </c>
    </row>
    <row r="7555" spans="1:14">
      <c r="A7555" s="2">
        <v>7554</v>
      </c>
      <c r="B7555" s="3" t="s">
        <v>26586</v>
      </c>
      <c r="C7555" s="2" t="s">
        <v>26587</v>
      </c>
      <c r="D7555" s="2">
        <v>4</v>
      </c>
      <c r="E7555" s="2">
        <v>7</v>
      </c>
      <c r="F7555" s="2" t="s">
        <v>26588</v>
      </c>
      <c r="H7555" s="2" t="s">
        <v>17</v>
      </c>
      <c r="K7555" s="4" t="s">
        <v>26589</v>
      </c>
      <c r="L7555" s="4" t="s">
        <v>26590</v>
      </c>
      <c r="M7555" s="2" t="s">
        <v>85</v>
      </c>
    </row>
    <row r="7556" spans="1:14">
      <c r="A7556" s="2">
        <v>7555</v>
      </c>
      <c r="B7556" s="3" t="s">
        <v>26591</v>
      </c>
      <c r="C7556" s="2" t="s">
        <v>26592</v>
      </c>
      <c r="D7556" s="2">
        <v>5</v>
      </c>
      <c r="E7556" s="2">
        <v>7</v>
      </c>
      <c r="F7556" s="2" t="s">
        <v>26593</v>
      </c>
      <c r="H7556" s="2" t="s">
        <v>17</v>
      </c>
      <c r="K7556" s="4" t="s">
        <v>26594</v>
      </c>
      <c r="L7556" s="4" t="s">
        <v>26595</v>
      </c>
      <c r="M7556" s="2" t="s">
        <v>198</v>
      </c>
      <c r="N7556" s="2" t="s">
        <v>199</v>
      </c>
    </row>
    <row r="7557" spans="1:14">
      <c r="A7557" s="2">
        <v>7556</v>
      </c>
      <c r="B7557" s="3" t="s">
        <v>26596</v>
      </c>
      <c r="C7557" s="2" t="s">
        <v>26597</v>
      </c>
      <c r="D7557" s="2">
        <v>6</v>
      </c>
      <c r="E7557" s="2">
        <v>7</v>
      </c>
      <c r="F7557" s="2" t="s">
        <v>26598</v>
      </c>
      <c r="H7557" s="2" t="s">
        <v>17</v>
      </c>
      <c r="K7557" s="4" t="s">
        <v>26599</v>
      </c>
      <c r="L7557" s="4" t="s">
        <v>26600</v>
      </c>
      <c r="M7557" s="2" t="s">
        <v>85</v>
      </c>
      <c r="N7557" s="2" t="s">
        <v>16052</v>
      </c>
    </row>
    <row r="7558" spans="1:14">
      <c r="A7558" s="2">
        <v>7557</v>
      </c>
      <c r="B7558" s="3" t="s">
        <v>26601</v>
      </c>
      <c r="C7558" s="2" t="s">
        <v>26602</v>
      </c>
      <c r="D7558" s="2">
        <v>7</v>
      </c>
      <c r="E7558" s="2">
        <v>7</v>
      </c>
      <c r="F7558" s="2" t="s">
        <v>26603</v>
      </c>
      <c r="H7558" s="2" t="s">
        <v>17</v>
      </c>
      <c r="L7558" s="4" t="s">
        <v>26604</v>
      </c>
    </row>
    <row r="7559" spans="1:14">
      <c r="A7559" s="2">
        <v>7558</v>
      </c>
      <c r="B7559" s="3" t="s">
        <v>26605</v>
      </c>
      <c r="C7559" s="2" t="s">
        <v>26606</v>
      </c>
      <c r="D7559" s="2">
        <v>7</v>
      </c>
      <c r="E7559" s="2">
        <v>7</v>
      </c>
      <c r="F7559" s="2" t="s">
        <v>26607</v>
      </c>
      <c r="H7559" s="2" t="s">
        <v>17</v>
      </c>
      <c r="K7559" s="4" t="s">
        <v>26608</v>
      </c>
      <c r="L7559" s="4">
        <v>958</v>
      </c>
      <c r="M7559" s="2" t="s">
        <v>47</v>
      </c>
      <c r="N7559" s="2" t="s">
        <v>48</v>
      </c>
    </row>
    <row r="7560" spans="1:14">
      <c r="A7560" s="2">
        <v>7559</v>
      </c>
      <c r="B7560" s="3" t="s">
        <v>26609</v>
      </c>
      <c r="C7560" s="2" t="s">
        <v>26610</v>
      </c>
      <c r="D7560" s="2">
        <v>4</v>
      </c>
      <c r="E7560" s="2">
        <v>7</v>
      </c>
      <c r="F7560" s="2" t="s">
        <v>26611</v>
      </c>
      <c r="H7560" s="2" t="s">
        <v>17</v>
      </c>
      <c r="K7560" s="4" t="s">
        <v>26612</v>
      </c>
      <c r="L7560" s="4" t="s">
        <v>26613</v>
      </c>
    </row>
    <row r="7561" spans="1:14">
      <c r="A7561" s="2">
        <v>7560</v>
      </c>
      <c r="B7561" s="3" t="s">
        <v>26614</v>
      </c>
      <c r="C7561" s="2" t="s">
        <v>26615</v>
      </c>
      <c r="D7561" s="2">
        <v>7</v>
      </c>
      <c r="E7561" s="2">
        <v>7</v>
      </c>
      <c r="F7561" s="2" t="s">
        <v>26616</v>
      </c>
      <c r="H7561" s="2" t="s">
        <v>17</v>
      </c>
      <c r="L7561" s="4" t="s">
        <v>26617</v>
      </c>
      <c r="M7561" s="2" t="s">
        <v>47</v>
      </c>
      <c r="N7561" s="2" t="s">
        <v>48</v>
      </c>
    </row>
    <row r="7562" spans="1:14">
      <c r="A7562" s="2">
        <v>7561</v>
      </c>
      <c r="B7562" s="3" t="s">
        <v>26618</v>
      </c>
      <c r="C7562" s="2" t="s">
        <v>26619</v>
      </c>
      <c r="D7562" s="2">
        <v>7</v>
      </c>
      <c r="E7562" s="2">
        <v>7</v>
      </c>
      <c r="F7562" s="2" t="s">
        <v>26620</v>
      </c>
      <c r="H7562" s="2" t="s">
        <v>17</v>
      </c>
      <c r="K7562" s="4" t="s">
        <v>26621</v>
      </c>
      <c r="L7562" s="4" t="s">
        <v>26622</v>
      </c>
    </row>
    <row r="7563" spans="1:14">
      <c r="A7563" s="2">
        <v>7562</v>
      </c>
      <c r="B7563" s="3" t="s">
        <v>26623</v>
      </c>
      <c r="C7563" s="2" t="s">
        <v>25304</v>
      </c>
      <c r="D7563" s="2">
        <v>6</v>
      </c>
      <c r="E7563" s="2">
        <v>7</v>
      </c>
      <c r="F7563" s="2" t="s">
        <v>26624</v>
      </c>
      <c r="H7563" s="2" t="s">
        <v>17</v>
      </c>
      <c r="L7563" s="4" t="s">
        <v>26625</v>
      </c>
    </row>
    <row r="7564" spans="1:14">
      <c r="A7564" s="2">
        <v>7563</v>
      </c>
      <c r="B7564" s="3" t="s">
        <v>26626</v>
      </c>
      <c r="C7564" s="2" t="s">
        <v>26627</v>
      </c>
      <c r="D7564" s="2">
        <v>7</v>
      </c>
      <c r="E7564" s="2">
        <v>7</v>
      </c>
      <c r="F7564" s="2" t="s">
        <v>26628</v>
      </c>
      <c r="H7564" s="2" t="s">
        <v>17</v>
      </c>
      <c r="L7564" s="4" t="s">
        <v>26629</v>
      </c>
      <c r="M7564" s="2" t="s">
        <v>170</v>
      </c>
    </row>
    <row r="7565" spans="1:14">
      <c r="A7565" s="2">
        <v>7564</v>
      </c>
      <c r="B7565" s="3" t="s">
        <v>26630</v>
      </c>
      <c r="C7565" s="2" t="s">
        <v>26631</v>
      </c>
      <c r="D7565" s="2">
        <v>3</v>
      </c>
      <c r="E7565" s="2">
        <v>6</v>
      </c>
      <c r="F7565" s="2" t="s">
        <v>26632</v>
      </c>
      <c r="H7565" s="2" t="s">
        <v>17</v>
      </c>
      <c r="K7565" s="4" t="s">
        <v>26633</v>
      </c>
      <c r="L7565" s="4" t="s">
        <v>26634</v>
      </c>
      <c r="M7565" s="2" t="s">
        <v>47</v>
      </c>
      <c r="N7565" s="2" t="s">
        <v>48</v>
      </c>
    </row>
    <row r="7566" spans="1:14">
      <c r="A7566" s="2">
        <v>7565</v>
      </c>
      <c r="B7566" s="3" t="s">
        <v>26635</v>
      </c>
      <c r="C7566" s="2" t="s">
        <v>26636</v>
      </c>
      <c r="D7566" s="2">
        <v>6</v>
      </c>
      <c r="E7566" s="2">
        <v>6</v>
      </c>
      <c r="F7566" s="2" t="s">
        <v>26637</v>
      </c>
      <c r="H7566" s="2" t="s">
        <v>17</v>
      </c>
    </row>
    <row r="7567" spans="1:14">
      <c r="A7567" s="2">
        <v>7566</v>
      </c>
      <c r="B7567" s="3" t="s">
        <v>26638</v>
      </c>
      <c r="C7567" s="2" t="s">
        <v>26639</v>
      </c>
      <c r="D7567" s="2">
        <v>4</v>
      </c>
      <c r="E7567" s="2">
        <v>6</v>
      </c>
      <c r="F7567" s="2" t="s">
        <v>26640</v>
      </c>
      <c r="H7567" s="2" t="s">
        <v>17</v>
      </c>
      <c r="K7567" s="4" t="s">
        <v>26641</v>
      </c>
      <c r="L7567" s="4" t="s">
        <v>26642</v>
      </c>
      <c r="M7567" s="2" t="s">
        <v>47</v>
      </c>
      <c r="N7567" s="2" t="s">
        <v>691</v>
      </c>
    </row>
    <row r="7568" spans="1:14">
      <c r="A7568" s="2">
        <v>7567</v>
      </c>
      <c r="B7568" s="3" t="s">
        <v>26643</v>
      </c>
      <c r="C7568" s="2" t="s">
        <v>26644</v>
      </c>
      <c r="D7568" s="2">
        <v>6</v>
      </c>
      <c r="E7568" s="2">
        <v>6</v>
      </c>
      <c r="F7568" s="2" t="s">
        <v>26645</v>
      </c>
      <c r="H7568" s="2" t="s">
        <v>17</v>
      </c>
      <c r="K7568" s="4" t="s">
        <v>26646</v>
      </c>
      <c r="L7568" s="4" t="s">
        <v>26647</v>
      </c>
      <c r="M7568" s="2" t="s">
        <v>85</v>
      </c>
    </row>
    <row r="7569" spans="1:14">
      <c r="A7569" s="2">
        <v>7568</v>
      </c>
      <c r="B7569" s="3" t="s">
        <v>26648</v>
      </c>
      <c r="C7569" s="2" t="s">
        <v>26649</v>
      </c>
      <c r="D7569" s="2">
        <v>3</v>
      </c>
      <c r="E7569" s="2">
        <v>6</v>
      </c>
      <c r="F7569" s="2" t="s">
        <v>26650</v>
      </c>
      <c r="H7569" s="2" t="s">
        <v>17</v>
      </c>
      <c r="K7569" s="4" t="s">
        <v>26651</v>
      </c>
      <c r="L7569" s="4" t="s">
        <v>26652</v>
      </c>
      <c r="M7569" s="2" t="s">
        <v>198</v>
      </c>
    </row>
    <row r="7570" spans="1:14">
      <c r="A7570" s="2">
        <v>7569</v>
      </c>
      <c r="B7570" s="3" t="s">
        <v>26653</v>
      </c>
      <c r="C7570" s="2" t="s">
        <v>26654</v>
      </c>
      <c r="D7570" s="2">
        <v>1</v>
      </c>
      <c r="E7570" s="2">
        <v>6</v>
      </c>
      <c r="F7570" s="2" t="s">
        <v>26655</v>
      </c>
      <c r="H7570" s="2" t="s">
        <v>17</v>
      </c>
      <c r="K7570" s="4" t="s">
        <v>26656</v>
      </c>
      <c r="L7570" s="4" t="s">
        <v>26657</v>
      </c>
      <c r="M7570" s="2" t="s">
        <v>185</v>
      </c>
      <c r="N7570" s="2" t="s">
        <v>838</v>
      </c>
    </row>
    <row r="7571" spans="1:14">
      <c r="A7571" s="2">
        <v>7570</v>
      </c>
      <c r="B7571" s="3" t="s">
        <v>26658</v>
      </c>
      <c r="C7571" s="2" t="s">
        <v>26659</v>
      </c>
      <c r="D7571" s="2">
        <v>5</v>
      </c>
      <c r="E7571" s="2">
        <v>6</v>
      </c>
      <c r="F7571" s="2" t="s">
        <v>26660</v>
      </c>
      <c r="H7571" s="2" t="s">
        <v>17</v>
      </c>
    </row>
    <row r="7572" spans="1:14">
      <c r="A7572" s="2">
        <v>7571</v>
      </c>
      <c r="B7572" s="3" t="s">
        <v>26661</v>
      </c>
      <c r="C7572" s="2" t="s">
        <v>26662</v>
      </c>
      <c r="D7572" s="2">
        <v>6</v>
      </c>
      <c r="E7572" s="2">
        <v>6</v>
      </c>
      <c r="F7572" s="2" t="s">
        <v>26663</v>
      </c>
      <c r="H7572" s="2" t="s">
        <v>17</v>
      </c>
      <c r="L7572" s="4" t="s">
        <v>21109</v>
      </c>
      <c r="M7572" s="2" t="s">
        <v>85</v>
      </c>
      <c r="N7572" s="2" t="s">
        <v>86</v>
      </c>
    </row>
    <row r="7573" spans="1:14">
      <c r="A7573" s="2">
        <v>7572</v>
      </c>
      <c r="B7573" s="3" t="s">
        <v>26664</v>
      </c>
      <c r="C7573" s="2" t="s">
        <v>26665</v>
      </c>
      <c r="D7573" s="2">
        <v>6</v>
      </c>
      <c r="E7573" s="2">
        <v>6</v>
      </c>
      <c r="F7573" s="2" t="s">
        <v>26666</v>
      </c>
      <c r="H7573" s="2" t="s">
        <v>17</v>
      </c>
      <c r="L7573" s="4" t="s">
        <v>26667</v>
      </c>
      <c r="N7573" s="2" t="s">
        <v>8103</v>
      </c>
    </row>
    <row r="7574" spans="1:14">
      <c r="A7574" s="2">
        <v>7573</v>
      </c>
      <c r="B7574" s="3" t="s">
        <v>26668</v>
      </c>
      <c r="C7574" s="2" t="s">
        <v>26669</v>
      </c>
      <c r="D7574" s="2">
        <v>1</v>
      </c>
      <c r="E7574" s="2">
        <v>6</v>
      </c>
      <c r="F7574" s="2" t="s">
        <v>26670</v>
      </c>
      <c r="H7574" s="2" t="s">
        <v>17</v>
      </c>
      <c r="K7574" s="4" t="s">
        <v>26671</v>
      </c>
      <c r="L7574" s="4" t="s">
        <v>26672</v>
      </c>
      <c r="M7574" s="2" t="s">
        <v>170</v>
      </c>
      <c r="N7574" s="2" t="s">
        <v>323</v>
      </c>
    </row>
    <row r="7575" spans="1:14">
      <c r="A7575" s="2">
        <v>7574</v>
      </c>
      <c r="B7575" s="3" t="s">
        <v>26673</v>
      </c>
      <c r="C7575" s="2" t="s">
        <v>26674</v>
      </c>
      <c r="D7575" s="2">
        <v>6</v>
      </c>
      <c r="E7575" s="2">
        <v>6</v>
      </c>
      <c r="F7575" s="2" t="s">
        <v>26675</v>
      </c>
      <c r="H7575" s="2" t="s">
        <v>17</v>
      </c>
    </row>
    <row r="7576" spans="1:14">
      <c r="A7576" s="2">
        <v>7575</v>
      </c>
      <c r="B7576" s="3" t="s">
        <v>26676</v>
      </c>
      <c r="C7576" s="2" t="s">
        <v>26677</v>
      </c>
      <c r="D7576" s="2">
        <v>2</v>
      </c>
      <c r="E7576" s="2">
        <v>6</v>
      </c>
      <c r="F7576" s="2" t="s">
        <v>26678</v>
      </c>
      <c r="H7576" s="2" t="s">
        <v>17</v>
      </c>
      <c r="K7576" s="4" t="s">
        <v>26679</v>
      </c>
      <c r="L7576" s="4" t="s">
        <v>26680</v>
      </c>
      <c r="M7576" s="2" t="s">
        <v>40</v>
      </c>
    </row>
    <row r="7577" spans="1:14">
      <c r="A7577" s="2">
        <v>7576</v>
      </c>
      <c r="B7577" s="3" t="s">
        <v>26681</v>
      </c>
      <c r="C7577" s="2" t="s">
        <v>26682</v>
      </c>
      <c r="D7577" s="2">
        <v>3</v>
      </c>
      <c r="E7577" s="2">
        <v>6</v>
      </c>
      <c r="F7577" s="2" t="s">
        <v>26683</v>
      </c>
      <c r="H7577" s="2" t="s">
        <v>17</v>
      </c>
      <c r="K7577" s="4" t="s">
        <v>26684</v>
      </c>
      <c r="L7577" s="4" t="s">
        <v>26685</v>
      </c>
      <c r="M7577" s="2" t="s">
        <v>35</v>
      </c>
      <c r="N7577" s="2" t="s">
        <v>14848</v>
      </c>
    </row>
    <row r="7578" spans="1:14">
      <c r="A7578" s="2">
        <v>7577</v>
      </c>
      <c r="B7578" s="3" t="s">
        <v>26686</v>
      </c>
      <c r="C7578" s="2" t="s">
        <v>26687</v>
      </c>
      <c r="D7578" s="2">
        <v>2</v>
      </c>
      <c r="E7578" s="2">
        <v>6</v>
      </c>
      <c r="F7578" s="2" t="s">
        <v>26688</v>
      </c>
      <c r="H7578" s="2" t="s">
        <v>17</v>
      </c>
      <c r="K7578" s="4" t="s">
        <v>26689</v>
      </c>
      <c r="L7578" s="4" t="s">
        <v>26690</v>
      </c>
    </row>
    <row r="7579" spans="1:14">
      <c r="A7579" s="2">
        <v>7578</v>
      </c>
      <c r="B7579" s="3" t="s">
        <v>26691</v>
      </c>
      <c r="C7579" s="2" t="s">
        <v>26692</v>
      </c>
      <c r="D7579" s="2">
        <v>6</v>
      </c>
      <c r="E7579" s="2">
        <v>6</v>
      </c>
      <c r="F7579" s="2" t="s">
        <v>26693</v>
      </c>
      <c r="H7579" s="2" t="s">
        <v>17</v>
      </c>
      <c r="K7579" s="4" t="s">
        <v>26694</v>
      </c>
      <c r="L7579" s="4" t="s">
        <v>26349</v>
      </c>
      <c r="M7579" s="2" t="s">
        <v>170</v>
      </c>
      <c r="N7579" s="2" t="s">
        <v>323</v>
      </c>
    </row>
    <row r="7580" spans="1:14">
      <c r="A7580" s="2">
        <v>7579</v>
      </c>
      <c r="B7580" s="3" t="s">
        <v>26695</v>
      </c>
      <c r="C7580" s="2" t="s">
        <v>26696</v>
      </c>
      <c r="D7580" s="2">
        <v>6</v>
      </c>
      <c r="E7580" s="2">
        <v>6</v>
      </c>
      <c r="F7580" s="2" t="s">
        <v>26697</v>
      </c>
      <c r="H7580" s="2" t="s">
        <v>17</v>
      </c>
    </row>
    <row r="7581" spans="1:14">
      <c r="A7581" s="2">
        <v>7580</v>
      </c>
      <c r="B7581" s="3" t="s">
        <v>26698</v>
      </c>
      <c r="C7581" s="2" t="s">
        <v>26699</v>
      </c>
      <c r="D7581" s="2">
        <v>6</v>
      </c>
      <c r="E7581" s="2">
        <v>6</v>
      </c>
      <c r="F7581" s="2" t="s">
        <v>26700</v>
      </c>
      <c r="H7581" s="2" t="s">
        <v>17</v>
      </c>
      <c r="K7581" s="4" t="s">
        <v>26701</v>
      </c>
      <c r="L7581" s="4" t="s">
        <v>26702</v>
      </c>
      <c r="M7581" s="2" t="s">
        <v>170</v>
      </c>
    </row>
    <row r="7582" spans="1:14">
      <c r="A7582" s="2">
        <v>7581</v>
      </c>
      <c r="B7582" s="3" t="s">
        <v>26703</v>
      </c>
      <c r="C7582" s="2" t="s">
        <v>25442</v>
      </c>
      <c r="D7582" s="2">
        <v>1</v>
      </c>
      <c r="E7582" s="2">
        <v>6</v>
      </c>
      <c r="F7582" s="2" t="s">
        <v>26704</v>
      </c>
      <c r="H7582" s="2" t="s">
        <v>17</v>
      </c>
      <c r="K7582" s="4" t="s">
        <v>26705</v>
      </c>
      <c r="L7582" s="4" t="s">
        <v>26706</v>
      </c>
      <c r="N7582" s="2" t="s">
        <v>15964</v>
      </c>
    </row>
    <row r="7583" spans="1:14">
      <c r="A7583" s="2">
        <v>7582</v>
      </c>
      <c r="B7583" s="3" t="s">
        <v>26707</v>
      </c>
      <c r="C7583" s="2" t="s">
        <v>26708</v>
      </c>
      <c r="D7583" s="2">
        <v>4</v>
      </c>
      <c r="E7583" s="2">
        <v>6</v>
      </c>
      <c r="F7583" s="2" t="s">
        <v>26709</v>
      </c>
      <c r="H7583" s="2" t="s">
        <v>17</v>
      </c>
      <c r="K7583" s="4" t="s">
        <v>26710</v>
      </c>
      <c r="L7583" s="4" t="s">
        <v>26711</v>
      </c>
      <c r="M7583" s="2" t="s">
        <v>198</v>
      </c>
      <c r="N7583" s="2" t="s">
        <v>199</v>
      </c>
    </row>
    <row r="7584" spans="1:14">
      <c r="A7584" s="2">
        <v>7583</v>
      </c>
      <c r="B7584" s="3" t="s">
        <v>26712</v>
      </c>
      <c r="C7584" s="2" t="s">
        <v>26713</v>
      </c>
      <c r="D7584" s="2">
        <v>1</v>
      </c>
      <c r="E7584" s="2">
        <v>6</v>
      </c>
      <c r="F7584" s="2" t="s">
        <v>26714</v>
      </c>
      <c r="H7584" s="2" t="s">
        <v>17</v>
      </c>
      <c r="K7584" s="4" t="s">
        <v>26715</v>
      </c>
      <c r="L7584" s="4" t="s">
        <v>26716</v>
      </c>
      <c r="M7584" s="2" t="s">
        <v>47</v>
      </c>
      <c r="N7584" s="2" t="s">
        <v>48</v>
      </c>
    </row>
    <row r="7585" spans="1:14">
      <c r="A7585" s="2">
        <v>7584</v>
      </c>
      <c r="B7585" s="3" t="s">
        <v>26717</v>
      </c>
      <c r="C7585" s="2" t="s">
        <v>26718</v>
      </c>
      <c r="D7585" s="2">
        <v>6</v>
      </c>
      <c r="E7585" s="2">
        <v>6</v>
      </c>
      <c r="F7585" s="2" t="s">
        <v>26719</v>
      </c>
      <c r="H7585" s="2" t="s">
        <v>17</v>
      </c>
    </row>
    <row r="7586" spans="1:14">
      <c r="A7586" s="2">
        <v>7585</v>
      </c>
      <c r="B7586" s="3" t="s">
        <v>26720</v>
      </c>
      <c r="C7586" s="2" t="s">
        <v>26721</v>
      </c>
      <c r="D7586" s="2">
        <v>6</v>
      </c>
      <c r="E7586" s="2">
        <v>6</v>
      </c>
      <c r="F7586" s="2" t="s">
        <v>26722</v>
      </c>
      <c r="H7586" s="2" t="s">
        <v>17</v>
      </c>
      <c r="K7586" s="4" t="s">
        <v>26723</v>
      </c>
      <c r="L7586" s="4" t="s">
        <v>26724</v>
      </c>
      <c r="N7586" s="2" t="s">
        <v>8103</v>
      </c>
    </row>
    <row r="7587" spans="1:14">
      <c r="A7587" s="2">
        <v>7586</v>
      </c>
      <c r="B7587" s="3" t="s">
        <v>26725</v>
      </c>
      <c r="C7587" s="2" t="s">
        <v>23669</v>
      </c>
      <c r="D7587" s="2">
        <v>6</v>
      </c>
      <c r="E7587" s="2">
        <v>6</v>
      </c>
      <c r="F7587" s="2" t="s">
        <v>26726</v>
      </c>
      <c r="H7587" s="2" t="s">
        <v>17</v>
      </c>
    </row>
    <row r="7588" spans="1:14">
      <c r="A7588" s="2">
        <v>7587</v>
      </c>
      <c r="B7588" s="3" t="s">
        <v>26727</v>
      </c>
      <c r="C7588" s="2" t="s">
        <v>26728</v>
      </c>
      <c r="D7588" s="2">
        <v>6</v>
      </c>
      <c r="E7588" s="2">
        <v>6</v>
      </c>
      <c r="F7588" s="2" t="s">
        <v>26729</v>
      </c>
      <c r="H7588" s="2" t="s">
        <v>17</v>
      </c>
    </row>
    <row r="7589" spans="1:14">
      <c r="A7589" s="2">
        <v>7588</v>
      </c>
      <c r="B7589" s="3" t="s">
        <v>26730</v>
      </c>
      <c r="C7589" s="2" t="s">
        <v>21456</v>
      </c>
      <c r="D7589" s="2">
        <v>6</v>
      </c>
      <c r="E7589" s="2">
        <v>6</v>
      </c>
      <c r="F7589" s="2" t="s">
        <v>26731</v>
      </c>
      <c r="H7589" s="2" t="s">
        <v>17</v>
      </c>
    </row>
    <row r="7590" spans="1:14">
      <c r="A7590" s="2">
        <v>7589</v>
      </c>
      <c r="B7590" s="3" t="s">
        <v>26732</v>
      </c>
      <c r="C7590" s="2" t="s">
        <v>26733</v>
      </c>
      <c r="D7590" s="2">
        <v>6</v>
      </c>
      <c r="E7590" s="2">
        <v>6</v>
      </c>
      <c r="F7590" s="2" t="s">
        <v>26734</v>
      </c>
      <c r="H7590" s="2" t="s">
        <v>17</v>
      </c>
      <c r="K7590" s="4" t="s">
        <v>26735</v>
      </c>
      <c r="L7590" s="4" t="s">
        <v>26736</v>
      </c>
      <c r="M7590" s="2" t="s">
        <v>198</v>
      </c>
      <c r="N7590" s="2" t="s">
        <v>199</v>
      </c>
    </row>
    <row r="7591" spans="1:14">
      <c r="A7591" s="2">
        <v>7590</v>
      </c>
      <c r="B7591" s="3" t="s">
        <v>26737</v>
      </c>
      <c r="C7591" s="2" t="s">
        <v>26738</v>
      </c>
      <c r="D7591" s="2">
        <v>1</v>
      </c>
      <c r="E7591" s="2">
        <v>6</v>
      </c>
      <c r="F7591" s="2" t="s">
        <v>26739</v>
      </c>
      <c r="H7591" s="2" t="s">
        <v>17</v>
      </c>
      <c r="K7591" s="4" t="s">
        <v>26740</v>
      </c>
      <c r="L7591" s="4" t="s">
        <v>26741</v>
      </c>
      <c r="M7591" s="2" t="s">
        <v>185</v>
      </c>
      <c r="N7591" s="2" t="s">
        <v>838</v>
      </c>
    </row>
    <row r="7592" spans="1:14">
      <c r="A7592" s="2">
        <v>7591</v>
      </c>
      <c r="B7592" s="3" t="s">
        <v>26742</v>
      </c>
      <c r="C7592" s="2" t="s">
        <v>26743</v>
      </c>
      <c r="D7592" s="2">
        <v>6</v>
      </c>
      <c r="E7592" s="2">
        <v>6</v>
      </c>
      <c r="F7592" s="2" t="s">
        <v>26744</v>
      </c>
      <c r="H7592" s="2" t="s">
        <v>17</v>
      </c>
      <c r="K7592" s="4" t="s">
        <v>26745</v>
      </c>
      <c r="L7592" s="4" t="s">
        <v>26746</v>
      </c>
      <c r="M7592" s="2" t="s">
        <v>66</v>
      </c>
      <c r="N7592" s="2" t="s">
        <v>71</v>
      </c>
    </row>
    <row r="7593" spans="1:14">
      <c r="A7593" s="2">
        <v>7592</v>
      </c>
      <c r="B7593" s="3" t="s">
        <v>26747</v>
      </c>
      <c r="C7593" s="2" t="s">
        <v>24840</v>
      </c>
      <c r="D7593" s="2">
        <v>3</v>
      </c>
      <c r="E7593" s="2">
        <v>6</v>
      </c>
      <c r="F7593" s="2" t="s">
        <v>26748</v>
      </c>
      <c r="H7593" s="2" t="s">
        <v>17</v>
      </c>
      <c r="K7593" s="4" t="s">
        <v>26749</v>
      </c>
      <c r="L7593" s="4" t="s">
        <v>26750</v>
      </c>
      <c r="M7593" s="2" t="s">
        <v>66</v>
      </c>
      <c r="N7593" s="2" t="s">
        <v>12230</v>
      </c>
    </row>
    <row r="7594" spans="1:14">
      <c r="A7594" s="2">
        <v>7593</v>
      </c>
      <c r="B7594" s="3" t="s">
        <v>26751</v>
      </c>
      <c r="C7594" s="2" t="s">
        <v>26752</v>
      </c>
      <c r="D7594" s="2">
        <v>3</v>
      </c>
      <c r="E7594" s="2">
        <v>6</v>
      </c>
      <c r="F7594" s="2" t="s">
        <v>26753</v>
      </c>
      <c r="H7594" s="2" t="s">
        <v>17</v>
      </c>
      <c r="K7594" s="4" t="s">
        <v>26754</v>
      </c>
      <c r="L7594" s="4" t="s">
        <v>26755</v>
      </c>
      <c r="M7594" s="2" t="s">
        <v>35</v>
      </c>
      <c r="N7594" s="2" t="s">
        <v>12348</v>
      </c>
    </row>
    <row r="7595" spans="1:14">
      <c r="A7595" s="2">
        <v>7594</v>
      </c>
      <c r="B7595" s="3" t="s">
        <v>26756</v>
      </c>
      <c r="C7595" s="2" t="s">
        <v>26757</v>
      </c>
      <c r="D7595" s="2">
        <v>6</v>
      </c>
      <c r="E7595" s="2">
        <v>6</v>
      </c>
      <c r="F7595" s="2" t="s">
        <v>26758</v>
      </c>
      <c r="H7595" s="2" t="s">
        <v>17</v>
      </c>
      <c r="K7595" s="4" t="s">
        <v>26759</v>
      </c>
      <c r="L7595" s="4" t="s">
        <v>26760</v>
      </c>
      <c r="M7595" s="2" t="s">
        <v>47</v>
      </c>
      <c r="N7595" s="2" t="s">
        <v>48</v>
      </c>
    </row>
    <row r="7596" spans="1:14">
      <c r="A7596" s="2">
        <v>7595</v>
      </c>
      <c r="B7596" s="3" t="s">
        <v>26761</v>
      </c>
      <c r="C7596" s="2" t="s">
        <v>26762</v>
      </c>
      <c r="D7596" s="2">
        <v>3</v>
      </c>
      <c r="E7596" s="2">
        <v>6</v>
      </c>
      <c r="F7596" s="2" t="s">
        <v>26763</v>
      </c>
      <c r="H7596" s="2" t="s">
        <v>17</v>
      </c>
    </row>
    <row r="7597" spans="1:14">
      <c r="A7597" s="2">
        <v>7596</v>
      </c>
      <c r="B7597" s="3" t="s">
        <v>26764</v>
      </c>
      <c r="C7597" s="2" t="s">
        <v>26765</v>
      </c>
      <c r="D7597" s="2">
        <v>2</v>
      </c>
      <c r="E7597" s="2">
        <v>6</v>
      </c>
      <c r="F7597" s="2" t="s">
        <v>26766</v>
      </c>
      <c r="H7597" s="2" t="s">
        <v>17</v>
      </c>
      <c r="K7597" s="4" t="s">
        <v>26767</v>
      </c>
      <c r="L7597" s="4" t="s">
        <v>25164</v>
      </c>
      <c r="M7597" s="2" t="s">
        <v>40</v>
      </c>
      <c r="N7597" s="2" t="s">
        <v>5389</v>
      </c>
    </row>
    <row r="7598" spans="1:14">
      <c r="A7598" s="2">
        <v>7597</v>
      </c>
      <c r="B7598" s="3" t="s">
        <v>26768</v>
      </c>
      <c r="C7598" s="2" t="s">
        <v>26769</v>
      </c>
      <c r="D7598" s="2">
        <v>5</v>
      </c>
      <c r="E7598" s="2">
        <v>6</v>
      </c>
      <c r="F7598" s="2" t="s">
        <v>26770</v>
      </c>
      <c r="H7598" s="2" t="s">
        <v>17</v>
      </c>
    </row>
    <row r="7599" spans="1:14">
      <c r="A7599" s="2">
        <v>7598</v>
      </c>
      <c r="B7599" s="3" t="s">
        <v>26771</v>
      </c>
      <c r="C7599" s="2" t="s">
        <v>26772</v>
      </c>
      <c r="D7599" s="2">
        <v>6</v>
      </c>
      <c r="E7599" s="2">
        <v>6</v>
      </c>
      <c r="F7599" s="2" t="s">
        <v>26773</v>
      </c>
      <c r="H7599" s="2" t="s">
        <v>17</v>
      </c>
      <c r="K7599" s="4" t="s">
        <v>26774</v>
      </c>
      <c r="L7599" s="4" t="s">
        <v>26775</v>
      </c>
    </row>
    <row r="7600" spans="1:14">
      <c r="A7600" s="2">
        <v>7599</v>
      </c>
      <c r="B7600" s="3" t="s">
        <v>26776</v>
      </c>
      <c r="C7600" s="2" t="s">
        <v>26777</v>
      </c>
      <c r="D7600" s="2">
        <v>4</v>
      </c>
      <c r="E7600" s="2">
        <v>6</v>
      </c>
      <c r="F7600" s="2" t="s">
        <v>26778</v>
      </c>
      <c r="H7600" s="2" t="s">
        <v>17</v>
      </c>
    </row>
    <row r="7601" spans="1:14">
      <c r="A7601" s="2">
        <v>7600</v>
      </c>
      <c r="B7601" s="3" t="s">
        <v>26779</v>
      </c>
      <c r="C7601" s="2" t="s">
        <v>26780</v>
      </c>
      <c r="D7601" s="2">
        <v>6</v>
      </c>
      <c r="E7601" s="2">
        <v>6</v>
      </c>
      <c r="F7601" s="2" t="s">
        <v>26781</v>
      </c>
      <c r="H7601" s="2" t="s">
        <v>17</v>
      </c>
      <c r="K7601" s="4" t="s">
        <v>26782</v>
      </c>
      <c r="L7601" s="4" t="s">
        <v>26783</v>
      </c>
      <c r="M7601" s="2" t="s">
        <v>170</v>
      </c>
      <c r="N7601" s="2" t="s">
        <v>323</v>
      </c>
    </row>
    <row r="7602" spans="1:14">
      <c r="A7602" s="2">
        <v>7601</v>
      </c>
      <c r="B7602" s="3" t="s">
        <v>26784</v>
      </c>
      <c r="C7602" s="2" t="s">
        <v>26785</v>
      </c>
      <c r="D7602" s="2">
        <v>3</v>
      </c>
      <c r="E7602" s="2">
        <v>6</v>
      </c>
      <c r="F7602" s="2" t="s">
        <v>26786</v>
      </c>
      <c r="H7602" s="2" t="s">
        <v>17</v>
      </c>
      <c r="K7602" s="4" t="s">
        <v>26787</v>
      </c>
      <c r="L7602" s="4" t="s">
        <v>26788</v>
      </c>
      <c r="M7602" s="2" t="s">
        <v>170</v>
      </c>
      <c r="N7602" s="2" t="s">
        <v>1624</v>
      </c>
    </row>
    <row r="7603" spans="1:14">
      <c r="A7603" s="2">
        <v>7602</v>
      </c>
      <c r="B7603" s="3" t="s">
        <v>26789</v>
      </c>
      <c r="C7603" s="2" t="s">
        <v>26790</v>
      </c>
      <c r="D7603" s="2">
        <v>6</v>
      </c>
      <c r="E7603" s="2">
        <v>6</v>
      </c>
      <c r="F7603" s="2" t="s">
        <v>26791</v>
      </c>
      <c r="H7603" s="2" t="s">
        <v>17</v>
      </c>
    </row>
    <row r="7604" spans="1:14">
      <c r="A7604" s="2">
        <v>7603</v>
      </c>
      <c r="B7604" s="3" t="s">
        <v>26792</v>
      </c>
      <c r="C7604" s="2" t="s">
        <v>26793</v>
      </c>
      <c r="D7604" s="2">
        <v>3</v>
      </c>
      <c r="E7604" s="2">
        <v>6</v>
      </c>
      <c r="F7604" s="2" t="s">
        <v>26794</v>
      </c>
      <c r="H7604" s="2" t="s">
        <v>17</v>
      </c>
      <c r="K7604" s="4" t="s">
        <v>26795</v>
      </c>
      <c r="L7604" s="4" t="s">
        <v>26796</v>
      </c>
      <c r="M7604" s="2" t="s">
        <v>140</v>
      </c>
      <c r="N7604" s="2" t="s">
        <v>141</v>
      </c>
    </row>
    <row r="7605" spans="1:14">
      <c r="A7605" s="2">
        <v>7604</v>
      </c>
      <c r="B7605" s="3" t="s">
        <v>26797</v>
      </c>
      <c r="C7605" s="2" t="s">
        <v>26798</v>
      </c>
      <c r="D7605" s="2">
        <v>6</v>
      </c>
      <c r="E7605" s="2">
        <v>6</v>
      </c>
      <c r="F7605" s="2" t="s">
        <v>26799</v>
      </c>
      <c r="H7605" s="2" t="s">
        <v>17</v>
      </c>
      <c r="K7605" s="4" t="s">
        <v>26800</v>
      </c>
      <c r="L7605" s="4" t="s">
        <v>26801</v>
      </c>
    </row>
    <row r="7606" spans="1:14">
      <c r="A7606" s="2">
        <v>7605</v>
      </c>
      <c r="B7606" s="3" t="s">
        <v>26802</v>
      </c>
      <c r="C7606" s="2" t="s">
        <v>26803</v>
      </c>
      <c r="D7606" s="2">
        <v>6</v>
      </c>
      <c r="E7606" s="2">
        <v>6</v>
      </c>
      <c r="F7606" s="2" t="s">
        <v>26804</v>
      </c>
      <c r="H7606" s="2" t="s">
        <v>17</v>
      </c>
    </row>
    <row r="7607" spans="1:14">
      <c r="A7607" s="2">
        <v>7606</v>
      </c>
      <c r="B7607" s="3" t="s">
        <v>26805</v>
      </c>
      <c r="C7607" s="2" t="s">
        <v>26806</v>
      </c>
      <c r="D7607" s="2">
        <v>2</v>
      </c>
      <c r="E7607" s="2">
        <v>6</v>
      </c>
      <c r="F7607" s="2" t="s">
        <v>26807</v>
      </c>
      <c r="H7607" s="2" t="s">
        <v>17</v>
      </c>
      <c r="L7607" s="4" t="s">
        <v>26808</v>
      </c>
    </row>
    <row r="7608" spans="1:14">
      <c r="A7608" s="2">
        <v>7607</v>
      </c>
      <c r="B7608" s="3" t="s">
        <v>26809</v>
      </c>
      <c r="C7608" s="2" t="s">
        <v>5762</v>
      </c>
      <c r="D7608" s="2">
        <v>6</v>
      </c>
      <c r="E7608" s="2">
        <v>6</v>
      </c>
      <c r="F7608" s="2" t="s">
        <v>26810</v>
      </c>
      <c r="H7608" s="2" t="s">
        <v>17</v>
      </c>
      <c r="K7608" s="4" t="s">
        <v>26811</v>
      </c>
      <c r="L7608" s="4" t="s">
        <v>26812</v>
      </c>
      <c r="M7608" s="2" t="s">
        <v>66</v>
      </c>
      <c r="N7608" s="2" t="s">
        <v>26813</v>
      </c>
    </row>
    <row r="7609" spans="1:14">
      <c r="A7609" s="2">
        <v>7608</v>
      </c>
      <c r="B7609" s="3" t="s">
        <v>26814</v>
      </c>
      <c r="C7609" s="2" t="s">
        <v>26815</v>
      </c>
      <c r="D7609" s="2">
        <v>3</v>
      </c>
      <c r="E7609" s="2">
        <v>6</v>
      </c>
      <c r="F7609" s="2" t="s">
        <v>26816</v>
      </c>
      <c r="H7609" s="2" t="s">
        <v>17</v>
      </c>
      <c r="K7609" s="4" t="s">
        <v>26817</v>
      </c>
      <c r="L7609" s="4" t="s">
        <v>26818</v>
      </c>
      <c r="M7609" s="2" t="s">
        <v>198</v>
      </c>
      <c r="N7609" s="2" t="s">
        <v>199</v>
      </c>
    </row>
    <row r="7610" spans="1:14">
      <c r="A7610" s="2">
        <v>7609</v>
      </c>
      <c r="B7610" s="3" t="s">
        <v>26819</v>
      </c>
      <c r="C7610" s="2" t="s">
        <v>22634</v>
      </c>
      <c r="D7610" s="2">
        <v>1</v>
      </c>
      <c r="E7610" s="2">
        <v>5</v>
      </c>
      <c r="F7610" s="2" t="s">
        <v>26820</v>
      </c>
      <c r="H7610" s="2" t="s">
        <v>17</v>
      </c>
      <c r="L7610" s="4" t="s">
        <v>26821</v>
      </c>
      <c r="M7610" s="2" t="s">
        <v>40</v>
      </c>
      <c r="N7610" s="2" t="s">
        <v>41</v>
      </c>
    </row>
    <row r="7611" spans="1:14">
      <c r="A7611" s="2">
        <v>7610</v>
      </c>
      <c r="B7611" s="3" t="s">
        <v>26822</v>
      </c>
      <c r="C7611" s="2" t="s">
        <v>26823</v>
      </c>
      <c r="D7611" s="2">
        <v>5</v>
      </c>
      <c r="E7611" s="2">
        <v>5</v>
      </c>
      <c r="F7611" s="2" t="s">
        <v>26824</v>
      </c>
      <c r="H7611" s="2" t="s">
        <v>17</v>
      </c>
    </row>
    <row r="7612" spans="1:14">
      <c r="A7612" s="2">
        <v>7611</v>
      </c>
      <c r="B7612" s="3" t="s">
        <v>26825</v>
      </c>
      <c r="C7612" s="2" t="s">
        <v>26826</v>
      </c>
      <c r="D7612" s="2">
        <v>4</v>
      </c>
      <c r="E7612" s="2">
        <v>5</v>
      </c>
      <c r="F7612" s="2" t="s">
        <v>26827</v>
      </c>
      <c r="H7612" s="2" t="s">
        <v>17</v>
      </c>
      <c r="K7612" s="4" t="s">
        <v>26828</v>
      </c>
      <c r="L7612" s="4" t="s">
        <v>26829</v>
      </c>
      <c r="N7612" s="2" t="s">
        <v>15964</v>
      </c>
    </row>
    <row r="7613" spans="1:14">
      <c r="A7613" s="2">
        <v>7612</v>
      </c>
      <c r="B7613" s="3" t="s">
        <v>26830</v>
      </c>
      <c r="C7613" s="2" t="s">
        <v>26831</v>
      </c>
      <c r="D7613" s="2">
        <v>4</v>
      </c>
      <c r="E7613" s="2">
        <v>5</v>
      </c>
      <c r="F7613" s="2" t="s">
        <v>26832</v>
      </c>
      <c r="H7613" s="2" t="s">
        <v>17</v>
      </c>
      <c r="L7613" s="4" t="s">
        <v>26833</v>
      </c>
    </row>
    <row r="7614" spans="1:14">
      <c r="A7614" s="2">
        <v>7613</v>
      </c>
      <c r="B7614" s="3" t="s">
        <v>26834</v>
      </c>
      <c r="C7614" s="2" t="s">
        <v>26835</v>
      </c>
      <c r="D7614" s="2">
        <v>2</v>
      </c>
      <c r="E7614" s="2">
        <v>5</v>
      </c>
      <c r="F7614" s="2" t="s">
        <v>26836</v>
      </c>
      <c r="H7614" s="2" t="s">
        <v>17</v>
      </c>
      <c r="K7614" s="4" t="s">
        <v>26837</v>
      </c>
      <c r="L7614" s="4" t="s">
        <v>26838</v>
      </c>
    </row>
    <row r="7615" spans="1:14">
      <c r="A7615" s="2">
        <v>7614</v>
      </c>
      <c r="B7615" s="3" t="s">
        <v>26839</v>
      </c>
      <c r="C7615" s="2" t="s">
        <v>26840</v>
      </c>
      <c r="D7615" s="2">
        <v>3</v>
      </c>
      <c r="E7615" s="2">
        <v>5</v>
      </c>
      <c r="F7615" s="2" t="s">
        <v>26841</v>
      </c>
      <c r="H7615" s="2" t="s">
        <v>17</v>
      </c>
      <c r="K7615" s="4" t="s">
        <v>26842</v>
      </c>
      <c r="L7615" s="4" t="s">
        <v>26843</v>
      </c>
      <c r="M7615" s="2" t="s">
        <v>198</v>
      </c>
      <c r="N7615" s="2" t="s">
        <v>5846</v>
      </c>
    </row>
    <row r="7616" spans="1:14">
      <c r="A7616" s="2">
        <v>7615</v>
      </c>
      <c r="B7616" s="3" t="s">
        <v>26844</v>
      </c>
      <c r="C7616" s="2" t="s">
        <v>26845</v>
      </c>
      <c r="D7616" s="2">
        <v>4</v>
      </c>
      <c r="E7616" s="2">
        <v>5</v>
      </c>
      <c r="F7616" s="2" t="s">
        <v>26846</v>
      </c>
      <c r="H7616" s="2" t="s">
        <v>17</v>
      </c>
      <c r="K7616" s="4" t="s">
        <v>26847</v>
      </c>
      <c r="L7616" s="4" t="s">
        <v>26848</v>
      </c>
    </row>
    <row r="7617" spans="1:14">
      <c r="A7617" s="2">
        <v>7616</v>
      </c>
      <c r="B7617" s="3" t="s">
        <v>26849</v>
      </c>
      <c r="C7617" s="2" t="s">
        <v>26850</v>
      </c>
      <c r="D7617" s="2">
        <v>5</v>
      </c>
      <c r="E7617" s="2">
        <v>5</v>
      </c>
      <c r="F7617" s="2" t="s">
        <v>26851</v>
      </c>
      <c r="H7617" s="2" t="s">
        <v>17</v>
      </c>
    </row>
    <row r="7618" spans="1:14">
      <c r="A7618" s="2">
        <v>7617</v>
      </c>
      <c r="B7618" s="3" t="s">
        <v>26852</v>
      </c>
      <c r="C7618" s="2" t="s">
        <v>26853</v>
      </c>
      <c r="D7618" s="2">
        <v>2</v>
      </c>
      <c r="E7618" s="2">
        <v>5</v>
      </c>
      <c r="F7618" s="2" t="s">
        <v>26854</v>
      </c>
      <c r="H7618" s="2" t="s">
        <v>17</v>
      </c>
      <c r="K7618" s="4" t="s">
        <v>26855</v>
      </c>
      <c r="L7618" s="4" t="s">
        <v>26856</v>
      </c>
      <c r="M7618" s="2" t="s">
        <v>198</v>
      </c>
    </row>
    <row r="7619" spans="1:14">
      <c r="A7619" s="2">
        <v>7618</v>
      </c>
      <c r="B7619" s="3" t="s">
        <v>26857</v>
      </c>
      <c r="C7619" s="2" t="s">
        <v>26858</v>
      </c>
      <c r="D7619" s="2">
        <v>5</v>
      </c>
      <c r="E7619" s="2">
        <v>5</v>
      </c>
      <c r="F7619" s="2" t="s">
        <v>26859</v>
      </c>
      <c r="H7619" s="2" t="s">
        <v>17</v>
      </c>
    </row>
    <row r="7620" spans="1:14">
      <c r="A7620" s="2">
        <v>7619</v>
      </c>
      <c r="B7620" s="3" t="s">
        <v>26860</v>
      </c>
      <c r="C7620" s="2" t="s">
        <v>26861</v>
      </c>
      <c r="D7620" s="2">
        <v>1</v>
      </c>
      <c r="E7620" s="2">
        <v>5</v>
      </c>
      <c r="F7620" s="2" t="s">
        <v>26862</v>
      </c>
      <c r="H7620" s="2" t="s">
        <v>17</v>
      </c>
      <c r="K7620" s="4" t="s">
        <v>26863</v>
      </c>
      <c r="L7620" s="4" t="s">
        <v>26864</v>
      </c>
      <c r="N7620" s="2" t="s">
        <v>26865</v>
      </c>
    </row>
    <row r="7621" spans="1:14">
      <c r="A7621" s="2">
        <v>7620</v>
      </c>
      <c r="B7621" s="3" t="s">
        <v>26866</v>
      </c>
      <c r="C7621" s="2" t="s">
        <v>26867</v>
      </c>
      <c r="D7621" s="2">
        <v>5</v>
      </c>
      <c r="E7621" s="2">
        <v>5</v>
      </c>
      <c r="F7621" s="2" t="s">
        <v>26868</v>
      </c>
      <c r="H7621" s="2" t="s">
        <v>17</v>
      </c>
    </row>
    <row r="7622" spans="1:14">
      <c r="A7622" s="2">
        <v>7621</v>
      </c>
      <c r="B7622" s="3" t="s">
        <v>26869</v>
      </c>
      <c r="C7622" s="2" t="s">
        <v>26870</v>
      </c>
      <c r="D7622" s="2">
        <v>2</v>
      </c>
      <c r="E7622" s="2">
        <v>5</v>
      </c>
      <c r="F7622" s="2" t="s">
        <v>26871</v>
      </c>
      <c r="H7622" s="2" t="s">
        <v>17</v>
      </c>
    </row>
    <row r="7623" spans="1:14">
      <c r="A7623" s="2">
        <v>7622</v>
      </c>
      <c r="B7623" s="3" t="s">
        <v>26872</v>
      </c>
      <c r="C7623" s="2" t="s">
        <v>24222</v>
      </c>
      <c r="D7623" s="2">
        <v>4</v>
      </c>
      <c r="E7623" s="2">
        <v>5</v>
      </c>
      <c r="F7623" s="2" t="s">
        <v>26873</v>
      </c>
      <c r="H7623" s="2" t="s">
        <v>17</v>
      </c>
      <c r="K7623" s="4" t="s">
        <v>26874</v>
      </c>
      <c r="L7623" s="4" t="s">
        <v>26875</v>
      </c>
      <c r="M7623" s="2" t="s">
        <v>146</v>
      </c>
      <c r="N7623" s="2" t="s">
        <v>8769</v>
      </c>
    </row>
    <row r="7624" spans="1:14">
      <c r="A7624" s="2">
        <v>7623</v>
      </c>
      <c r="B7624" s="3" t="s">
        <v>26876</v>
      </c>
      <c r="C7624" s="2" t="s">
        <v>26877</v>
      </c>
      <c r="D7624" s="2">
        <v>5</v>
      </c>
      <c r="E7624" s="2">
        <v>5</v>
      </c>
      <c r="F7624" s="2" t="s">
        <v>26878</v>
      </c>
      <c r="H7624" s="2" t="s">
        <v>17</v>
      </c>
    </row>
    <row r="7625" spans="1:14">
      <c r="A7625" s="2">
        <v>7624</v>
      </c>
      <c r="B7625" s="3" t="s">
        <v>26879</v>
      </c>
      <c r="C7625" s="2" t="s">
        <v>26880</v>
      </c>
      <c r="D7625" s="2">
        <v>5</v>
      </c>
      <c r="E7625" s="2">
        <v>5</v>
      </c>
      <c r="F7625" s="2" t="s">
        <v>26881</v>
      </c>
      <c r="H7625" s="2" t="s">
        <v>17</v>
      </c>
      <c r="K7625" s="4" t="s">
        <v>26882</v>
      </c>
      <c r="L7625" s="4" t="s">
        <v>26883</v>
      </c>
      <c r="M7625" s="2" t="s">
        <v>47</v>
      </c>
      <c r="N7625" s="2" t="s">
        <v>48</v>
      </c>
    </row>
    <row r="7626" spans="1:14">
      <c r="A7626" s="2">
        <v>7625</v>
      </c>
      <c r="B7626" s="3" t="s">
        <v>26884</v>
      </c>
      <c r="C7626" s="2" t="s">
        <v>26885</v>
      </c>
      <c r="D7626" s="2">
        <v>5</v>
      </c>
      <c r="E7626" s="2">
        <v>5</v>
      </c>
      <c r="F7626" s="2" t="s">
        <v>26886</v>
      </c>
      <c r="H7626" s="2" t="s">
        <v>17</v>
      </c>
      <c r="L7626" s="4" t="s">
        <v>26887</v>
      </c>
      <c r="M7626" s="2" t="s">
        <v>192</v>
      </c>
    </row>
    <row r="7627" spans="1:14">
      <c r="A7627" s="2">
        <v>7626</v>
      </c>
      <c r="B7627" s="3" t="s">
        <v>26888</v>
      </c>
      <c r="C7627" s="2" t="s">
        <v>26889</v>
      </c>
      <c r="D7627" s="2">
        <v>5</v>
      </c>
      <c r="E7627" s="2">
        <v>5</v>
      </c>
      <c r="F7627" s="2" t="s">
        <v>26890</v>
      </c>
      <c r="H7627" s="2" t="s">
        <v>17</v>
      </c>
    </row>
    <row r="7628" spans="1:14">
      <c r="A7628" s="2">
        <v>7627</v>
      </c>
      <c r="B7628" s="3" t="s">
        <v>26891</v>
      </c>
      <c r="C7628" s="2" t="s">
        <v>24996</v>
      </c>
      <c r="D7628" s="2">
        <v>1</v>
      </c>
      <c r="E7628" s="2">
        <v>5</v>
      </c>
      <c r="F7628" s="2" t="s">
        <v>26892</v>
      </c>
      <c r="H7628" s="2" t="s">
        <v>17</v>
      </c>
      <c r="K7628" s="4" t="s">
        <v>26893</v>
      </c>
      <c r="L7628" s="4" t="s">
        <v>26894</v>
      </c>
      <c r="M7628" s="2" t="s">
        <v>40</v>
      </c>
      <c r="N7628" s="2" t="s">
        <v>41</v>
      </c>
    </row>
    <row r="7629" spans="1:14">
      <c r="A7629" s="2">
        <v>7628</v>
      </c>
      <c r="B7629" s="3" t="s">
        <v>26895</v>
      </c>
      <c r="C7629" s="2" t="s">
        <v>25819</v>
      </c>
      <c r="D7629" s="2">
        <v>1</v>
      </c>
      <c r="E7629" s="2">
        <v>5</v>
      </c>
      <c r="F7629" s="2" t="s">
        <v>26896</v>
      </c>
      <c r="H7629" s="2" t="s">
        <v>17</v>
      </c>
      <c r="K7629" s="4" t="s">
        <v>26897</v>
      </c>
      <c r="L7629" s="4" t="s">
        <v>26898</v>
      </c>
      <c r="M7629" s="2" t="s">
        <v>336</v>
      </c>
      <c r="N7629" s="2" t="s">
        <v>1883</v>
      </c>
    </row>
    <row r="7630" spans="1:14">
      <c r="A7630" s="2">
        <v>7629</v>
      </c>
      <c r="B7630" s="3" t="s">
        <v>26899</v>
      </c>
      <c r="C7630" s="2" t="s">
        <v>26900</v>
      </c>
      <c r="D7630" s="2">
        <v>5</v>
      </c>
      <c r="E7630" s="2">
        <v>5</v>
      </c>
      <c r="F7630" s="2" t="s">
        <v>26901</v>
      </c>
      <c r="H7630" s="2" t="s">
        <v>17</v>
      </c>
    </row>
    <row r="7631" spans="1:14">
      <c r="A7631" s="2">
        <v>7630</v>
      </c>
      <c r="B7631" s="3" t="s">
        <v>26902</v>
      </c>
      <c r="C7631" s="2" t="s">
        <v>26903</v>
      </c>
      <c r="D7631" s="2">
        <v>5</v>
      </c>
      <c r="E7631" s="2">
        <v>5</v>
      </c>
      <c r="F7631" s="2" t="s">
        <v>26904</v>
      </c>
      <c r="H7631" s="2" t="s">
        <v>17</v>
      </c>
      <c r="K7631" s="4" t="s">
        <v>26905</v>
      </c>
      <c r="L7631" s="4" t="s">
        <v>26906</v>
      </c>
      <c r="M7631" s="2" t="s">
        <v>170</v>
      </c>
      <c r="N7631" s="2" t="s">
        <v>323</v>
      </c>
    </row>
    <row r="7632" spans="1:14">
      <c r="A7632" s="2">
        <v>7631</v>
      </c>
      <c r="B7632" s="3" t="s">
        <v>26907</v>
      </c>
      <c r="C7632" s="2" t="s">
        <v>26908</v>
      </c>
      <c r="D7632" s="2">
        <v>5</v>
      </c>
      <c r="E7632" s="2">
        <v>5</v>
      </c>
      <c r="F7632" s="2" t="s">
        <v>26909</v>
      </c>
      <c r="H7632" s="2" t="s">
        <v>17</v>
      </c>
    </row>
    <row r="7633" spans="1:14">
      <c r="A7633" s="2">
        <v>7632</v>
      </c>
      <c r="B7633" s="3" t="s">
        <v>26910</v>
      </c>
      <c r="C7633" s="2" t="s">
        <v>26911</v>
      </c>
      <c r="D7633" s="2">
        <v>4</v>
      </c>
      <c r="E7633" s="2">
        <v>5</v>
      </c>
      <c r="F7633" s="2" t="s">
        <v>26912</v>
      </c>
      <c r="H7633" s="2" t="s">
        <v>17</v>
      </c>
      <c r="L7633" s="4" t="s">
        <v>19488</v>
      </c>
      <c r="M7633" s="2" t="s">
        <v>35</v>
      </c>
      <c r="N7633" s="2" t="s">
        <v>11552</v>
      </c>
    </row>
    <row r="7634" spans="1:14">
      <c r="A7634" s="2">
        <v>7633</v>
      </c>
      <c r="B7634" s="3" t="s">
        <v>26913</v>
      </c>
      <c r="C7634" s="2" t="s">
        <v>25028</v>
      </c>
      <c r="D7634" s="2">
        <v>3</v>
      </c>
      <c r="E7634" s="2">
        <v>5</v>
      </c>
      <c r="F7634" s="2" t="s">
        <v>26914</v>
      </c>
      <c r="H7634" s="2" t="s">
        <v>17</v>
      </c>
      <c r="K7634" s="4" t="s">
        <v>26915</v>
      </c>
      <c r="L7634" s="4" t="s">
        <v>23026</v>
      </c>
      <c r="M7634" s="2" t="s">
        <v>170</v>
      </c>
      <c r="N7634" s="2" t="s">
        <v>323</v>
      </c>
    </row>
    <row r="7635" spans="1:14">
      <c r="A7635" s="2">
        <v>7634</v>
      </c>
      <c r="B7635" s="3" t="s">
        <v>26916</v>
      </c>
      <c r="C7635" s="2" t="s">
        <v>26917</v>
      </c>
      <c r="D7635" s="2">
        <v>5</v>
      </c>
      <c r="E7635" s="2">
        <v>5</v>
      </c>
      <c r="F7635" s="2" t="s">
        <v>26918</v>
      </c>
      <c r="H7635" s="2" t="s">
        <v>17</v>
      </c>
    </row>
    <row r="7636" spans="1:14">
      <c r="A7636" s="2">
        <v>7635</v>
      </c>
      <c r="B7636" s="3" t="s">
        <v>26919</v>
      </c>
      <c r="C7636" s="2" t="s">
        <v>26920</v>
      </c>
      <c r="D7636" s="2">
        <v>5</v>
      </c>
      <c r="E7636" s="2">
        <v>5</v>
      </c>
      <c r="F7636" s="2" t="s">
        <v>26921</v>
      </c>
      <c r="H7636" s="2" t="s">
        <v>17</v>
      </c>
    </row>
    <row r="7637" spans="1:14">
      <c r="A7637" s="2">
        <v>7636</v>
      </c>
      <c r="B7637" s="3" t="s">
        <v>26922</v>
      </c>
      <c r="C7637" s="2" t="s">
        <v>26923</v>
      </c>
      <c r="D7637" s="2">
        <v>5</v>
      </c>
      <c r="E7637" s="2">
        <v>5</v>
      </c>
      <c r="F7637" s="2" t="s">
        <v>26924</v>
      </c>
      <c r="H7637" s="2" t="s">
        <v>17</v>
      </c>
      <c r="K7637" s="4" t="s">
        <v>26925</v>
      </c>
      <c r="L7637" s="4" t="s">
        <v>26926</v>
      </c>
      <c r="M7637" s="2" t="s">
        <v>170</v>
      </c>
      <c r="N7637" s="2" t="s">
        <v>323</v>
      </c>
    </row>
    <row r="7638" spans="1:14">
      <c r="A7638" s="2">
        <v>7637</v>
      </c>
      <c r="B7638" s="3" t="s">
        <v>26927</v>
      </c>
      <c r="C7638" s="2" t="s">
        <v>23676</v>
      </c>
      <c r="D7638" s="2">
        <v>1</v>
      </c>
      <c r="E7638" s="2">
        <v>5</v>
      </c>
      <c r="F7638" s="2" t="s">
        <v>26928</v>
      </c>
      <c r="H7638" s="2" t="s">
        <v>17</v>
      </c>
      <c r="K7638" s="4" t="s">
        <v>26929</v>
      </c>
      <c r="L7638" s="4" t="s">
        <v>26930</v>
      </c>
      <c r="M7638" s="2" t="s">
        <v>35</v>
      </c>
      <c r="N7638" s="2" t="s">
        <v>58</v>
      </c>
    </row>
    <row r="7639" spans="1:14">
      <c r="A7639" s="2">
        <v>7638</v>
      </c>
      <c r="B7639" s="3" t="s">
        <v>26931</v>
      </c>
      <c r="C7639" s="2" t="s">
        <v>26932</v>
      </c>
      <c r="D7639" s="2">
        <v>5</v>
      </c>
      <c r="E7639" s="2">
        <v>5</v>
      </c>
      <c r="F7639" s="2" t="s">
        <v>26933</v>
      </c>
      <c r="H7639" s="2" t="s">
        <v>17</v>
      </c>
    </row>
    <row r="7640" spans="1:14">
      <c r="A7640" s="2">
        <v>7639</v>
      </c>
      <c r="B7640" s="3" t="s">
        <v>26934</v>
      </c>
      <c r="C7640" s="2" t="s">
        <v>8830</v>
      </c>
      <c r="D7640" s="2">
        <v>5</v>
      </c>
      <c r="E7640" s="2">
        <v>5</v>
      </c>
      <c r="F7640" s="2" t="s">
        <v>26935</v>
      </c>
      <c r="H7640" s="2" t="s">
        <v>17</v>
      </c>
      <c r="L7640" s="4" t="s">
        <v>24892</v>
      </c>
      <c r="M7640" s="2" t="s">
        <v>198</v>
      </c>
    </row>
    <row r="7641" spans="1:14">
      <c r="A7641" s="2">
        <v>7640</v>
      </c>
      <c r="B7641" s="3" t="s">
        <v>26936</v>
      </c>
      <c r="C7641" s="2" t="s">
        <v>26937</v>
      </c>
      <c r="D7641" s="2">
        <v>5</v>
      </c>
      <c r="E7641" s="2">
        <v>5</v>
      </c>
      <c r="F7641" s="2" t="s">
        <v>24587</v>
      </c>
      <c r="H7641" s="2" t="s">
        <v>17</v>
      </c>
      <c r="L7641" s="4" t="s">
        <v>26938</v>
      </c>
      <c r="M7641" s="2" t="s">
        <v>35</v>
      </c>
      <c r="N7641" s="2" t="s">
        <v>212</v>
      </c>
    </row>
    <row r="7642" spans="1:14">
      <c r="A7642" s="2">
        <v>7641</v>
      </c>
      <c r="B7642" s="3" t="s">
        <v>26939</v>
      </c>
      <c r="C7642" s="2" t="s">
        <v>26940</v>
      </c>
      <c r="D7642" s="2">
        <v>2</v>
      </c>
      <c r="E7642" s="2">
        <v>5</v>
      </c>
      <c r="F7642" s="2" t="s">
        <v>26941</v>
      </c>
      <c r="H7642" s="2" t="s">
        <v>17</v>
      </c>
      <c r="L7642" s="4" t="s">
        <v>26942</v>
      </c>
    </row>
    <row r="7643" spans="1:14">
      <c r="A7643" s="2">
        <v>7642</v>
      </c>
      <c r="B7643" s="3" t="s">
        <v>26943</v>
      </c>
      <c r="C7643" s="2" t="s">
        <v>26944</v>
      </c>
      <c r="D7643" s="2">
        <v>3</v>
      </c>
      <c r="E7643" s="2">
        <v>5</v>
      </c>
      <c r="F7643" s="2" t="s">
        <v>26945</v>
      </c>
      <c r="H7643" s="2" t="s">
        <v>17</v>
      </c>
      <c r="K7643" s="4" t="s">
        <v>26946</v>
      </c>
      <c r="L7643" s="4" t="s">
        <v>26947</v>
      </c>
      <c r="M7643" s="2" t="s">
        <v>170</v>
      </c>
      <c r="N7643" s="2" t="s">
        <v>12332</v>
      </c>
    </row>
    <row r="7644" spans="1:14">
      <c r="A7644" s="2">
        <v>7643</v>
      </c>
      <c r="B7644" s="3" t="s">
        <v>26948</v>
      </c>
      <c r="C7644" s="2" t="s">
        <v>26949</v>
      </c>
      <c r="D7644" s="2">
        <v>5</v>
      </c>
      <c r="E7644" s="2">
        <v>5</v>
      </c>
      <c r="F7644" s="2" t="s">
        <v>26950</v>
      </c>
      <c r="H7644" s="2" t="s">
        <v>17</v>
      </c>
    </row>
    <row r="7645" spans="1:14">
      <c r="A7645" s="2">
        <v>7644</v>
      </c>
      <c r="B7645" s="3" t="s">
        <v>26951</v>
      </c>
      <c r="C7645" s="2" t="s">
        <v>26952</v>
      </c>
      <c r="D7645" s="2">
        <v>5</v>
      </c>
      <c r="E7645" s="2">
        <v>5</v>
      </c>
      <c r="F7645" s="2" t="s">
        <v>26953</v>
      </c>
      <c r="H7645" s="2" t="s">
        <v>17</v>
      </c>
      <c r="L7645" s="4" t="s">
        <v>26954</v>
      </c>
      <c r="M7645" s="2" t="s">
        <v>76</v>
      </c>
    </row>
    <row r="7646" spans="1:14">
      <c r="A7646" s="2">
        <v>7645</v>
      </c>
      <c r="B7646" s="3" t="s">
        <v>26955</v>
      </c>
      <c r="C7646" s="2" t="s">
        <v>26956</v>
      </c>
      <c r="D7646" s="2">
        <v>4</v>
      </c>
      <c r="E7646" s="2">
        <v>5</v>
      </c>
      <c r="F7646" s="2" t="s">
        <v>26957</v>
      </c>
      <c r="H7646" s="2" t="s">
        <v>17</v>
      </c>
      <c r="K7646" s="4" t="s">
        <v>26958</v>
      </c>
      <c r="L7646" s="4" t="s">
        <v>21220</v>
      </c>
      <c r="M7646" s="2" t="s">
        <v>40</v>
      </c>
      <c r="N7646" s="2" t="s">
        <v>41</v>
      </c>
    </row>
    <row r="7647" spans="1:14">
      <c r="A7647" s="2">
        <v>7646</v>
      </c>
      <c r="B7647" s="3" t="s">
        <v>26959</v>
      </c>
      <c r="C7647" s="2" t="s">
        <v>26960</v>
      </c>
      <c r="D7647" s="2">
        <v>5</v>
      </c>
      <c r="E7647" s="2">
        <v>5</v>
      </c>
      <c r="F7647" s="2" t="s">
        <v>26961</v>
      </c>
      <c r="H7647" s="2" t="s">
        <v>17</v>
      </c>
    </row>
    <row r="7648" spans="1:14">
      <c r="A7648" s="2">
        <v>7647</v>
      </c>
      <c r="B7648" s="3" t="s">
        <v>26962</v>
      </c>
      <c r="C7648" s="2" t="s">
        <v>26963</v>
      </c>
      <c r="D7648" s="2">
        <v>5</v>
      </c>
      <c r="E7648" s="2">
        <v>5</v>
      </c>
      <c r="F7648" s="2" t="s">
        <v>26964</v>
      </c>
      <c r="H7648" s="2" t="s">
        <v>17</v>
      </c>
    </row>
    <row r="7649" spans="1:14">
      <c r="A7649" s="2">
        <v>7648</v>
      </c>
      <c r="B7649" s="3" t="s">
        <v>26965</v>
      </c>
      <c r="C7649" s="2" t="s">
        <v>26966</v>
      </c>
      <c r="D7649" s="2">
        <v>4</v>
      </c>
      <c r="E7649" s="2">
        <v>5</v>
      </c>
      <c r="F7649" s="2" t="s">
        <v>26967</v>
      </c>
      <c r="H7649" s="2" t="s">
        <v>17</v>
      </c>
    </row>
    <row r="7650" spans="1:14">
      <c r="A7650" s="2">
        <v>7649</v>
      </c>
      <c r="B7650" s="3" t="s">
        <v>26968</v>
      </c>
      <c r="C7650" s="2" t="s">
        <v>26969</v>
      </c>
      <c r="D7650" s="2">
        <v>5</v>
      </c>
      <c r="E7650" s="2">
        <v>5</v>
      </c>
      <c r="F7650" s="2" t="s">
        <v>26970</v>
      </c>
      <c r="H7650" s="2" t="s">
        <v>17</v>
      </c>
      <c r="K7650" s="4" t="s">
        <v>26971</v>
      </c>
      <c r="L7650" s="4" t="s">
        <v>16841</v>
      </c>
      <c r="M7650" s="2" t="s">
        <v>35</v>
      </c>
    </row>
    <row r="7651" spans="1:14">
      <c r="A7651" s="2">
        <v>7650</v>
      </c>
      <c r="B7651" s="3" t="s">
        <v>26972</v>
      </c>
      <c r="C7651" s="2" t="s">
        <v>26973</v>
      </c>
      <c r="D7651" s="2">
        <v>4</v>
      </c>
      <c r="E7651" s="2">
        <v>5</v>
      </c>
      <c r="F7651" s="2" t="s">
        <v>26974</v>
      </c>
      <c r="H7651" s="2" t="s">
        <v>17</v>
      </c>
    </row>
    <row r="7652" spans="1:14">
      <c r="A7652" s="2">
        <v>7651</v>
      </c>
      <c r="B7652" s="3" t="s">
        <v>26975</v>
      </c>
      <c r="C7652" s="2" t="s">
        <v>26976</v>
      </c>
      <c r="D7652" s="2">
        <v>3</v>
      </c>
      <c r="E7652" s="2">
        <v>5</v>
      </c>
      <c r="F7652" s="2" t="s">
        <v>26977</v>
      </c>
      <c r="H7652" s="2" t="s">
        <v>17</v>
      </c>
    </row>
    <row r="7653" spans="1:14">
      <c r="A7653" s="2">
        <v>7652</v>
      </c>
      <c r="B7653" s="3" t="s">
        <v>26978</v>
      </c>
      <c r="C7653" s="2" t="s">
        <v>26979</v>
      </c>
      <c r="D7653" s="2">
        <v>4</v>
      </c>
      <c r="E7653" s="2">
        <v>5</v>
      </c>
      <c r="F7653" s="2" t="s">
        <v>26980</v>
      </c>
      <c r="H7653" s="2" t="s">
        <v>17</v>
      </c>
      <c r="K7653" s="4" t="s">
        <v>26981</v>
      </c>
      <c r="L7653" s="4" t="s">
        <v>26982</v>
      </c>
      <c r="M7653" s="2" t="s">
        <v>146</v>
      </c>
      <c r="N7653" s="2" t="s">
        <v>147</v>
      </c>
    </row>
    <row r="7654" spans="1:14">
      <c r="A7654" s="2">
        <v>7653</v>
      </c>
      <c r="B7654" s="3" t="s">
        <v>26983</v>
      </c>
      <c r="C7654" s="2" t="s">
        <v>26984</v>
      </c>
      <c r="D7654" s="2">
        <v>3</v>
      </c>
      <c r="E7654" s="2">
        <v>4</v>
      </c>
      <c r="F7654" s="2" t="s">
        <v>26985</v>
      </c>
      <c r="H7654" s="2" t="s">
        <v>17</v>
      </c>
      <c r="K7654" s="4" t="s">
        <v>26986</v>
      </c>
      <c r="L7654" s="4" t="s">
        <v>26987</v>
      </c>
      <c r="M7654" s="2" t="s">
        <v>85</v>
      </c>
    </row>
    <row r="7655" spans="1:14">
      <c r="A7655" s="2">
        <v>7654</v>
      </c>
      <c r="B7655" s="3" t="s">
        <v>26988</v>
      </c>
      <c r="C7655" s="2" t="s">
        <v>26989</v>
      </c>
      <c r="D7655" s="2">
        <v>3</v>
      </c>
      <c r="E7655" s="2">
        <v>4</v>
      </c>
      <c r="F7655" s="2" t="s">
        <v>26990</v>
      </c>
      <c r="H7655" s="2" t="s">
        <v>17</v>
      </c>
    </row>
    <row r="7656" spans="1:14">
      <c r="A7656" s="2">
        <v>7655</v>
      </c>
      <c r="B7656" s="3" t="s">
        <v>26991</v>
      </c>
      <c r="C7656" s="2" t="s">
        <v>26992</v>
      </c>
      <c r="D7656" s="2">
        <v>4</v>
      </c>
      <c r="E7656" s="2">
        <v>4</v>
      </c>
      <c r="F7656" s="2" t="s">
        <v>26993</v>
      </c>
      <c r="H7656" s="2" t="s">
        <v>17</v>
      </c>
      <c r="K7656" s="4" t="s">
        <v>26994</v>
      </c>
      <c r="L7656" s="4" t="s">
        <v>26995</v>
      </c>
      <c r="M7656" s="2" t="s">
        <v>40</v>
      </c>
    </row>
    <row r="7657" spans="1:14">
      <c r="A7657" s="2">
        <v>7656</v>
      </c>
      <c r="B7657" s="3" t="s">
        <v>26996</v>
      </c>
      <c r="C7657" s="2" t="s">
        <v>26997</v>
      </c>
      <c r="D7657" s="2">
        <v>1</v>
      </c>
      <c r="E7657" s="2">
        <v>4</v>
      </c>
      <c r="F7657" s="2" t="s">
        <v>26998</v>
      </c>
      <c r="H7657" s="2" t="s">
        <v>17</v>
      </c>
      <c r="K7657" s="4" t="s">
        <v>26999</v>
      </c>
      <c r="L7657" s="4" t="s">
        <v>27000</v>
      </c>
      <c r="M7657" s="2" t="s">
        <v>35</v>
      </c>
      <c r="N7657" s="2" t="s">
        <v>12348</v>
      </c>
    </row>
    <row r="7658" spans="1:14">
      <c r="A7658" s="2">
        <v>7657</v>
      </c>
      <c r="B7658" s="3" t="s">
        <v>27001</v>
      </c>
      <c r="C7658" s="2" t="s">
        <v>27002</v>
      </c>
      <c r="D7658" s="2">
        <v>1</v>
      </c>
      <c r="E7658" s="2">
        <v>4</v>
      </c>
      <c r="F7658" s="2" t="s">
        <v>27003</v>
      </c>
      <c r="H7658" s="2" t="s">
        <v>17</v>
      </c>
      <c r="K7658" s="4" t="s">
        <v>27004</v>
      </c>
      <c r="L7658" s="4" t="s">
        <v>27005</v>
      </c>
      <c r="M7658" s="2" t="s">
        <v>164</v>
      </c>
      <c r="N7658" s="2" t="s">
        <v>6164</v>
      </c>
    </row>
    <row r="7659" spans="1:14">
      <c r="A7659" s="2">
        <v>7658</v>
      </c>
      <c r="B7659" s="3" t="s">
        <v>27006</v>
      </c>
      <c r="C7659" s="2" t="s">
        <v>27007</v>
      </c>
      <c r="D7659" s="2">
        <v>2</v>
      </c>
      <c r="E7659" s="2">
        <v>4</v>
      </c>
      <c r="F7659" s="2" t="s">
        <v>27008</v>
      </c>
      <c r="H7659" s="2" t="s">
        <v>17</v>
      </c>
      <c r="K7659" s="4" t="s">
        <v>27009</v>
      </c>
      <c r="L7659" s="4" t="s">
        <v>27010</v>
      </c>
      <c r="M7659" s="2" t="s">
        <v>170</v>
      </c>
    </row>
    <row r="7660" spans="1:14">
      <c r="A7660" s="2">
        <v>7659</v>
      </c>
      <c r="B7660" s="3" t="s">
        <v>27011</v>
      </c>
      <c r="C7660" s="2" t="s">
        <v>27012</v>
      </c>
      <c r="D7660" s="2">
        <v>2</v>
      </c>
      <c r="E7660" s="2">
        <v>4</v>
      </c>
      <c r="F7660" s="2" t="s">
        <v>27013</v>
      </c>
      <c r="H7660" s="2" t="s">
        <v>17</v>
      </c>
      <c r="K7660" s="4" t="s">
        <v>27014</v>
      </c>
      <c r="L7660" s="4" t="s">
        <v>27015</v>
      </c>
      <c r="M7660" s="2" t="s">
        <v>35</v>
      </c>
      <c r="N7660" s="2" t="s">
        <v>27016</v>
      </c>
    </row>
    <row r="7661" spans="1:14">
      <c r="A7661" s="2">
        <v>7660</v>
      </c>
      <c r="B7661" s="3" t="s">
        <v>27017</v>
      </c>
      <c r="C7661" s="2" t="s">
        <v>27018</v>
      </c>
      <c r="D7661" s="2">
        <v>4</v>
      </c>
      <c r="E7661" s="2">
        <v>4</v>
      </c>
      <c r="F7661" s="2" t="s">
        <v>27019</v>
      </c>
      <c r="H7661" s="2" t="s">
        <v>17</v>
      </c>
    </row>
    <row r="7662" spans="1:14">
      <c r="A7662" s="2">
        <v>7661</v>
      </c>
      <c r="B7662" s="3" t="s">
        <v>27020</v>
      </c>
      <c r="C7662" s="2" t="s">
        <v>27021</v>
      </c>
      <c r="D7662" s="2">
        <v>3</v>
      </c>
      <c r="E7662" s="2">
        <v>4</v>
      </c>
      <c r="F7662" s="2" t="s">
        <v>27022</v>
      </c>
      <c r="H7662" s="2" t="s">
        <v>17</v>
      </c>
      <c r="K7662" s="4" t="s">
        <v>27023</v>
      </c>
      <c r="L7662" s="4" t="s">
        <v>19803</v>
      </c>
      <c r="M7662" s="2" t="s">
        <v>47</v>
      </c>
      <c r="N7662" s="2" t="s">
        <v>48</v>
      </c>
    </row>
    <row r="7663" spans="1:14">
      <c r="A7663" s="2">
        <v>7662</v>
      </c>
      <c r="B7663" s="3" t="s">
        <v>27024</v>
      </c>
      <c r="C7663" s="2" t="s">
        <v>27025</v>
      </c>
      <c r="D7663" s="2">
        <v>4</v>
      </c>
      <c r="E7663" s="2">
        <v>4</v>
      </c>
      <c r="F7663" s="2" t="s">
        <v>27026</v>
      </c>
      <c r="H7663" s="2" t="s">
        <v>17</v>
      </c>
      <c r="K7663" s="4" t="s">
        <v>27027</v>
      </c>
      <c r="L7663" s="4" t="s">
        <v>27028</v>
      </c>
    </row>
    <row r="7664" spans="1:14">
      <c r="A7664" s="2">
        <v>7663</v>
      </c>
      <c r="B7664" s="3" t="s">
        <v>27029</v>
      </c>
      <c r="C7664" s="2" t="s">
        <v>26850</v>
      </c>
      <c r="D7664" s="2">
        <v>4</v>
      </c>
      <c r="E7664" s="2">
        <v>4</v>
      </c>
      <c r="F7664" s="2" t="s">
        <v>27030</v>
      </c>
      <c r="H7664" s="2" t="s">
        <v>17</v>
      </c>
    </row>
    <row r="7665" spans="1:14">
      <c r="A7665" s="2">
        <v>7664</v>
      </c>
      <c r="B7665" s="3" t="s">
        <v>27031</v>
      </c>
      <c r="C7665" s="2" t="s">
        <v>27032</v>
      </c>
      <c r="D7665" s="2">
        <v>1</v>
      </c>
      <c r="E7665" s="2">
        <v>4</v>
      </c>
      <c r="F7665" s="2" t="s">
        <v>20357</v>
      </c>
      <c r="H7665" s="2" t="s">
        <v>17</v>
      </c>
      <c r="K7665" s="4" t="s">
        <v>27033</v>
      </c>
      <c r="L7665" s="4" t="s">
        <v>27034</v>
      </c>
      <c r="M7665" s="2" t="s">
        <v>40</v>
      </c>
      <c r="N7665" s="2" t="s">
        <v>9352</v>
      </c>
    </row>
    <row r="7666" spans="1:14">
      <c r="A7666" s="2">
        <v>7665</v>
      </c>
      <c r="B7666" s="3" t="s">
        <v>27035</v>
      </c>
      <c r="C7666" s="2" t="s">
        <v>27036</v>
      </c>
      <c r="D7666" s="2">
        <v>4</v>
      </c>
      <c r="E7666" s="2">
        <v>4</v>
      </c>
      <c r="F7666" s="2" t="s">
        <v>27037</v>
      </c>
      <c r="H7666" s="2" t="s">
        <v>17</v>
      </c>
      <c r="K7666" s="4" t="s">
        <v>27038</v>
      </c>
      <c r="L7666" s="4" t="s">
        <v>27039</v>
      </c>
      <c r="M7666" s="2" t="s">
        <v>53</v>
      </c>
    </row>
    <row r="7667" spans="1:14">
      <c r="A7667" s="2">
        <v>7666</v>
      </c>
      <c r="B7667" s="3" t="s">
        <v>27040</v>
      </c>
      <c r="C7667" s="2" t="s">
        <v>27041</v>
      </c>
      <c r="D7667" s="2">
        <v>4</v>
      </c>
      <c r="E7667" s="2">
        <v>4</v>
      </c>
      <c r="F7667" s="2" t="s">
        <v>27042</v>
      </c>
      <c r="H7667" s="2" t="s">
        <v>17</v>
      </c>
      <c r="L7667" s="4" t="s">
        <v>27043</v>
      </c>
      <c r="M7667" s="2" t="s">
        <v>40</v>
      </c>
    </row>
    <row r="7668" spans="1:14">
      <c r="A7668" s="2">
        <v>7667</v>
      </c>
      <c r="B7668" s="3" t="s">
        <v>27044</v>
      </c>
      <c r="C7668" s="2" t="s">
        <v>24759</v>
      </c>
      <c r="D7668" s="2">
        <v>2</v>
      </c>
      <c r="E7668" s="2">
        <v>4</v>
      </c>
      <c r="F7668" s="2" t="s">
        <v>27045</v>
      </c>
      <c r="H7668" s="2" t="s">
        <v>17</v>
      </c>
      <c r="K7668" s="4" t="s">
        <v>27046</v>
      </c>
      <c r="L7668" s="4" t="s">
        <v>27047</v>
      </c>
      <c r="M7668" s="2" t="s">
        <v>35</v>
      </c>
      <c r="N7668" s="2" t="s">
        <v>5172</v>
      </c>
    </row>
    <row r="7669" spans="1:14">
      <c r="A7669" s="2">
        <v>7668</v>
      </c>
      <c r="B7669" s="3" t="s">
        <v>27048</v>
      </c>
      <c r="C7669" s="2" t="s">
        <v>13059</v>
      </c>
      <c r="D7669" s="2">
        <v>1</v>
      </c>
      <c r="E7669" s="2">
        <v>4</v>
      </c>
      <c r="F7669" s="2" t="s">
        <v>27049</v>
      </c>
      <c r="H7669" s="2" t="s">
        <v>17</v>
      </c>
      <c r="K7669" s="4" t="s">
        <v>27050</v>
      </c>
      <c r="L7669" s="4" t="s">
        <v>27051</v>
      </c>
      <c r="M7669" s="2" t="s">
        <v>85</v>
      </c>
      <c r="N7669" s="2" t="s">
        <v>1356</v>
      </c>
    </row>
    <row r="7670" spans="1:14">
      <c r="A7670" s="2">
        <v>7669</v>
      </c>
      <c r="B7670" s="3" t="s">
        <v>27052</v>
      </c>
      <c r="C7670" s="2" t="s">
        <v>27053</v>
      </c>
      <c r="D7670" s="2">
        <v>4</v>
      </c>
      <c r="E7670" s="2">
        <v>4</v>
      </c>
      <c r="F7670" s="2" t="s">
        <v>27054</v>
      </c>
      <c r="H7670" s="2" t="s">
        <v>17</v>
      </c>
      <c r="L7670" s="4" t="s">
        <v>27055</v>
      </c>
    </row>
    <row r="7671" spans="1:14">
      <c r="A7671" s="2">
        <v>7670</v>
      </c>
      <c r="B7671" s="3" t="s">
        <v>27056</v>
      </c>
      <c r="C7671" s="2" t="s">
        <v>27057</v>
      </c>
      <c r="D7671" s="2">
        <v>4</v>
      </c>
      <c r="E7671" s="2">
        <v>4</v>
      </c>
      <c r="F7671" s="2" t="s">
        <v>27058</v>
      </c>
      <c r="H7671" s="2" t="s">
        <v>17</v>
      </c>
    </row>
    <row r="7672" spans="1:14">
      <c r="A7672" s="2">
        <v>7671</v>
      </c>
      <c r="B7672" s="3" t="s">
        <v>27059</v>
      </c>
      <c r="C7672" s="2" t="s">
        <v>23485</v>
      </c>
      <c r="D7672" s="2">
        <v>1</v>
      </c>
      <c r="E7672" s="2">
        <v>4</v>
      </c>
      <c r="F7672" s="2" t="s">
        <v>27060</v>
      </c>
      <c r="H7672" s="2" t="s">
        <v>17</v>
      </c>
      <c r="K7672" s="4" t="s">
        <v>27061</v>
      </c>
      <c r="L7672" s="4" t="s">
        <v>27062</v>
      </c>
      <c r="M7672" s="2" t="s">
        <v>47</v>
      </c>
      <c r="N7672" s="2" t="s">
        <v>691</v>
      </c>
    </row>
    <row r="7673" spans="1:14">
      <c r="A7673" s="2">
        <v>7672</v>
      </c>
      <c r="B7673" s="3" t="s">
        <v>27063</v>
      </c>
      <c r="C7673" s="2" t="s">
        <v>27064</v>
      </c>
      <c r="D7673" s="2">
        <v>1</v>
      </c>
      <c r="E7673" s="2">
        <v>4</v>
      </c>
      <c r="F7673" s="2" t="s">
        <v>27065</v>
      </c>
      <c r="H7673" s="2" t="s">
        <v>17</v>
      </c>
      <c r="K7673" s="4" t="s">
        <v>27066</v>
      </c>
      <c r="L7673" s="4" t="s">
        <v>20384</v>
      </c>
      <c r="M7673" s="2" t="s">
        <v>40</v>
      </c>
      <c r="N7673" s="2" t="s">
        <v>41</v>
      </c>
    </row>
    <row r="7674" spans="1:14">
      <c r="A7674" s="2">
        <v>7673</v>
      </c>
      <c r="B7674" s="3" t="s">
        <v>27067</v>
      </c>
      <c r="C7674" s="2" t="s">
        <v>27068</v>
      </c>
      <c r="D7674" s="2">
        <v>1</v>
      </c>
      <c r="E7674" s="2">
        <v>4</v>
      </c>
      <c r="F7674" s="2" t="s">
        <v>27069</v>
      </c>
      <c r="H7674" s="2" t="s">
        <v>17</v>
      </c>
      <c r="K7674" s="4" t="s">
        <v>27070</v>
      </c>
      <c r="L7674" s="4" t="s">
        <v>27071</v>
      </c>
      <c r="M7674" s="2" t="s">
        <v>164</v>
      </c>
    </row>
    <row r="7675" spans="1:14">
      <c r="A7675" s="2">
        <v>7674</v>
      </c>
      <c r="B7675" s="3" t="s">
        <v>27072</v>
      </c>
      <c r="C7675" s="2" t="s">
        <v>27073</v>
      </c>
      <c r="D7675" s="2">
        <v>3</v>
      </c>
      <c r="E7675" s="2">
        <v>4</v>
      </c>
      <c r="F7675" s="2" t="s">
        <v>27074</v>
      </c>
      <c r="H7675" s="2" t="s">
        <v>17</v>
      </c>
      <c r="K7675" s="4" t="s">
        <v>27075</v>
      </c>
      <c r="L7675" s="4" t="s">
        <v>27076</v>
      </c>
      <c r="M7675" s="2" t="s">
        <v>47</v>
      </c>
    </row>
    <row r="7676" spans="1:14">
      <c r="A7676" s="2">
        <v>7675</v>
      </c>
      <c r="B7676" s="3" t="s">
        <v>27077</v>
      </c>
      <c r="C7676" s="2" t="s">
        <v>27078</v>
      </c>
      <c r="D7676" s="2">
        <v>4</v>
      </c>
      <c r="E7676" s="2">
        <v>4</v>
      </c>
      <c r="F7676" s="2" t="s">
        <v>27079</v>
      </c>
      <c r="H7676" s="2" t="s">
        <v>17</v>
      </c>
      <c r="K7676" s="4" t="s">
        <v>27080</v>
      </c>
      <c r="L7676" s="4" t="s">
        <v>27081</v>
      </c>
      <c r="M7676" s="2" t="s">
        <v>185</v>
      </c>
      <c r="N7676" s="2" t="s">
        <v>10048</v>
      </c>
    </row>
    <row r="7677" spans="1:14">
      <c r="A7677" s="2">
        <v>7676</v>
      </c>
      <c r="B7677" s="3" t="s">
        <v>27082</v>
      </c>
      <c r="C7677" s="2" t="s">
        <v>27083</v>
      </c>
      <c r="D7677" s="2">
        <v>4</v>
      </c>
      <c r="E7677" s="2">
        <v>4</v>
      </c>
      <c r="F7677" s="2" t="s">
        <v>27084</v>
      </c>
      <c r="H7677" s="2" t="s">
        <v>17</v>
      </c>
    </row>
    <row r="7678" spans="1:14">
      <c r="A7678" s="2">
        <v>7677</v>
      </c>
      <c r="B7678" s="3" t="s">
        <v>27085</v>
      </c>
      <c r="C7678" s="2" t="s">
        <v>27086</v>
      </c>
      <c r="D7678" s="2">
        <v>4</v>
      </c>
      <c r="E7678" s="2">
        <v>4</v>
      </c>
      <c r="F7678" s="2" t="s">
        <v>27087</v>
      </c>
      <c r="H7678" s="2" t="s">
        <v>17</v>
      </c>
    </row>
    <row r="7679" spans="1:14">
      <c r="A7679" s="2">
        <v>7678</v>
      </c>
      <c r="B7679" s="3" t="s">
        <v>27088</v>
      </c>
      <c r="C7679" s="2" t="s">
        <v>24263</v>
      </c>
      <c r="D7679" s="2">
        <v>4</v>
      </c>
      <c r="E7679" s="2">
        <v>4</v>
      </c>
      <c r="F7679" s="2" t="s">
        <v>27089</v>
      </c>
      <c r="H7679" s="2" t="s">
        <v>17</v>
      </c>
    </row>
    <row r="7680" spans="1:14">
      <c r="A7680" s="2">
        <v>7679</v>
      </c>
      <c r="B7680" s="3" t="s">
        <v>27090</v>
      </c>
      <c r="C7680" s="2" t="s">
        <v>27091</v>
      </c>
      <c r="D7680" s="2">
        <v>1</v>
      </c>
      <c r="E7680" s="2">
        <v>4</v>
      </c>
      <c r="F7680" s="2" t="s">
        <v>27092</v>
      </c>
      <c r="H7680" s="2" t="s">
        <v>17</v>
      </c>
    </row>
    <row r="7681" spans="1:14">
      <c r="A7681" s="2">
        <v>7680</v>
      </c>
      <c r="B7681" s="3" t="s">
        <v>27093</v>
      </c>
      <c r="C7681" s="2" t="s">
        <v>27094</v>
      </c>
      <c r="D7681" s="2">
        <v>4</v>
      </c>
      <c r="E7681" s="2">
        <v>4</v>
      </c>
      <c r="F7681" s="2" t="s">
        <v>27095</v>
      </c>
      <c r="H7681" s="2" t="s">
        <v>17</v>
      </c>
      <c r="K7681" s="4" t="s">
        <v>27096</v>
      </c>
    </row>
    <row r="7682" spans="1:14">
      <c r="A7682" s="2">
        <v>7681</v>
      </c>
      <c r="B7682" s="3" t="s">
        <v>27097</v>
      </c>
      <c r="C7682" s="2" t="s">
        <v>27098</v>
      </c>
      <c r="D7682" s="2">
        <v>4</v>
      </c>
      <c r="E7682" s="2">
        <v>4</v>
      </c>
      <c r="F7682" s="2" t="s">
        <v>27099</v>
      </c>
      <c r="H7682" s="2" t="s">
        <v>17</v>
      </c>
    </row>
    <row r="7683" spans="1:14">
      <c r="A7683" s="2">
        <v>7682</v>
      </c>
      <c r="B7683" s="3" t="s">
        <v>27100</v>
      </c>
      <c r="C7683" s="2" t="s">
        <v>23636</v>
      </c>
      <c r="D7683" s="2">
        <v>2</v>
      </c>
      <c r="E7683" s="2">
        <v>4</v>
      </c>
      <c r="F7683" s="2" t="s">
        <v>27101</v>
      </c>
      <c r="H7683" s="2" t="s">
        <v>17</v>
      </c>
      <c r="K7683" s="4" t="s">
        <v>27102</v>
      </c>
      <c r="L7683" s="4" t="s">
        <v>27103</v>
      </c>
      <c r="M7683" s="2" t="s">
        <v>35</v>
      </c>
      <c r="N7683" s="2" t="s">
        <v>27104</v>
      </c>
    </row>
    <row r="7684" spans="1:14">
      <c r="A7684" s="2">
        <v>7683</v>
      </c>
      <c r="B7684" s="3" t="s">
        <v>27105</v>
      </c>
      <c r="C7684" s="2" t="s">
        <v>27106</v>
      </c>
      <c r="D7684" s="2">
        <v>3</v>
      </c>
      <c r="E7684" s="2">
        <v>4</v>
      </c>
      <c r="F7684" s="2" t="s">
        <v>27107</v>
      </c>
      <c r="H7684" s="2" t="s">
        <v>17</v>
      </c>
    </row>
    <row r="7685" spans="1:14">
      <c r="A7685" s="2">
        <v>7684</v>
      </c>
      <c r="B7685" s="3" t="s">
        <v>27108</v>
      </c>
      <c r="C7685" s="2" t="s">
        <v>21150</v>
      </c>
      <c r="D7685" s="2">
        <v>2</v>
      </c>
      <c r="E7685" s="2">
        <v>4</v>
      </c>
      <c r="F7685" s="2" t="s">
        <v>24050</v>
      </c>
      <c r="H7685" s="2" t="s">
        <v>17</v>
      </c>
      <c r="K7685" s="4" t="s">
        <v>27109</v>
      </c>
      <c r="L7685" s="4" t="s">
        <v>27110</v>
      </c>
      <c r="M7685" s="2" t="s">
        <v>47</v>
      </c>
      <c r="N7685" s="2" t="s">
        <v>691</v>
      </c>
    </row>
    <row r="7686" spans="1:14">
      <c r="A7686" s="2">
        <v>7685</v>
      </c>
      <c r="B7686" s="3" t="s">
        <v>27111</v>
      </c>
      <c r="C7686" s="2" t="s">
        <v>27112</v>
      </c>
      <c r="D7686" s="2">
        <v>4</v>
      </c>
      <c r="E7686" s="2">
        <v>4</v>
      </c>
      <c r="F7686" s="2" t="s">
        <v>27113</v>
      </c>
      <c r="H7686" s="2" t="s">
        <v>17</v>
      </c>
      <c r="L7686" s="4" t="s">
        <v>27114</v>
      </c>
    </row>
    <row r="7687" spans="1:14">
      <c r="A7687" s="2">
        <v>7686</v>
      </c>
      <c r="B7687" s="3" t="s">
        <v>27115</v>
      </c>
      <c r="C7687" s="2" t="s">
        <v>27116</v>
      </c>
      <c r="D7687" s="2">
        <v>1</v>
      </c>
      <c r="E7687" s="2">
        <v>4</v>
      </c>
      <c r="F7687" s="2" t="s">
        <v>27117</v>
      </c>
      <c r="H7687" s="2" t="s">
        <v>17</v>
      </c>
      <c r="K7687" s="4" t="s">
        <v>27118</v>
      </c>
      <c r="L7687" s="4" t="s">
        <v>27119</v>
      </c>
      <c r="M7687" s="2" t="s">
        <v>198</v>
      </c>
      <c r="N7687" s="2" t="s">
        <v>199</v>
      </c>
    </row>
    <row r="7688" spans="1:14">
      <c r="A7688" s="2">
        <v>7687</v>
      </c>
      <c r="B7688" s="3" t="s">
        <v>27120</v>
      </c>
      <c r="C7688" s="2" t="s">
        <v>25637</v>
      </c>
      <c r="D7688" s="2">
        <v>4</v>
      </c>
      <c r="E7688" s="2">
        <v>4</v>
      </c>
      <c r="F7688" s="2" t="s">
        <v>27121</v>
      </c>
      <c r="H7688" s="2" t="s">
        <v>17</v>
      </c>
    </row>
    <row r="7689" spans="1:14">
      <c r="A7689" s="2">
        <v>7688</v>
      </c>
      <c r="B7689" s="3" t="s">
        <v>27122</v>
      </c>
      <c r="C7689" s="2" t="s">
        <v>27123</v>
      </c>
      <c r="D7689" s="2">
        <v>4</v>
      </c>
      <c r="E7689" s="2">
        <v>4</v>
      </c>
      <c r="F7689" s="2" t="s">
        <v>27124</v>
      </c>
      <c r="H7689" s="2" t="s">
        <v>17</v>
      </c>
    </row>
    <row r="7690" spans="1:14">
      <c r="A7690" s="2">
        <v>7689</v>
      </c>
      <c r="B7690" s="3" t="s">
        <v>27125</v>
      </c>
      <c r="C7690" s="2" t="s">
        <v>27126</v>
      </c>
      <c r="D7690" s="2">
        <v>3</v>
      </c>
      <c r="E7690" s="2">
        <v>4</v>
      </c>
      <c r="F7690" s="2" t="s">
        <v>27127</v>
      </c>
      <c r="H7690" s="2" t="s">
        <v>17</v>
      </c>
      <c r="L7690" s="4" t="s">
        <v>27128</v>
      </c>
    </row>
    <row r="7691" spans="1:14">
      <c r="A7691" s="2">
        <v>7690</v>
      </c>
      <c r="B7691" s="3" t="s">
        <v>27129</v>
      </c>
      <c r="C7691" s="2" t="s">
        <v>27130</v>
      </c>
      <c r="D7691" s="2">
        <v>4</v>
      </c>
      <c r="E7691" s="2">
        <v>4</v>
      </c>
      <c r="F7691" s="2" t="s">
        <v>27131</v>
      </c>
      <c r="H7691" s="2" t="s">
        <v>17</v>
      </c>
      <c r="L7691" s="4" t="s">
        <v>27132</v>
      </c>
      <c r="M7691" s="2" t="s">
        <v>192</v>
      </c>
      <c r="N7691" s="2" t="s">
        <v>15041</v>
      </c>
    </row>
    <row r="7692" spans="1:14">
      <c r="A7692" s="2">
        <v>7691</v>
      </c>
      <c r="B7692" s="3" t="s">
        <v>27133</v>
      </c>
      <c r="C7692" s="2" t="s">
        <v>27134</v>
      </c>
      <c r="D7692" s="2">
        <v>4</v>
      </c>
      <c r="E7692" s="2">
        <v>4</v>
      </c>
      <c r="F7692" s="2" t="s">
        <v>27135</v>
      </c>
      <c r="H7692" s="2" t="s">
        <v>17</v>
      </c>
      <c r="L7692" s="4" t="s">
        <v>27136</v>
      </c>
      <c r="M7692" s="2" t="s">
        <v>40</v>
      </c>
      <c r="N7692" s="2" t="s">
        <v>1528</v>
      </c>
    </row>
    <row r="7693" spans="1:14">
      <c r="A7693" s="2">
        <v>7692</v>
      </c>
      <c r="B7693" s="3" t="s">
        <v>27137</v>
      </c>
      <c r="C7693" s="2" t="s">
        <v>27138</v>
      </c>
      <c r="D7693" s="2">
        <v>3</v>
      </c>
      <c r="E7693" s="2">
        <v>4</v>
      </c>
      <c r="F7693" s="2" t="s">
        <v>27139</v>
      </c>
      <c r="H7693" s="2" t="s">
        <v>17</v>
      </c>
      <c r="K7693" s="4" t="s">
        <v>27140</v>
      </c>
      <c r="L7693" s="4" t="s">
        <v>27141</v>
      </c>
    </row>
    <row r="7694" spans="1:14">
      <c r="A7694" s="2">
        <v>7693</v>
      </c>
      <c r="B7694" s="3" t="s">
        <v>27142</v>
      </c>
      <c r="C7694" s="2" t="s">
        <v>27143</v>
      </c>
      <c r="D7694" s="2">
        <v>4</v>
      </c>
      <c r="E7694" s="2">
        <v>4</v>
      </c>
      <c r="F7694" s="2" t="s">
        <v>27144</v>
      </c>
      <c r="H7694" s="2" t="s">
        <v>17</v>
      </c>
      <c r="K7694" s="4" t="s">
        <v>27145</v>
      </c>
      <c r="L7694" s="4" t="s">
        <v>27146</v>
      </c>
      <c r="M7694" s="2" t="s">
        <v>85</v>
      </c>
    </row>
    <row r="7695" spans="1:14">
      <c r="A7695" s="2">
        <v>7694</v>
      </c>
      <c r="B7695" s="3" t="s">
        <v>27147</v>
      </c>
      <c r="C7695" s="2" t="s">
        <v>27148</v>
      </c>
      <c r="D7695" s="2">
        <v>2</v>
      </c>
      <c r="E7695" s="2">
        <v>4</v>
      </c>
      <c r="F7695" s="2" t="s">
        <v>27149</v>
      </c>
      <c r="H7695" s="2" t="s">
        <v>17</v>
      </c>
      <c r="K7695" s="4" t="s">
        <v>27150</v>
      </c>
      <c r="L7695" s="4" t="s">
        <v>27151</v>
      </c>
    </row>
    <row r="7696" spans="1:14">
      <c r="A7696" s="2">
        <v>7695</v>
      </c>
      <c r="B7696" s="3" t="s">
        <v>27152</v>
      </c>
      <c r="C7696" s="2" t="s">
        <v>27153</v>
      </c>
      <c r="D7696" s="2">
        <v>4</v>
      </c>
      <c r="E7696" s="2">
        <v>4</v>
      </c>
      <c r="F7696" s="2" t="s">
        <v>27154</v>
      </c>
      <c r="H7696" s="2" t="s">
        <v>17</v>
      </c>
    </row>
    <row r="7697" spans="1:14">
      <c r="A7697" s="2">
        <v>7696</v>
      </c>
      <c r="B7697" s="3" t="s">
        <v>27155</v>
      </c>
      <c r="C7697" s="2" t="s">
        <v>25549</v>
      </c>
      <c r="D7697" s="2">
        <v>1</v>
      </c>
      <c r="E7697" s="2">
        <v>4</v>
      </c>
      <c r="F7697" s="2" t="s">
        <v>27156</v>
      </c>
      <c r="H7697" s="2" t="s">
        <v>17</v>
      </c>
      <c r="K7697" s="4" t="s">
        <v>27157</v>
      </c>
      <c r="L7697" s="4" t="s">
        <v>27158</v>
      </c>
      <c r="M7697" s="2" t="s">
        <v>35</v>
      </c>
      <c r="N7697" s="2" t="s">
        <v>15810</v>
      </c>
    </row>
    <row r="7698" spans="1:14">
      <c r="A7698" s="2">
        <v>7697</v>
      </c>
      <c r="B7698" s="3" t="s">
        <v>27159</v>
      </c>
      <c r="C7698" s="2" t="s">
        <v>13328</v>
      </c>
      <c r="D7698" s="2">
        <v>4</v>
      </c>
      <c r="E7698" s="2">
        <v>4</v>
      </c>
      <c r="F7698" s="2" t="s">
        <v>27160</v>
      </c>
      <c r="H7698" s="2" t="s">
        <v>17</v>
      </c>
    </row>
    <row r="7699" spans="1:14">
      <c r="A7699" s="2">
        <v>7698</v>
      </c>
      <c r="B7699" s="3" t="s">
        <v>27161</v>
      </c>
      <c r="C7699" s="2" t="s">
        <v>26253</v>
      </c>
      <c r="D7699" s="2">
        <v>4</v>
      </c>
      <c r="E7699" s="2">
        <v>4</v>
      </c>
      <c r="F7699" s="2" t="s">
        <v>27162</v>
      </c>
      <c r="H7699" s="2" t="s">
        <v>17</v>
      </c>
    </row>
    <row r="7700" spans="1:14">
      <c r="A7700" s="2">
        <v>7699</v>
      </c>
      <c r="B7700" s="3" t="s">
        <v>27163</v>
      </c>
      <c r="C7700" s="2" t="s">
        <v>27164</v>
      </c>
      <c r="D7700" s="2">
        <v>3</v>
      </c>
      <c r="E7700" s="2">
        <v>3</v>
      </c>
      <c r="F7700" s="2" t="s">
        <v>27165</v>
      </c>
      <c r="H7700" s="2" t="s">
        <v>17</v>
      </c>
      <c r="K7700" s="4" t="s">
        <v>27166</v>
      </c>
      <c r="L7700" s="4" t="s">
        <v>27167</v>
      </c>
      <c r="M7700" s="2" t="s">
        <v>185</v>
      </c>
    </row>
    <row r="7701" spans="1:14">
      <c r="A7701" s="2">
        <v>7700</v>
      </c>
      <c r="B7701" s="3" t="s">
        <v>27168</v>
      </c>
      <c r="C7701" s="2" t="s">
        <v>20451</v>
      </c>
      <c r="D7701" s="2">
        <v>3</v>
      </c>
      <c r="E7701" s="2">
        <v>3</v>
      </c>
      <c r="F7701" s="2" t="s">
        <v>27169</v>
      </c>
      <c r="H7701" s="2" t="s">
        <v>17</v>
      </c>
    </row>
    <row r="7702" spans="1:14">
      <c r="A7702" s="2">
        <v>7701</v>
      </c>
      <c r="B7702" s="3" t="s">
        <v>27170</v>
      </c>
      <c r="C7702" s="2" t="s">
        <v>27171</v>
      </c>
      <c r="D7702" s="2">
        <v>2</v>
      </c>
      <c r="E7702" s="2">
        <v>3</v>
      </c>
      <c r="F7702" s="2" t="s">
        <v>27172</v>
      </c>
      <c r="H7702" s="2" t="s">
        <v>17</v>
      </c>
    </row>
    <row r="7703" spans="1:14">
      <c r="A7703" s="2">
        <v>7702</v>
      </c>
      <c r="B7703" s="3" t="s">
        <v>27173</v>
      </c>
      <c r="C7703" s="2" t="s">
        <v>27174</v>
      </c>
      <c r="D7703" s="2">
        <v>3</v>
      </c>
      <c r="E7703" s="2">
        <v>3</v>
      </c>
      <c r="F7703" s="2" t="s">
        <v>27175</v>
      </c>
      <c r="H7703" s="2" t="s">
        <v>17</v>
      </c>
    </row>
    <row r="7704" spans="1:14">
      <c r="A7704" s="2">
        <v>7703</v>
      </c>
      <c r="B7704" s="3" t="s">
        <v>27176</v>
      </c>
      <c r="C7704" s="2" t="s">
        <v>27177</v>
      </c>
      <c r="D7704" s="2">
        <v>3</v>
      </c>
      <c r="E7704" s="2">
        <v>3</v>
      </c>
      <c r="F7704" s="2" t="s">
        <v>27178</v>
      </c>
      <c r="H7704" s="2" t="s">
        <v>17</v>
      </c>
    </row>
    <row r="7705" spans="1:14">
      <c r="A7705" s="2">
        <v>7704</v>
      </c>
      <c r="B7705" s="3" t="s">
        <v>27179</v>
      </c>
      <c r="C7705" s="2" t="s">
        <v>19074</v>
      </c>
      <c r="D7705" s="2">
        <v>1</v>
      </c>
      <c r="E7705" s="2">
        <v>3</v>
      </c>
      <c r="F7705" s="2" t="s">
        <v>27180</v>
      </c>
      <c r="H7705" s="2" t="s">
        <v>17</v>
      </c>
      <c r="K7705" s="4" t="s">
        <v>27181</v>
      </c>
      <c r="L7705" s="4" t="s">
        <v>27182</v>
      </c>
      <c r="M7705" s="2" t="s">
        <v>198</v>
      </c>
      <c r="N7705" s="2" t="s">
        <v>26359</v>
      </c>
    </row>
    <row r="7706" spans="1:14">
      <c r="A7706" s="2">
        <v>7705</v>
      </c>
      <c r="B7706" s="3" t="s">
        <v>27183</v>
      </c>
      <c r="C7706" s="2" t="s">
        <v>27184</v>
      </c>
      <c r="D7706" s="2">
        <v>3</v>
      </c>
      <c r="E7706" s="2">
        <v>3</v>
      </c>
      <c r="F7706" s="2" t="s">
        <v>27185</v>
      </c>
      <c r="H7706" s="2" t="s">
        <v>17</v>
      </c>
      <c r="K7706" s="4" t="s">
        <v>27186</v>
      </c>
      <c r="L7706" s="4" t="s">
        <v>27187</v>
      </c>
      <c r="M7706" s="2" t="s">
        <v>66</v>
      </c>
      <c r="N7706" s="2" t="s">
        <v>71</v>
      </c>
    </row>
    <row r="7707" spans="1:14">
      <c r="A7707" s="2">
        <v>7706</v>
      </c>
      <c r="B7707" s="3" t="s">
        <v>27188</v>
      </c>
      <c r="C7707" s="2" t="s">
        <v>27189</v>
      </c>
      <c r="D7707" s="2">
        <v>1</v>
      </c>
      <c r="E7707" s="2">
        <v>3</v>
      </c>
      <c r="F7707" s="2" t="s">
        <v>27190</v>
      </c>
      <c r="H7707" s="2" t="s">
        <v>17</v>
      </c>
      <c r="L7707" s="4" t="s">
        <v>27191</v>
      </c>
    </row>
    <row r="7708" spans="1:14">
      <c r="A7708" s="2">
        <v>7707</v>
      </c>
      <c r="B7708" s="3" t="s">
        <v>27192</v>
      </c>
      <c r="C7708" s="2" t="s">
        <v>27193</v>
      </c>
      <c r="D7708" s="2">
        <v>3</v>
      </c>
      <c r="E7708" s="2">
        <v>3</v>
      </c>
      <c r="F7708" s="2" t="s">
        <v>27194</v>
      </c>
      <c r="H7708" s="2" t="s">
        <v>17</v>
      </c>
      <c r="L7708" s="4" t="s">
        <v>23254</v>
      </c>
      <c r="M7708" s="2" t="s">
        <v>40</v>
      </c>
    </row>
    <row r="7709" spans="1:14">
      <c r="A7709" s="2">
        <v>7708</v>
      </c>
      <c r="B7709" s="3" t="s">
        <v>27195</v>
      </c>
      <c r="C7709" s="2" t="s">
        <v>27196</v>
      </c>
      <c r="D7709" s="2">
        <v>2</v>
      </c>
      <c r="E7709" s="2">
        <v>3</v>
      </c>
      <c r="F7709" s="2" t="s">
        <v>27197</v>
      </c>
      <c r="H7709" s="2" t="s">
        <v>17</v>
      </c>
      <c r="K7709" s="4" t="s">
        <v>27198</v>
      </c>
      <c r="L7709" s="4" t="s">
        <v>27199</v>
      </c>
      <c r="M7709" s="2" t="s">
        <v>66</v>
      </c>
      <c r="N7709" s="2" t="s">
        <v>71</v>
      </c>
    </row>
    <row r="7710" spans="1:14">
      <c r="A7710" s="2">
        <v>7709</v>
      </c>
      <c r="B7710" s="3" t="s">
        <v>27200</v>
      </c>
      <c r="C7710" s="2" t="s">
        <v>27201</v>
      </c>
      <c r="D7710" s="2">
        <v>3</v>
      </c>
      <c r="E7710" s="2">
        <v>3</v>
      </c>
      <c r="F7710" s="2" t="s">
        <v>27202</v>
      </c>
      <c r="H7710" s="2" t="s">
        <v>17</v>
      </c>
      <c r="L7710" s="4" t="s">
        <v>27203</v>
      </c>
    </row>
    <row r="7711" spans="1:14">
      <c r="A7711" s="2">
        <v>7710</v>
      </c>
      <c r="B7711" s="3" t="s">
        <v>27204</v>
      </c>
      <c r="C7711" s="2" t="s">
        <v>27205</v>
      </c>
      <c r="D7711" s="2">
        <v>2</v>
      </c>
      <c r="E7711" s="2">
        <v>3</v>
      </c>
      <c r="F7711" s="2" t="s">
        <v>27206</v>
      </c>
      <c r="H7711" s="2" t="s">
        <v>17</v>
      </c>
      <c r="K7711" s="4" t="s">
        <v>27207</v>
      </c>
      <c r="L7711" s="4" t="s">
        <v>27208</v>
      </c>
      <c r="M7711" s="2" t="s">
        <v>336</v>
      </c>
      <c r="N7711" s="2" t="s">
        <v>18204</v>
      </c>
    </row>
    <row r="7712" spans="1:14">
      <c r="A7712" s="2">
        <v>7711</v>
      </c>
      <c r="B7712" s="3" t="s">
        <v>27209</v>
      </c>
      <c r="C7712" s="2" t="s">
        <v>27210</v>
      </c>
      <c r="D7712" s="2">
        <v>1</v>
      </c>
      <c r="E7712" s="2">
        <v>3</v>
      </c>
      <c r="F7712" s="2" t="s">
        <v>27211</v>
      </c>
      <c r="H7712" s="2" t="s">
        <v>17</v>
      </c>
    </row>
    <row r="7713" spans="1:14">
      <c r="A7713" s="2">
        <v>7712</v>
      </c>
      <c r="B7713" s="3" t="s">
        <v>27212</v>
      </c>
      <c r="C7713" s="2" t="s">
        <v>27213</v>
      </c>
      <c r="D7713" s="2">
        <v>3</v>
      </c>
      <c r="E7713" s="2">
        <v>3</v>
      </c>
      <c r="F7713" s="2" t="s">
        <v>27214</v>
      </c>
      <c r="H7713" s="2" t="s">
        <v>17</v>
      </c>
    </row>
    <row r="7714" spans="1:14">
      <c r="A7714" s="2">
        <v>7713</v>
      </c>
      <c r="B7714" s="3" t="s">
        <v>27215</v>
      </c>
      <c r="C7714" s="2" t="s">
        <v>27216</v>
      </c>
      <c r="D7714" s="2">
        <v>3</v>
      </c>
      <c r="E7714" s="2">
        <v>3</v>
      </c>
      <c r="F7714" s="2" t="s">
        <v>27217</v>
      </c>
      <c r="H7714" s="2" t="s">
        <v>17</v>
      </c>
      <c r="K7714" s="4" t="s">
        <v>27218</v>
      </c>
      <c r="L7714" s="4" t="s">
        <v>27219</v>
      </c>
      <c r="M7714" s="2" t="s">
        <v>192</v>
      </c>
    </row>
    <row r="7715" spans="1:14">
      <c r="A7715" s="2">
        <v>7714</v>
      </c>
      <c r="B7715" s="3" t="s">
        <v>27220</v>
      </c>
      <c r="C7715" s="2" t="s">
        <v>27221</v>
      </c>
      <c r="D7715" s="2">
        <v>3</v>
      </c>
      <c r="E7715" s="2">
        <v>3</v>
      </c>
      <c r="F7715" s="2" t="s">
        <v>27222</v>
      </c>
      <c r="H7715" s="2" t="s">
        <v>17</v>
      </c>
      <c r="K7715" s="4" t="s">
        <v>27223</v>
      </c>
      <c r="L7715" s="4" t="s">
        <v>27224</v>
      </c>
      <c r="M7715" s="2" t="s">
        <v>40</v>
      </c>
      <c r="N7715" s="2" t="s">
        <v>41</v>
      </c>
    </row>
    <row r="7716" spans="1:14">
      <c r="A7716" s="2">
        <v>7715</v>
      </c>
      <c r="B7716" s="3" t="s">
        <v>27225</v>
      </c>
      <c r="C7716" s="2" t="s">
        <v>27226</v>
      </c>
      <c r="D7716" s="2">
        <v>3</v>
      </c>
      <c r="E7716" s="2">
        <v>3</v>
      </c>
      <c r="F7716" s="2" t="s">
        <v>27227</v>
      </c>
      <c r="H7716" s="2" t="s">
        <v>17</v>
      </c>
    </row>
    <row r="7717" spans="1:14">
      <c r="A7717" s="2">
        <v>7716</v>
      </c>
      <c r="B7717" s="3" t="s">
        <v>27228</v>
      </c>
      <c r="C7717" s="2" t="s">
        <v>27229</v>
      </c>
      <c r="D7717" s="2">
        <v>2</v>
      </c>
      <c r="E7717" s="2">
        <v>3</v>
      </c>
      <c r="F7717" s="2" t="s">
        <v>27230</v>
      </c>
      <c r="H7717" s="2" t="s">
        <v>17</v>
      </c>
    </row>
    <row r="7718" spans="1:14">
      <c r="A7718" s="2">
        <v>7717</v>
      </c>
      <c r="B7718" s="3" t="s">
        <v>27231</v>
      </c>
      <c r="C7718" s="2" t="s">
        <v>4983</v>
      </c>
      <c r="D7718" s="2">
        <v>2</v>
      </c>
      <c r="E7718" s="2">
        <v>3</v>
      </c>
      <c r="F7718" s="2" t="s">
        <v>27232</v>
      </c>
      <c r="H7718" s="2" t="s">
        <v>17</v>
      </c>
      <c r="K7718" s="4" t="s">
        <v>27233</v>
      </c>
      <c r="L7718" s="4" t="s">
        <v>27234</v>
      </c>
      <c r="M7718" s="2" t="s">
        <v>185</v>
      </c>
      <c r="N7718" s="2" t="s">
        <v>20097</v>
      </c>
    </row>
    <row r="7719" spans="1:14">
      <c r="A7719" s="2">
        <v>7718</v>
      </c>
      <c r="B7719" s="3" t="s">
        <v>27235</v>
      </c>
      <c r="C7719" s="2" t="s">
        <v>22692</v>
      </c>
      <c r="D7719" s="2">
        <v>3</v>
      </c>
      <c r="E7719" s="2">
        <v>3</v>
      </c>
      <c r="F7719" s="2" t="s">
        <v>27236</v>
      </c>
      <c r="H7719" s="2" t="s">
        <v>17</v>
      </c>
      <c r="L7719" s="4" t="s">
        <v>27237</v>
      </c>
    </row>
    <row r="7720" spans="1:14">
      <c r="A7720" s="2">
        <v>7719</v>
      </c>
      <c r="B7720" s="3" t="s">
        <v>27238</v>
      </c>
      <c r="C7720" s="2" t="s">
        <v>17843</v>
      </c>
      <c r="D7720" s="2">
        <v>3</v>
      </c>
      <c r="E7720" s="2">
        <v>3</v>
      </c>
      <c r="F7720" s="2" t="s">
        <v>27239</v>
      </c>
      <c r="H7720" s="2" t="s">
        <v>17</v>
      </c>
      <c r="L7720" s="4" t="s">
        <v>27240</v>
      </c>
    </row>
    <row r="7721" spans="1:14">
      <c r="A7721" s="2">
        <v>7720</v>
      </c>
      <c r="B7721" s="3" t="s">
        <v>27241</v>
      </c>
      <c r="C7721" s="2" t="s">
        <v>27242</v>
      </c>
      <c r="D7721" s="2">
        <v>1</v>
      </c>
      <c r="E7721" s="2">
        <v>3</v>
      </c>
      <c r="F7721" s="2" t="s">
        <v>27243</v>
      </c>
      <c r="H7721" s="2" t="s">
        <v>17</v>
      </c>
      <c r="L7721" s="4" t="s">
        <v>27244</v>
      </c>
      <c r="M7721" s="2" t="s">
        <v>35</v>
      </c>
    </row>
    <row r="7722" spans="1:14">
      <c r="A7722" s="2">
        <v>7721</v>
      </c>
      <c r="B7722" s="3" t="s">
        <v>27245</v>
      </c>
      <c r="C7722" s="2" t="s">
        <v>27246</v>
      </c>
      <c r="D7722" s="2">
        <v>1</v>
      </c>
      <c r="E7722" s="2">
        <v>3</v>
      </c>
      <c r="F7722" s="2" t="s">
        <v>27247</v>
      </c>
      <c r="H7722" s="2" t="s">
        <v>17</v>
      </c>
      <c r="K7722" s="4" t="s">
        <v>27248</v>
      </c>
      <c r="L7722" s="4" t="s">
        <v>27249</v>
      </c>
      <c r="N7722" s="2" t="s">
        <v>27250</v>
      </c>
    </row>
    <row r="7723" spans="1:14">
      <c r="A7723" s="2">
        <v>7722</v>
      </c>
      <c r="B7723" s="3" t="s">
        <v>27251</v>
      </c>
      <c r="C7723" s="2" t="s">
        <v>26506</v>
      </c>
      <c r="D7723" s="2">
        <v>3</v>
      </c>
      <c r="E7723" s="2">
        <v>3</v>
      </c>
      <c r="F7723" s="2" t="s">
        <v>27252</v>
      </c>
      <c r="H7723" s="2" t="s">
        <v>17</v>
      </c>
      <c r="K7723" s="4" t="s">
        <v>27253</v>
      </c>
      <c r="L7723" s="4" t="s">
        <v>27254</v>
      </c>
      <c r="M7723" s="2" t="s">
        <v>146</v>
      </c>
      <c r="N7723" s="2" t="s">
        <v>8769</v>
      </c>
    </row>
    <row r="7724" spans="1:14">
      <c r="A7724" s="2">
        <v>7723</v>
      </c>
      <c r="B7724" s="3" t="s">
        <v>27255</v>
      </c>
      <c r="C7724" s="2" t="s">
        <v>24971</v>
      </c>
      <c r="D7724" s="2">
        <v>2</v>
      </c>
      <c r="E7724" s="2">
        <v>3</v>
      </c>
      <c r="F7724" s="2" t="s">
        <v>24972</v>
      </c>
      <c r="H7724" s="2" t="s">
        <v>17</v>
      </c>
      <c r="K7724" s="4" t="s">
        <v>27256</v>
      </c>
      <c r="L7724" s="4" t="s">
        <v>27257</v>
      </c>
      <c r="M7724" s="2" t="s">
        <v>170</v>
      </c>
      <c r="N7724" s="2" t="s">
        <v>323</v>
      </c>
    </row>
    <row r="7725" spans="1:14">
      <c r="A7725" s="2">
        <v>7724</v>
      </c>
      <c r="B7725" s="3" t="s">
        <v>27258</v>
      </c>
      <c r="C7725" s="2" t="s">
        <v>27259</v>
      </c>
      <c r="D7725" s="2">
        <v>1</v>
      </c>
      <c r="E7725" s="2">
        <v>3</v>
      </c>
      <c r="F7725" s="2" t="s">
        <v>27260</v>
      </c>
      <c r="H7725" s="2" t="s">
        <v>17</v>
      </c>
      <c r="K7725" s="4" t="s">
        <v>27261</v>
      </c>
      <c r="L7725" s="4" t="s">
        <v>27262</v>
      </c>
      <c r="M7725" s="2" t="s">
        <v>35</v>
      </c>
      <c r="N7725" s="2" t="s">
        <v>10316</v>
      </c>
    </row>
    <row r="7726" spans="1:14">
      <c r="A7726" s="2">
        <v>7725</v>
      </c>
      <c r="B7726" s="3" t="s">
        <v>27263</v>
      </c>
      <c r="C7726" s="2" t="s">
        <v>22167</v>
      </c>
      <c r="D7726" s="2">
        <v>1</v>
      </c>
      <c r="E7726" s="2">
        <v>3</v>
      </c>
      <c r="F7726" s="2" t="s">
        <v>27264</v>
      </c>
      <c r="H7726" s="2" t="s">
        <v>17</v>
      </c>
      <c r="K7726" s="4" t="s">
        <v>27265</v>
      </c>
      <c r="L7726" s="4" t="s">
        <v>27266</v>
      </c>
      <c r="M7726" s="2" t="s">
        <v>40</v>
      </c>
      <c r="N7726" s="2" t="s">
        <v>41</v>
      </c>
    </row>
    <row r="7727" spans="1:14">
      <c r="A7727" s="2">
        <v>7726</v>
      </c>
      <c r="B7727" s="3" t="s">
        <v>27267</v>
      </c>
      <c r="C7727" s="2" t="s">
        <v>21057</v>
      </c>
      <c r="D7727" s="2">
        <v>3</v>
      </c>
      <c r="E7727" s="2">
        <v>3</v>
      </c>
      <c r="F7727" s="2" t="s">
        <v>27268</v>
      </c>
      <c r="H7727" s="2" t="s">
        <v>17</v>
      </c>
    </row>
    <row r="7728" spans="1:14">
      <c r="A7728" s="2">
        <v>7727</v>
      </c>
      <c r="B7728" s="3" t="s">
        <v>27269</v>
      </c>
      <c r="C7728" s="2" t="s">
        <v>24993</v>
      </c>
      <c r="D7728" s="2">
        <v>3</v>
      </c>
      <c r="E7728" s="2">
        <v>3</v>
      </c>
      <c r="F7728" s="2" t="s">
        <v>27270</v>
      </c>
      <c r="H7728" s="2" t="s">
        <v>17</v>
      </c>
      <c r="K7728" s="4" t="s">
        <v>27271</v>
      </c>
      <c r="L7728" s="4" t="s">
        <v>27272</v>
      </c>
    </row>
    <row r="7729" spans="1:14">
      <c r="A7729" s="2">
        <v>7728</v>
      </c>
      <c r="B7729" s="3" t="s">
        <v>27273</v>
      </c>
      <c r="C7729" s="2" t="s">
        <v>27274</v>
      </c>
      <c r="D7729" s="2">
        <v>2</v>
      </c>
      <c r="E7729" s="2">
        <v>3</v>
      </c>
      <c r="F7729" s="2" t="s">
        <v>27275</v>
      </c>
      <c r="H7729" s="2" t="s">
        <v>17</v>
      </c>
    </row>
    <row r="7730" spans="1:14">
      <c r="A7730" s="2">
        <v>7729</v>
      </c>
      <c r="B7730" s="3" t="s">
        <v>27276</v>
      </c>
      <c r="C7730" s="2" t="s">
        <v>24996</v>
      </c>
      <c r="D7730" s="2">
        <v>3</v>
      </c>
      <c r="E7730" s="2">
        <v>3</v>
      </c>
      <c r="F7730" s="2" t="s">
        <v>27277</v>
      </c>
      <c r="H7730" s="2" t="s">
        <v>17</v>
      </c>
    </row>
    <row r="7731" spans="1:14">
      <c r="A7731" s="2">
        <v>7730</v>
      </c>
      <c r="B7731" s="3" t="s">
        <v>27278</v>
      </c>
      <c r="C7731" s="2" t="s">
        <v>27279</v>
      </c>
      <c r="D7731" s="2">
        <v>1</v>
      </c>
      <c r="E7731" s="2">
        <v>3</v>
      </c>
      <c r="F7731" s="2" t="s">
        <v>27280</v>
      </c>
      <c r="H7731" s="2" t="s">
        <v>17</v>
      </c>
      <c r="K7731" s="4" t="s">
        <v>27281</v>
      </c>
      <c r="L7731" s="4" t="s">
        <v>27282</v>
      </c>
      <c r="M7731" s="2" t="s">
        <v>198</v>
      </c>
    </row>
    <row r="7732" spans="1:14">
      <c r="A7732" s="2">
        <v>7731</v>
      </c>
      <c r="B7732" s="3" t="s">
        <v>27283</v>
      </c>
      <c r="C7732" s="2" t="s">
        <v>27284</v>
      </c>
      <c r="D7732" s="2">
        <v>3</v>
      </c>
      <c r="E7732" s="2">
        <v>3</v>
      </c>
      <c r="F7732" s="2" t="s">
        <v>27285</v>
      </c>
      <c r="H7732" s="2" t="s">
        <v>17</v>
      </c>
    </row>
    <row r="7733" spans="1:14">
      <c r="A7733" s="2">
        <v>7732</v>
      </c>
      <c r="B7733" s="3" t="s">
        <v>27286</v>
      </c>
      <c r="C7733" s="2" t="s">
        <v>27287</v>
      </c>
      <c r="D7733" s="2">
        <v>2</v>
      </c>
      <c r="E7733" s="2">
        <v>3</v>
      </c>
      <c r="F7733" s="2" t="s">
        <v>27288</v>
      </c>
      <c r="H7733" s="2" t="s">
        <v>17</v>
      </c>
      <c r="L7733" s="4" t="s">
        <v>27289</v>
      </c>
      <c r="M7733" s="2" t="s">
        <v>53</v>
      </c>
      <c r="N7733" s="2" t="s">
        <v>54</v>
      </c>
    </row>
    <row r="7734" spans="1:14">
      <c r="A7734" s="2">
        <v>7733</v>
      </c>
      <c r="B7734" s="3" t="s">
        <v>27290</v>
      </c>
      <c r="C7734" s="2" t="s">
        <v>24802</v>
      </c>
      <c r="D7734" s="2">
        <v>2</v>
      </c>
      <c r="E7734" s="2">
        <v>3</v>
      </c>
      <c r="F7734" s="2" t="s">
        <v>27291</v>
      </c>
      <c r="H7734" s="2" t="s">
        <v>17</v>
      </c>
      <c r="L7734" s="4" t="s">
        <v>27292</v>
      </c>
    </row>
    <row r="7735" spans="1:14">
      <c r="A7735" s="2">
        <v>7734</v>
      </c>
      <c r="B7735" s="3" t="s">
        <v>27293</v>
      </c>
      <c r="C7735" s="2" t="s">
        <v>25621</v>
      </c>
      <c r="D7735" s="2">
        <v>2</v>
      </c>
      <c r="E7735" s="2">
        <v>3</v>
      </c>
      <c r="F7735" s="2" t="s">
        <v>27294</v>
      </c>
      <c r="H7735" s="2" t="s">
        <v>17</v>
      </c>
      <c r="K7735" s="4" t="s">
        <v>27295</v>
      </c>
      <c r="L7735" s="4" t="s">
        <v>27296</v>
      </c>
    </row>
    <row r="7736" spans="1:14">
      <c r="A7736" s="2">
        <v>7735</v>
      </c>
      <c r="B7736" s="3" t="s">
        <v>27297</v>
      </c>
      <c r="C7736" s="2" t="s">
        <v>27298</v>
      </c>
      <c r="D7736" s="2">
        <v>1</v>
      </c>
      <c r="E7736" s="2">
        <v>3</v>
      </c>
      <c r="F7736" s="2" t="s">
        <v>27299</v>
      </c>
      <c r="H7736" s="2" t="s">
        <v>17</v>
      </c>
      <c r="K7736" s="4" t="s">
        <v>27300</v>
      </c>
      <c r="L7736" s="4" t="s">
        <v>27301</v>
      </c>
      <c r="M7736" s="2" t="s">
        <v>198</v>
      </c>
    </row>
    <row r="7737" spans="1:14">
      <c r="A7737" s="2">
        <v>7736</v>
      </c>
      <c r="B7737" s="3" t="s">
        <v>27302</v>
      </c>
      <c r="C7737" s="2" t="s">
        <v>4321</v>
      </c>
      <c r="D7737" s="2">
        <v>3</v>
      </c>
      <c r="E7737" s="2">
        <v>3</v>
      </c>
      <c r="F7737" s="2" t="s">
        <v>27303</v>
      </c>
      <c r="H7737" s="2" t="s">
        <v>17</v>
      </c>
    </row>
    <row r="7738" spans="1:14">
      <c r="A7738" s="2">
        <v>7737</v>
      </c>
      <c r="B7738" s="3" t="s">
        <v>27304</v>
      </c>
      <c r="C7738" s="2" t="s">
        <v>27305</v>
      </c>
      <c r="D7738" s="2">
        <v>3</v>
      </c>
      <c r="E7738" s="2">
        <v>3</v>
      </c>
      <c r="F7738" s="2" t="s">
        <v>27306</v>
      </c>
      <c r="H7738" s="2" t="s">
        <v>17</v>
      </c>
    </row>
    <row r="7739" spans="1:14">
      <c r="A7739" s="2">
        <v>7738</v>
      </c>
      <c r="B7739" s="3" t="s">
        <v>27307</v>
      </c>
      <c r="C7739" s="2" t="s">
        <v>27308</v>
      </c>
      <c r="D7739" s="2">
        <v>3</v>
      </c>
      <c r="E7739" s="2">
        <v>3</v>
      </c>
      <c r="F7739" s="2" t="s">
        <v>27309</v>
      </c>
      <c r="H7739" s="2" t="s">
        <v>17</v>
      </c>
    </row>
    <row r="7740" spans="1:14">
      <c r="A7740" s="2">
        <v>7739</v>
      </c>
      <c r="B7740" s="3" t="s">
        <v>27310</v>
      </c>
      <c r="C7740" s="2" t="s">
        <v>27311</v>
      </c>
      <c r="D7740" s="2">
        <v>2</v>
      </c>
      <c r="E7740" s="2">
        <v>3</v>
      </c>
      <c r="F7740" s="2" t="s">
        <v>27312</v>
      </c>
      <c r="H7740" s="2" t="s">
        <v>17</v>
      </c>
      <c r="K7740" s="4" t="s">
        <v>27313</v>
      </c>
      <c r="L7740" s="4" t="s">
        <v>27314</v>
      </c>
      <c r="M7740" s="2" t="s">
        <v>35</v>
      </c>
      <c r="N7740" s="2" t="s">
        <v>12348</v>
      </c>
    </row>
    <row r="7741" spans="1:14">
      <c r="A7741" s="2">
        <v>7740</v>
      </c>
      <c r="B7741" s="3" t="s">
        <v>27315</v>
      </c>
      <c r="C7741" s="2" t="s">
        <v>27316</v>
      </c>
      <c r="D7741" s="2">
        <v>1</v>
      </c>
      <c r="E7741" s="2">
        <v>3</v>
      </c>
      <c r="F7741" s="2" t="s">
        <v>27317</v>
      </c>
      <c r="H7741" s="2" t="s">
        <v>17</v>
      </c>
      <c r="L7741" s="4" t="s">
        <v>27318</v>
      </c>
    </row>
    <row r="7742" spans="1:14">
      <c r="A7742" s="2">
        <v>7741</v>
      </c>
      <c r="B7742" s="3" t="s">
        <v>27319</v>
      </c>
      <c r="C7742" s="2" t="s">
        <v>27320</v>
      </c>
      <c r="D7742" s="2">
        <v>3</v>
      </c>
      <c r="E7742" s="2">
        <v>3</v>
      </c>
      <c r="F7742" s="2" t="s">
        <v>27321</v>
      </c>
      <c r="H7742" s="2" t="s">
        <v>17</v>
      </c>
      <c r="K7742" s="4" t="s">
        <v>27322</v>
      </c>
      <c r="L7742" s="4" t="s">
        <v>27323</v>
      </c>
      <c r="M7742" s="2" t="s">
        <v>40</v>
      </c>
    </row>
    <row r="7743" spans="1:14">
      <c r="A7743" s="2">
        <v>7742</v>
      </c>
      <c r="B7743" s="3" t="s">
        <v>27324</v>
      </c>
      <c r="C7743" s="2" t="s">
        <v>25861</v>
      </c>
      <c r="D7743" s="2">
        <v>1</v>
      </c>
      <c r="E7743" s="2">
        <v>3</v>
      </c>
      <c r="F7743" s="2" t="s">
        <v>27325</v>
      </c>
      <c r="H7743" s="2" t="s">
        <v>17</v>
      </c>
      <c r="K7743" s="4" t="s">
        <v>27326</v>
      </c>
      <c r="L7743" s="4" t="s">
        <v>27327</v>
      </c>
      <c r="M7743" s="2" t="s">
        <v>40</v>
      </c>
      <c r="N7743" s="2" t="s">
        <v>41</v>
      </c>
    </row>
    <row r="7744" spans="1:14">
      <c r="A7744" s="2">
        <v>7743</v>
      </c>
      <c r="B7744" s="3" t="s">
        <v>27328</v>
      </c>
      <c r="C7744" s="2" t="s">
        <v>22324</v>
      </c>
      <c r="D7744" s="2">
        <v>3</v>
      </c>
      <c r="E7744" s="2">
        <v>3</v>
      </c>
      <c r="F7744" s="2" t="s">
        <v>27329</v>
      </c>
      <c r="H7744" s="2" t="s">
        <v>17</v>
      </c>
    </row>
    <row r="7745" spans="1:14">
      <c r="A7745" s="2">
        <v>7744</v>
      </c>
      <c r="B7745" s="3" t="s">
        <v>27330</v>
      </c>
      <c r="C7745" s="2" t="s">
        <v>18872</v>
      </c>
      <c r="D7745" s="2">
        <v>1</v>
      </c>
      <c r="E7745" s="2">
        <v>3</v>
      </c>
      <c r="F7745" s="2" t="s">
        <v>27331</v>
      </c>
      <c r="H7745" s="2" t="s">
        <v>17</v>
      </c>
      <c r="L7745" s="4" t="s">
        <v>27332</v>
      </c>
      <c r="M7745" s="2" t="s">
        <v>47</v>
      </c>
      <c r="N7745" s="2" t="s">
        <v>1863</v>
      </c>
    </row>
    <row r="7746" spans="1:14">
      <c r="A7746" s="2">
        <v>7745</v>
      </c>
      <c r="B7746" s="3" t="s">
        <v>27333</v>
      </c>
      <c r="C7746" s="2" t="s">
        <v>27334</v>
      </c>
      <c r="D7746" s="2">
        <v>2</v>
      </c>
      <c r="E7746" s="2">
        <v>3</v>
      </c>
      <c r="F7746" s="2" t="s">
        <v>27335</v>
      </c>
      <c r="H7746" s="2" t="s">
        <v>17</v>
      </c>
      <c r="L7746" s="4" t="s">
        <v>27336</v>
      </c>
    </row>
    <row r="7747" spans="1:14">
      <c r="A7747" s="2">
        <v>7746</v>
      </c>
      <c r="B7747" s="3" t="s">
        <v>27337</v>
      </c>
      <c r="C7747" s="2" t="s">
        <v>27338</v>
      </c>
      <c r="D7747" s="2">
        <v>2</v>
      </c>
      <c r="E7747" s="2">
        <v>3</v>
      </c>
      <c r="F7747" s="2" t="s">
        <v>27339</v>
      </c>
      <c r="H7747" s="2" t="s">
        <v>17</v>
      </c>
      <c r="K7747" s="4" t="s">
        <v>27340</v>
      </c>
      <c r="L7747" s="4" t="s">
        <v>27341</v>
      </c>
      <c r="M7747" s="2" t="s">
        <v>40</v>
      </c>
      <c r="N7747" s="2" t="s">
        <v>41</v>
      </c>
    </row>
    <row r="7748" spans="1:14">
      <c r="A7748" s="2">
        <v>7747</v>
      </c>
      <c r="B7748" s="3" t="s">
        <v>27342</v>
      </c>
      <c r="C7748" s="2" t="s">
        <v>27343</v>
      </c>
      <c r="D7748" s="2">
        <v>3</v>
      </c>
      <c r="E7748" s="2">
        <v>3</v>
      </c>
      <c r="F7748" s="2" t="s">
        <v>27344</v>
      </c>
      <c r="H7748" s="2" t="s">
        <v>17</v>
      </c>
    </row>
    <row r="7749" spans="1:14">
      <c r="A7749" s="2">
        <v>7748</v>
      </c>
      <c r="B7749" s="3" t="s">
        <v>27345</v>
      </c>
      <c r="C7749" s="2" t="s">
        <v>27346</v>
      </c>
      <c r="D7749" s="2">
        <v>2</v>
      </c>
      <c r="E7749" s="2">
        <v>3</v>
      </c>
      <c r="F7749" s="2" t="s">
        <v>27347</v>
      </c>
      <c r="H7749" s="2" t="s">
        <v>17</v>
      </c>
      <c r="L7749" s="4" t="s">
        <v>27348</v>
      </c>
      <c r="M7749" s="2" t="s">
        <v>35</v>
      </c>
    </row>
    <row r="7750" spans="1:14">
      <c r="A7750" s="2">
        <v>7749</v>
      </c>
      <c r="B7750" s="3" t="s">
        <v>27349</v>
      </c>
      <c r="C7750" s="2" t="s">
        <v>27350</v>
      </c>
      <c r="D7750" s="2">
        <v>2</v>
      </c>
      <c r="E7750" s="2">
        <v>3</v>
      </c>
      <c r="F7750" s="2" t="s">
        <v>27351</v>
      </c>
      <c r="H7750" s="2" t="s">
        <v>17</v>
      </c>
    </row>
    <row r="7751" spans="1:14">
      <c r="A7751" s="2">
        <v>7750</v>
      </c>
      <c r="B7751" s="3" t="s">
        <v>27352</v>
      </c>
      <c r="C7751" s="2" t="s">
        <v>27353</v>
      </c>
      <c r="D7751" s="2">
        <v>3</v>
      </c>
      <c r="E7751" s="2">
        <v>3</v>
      </c>
      <c r="F7751" s="2" t="s">
        <v>27354</v>
      </c>
      <c r="H7751" s="2" t="s">
        <v>17</v>
      </c>
      <c r="K7751" s="4" t="s">
        <v>27355</v>
      </c>
      <c r="L7751" s="4" t="s">
        <v>27356</v>
      </c>
      <c r="M7751" s="2" t="s">
        <v>185</v>
      </c>
      <c r="N7751" s="2" t="s">
        <v>10048</v>
      </c>
    </row>
    <row r="7752" spans="1:14">
      <c r="A7752" s="2">
        <v>7751</v>
      </c>
      <c r="B7752" s="3" t="s">
        <v>27357</v>
      </c>
      <c r="C7752" s="2" t="s">
        <v>27358</v>
      </c>
      <c r="D7752" s="2">
        <v>3</v>
      </c>
      <c r="E7752" s="2">
        <v>3</v>
      </c>
      <c r="F7752" s="2" t="s">
        <v>27359</v>
      </c>
      <c r="H7752" s="2" t="s">
        <v>17</v>
      </c>
    </row>
    <row r="7753" spans="1:14">
      <c r="A7753" s="2">
        <v>7752</v>
      </c>
      <c r="B7753" s="3" t="s">
        <v>27360</v>
      </c>
      <c r="C7753" s="2" t="s">
        <v>27361</v>
      </c>
      <c r="D7753" s="2">
        <v>3</v>
      </c>
      <c r="E7753" s="2">
        <v>3</v>
      </c>
      <c r="F7753" s="2" t="s">
        <v>27362</v>
      </c>
      <c r="H7753" s="2" t="s">
        <v>17</v>
      </c>
    </row>
    <row r="7754" spans="1:14">
      <c r="A7754" s="2">
        <v>7753</v>
      </c>
      <c r="B7754" s="3" t="s">
        <v>27363</v>
      </c>
      <c r="C7754" s="2" t="s">
        <v>27364</v>
      </c>
      <c r="D7754" s="2">
        <v>3</v>
      </c>
      <c r="E7754" s="2">
        <v>3</v>
      </c>
      <c r="F7754" s="2" t="s">
        <v>27365</v>
      </c>
      <c r="H7754" s="2" t="s">
        <v>17</v>
      </c>
    </row>
    <row r="7755" spans="1:14">
      <c r="A7755" s="2">
        <v>7754</v>
      </c>
      <c r="B7755" s="3" t="s">
        <v>27366</v>
      </c>
      <c r="C7755" s="2" t="s">
        <v>27367</v>
      </c>
      <c r="D7755" s="2">
        <v>3</v>
      </c>
      <c r="E7755" s="2">
        <v>3</v>
      </c>
      <c r="F7755" s="2" t="s">
        <v>27368</v>
      </c>
      <c r="H7755" s="2" t="s">
        <v>17</v>
      </c>
      <c r="L7755" s="4" t="s">
        <v>27369</v>
      </c>
    </row>
    <row r="7756" spans="1:14">
      <c r="A7756" s="2">
        <v>7755</v>
      </c>
      <c r="B7756" s="3" t="s">
        <v>27370</v>
      </c>
      <c r="C7756" s="2" t="s">
        <v>27371</v>
      </c>
      <c r="D7756" s="2">
        <v>3</v>
      </c>
      <c r="E7756" s="2">
        <v>3</v>
      </c>
      <c r="F7756" s="2" t="s">
        <v>27372</v>
      </c>
      <c r="H7756" s="2" t="s">
        <v>17</v>
      </c>
    </row>
    <row r="7757" spans="1:14">
      <c r="A7757" s="2">
        <v>7756</v>
      </c>
      <c r="B7757" s="3" t="s">
        <v>27373</v>
      </c>
      <c r="C7757" s="2" t="s">
        <v>27374</v>
      </c>
      <c r="D7757" s="2">
        <v>3</v>
      </c>
      <c r="E7757" s="2">
        <v>3</v>
      </c>
      <c r="F7757" s="2" t="s">
        <v>27375</v>
      </c>
      <c r="H7757" s="2" t="s">
        <v>17</v>
      </c>
    </row>
    <row r="7758" spans="1:14">
      <c r="A7758" s="2">
        <v>7757</v>
      </c>
      <c r="B7758" s="3" t="s">
        <v>27376</v>
      </c>
      <c r="C7758" s="2" t="s">
        <v>27377</v>
      </c>
      <c r="D7758" s="2">
        <v>2</v>
      </c>
      <c r="E7758" s="2">
        <v>3</v>
      </c>
      <c r="F7758" s="2" t="s">
        <v>27378</v>
      </c>
      <c r="H7758" s="2" t="s">
        <v>17</v>
      </c>
      <c r="M7758" s="2" t="s">
        <v>170</v>
      </c>
    </row>
    <row r="7759" spans="1:14">
      <c r="A7759" s="2">
        <v>7758</v>
      </c>
      <c r="B7759" s="3" t="s">
        <v>27379</v>
      </c>
      <c r="C7759" s="2" t="s">
        <v>27380</v>
      </c>
      <c r="D7759" s="2">
        <v>3</v>
      </c>
      <c r="E7759" s="2">
        <v>3</v>
      </c>
      <c r="F7759" s="2" t="s">
        <v>27381</v>
      </c>
      <c r="H7759" s="2" t="s">
        <v>17</v>
      </c>
    </row>
    <row r="7760" spans="1:14">
      <c r="A7760" s="2">
        <v>7759</v>
      </c>
      <c r="B7760" s="3" t="s">
        <v>27382</v>
      </c>
      <c r="C7760" s="2" t="s">
        <v>27383</v>
      </c>
      <c r="D7760" s="2">
        <v>2</v>
      </c>
      <c r="E7760" s="2">
        <v>2</v>
      </c>
      <c r="F7760" s="2" t="s">
        <v>27384</v>
      </c>
      <c r="H7760" s="2" t="s">
        <v>17</v>
      </c>
      <c r="K7760" s="4" t="s">
        <v>27385</v>
      </c>
      <c r="L7760" s="4" t="s">
        <v>25733</v>
      </c>
      <c r="M7760" s="2" t="s">
        <v>85</v>
      </c>
      <c r="N7760" s="2" t="s">
        <v>11596</v>
      </c>
    </row>
    <row r="7761" spans="1:14">
      <c r="A7761" s="2">
        <v>7760</v>
      </c>
      <c r="B7761" s="3" t="s">
        <v>27386</v>
      </c>
      <c r="C7761" s="2" t="s">
        <v>27387</v>
      </c>
      <c r="D7761" s="2">
        <v>2</v>
      </c>
      <c r="E7761" s="2">
        <v>2</v>
      </c>
      <c r="F7761" s="2" t="s">
        <v>27388</v>
      </c>
      <c r="H7761" s="2" t="s">
        <v>17</v>
      </c>
      <c r="K7761" s="4" t="s">
        <v>27389</v>
      </c>
      <c r="L7761" s="4" t="s">
        <v>27390</v>
      </c>
      <c r="M7761" s="2" t="s">
        <v>40</v>
      </c>
      <c r="N7761" s="2" t="s">
        <v>41</v>
      </c>
    </row>
    <row r="7762" spans="1:14">
      <c r="A7762" s="2">
        <v>7761</v>
      </c>
      <c r="B7762" s="3" t="s">
        <v>27391</v>
      </c>
      <c r="C7762" s="2" t="s">
        <v>27392</v>
      </c>
      <c r="D7762" s="2">
        <v>2</v>
      </c>
      <c r="E7762" s="2">
        <v>2</v>
      </c>
      <c r="F7762" s="2" t="s">
        <v>19352</v>
      </c>
      <c r="H7762" s="2" t="s">
        <v>17</v>
      </c>
      <c r="K7762" s="4" t="s">
        <v>27393</v>
      </c>
      <c r="L7762" s="4" t="s">
        <v>27394</v>
      </c>
      <c r="M7762" s="2" t="s">
        <v>47</v>
      </c>
      <c r="N7762" s="2" t="s">
        <v>691</v>
      </c>
    </row>
    <row r="7763" spans="1:14">
      <c r="A7763" s="2">
        <v>7762</v>
      </c>
      <c r="B7763" s="3" t="s">
        <v>27395</v>
      </c>
      <c r="C7763" s="2" t="s">
        <v>27396</v>
      </c>
      <c r="D7763" s="2">
        <v>2</v>
      </c>
      <c r="E7763" s="2">
        <v>2</v>
      </c>
      <c r="F7763" s="2" t="s">
        <v>27397</v>
      </c>
      <c r="H7763" s="2" t="s">
        <v>17</v>
      </c>
      <c r="K7763" s="4" t="s">
        <v>27398</v>
      </c>
      <c r="L7763" s="4" t="s">
        <v>27399</v>
      </c>
      <c r="M7763" s="2" t="s">
        <v>198</v>
      </c>
      <c r="N7763" s="2" t="s">
        <v>12284</v>
      </c>
    </row>
    <row r="7764" spans="1:14">
      <c r="A7764" s="2">
        <v>7763</v>
      </c>
      <c r="B7764" s="3" t="s">
        <v>27400</v>
      </c>
      <c r="C7764" s="2" t="s">
        <v>11004</v>
      </c>
      <c r="D7764" s="2">
        <v>2</v>
      </c>
      <c r="E7764" s="2">
        <v>2</v>
      </c>
      <c r="F7764" s="2" t="s">
        <v>27401</v>
      </c>
      <c r="H7764" s="2" t="s">
        <v>17</v>
      </c>
      <c r="K7764" s="4" t="s">
        <v>27402</v>
      </c>
      <c r="L7764" s="4" t="s">
        <v>27403</v>
      </c>
      <c r="M7764" s="2" t="s">
        <v>170</v>
      </c>
      <c r="N7764" s="2" t="s">
        <v>323</v>
      </c>
    </row>
    <row r="7765" spans="1:14">
      <c r="A7765" s="2">
        <v>7764</v>
      </c>
      <c r="B7765" s="3" t="s">
        <v>27404</v>
      </c>
      <c r="C7765" s="2" t="s">
        <v>27405</v>
      </c>
      <c r="D7765" s="2">
        <v>2</v>
      </c>
      <c r="E7765" s="2">
        <v>2</v>
      </c>
      <c r="F7765" s="2" t="s">
        <v>27406</v>
      </c>
      <c r="H7765" s="2" t="s">
        <v>17</v>
      </c>
    </row>
    <row r="7766" spans="1:14">
      <c r="A7766" s="2">
        <v>7765</v>
      </c>
      <c r="B7766" s="3" t="s">
        <v>27407</v>
      </c>
      <c r="C7766" s="2" t="s">
        <v>16957</v>
      </c>
      <c r="D7766" s="2">
        <v>1</v>
      </c>
      <c r="E7766" s="2">
        <v>2</v>
      </c>
      <c r="F7766" s="2" t="s">
        <v>27408</v>
      </c>
      <c r="H7766" s="2" t="s">
        <v>17</v>
      </c>
      <c r="K7766" s="4" t="s">
        <v>27409</v>
      </c>
      <c r="L7766" s="4" t="s">
        <v>27410</v>
      </c>
      <c r="M7766" s="2" t="s">
        <v>192</v>
      </c>
    </row>
    <row r="7767" spans="1:14">
      <c r="A7767" s="2">
        <v>7766</v>
      </c>
      <c r="B7767" s="3" t="s">
        <v>27411</v>
      </c>
      <c r="C7767" s="2" t="s">
        <v>27412</v>
      </c>
      <c r="D7767" s="2">
        <v>1</v>
      </c>
      <c r="E7767" s="2">
        <v>2</v>
      </c>
      <c r="F7767" s="2" t="s">
        <v>27413</v>
      </c>
      <c r="H7767" s="2" t="s">
        <v>17</v>
      </c>
      <c r="K7767" s="4" t="s">
        <v>27414</v>
      </c>
      <c r="L7767" s="4" t="s">
        <v>27415</v>
      </c>
      <c r="M7767" s="2" t="s">
        <v>185</v>
      </c>
      <c r="N7767" s="2" t="s">
        <v>838</v>
      </c>
    </row>
    <row r="7768" spans="1:14">
      <c r="A7768" s="2">
        <v>7767</v>
      </c>
      <c r="B7768" s="3" t="s">
        <v>27416</v>
      </c>
      <c r="C7768" s="2" t="s">
        <v>27417</v>
      </c>
      <c r="D7768" s="2">
        <v>2</v>
      </c>
      <c r="E7768" s="2">
        <v>2</v>
      </c>
      <c r="F7768" s="2" t="s">
        <v>27418</v>
      </c>
      <c r="H7768" s="2" t="s">
        <v>17</v>
      </c>
    </row>
    <row r="7769" spans="1:14">
      <c r="A7769" s="2">
        <v>7768</v>
      </c>
      <c r="B7769" s="3" t="s">
        <v>27419</v>
      </c>
      <c r="C7769" s="2" t="s">
        <v>27420</v>
      </c>
      <c r="D7769" s="2">
        <v>2</v>
      </c>
      <c r="E7769" s="2">
        <v>2</v>
      </c>
      <c r="F7769" s="2" t="s">
        <v>27421</v>
      </c>
      <c r="H7769" s="2" t="s">
        <v>17</v>
      </c>
    </row>
    <row r="7770" spans="1:14">
      <c r="A7770" s="2">
        <v>7769</v>
      </c>
      <c r="B7770" s="3" t="s">
        <v>27422</v>
      </c>
      <c r="C7770" s="2" t="s">
        <v>27423</v>
      </c>
      <c r="D7770" s="2">
        <v>2</v>
      </c>
      <c r="E7770" s="2">
        <v>2</v>
      </c>
      <c r="F7770" s="2" t="s">
        <v>27424</v>
      </c>
      <c r="H7770" s="2" t="s">
        <v>17</v>
      </c>
    </row>
    <row r="7771" spans="1:14">
      <c r="A7771" s="2">
        <v>7770</v>
      </c>
      <c r="B7771" s="3" t="s">
        <v>27425</v>
      </c>
      <c r="C7771" s="2" t="s">
        <v>27426</v>
      </c>
      <c r="D7771" s="2">
        <v>1</v>
      </c>
      <c r="E7771" s="2">
        <v>2</v>
      </c>
      <c r="F7771" s="2" t="s">
        <v>27427</v>
      </c>
      <c r="H7771" s="2" t="s">
        <v>17</v>
      </c>
      <c r="K7771" s="4" t="s">
        <v>27428</v>
      </c>
      <c r="L7771" s="4" t="s">
        <v>27429</v>
      </c>
      <c r="N7771" s="2" t="s">
        <v>6729</v>
      </c>
    </row>
    <row r="7772" spans="1:14">
      <c r="A7772" s="2">
        <v>7771</v>
      </c>
      <c r="B7772" s="3" t="s">
        <v>27430</v>
      </c>
      <c r="C7772" s="2" t="s">
        <v>27431</v>
      </c>
      <c r="D7772" s="2">
        <v>1</v>
      </c>
      <c r="E7772" s="2">
        <v>2</v>
      </c>
      <c r="F7772" s="2" t="s">
        <v>27432</v>
      </c>
      <c r="H7772" s="2" t="s">
        <v>17</v>
      </c>
      <c r="L7772" s="4" t="s">
        <v>24061</v>
      </c>
      <c r="M7772" s="2" t="s">
        <v>35</v>
      </c>
    </row>
    <row r="7773" spans="1:14">
      <c r="A7773" s="2">
        <v>7772</v>
      </c>
      <c r="B7773" s="3" t="s">
        <v>27433</v>
      </c>
      <c r="C7773" s="2" t="s">
        <v>27434</v>
      </c>
      <c r="D7773" s="2">
        <v>1</v>
      </c>
      <c r="E7773" s="2">
        <v>2</v>
      </c>
      <c r="F7773" s="2" t="s">
        <v>27435</v>
      </c>
      <c r="H7773" s="2" t="s">
        <v>17</v>
      </c>
      <c r="K7773" s="4" t="s">
        <v>27436</v>
      </c>
      <c r="L7773" s="4" t="s">
        <v>22240</v>
      </c>
      <c r="M7773" s="2" t="s">
        <v>47</v>
      </c>
      <c r="N7773" s="2" t="s">
        <v>48</v>
      </c>
    </row>
    <row r="7774" spans="1:14">
      <c r="A7774" s="2">
        <v>7773</v>
      </c>
      <c r="B7774" s="3" t="s">
        <v>27437</v>
      </c>
      <c r="C7774" s="2" t="s">
        <v>27438</v>
      </c>
      <c r="D7774" s="2">
        <v>2</v>
      </c>
      <c r="E7774" s="2">
        <v>2</v>
      </c>
      <c r="F7774" s="2" t="s">
        <v>27439</v>
      </c>
      <c r="H7774" s="2" t="s">
        <v>17</v>
      </c>
    </row>
    <row r="7775" spans="1:14">
      <c r="A7775" s="2">
        <v>7774</v>
      </c>
      <c r="B7775" s="3" t="s">
        <v>27440</v>
      </c>
      <c r="C7775" s="2" t="s">
        <v>27441</v>
      </c>
      <c r="D7775" s="2">
        <v>2</v>
      </c>
      <c r="E7775" s="2">
        <v>2</v>
      </c>
      <c r="F7775" s="2" t="s">
        <v>25428</v>
      </c>
      <c r="H7775" s="2" t="s">
        <v>17</v>
      </c>
      <c r="L7775" s="4" t="s">
        <v>27442</v>
      </c>
      <c r="M7775" s="2" t="s">
        <v>198</v>
      </c>
    </row>
    <row r="7776" spans="1:14">
      <c r="A7776" s="2">
        <v>7775</v>
      </c>
      <c r="B7776" s="3" t="s">
        <v>27443</v>
      </c>
      <c r="C7776" s="2" t="s">
        <v>27444</v>
      </c>
      <c r="D7776" s="2">
        <v>1</v>
      </c>
      <c r="E7776" s="2">
        <v>2</v>
      </c>
      <c r="F7776" s="2" t="s">
        <v>27445</v>
      </c>
      <c r="H7776" s="2" t="s">
        <v>17</v>
      </c>
      <c r="K7776" s="4" t="s">
        <v>27446</v>
      </c>
      <c r="L7776" s="4" t="s">
        <v>27447</v>
      </c>
      <c r="M7776" s="2" t="s">
        <v>170</v>
      </c>
      <c r="N7776" s="2" t="s">
        <v>27448</v>
      </c>
    </row>
    <row r="7777" spans="1:14">
      <c r="A7777" s="2">
        <v>7776</v>
      </c>
      <c r="B7777" s="3" t="s">
        <v>27449</v>
      </c>
      <c r="C7777" s="2" t="s">
        <v>27450</v>
      </c>
      <c r="D7777" s="2">
        <v>1</v>
      </c>
      <c r="E7777" s="2">
        <v>2</v>
      </c>
      <c r="F7777" s="2" t="s">
        <v>27451</v>
      </c>
      <c r="H7777" s="2" t="s">
        <v>17</v>
      </c>
      <c r="K7777" s="4" t="s">
        <v>27452</v>
      </c>
      <c r="L7777" s="4" t="s">
        <v>27453</v>
      </c>
      <c r="M7777" s="2" t="s">
        <v>40</v>
      </c>
    </row>
    <row r="7778" spans="1:14">
      <c r="A7778" s="2">
        <v>7777</v>
      </c>
      <c r="B7778" s="3" t="s">
        <v>27454</v>
      </c>
      <c r="C7778" s="2" t="s">
        <v>27455</v>
      </c>
      <c r="D7778" s="2">
        <v>2</v>
      </c>
      <c r="E7778" s="2">
        <v>2</v>
      </c>
      <c r="F7778" s="2" t="s">
        <v>27456</v>
      </c>
      <c r="H7778" s="2" t="s">
        <v>17</v>
      </c>
      <c r="L7778" s="4" t="s">
        <v>27457</v>
      </c>
    </row>
    <row r="7779" spans="1:14">
      <c r="A7779" s="2">
        <v>7778</v>
      </c>
      <c r="B7779" s="3" t="s">
        <v>27458</v>
      </c>
      <c r="C7779" s="2" t="s">
        <v>26708</v>
      </c>
      <c r="D7779" s="2">
        <v>1</v>
      </c>
      <c r="E7779" s="2">
        <v>2</v>
      </c>
      <c r="F7779" s="2" t="s">
        <v>27459</v>
      </c>
      <c r="H7779" s="2" t="s">
        <v>17</v>
      </c>
      <c r="K7779" s="4" t="s">
        <v>27460</v>
      </c>
      <c r="L7779" s="4" t="s">
        <v>27461</v>
      </c>
      <c r="M7779" s="2" t="s">
        <v>198</v>
      </c>
      <c r="N7779" s="2" t="s">
        <v>199</v>
      </c>
    </row>
    <row r="7780" spans="1:14">
      <c r="A7780" s="2">
        <v>7779</v>
      </c>
      <c r="B7780" s="3" t="s">
        <v>27462</v>
      </c>
      <c r="C7780" s="2" t="s">
        <v>27463</v>
      </c>
      <c r="D7780" s="2">
        <v>2</v>
      </c>
      <c r="E7780" s="2">
        <v>2</v>
      </c>
      <c r="F7780" s="2" t="s">
        <v>27464</v>
      </c>
      <c r="H7780" s="2" t="s">
        <v>17</v>
      </c>
      <c r="K7780" s="4" t="s">
        <v>27465</v>
      </c>
      <c r="L7780" s="4" t="s">
        <v>27466</v>
      </c>
      <c r="N7780" s="2" t="s">
        <v>15964</v>
      </c>
    </row>
    <row r="7781" spans="1:14">
      <c r="A7781" s="2">
        <v>7780</v>
      </c>
      <c r="B7781" s="3" t="s">
        <v>27467</v>
      </c>
      <c r="C7781" s="2" t="s">
        <v>27468</v>
      </c>
      <c r="D7781" s="2">
        <v>1</v>
      </c>
      <c r="E7781" s="2">
        <v>2</v>
      </c>
      <c r="F7781" s="2" t="s">
        <v>27469</v>
      </c>
      <c r="H7781" s="2" t="s">
        <v>17</v>
      </c>
      <c r="K7781" s="4" t="s">
        <v>27470</v>
      </c>
      <c r="L7781" s="4" t="s">
        <v>27471</v>
      </c>
      <c r="N7781" s="2" t="s">
        <v>8103</v>
      </c>
    </row>
    <row r="7782" spans="1:14">
      <c r="A7782" s="2">
        <v>7781</v>
      </c>
      <c r="B7782" s="3" t="s">
        <v>27472</v>
      </c>
      <c r="C7782" s="2" t="s">
        <v>27473</v>
      </c>
      <c r="D7782" s="2">
        <v>2</v>
      </c>
      <c r="E7782" s="2">
        <v>2</v>
      </c>
      <c r="F7782" s="2" t="s">
        <v>27474</v>
      </c>
      <c r="H7782" s="2" t="s">
        <v>17</v>
      </c>
      <c r="K7782" s="4" t="s">
        <v>27475</v>
      </c>
      <c r="L7782" s="4" t="s">
        <v>27476</v>
      </c>
      <c r="M7782" s="2" t="s">
        <v>198</v>
      </c>
    </row>
    <row r="7783" spans="1:14">
      <c r="A7783" s="2">
        <v>7782</v>
      </c>
      <c r="B7783" s="3" t="s">
        <v>27477</v>
      </c>
      <c r="C7783" s="2" t="s">
        <v>27478</v>
      </c>
      <c r="D7783" s="2">
        <v>2</v>
      </c>
      <c r="E7783" s="2">
        <v>2</v>
      </c>
      <c r="F7783" s="2" t="s">
        <v>27479</v>
      </c>
      <c r="H7783" s="2" t="s">
        <v>17</v>
      </c>
    </row>
    <row r="7784" spans="1:14">
      <c r="A7784" s="2">
        <v>7783</v>
      </c>
      <c r="B7784" s="3" t="s">
        <v>27480</v>
      </c>
      <c r="C7784" s="2" t="s">
        <v>27481</v>
      </c>
      <c r="D7784" s="2">
        <v>1</v>
      </c>
      <c r="E7784" s="2">
        <v>2</v>
      </c>
      <c r="F7784" s="2" t="s">
        <v>27482</v>
      </c>
      <c r="H7784" s="2" t="s">
        <v>17</v>
      </c>
      <c r="L7784" s="4" t="s">
        <v>23861</v>
      </c>
    </row>
    <row r="7785" spans="1:14">
      <c r="A7785" s="2">
        <v>7784</v>
      </c>
      <c r="B7785" s="3" t="s">
        <v>27483</v>
      </c>
      <c r="C7785" s="2" t="s">
        <v>21669</v>
      </c>
      <c r="D7785" s="2">
        <v>2</v>
      </c>
      <c r="E7785" s="2">
        <v>2</v>
      </c>
      <c r="F7785" s="2" t="s">
        <v>27484</v>
      </c>
      <c r="H7785" s="2" t="s">
        <v>17</v>
      </c>
      <c r="K7785" s="4" t="s">
        <v>27485</v>
      </c>
      <c r="L7785" s="4" t="s">
        <v>27486</v>
      </c>
      <c r="M7785" s="2" t="s">
        <v>40</v>
      </c>
      <c r="N7785" s="2" t="s">
        <v>41</v>
      </c>
    </row>
    <row r="7786" spans="1:14">
      <c r="A7786" s="2">
        <v>7785</v>
      </c>
      <c r="B7786" s="3" t="s">
        <v>27487</v>
      </c>
      <c r="C7786" s="2" t="s">
        <v>9667</v>
      </c>
      <c r="D7786" s="2">
        <v>1</v>
      </c>
      <c r="E7786" s="2">
        <v>2</v>
      </c>
      <c r="F7786" s="2" t="s">
        <v>27488</v>
      </c>
      <c r="H7786" s="2" t="s">
        <v>17</v>
      </c>
      <c r="K7786" s="4" t="s">
        <v>27489</v>
      </c>
      <c r="L7786" s="4" t="s">
        <v>27490</v>
      </c>
    </row>
    <row r="7787" spans="1:14">
      <c r="A7787" s="2">
        <v>7786</v>
      </c>
      <c r="B7787" s="3" t="s">
        <v>27491</v>
      </c>
      <c r="C7787" s="2" t="s">
        <v>27492</v>
      </c>
      <c r="D7787" s="2">
        <v>2</v>
      </c>
      <c r="E7787" s="2">
        <v>2</v>
      </c>
      <c r="F7787" s="2" t="s">
        <v>27493</v>
      </c>
      <c r="H7787" s="2" t="s">
        <v>17</v>
      </c>
      <c r="L7787" s="4" t="s">
        <v>27494</v>
      </c>
    </row>
    <row r="7788" spans="1:14">
      <c r="A7788" s="2">
        <v>7787</v>
      </c>
      <c r="B7788" s="3" t="s">
        <v>27495</v>
      </c>
      <c r="C7788" s="2" t="s">
        <v>27496</v>
      </c>
      <c r="D7788" s="2">
        <v>1</v>
      </c>
      <c r="E7788" s="2">
        <v>2</v>
      </c>
      <c r="F7788" s="2" t="s">
        <v>27497</v>
      </c>
      <c r="H7788" s="2" t="s">
        <v>17</v>
      </c>
      <c r="M7788" s="2" t="s">
        <v>85</v>
      </c>
    </row>
    <row r="7789" spans="1:14">
      <c r="A7789" s="2">
        <v>7788</v>
      </c>
      <c r="B7789" s="3" t="s">
        <v>27498</v>
      </c>
      <c r="C7789" s="2" t="s">
        <v>27499</v>
      </c>
      <c r="D7789" s="2">
        <v>2</v>
      </c>
      <c r="E7789" s="2">
        <v>2</v>
      </c>
      <c r="F7789" s="2" t="s">
        <v>27500</v>
      </c>
      <c r="H7789" s="2" t="s">
        <v>17</v>
      </c>
      <c r="K7789" s="4" t="s">
        <v>27501</v>
      </c>
      <c r="L7789" s="4" t="s">
        <v>27502</v>
      </c>
      <c r="N7789" s="2" t="s">
        <v>27503</v>
      </c>
    </row>
    <row r="7790" spans="1:14">
      <c r="A7790" s="2">
        <v>7789</v>
      </c>
      <c r="B7790" s="3" t="s">
        <v>27504</v>
      </c>
      <c r="C7790" s="2" t="s">
        <v>27505</v>
      </c>
      <c r="D7790" s="2">
        <v>2</v>
      </c>
      <c r="E7790" s="2">
        <v>2</v>
      </c>
      <c r="F7790" s="2" t="s">
        <v>27506</v>
      </c>
      <c r="H7790" s="2" t="s">
        <v>17</v>
      </c>
    </row>
    <row r="7791" spans="1:14">
      <c r="A7791" s="2">
        <v>7790</v>
      </c>
      <c r="B7791" s="3" t="s">
        <v>27507</v>
      </c>
      <c r="C7791" s="2" t="s">
        <v>27508</v>
      </c>
      <c r="D7791" s="2">
        <v>1</v>
      </c>
      <c r="E7791" s="2">
        <v>2</v>
      </c>
      <c r="F7791" s="2" t="s">
        <v>27509</v>
      </c>
      <c r="H7791" s="2" t="s">
        <v>17</v>
      </c>
      <c r="L7791" s="4" t="s">
        <v>27510</v>
      </c>
    </row>
    <row r="7792" spans="1:14">
      <c r="A7792" s="2">
        <v>7791</v>
      </c>
      <c r="B7792" s="3" t="s">
        <v>27511</v>
      </c>
      <c r="C7792" s="2" t="s">
        <v>27512</v>
      </c>
      <c r="D7792" s="2">
        <v>2</v>
      </c>
      <c r="E7792" s="2">
        <v>2</v>
      </c>
      <c r="F7792" s="2" t="s">
        <v>27513</v>
      </c>
      <c r="H7792" s="2" t="s">
        <v>17</v>
      </c>
      <c r="L7792" s="4" t="s">
        <v>27514</v>
      </c>
      <c r="M7792" s="2" t="s">
        <v>85</v>
      </c>
      <c r="N7792" s="2" t="s">
        <v>1868</v>
      </c>
    </row>
    <row r="7793" spans="1:14">
      <c r="A7793" s="2">
        <v>7792</v>
      </c>
      <c r="B7793" s="3" t="s">
        <v>27515</v>
      </c>
      <c r="C7793" s="2" t="s">
        <v>8830</v>
      </c>
      <c r="D7793" s="2">
        <v>2</v>
      </c>
      <c r="E7793" s="2">
        <v>2</v>
      </c>
      <c r="F7793" s="2" t="s">
        <v>27516</v>
      </c>
      <c r="H7793" s="2" t="s">
        <v>17</v>
      </c>
    </row>
    <row r="7794" spans="1:14">
      <c r="A7794" s="2">
        <v>7793</v>
      </c>
      <c r="B7794" s="3" t="s">
        <v>27517</v>
      </c>
      <c r="C7794" s="2" t="s">
        <v>27518</v>
      </c>
      <c r="D7794" s="2">
        <v>2</v>
      </c>
      <c r="E7794" s="2">
        <v>2</v>
      </c>
      <c r="F7794" s="2" t="s">
        <v>27519</v>
      </c>
      <c r="H7794" s="2" t="s">
        <v>17</v>
      </c>
    </row>
    <row r="7795" spans="1:14">
      <c r="A7795" s="2">
        <v>7794</v>
      </c>
      <c r="B7795" s="3" t="s">
        <v>27520</v>
      </c>
      <c r="C7795" s="2" t="s">
        <v>27521</v>
      </c>
      <c r="D7795" s="2">
        <v>2</v>
      </c>
      <c r="E7795" s="2">
        <v>2</v>
      </c>
      <c r="F7795" s="2" t="s">
        <v>27522</v>
      </c>
      <c r="H7795" s="2" t="s">
        <v>17</v>
      </c>
      <c r="L7795" s="4" t="s">
        <v>27523</v>
      </c>
      <c r="M7795" s="2" t="s">
        <v>40</v>
      </c>
      <c r="N7795" s="2" t="s">
        <v>41</v>
      </c>
    </row>
    <row r="7796" spans="1:14">
      <c r="A7796" s="2">
        <v>7795</v>
      </c>
      <c r="B7796" s="3" t="s">
        <v>27524</v>
      </c>
      <c r="C7796" s="2" t="s">
        <v>27525</v>
      </c>
      <c r="D7796" s="2">
        <v>2</v>
      </c>
      <c r="E7796" s="2">
        <v>2</v>
      </c>
      <c r="F7796" s="2" t="s">
        <v>27526</v>
      </c>
      <c r="H7796" s="2" t="s">
        <v>17</v>
      </c>
      <c r="M7796" s="2" t="s">
        <v>85</v>
      </c>
    </row>
    <row r="7797" spans="1:14">
      <c r="A7797" s="2">
        <v>7796</v>
      </c>
      <c r="B7797" s="3" t="s">
        <v>27527</v>
      </c>
      <c r="C7797" s="2" t="s">
        <v>27528</v>
      </c>
      <c r="D7797" s="2">
        <v>2</v>
      </c>
      <c r="E7797" s="2">
        <v>2</v>
      </c>
      <c r="F7797" s="2" t="s">
        <v>27529</v>
      </c>
      <c r="H7797" s="2" t="s">
        <v>17</v>
      </c>
    </row>
    <row r="7798" spans="1:14">
      <c r="A7798" s="2">
        <v>7797</v>
      </c>
      <c r="B7798" s="3" t="s">
        <v>27530</v>
      </c>
      <c r="C7798" s="2" t="s">
        <v>25491</v>
      </c>
      <c r="D7798" s="2">
        <v>1</v>
      </c>
      <c r="E7798" s="2">
        <v>2</v>
      </c>
      <c r="F7798" s="2" t="s">
        <v>27531</v>
      </c>
      <c r="H7798" s="2" t="s">
        <v>17</v>
      </c>
      <c r="K7798" s="4" t="s">
        <v>27532</v>
      </c>
      <c r="L7798" s="4" t="s">
        <v>27533</v>
      </c>
      <c r="M7798" s="2" t="s">
        <v>47</v>
      </c>
      <c r="N7798" s="2" t="s">
        <v>1863</v>
      </c>
    </row>
    <row r="7799" spans="1:14">
      <c r="A7799" s="2">
        <v>7798</v>
      </c>
      <c r="B7799" s="3" t="s">
        <v>27534</v>
      </c>
      <c r="C7799" s="2" t="s">
        <v>27535</v>
      </c>
      <c r="D7799" s="2">
        <v>2</v>
      </c>
      <c r="E7799" s="2">
        <v>2</v>
      </c>
      <c r="F7799" s="2" t="s">
        <v>27536</v>
      </c>
      <c r="H7799" s="2" t="s">
        <v>17</v>
      </c>
      <c r="L7799" s="4" t="s">
        <v>27537</v>
      </c>
    </row>
    <row r="7800" spans="1:14">
      <c r="A7800" s="2">
        <v>7799</v>
      </c>
      <c r="B7800" s="3" t="s">
        <v>27538</v>
      </c>
      <c r="C7800" s="2" t="s">
        <v>27539</v>
      </c>
      <c r="D7800" s="2">
        <v>2</v>
      </c>
      <c r="E7800" s="2">
        <v>2</v>
      </c>
      <c r="F7800" s="2" t="s">
        <v>27540</v>
      </c>
      <c r="H7800" s="2" t="s">
        <v>17</v>
      </c>
    </row>
    <row r="7801" spans="1:14">
      <c r="A7801" s="2">
        <v>7800</v>
      </c>
      <c r="B7801" s="3" t="s">
        <v>27541</v>
      </c>
      <c r="C7801" s="2" t="s">
        <v>25282</v>
      </c>
      <c r="D7801" s="2">
        <v>2</v>
      </c>
      <c r="E7801" s="2">
        <v>2</v>
      </c>
      <c r="F7801" s="2" t="s">
        <v>27542</v>
      </c>
      <c r="H7801" s="2" t="s">
        <v>17</v>
      </c>
      <c r="K7801" s="4" t="s">
        <v>27543</v>
      </c>
      <c r="L7801" s="4" t="s">
        <v>27544</v>
      </c>
      <c r="M7801" s="2" t="s">
        <v>198</v>
      </c>
      <c r="N7801" s="2" t="s">
        <v>199</v>
      </c>
    </row>
    <row r="7802" spans="1:14">
      <c r="A7802" s="2">
        <v>7801</v>
      </c>
      <c r="B7802" s="3" t="s">
        <v>27545</v>
      </c>
      <c r="C7802" s="2" t="s">
        <v>27546</v>
      </c>
      <c r="D7802" s="2">
        <v>2</v>
      </c>
      <c r="E7802" s="2">
        <v>2</v>
      </c>
      <c r="F7802" s="2" t="s">
        <v>27547</v>
      </c>
      <c r="H7802" s="2" t="s">
        <v>17</v>
      </c>
    </row>
    <row r="7803" spans="1:14">
      <c r="A7803" s="2">
        <v>7802</v>
      </c>
      <c r="B7803" s="3" t="s">
        <v>27548</v>
      </c>
      <c r="C7803" s="2" t="s">
        <v>23252</v>
      </c>
      <c r="D7803" s="2">
        <v>2</v>
      </c>
      <c r="E7803" s="2">
        <v>2</v>
      </c>
      <c r="F7803" s="2" t="s">
        <v>27549</v>
      </c>
      <c r="H7803" s="2" t="s">
        <v>17</v>
      </c>
      <c r="K7803" s="4" t="s">
        <v>27550</v>
      </c>
      <c r="L7803" s="4" t="s">
        <v>27551</v>
      </c>
      <c r="M7803" s="2" t="s">
        <v>198</v>
      </c>
      <c r="N7803" s="2" t="s">
        <v>199</v>
      </c>
    </row>
    <row r="7804" spans="1:14">
      <c r="A7804" s="2">
        <v>7803</v>
      </c>
      <c r="B7804" s="3" t="s">
        <v>27552</v>
      </c>
      <c r="C7804" s="2" t="s">
        <v>27553</v>
      </c>
      <c r="D7804" s="2">
        <v>2</v>
      </c>
      <c r="E7804" s="2">
        <v>2</v>
      </c>
      <c r="F7804" s="2" t="s">
        <v>27554</v>
      </c>
      <c r="H7804" s="2" t="s">
        <v>17</v>
      </c>
    </row>
    <row r="7805" spans="1:14">
      <c r="A7805" s="2">
        <v>7804</v>
      </c>
      <c r="B7805" s="3" t="s">
        <v>27555</v>
      </c>
      <c r="C7805" s="2" t="s">
        <v>27556</v>
      </c>
      <c r="D7805" s="2">
        <v>2</v>
      </c>
      <c r="E7805" s="2">
        <v>2</v>
      </c>
      <c r="F7805" s="2" t="s">
        <v>27557</v>
      </c>
      <c r="H7805" s="2" t="s">
        <v>17</v>
      </c>
    </row>
    <row r="7806" spans="1:14">
      <c r="A7806" s="2">
        <v>7805</v>
      </c>
      <c r="B7806" s="3" t="s">
        <v>27558</v>
      </c>
      <c r="C7806" s="2" t="s">
        <v>27559</v>
      </c>
      <c r="D7806" s="2">
        <v>2</v>
      </c>
      <c r="E7806" s="2">
        <v>2</v>
      </c>
      <c r="F7806" s="2" t="s">
        <v>27560</v>
      </c>
      <c r="H7806" s="2" t="s">
        <v>17</v>
      </c>
    </row>
    <row r="7807" spans="1:14">
      <c r="A7807" s="2">
        <v>7806</v>
      </c>
      <c r="B7807" s="3" t="s">
        <v>27561</v>
      </c>
      <c r="C7807" s="2" t="s">
        <v>23761</v>
      </c>
      <c r="D7807" s="2">
        <v>2</v>
      </c>
      <c r="E7807" s="2">
        <v>2</v>
      </c>
      <c r="F7807" s="2" t="s">
        <v>27562</v>
      </c>
      <c r="H7807" s="2" t="s">
        <v>17</v>
      </c>
      <c r="L7807" s="4" t="s">
        <v>27563</v>
      </c>
    </row>
    <row r="7808" spans="1:14">
      <c r="A7808" s="2">
        <v>7807</v>
      </c>
      <c r="B7808" s="3" t="s">
        <v>27564</v>
      </c>
      <c r="C7808" s="2" t="s">
        <v>27565</v>
      </c>
      <c r="D7808" s="2">
        <v>1</v>
      </c>
      <c r="E7808" s="2">
        <v>2</v>
      </c>
      <c r="F7808" s="2" t="s">
        <v>27566</v>
      </c>
      <c r="H7808" s="2" t="s">
        <v>17</v>
      </c>
    </row>
    <row r="7809" spans="1:14">
      <c r="A7809" s="2">
        <v>7808</v>
      </c>
      <c r="B7809" s="3" t="s">
        <v>27567</v>
      </c>
      <c r="C7809" s="2" t="s">
        <v>27568</v>
      </c>
      <c r="D7809" s="2">
        <v>2</v>
      </c>
      <c r="E7809" s="2">
        <v>2</v>
      </c>
      <c r="F7809" s="2" t="s">
        <v>27569</v>
      </c>
      <c r="H7809" s="2" t="s">
        <v>17</v>
      </c>
    </row>
    <row r="7810" spans="1:14">
      <c r="A7810" s="2">
        <v>7809</v>
      </c>
      <c r="B7810" s="3" t="s">
        <v>27570</v>
      </c>
      <c r="C7810" s="2" t="s">
        <v>27571</v>
      </c>
      <c r="D7810" s="2">
        <v>2</v>
      </c>
      <c r="E7810" s="2">
        <v>2</v>
      </c>
      <c r="F7810" s="2" t="s">
        <v>27572</v>
      </c>
      <c r="H7810" s="2" t="s">
        <v>17</v>
      </c>
    </row>
    <row r="7811" spans="1:14">
      <c r="A7811" s="2">
        <v>7810</v>
      </c>
      <c r="B7811" s="3" t="s">
        <v>27573</v>
      </c>
      <c r="C7811" s="2" t="s">
        <v>27574</v>
      </c>
      <c r="D7811" s="2">
        <v>2</v>
      </c>
      <c r="E7811" s="2">
        <v>2</v>
      </c>
      <c r="F7811" s="2" t="s">
        <v>27575</v>
      </c>
      <c r="H7811" s="2" t="s">
        <v>17</v>
      </c>
      <c r="L7811" s="4" t="s">
        <v>27576</v>
      </c>
    </row>
    <row r="7812" spans="1:14">
      <c r="A7812" s="2">
        <v>7811</v>
      </c>
      <c r="B7812" s="3" t="s">
        <v>27577</v>
      </c>
      <c r="C7812" s="2" t="s">
        <v>27578</v>
      </c>
      <c r="D7812" s="2">
        <v>1</v>
      </c>
      <c r="E7812" s="2">
        <v>2</v>
      </c>
      <c r="F7812" s="2" t="s">
        <v>27579</v>
      </c>
      <c r="H7812" s="2" t="s">
        <v>17</v>
      </c>
      <c r="L7812" s="4" t="s">
        <v>27580</v>
      </c>
    </row>
    <row r="7813" spans="1:14">
      <c r="A7813" s="2">
        <v>7812</v>
      </c>
      <c r="B7813" s="3" t="s">
        <v>27581</v>
      </c>
      <c r="C7813" s="2" t="s">
        <v>27582</v>
      </c>
      <c r="D7813" s="2">
        <v>2</v>
      </c>
      <c r="E7813" s="2">
        <v>2</v>
      </c>
      <c r="F7813" s="2" t="s">
        <v>27583</v>
      </c>
      <c r="H7813" s="2" t="s">
        <v>17</v>
      </c>
    </row>
    <row r="7814" spans="1:14">
      <c r="A7814" s="2">
        <v>7813</v>
      </c>
      <c r="B7814" s="3" t="s">
        <v>27584</v>
      </c>
      <c r="C7814" s="2" t="s">
        <v>27585</v>
      </c>
      <c r="D7814" s="2">
        <v>1</v>
      </c>
      <c r="E7814" s="2">
        <v>1</v>
      </c>
      <c r="F7814" s="2" t="s">
        <v>27586</v>
      </c>
      <c r="H7814" s="2" t="s">
        <v>17</v>
      </c>
      <c r="L7814" s="4" t="s">
        <v>27587</v>
      </c>
      <c r="M7814" s="2" t="s">
        <v>40</v>
      </c>
    </row>
    <row r="7815" spans="1:14">
      <c r="A7815" s="2">
        <v>7814</v>
      </c>
      <c r="B7815" s="3" t="s">
        <v>27588</v>
      </c>
      <c r="C7815" s="2" t="s">
        <v>25956</v>
      </c>
      <c r="D7815" s="2">
        <v>1</v>
      </c>
      <c r="E7815" s="2">
        <v>1</v>
      </c>
      <c r="F7815" s="2" t="s">
        <v>27589</v>
      </c>
      <c r="H7815" s="2" t="s">
        <v>17</v>
      </c>
      <c r="L7815" s="4" t="s">
        <v>27590</v>
      </c>
      <c r="M7815" s="2" t="s">
        <v>198</v>
      </c>
      <c r="N7815" s="2" t="s">
        <v>199</v>
      </c>
    </row>
    <row r="7816" spans="1:14">
      <c r="A7816" s="2">
        <v>7815</v>
      </c>
      <c r="B7816" s="3" t="s">
        <v>27591</v>
      </c>
      <c r="C7816" s="2" t="s">
        <v>27592</v>
      </c>
      <c r="D7816" s="2">
        <v>1</v>
      </c>
      <c r="E7816" s="2">
        <v>1</v>
      </c>
      <c r="F7816" s="2" t="s">
        <v>27593</v>
      </c>
      <c r="H7816" s="2" t="s">
        <v>17</v>
      </c>
      <c r="K7816" s="4" t="s">
        <v>27594</v>
      </c>
      <c r="M7816" s="2" t="s">
        <v>336</v>
      </c>
      <c r="N7816" s="2" t="s">
        <v>1883</v>
      </c>
    </row>
    <row r="7817" spans="1:14">
      <c r="A7817" s="2">
        <v>7816</v>
      </c>
      <c r="B7817" s="3" t="s">
        <v>27595</v>
      </c>
      <c r="C7817" s="2" t="s">
        <v>27596</v>
      </c>
      <c r="D7817" s="2">
        <v>1</v>
      </c>
      <c r="E7817" s="2">
        <v>1</v>
      </c>
      <c r="F7817" s="2" t="s">
        <v>27597</v>
      </c>
      <c r="H7817" s="2" t="s">
        <v>17</v>
      </c>
      <c r="K7817" s="4" t="s">
        <v>27598</v>
      </c>
      <c r="L7817" s="4" t="s">
        <v>20154</v>
      </c>
      <c r="M7817" s="2" t="s">
        <v>170</v>
      </c>
      <c r="N7817" s="2" t="s">
        <v>323</v>
      </c>
    </row>
    <row r="7818" spans="1:14">
      <c r="A7818" s="2">
        <v>7817</v>
      </c>
      <c r="B7818" s="3" t="s">
        <v>27599</v>
      </c>
      <c r="C7818" s="2" t="s">
        <v>27600</v>
      </c>
      <c r="D7818" s="2">
        <v>1</v>
      </c>
      <c r="E7818" s="2">
        <v>1</v>
      </c>
      <c r="F7818" s="2" t="s">
        <v>27601</v>
      </c>
      <c r="H7818" s="2" t="s">
        <v>17</v>
      </c>
    </row>
    <row r="7819" spans="1:14">
      <c r="A7819" s="2">
        <v>7818</v>
      </c>
      <c r="B7819" s="3" t="s">
        <v>27602</v>
      </c>
      <c r="C7819" s="2" t="s">
        <v>27603</v>
      </c>
      <c r="D7819" s="2">
        <v>1</v>
      </c>
      <c r="E7819" s="2">
        <v>1</v>
      </c>
      <c r="F7819" s="2" t="s">
        <v>27604</v>
      </c>
      <c r="H7819" s="2" t="s">
        <v>17</v>
      </c>
      <c r="K7819" s="4" t="s">
        <v>27605</v>
      </c>
      <c r="L7819" s="4" t="s">
        <v>27606</v>
      </c>
    </row>
    <row r="7820" spans="1:14">
      <c r="A7820" s="2">
        <v>7819</v>
      </c>
      <c r="B7820" s="3" t="s">
        <v>27607</v>
      </c>
      <c r="C7820" s="2" t="s">
        <v>25730</v>
      </c>
      <c r="D7820" s="2">
        <v>1</v>
      </c>
      <c r="E7820" s="2">
        <v>1</v>
      </c>
      <c r="F7820" s="2" t="s">
        <v>27608</v>
      </c>
      <c r="H7820" s="2" t="s">
        <v>17</v>
      </c>
      <c r="K7820" s="4" t="s">
        <v>27609</v>
      </c>
      <c r="L7820" s="4" t="s">
        <v>27610</v>
      </c>
      <c r="M7820" s="2" t="s">
        <v>85</v>
      </c>
    </row>
    <row r="7821" spans="1:14">
      <c r="A7821" s="2">
        <v>7820</v>
      </c>
      <c r="B7821" s="3" t="s">
        <v>27611</v>
      </c>
      <c r="C7821" s="2" t="s">
        <v>27612</v>
      </c>
      <c r="D7821" s="2">
        <v>1</v>
      </c>
      <c r="E7821" s="2">
        <v>1</v>
      </c>
      <c r="F7821" s="2" t="s">
        <v>27613</v>
      </c>
      <c r="H7821" s="2" t="s">
        <v>17</v>
      </c>
    </row>
    <row r="7822" spans="1:14">
      <c r="A7822" s="2">
        <v>7821</v>
      </c>
      <c r="B7822" s="3" t="s">
        <v>27614</v>
      </c>
      <c r="C7822" s="2" t="s">
        <v>27615</v>
      </c>
      <c r="D7822" s="2">
        <v>1</v>
      </c>
      <c r="E7822" s="2">
        <v>1</v>
      </c>
      <c r="F7822" s="2" t="s">
        <v>27616</v>
      </c>
      <c r="H7822" s="2" t="s">
        <v>17</v>
      </c>
    </row>
    <row r="7823" spans="1:14">
      <c r="A7823" s="2">
        <v>7822</v>
      </c>
      <c r="B7823" s="3" t="s">
        <v>27617</v>
      </c>
      <c r="C7823" s="2" t="s">
        <v>27618</v>
      </c>
      <c r="D7823" s="2">
        <v>1</v>
      </c>
      <c r="E7823" s="2">
        <v>1</v>
      </c>
      <c r="F7823" s="2" t="s">
        <v>27619</v>
      </c>
      <c r="H7823" s="2" t="s">
        <v>17</v>
      </c>
      <c r="K7823" s="4" t="s">
        <v>27620</v>
      </c>
      <c r="L7823" s="4" t="s">
        <v>27621</v>
      </c>
      <c r="M7823" s="2" t="s">
        <v>40</v>
      </c>
    </row>
    <row r="7824" spans="1:14">
      <c r="A7824" s="2">
        <v>7823</v>
      </c>
      <c r="B7824" s="3" t="s">
        <v>27622</v>
      </c>
      <c r="C7824" s="2" t="s">
        <v>27623</v>
      </c>
      <c r="D7824" s="2">
        <v>1</v>
      </c>
      <c r="E7824" s="2">
        <v>1</v>
      </c>
      <c r="F7824" s="2" t="s">
        <v>27624</v>
      </c>
      <c r="H7824" s="2" t="s">
        <v>17</v>
      </c>
    </row>
    <row r="7825" spans="1:14">
      <c r="A7825" s="2">
        <v>7824</v>
      </c>
      <c r="B7825" s="3" t="s">
        <v>27625</v>
      </c>
      <c r="C7825" s="2" t="s">
        <v>27626</v>
      </c>
      <c r="D7825" s="2">
        <v>1</v>
      </c>
      <c r="E7825" s="2">
        <v>1</v>
      </c>
      <c r="F7825" s="2" t="s">
        <v>27627</v>
      </c>
      <c r="H7825" s="2" t="s">
        <v>17</v>
      </c>
      <c r="K7825" s="4" t="s">
        <v>27628</v>
      </c>
      <c r="L7825" s="4" t="s">
        <v>27629</v>
      </c>
      <c r="M7825" s="2" t="s">
        <v>198</v>
      </c>
    </row>
    <row r="7826" spans="1:14">
      <c r="A7826" s="2">
        <v>7825</v>
      </c>
      <c r="B7826" s="3" t="s">
        <v>27630</v>
      </c>
      <c r="C7826" s="2" t="s">
        <v>27631</v>
      </c>
      <c r="D7826" s="2">
        <v>1</v>
      </c>
      <c r="E7826" s="2">
        <v>1</v>
      </c>
      <c r="F7826" s="2" t="s">
        <v>27632</v>
      </c>
      <c r="H7826" s="2" t="s">
        <v>17</v>
      </c>
      <c r="K7826" s="4" t="s">
        <v>27633</v>
      </c>
      <c r="L7826" s="4" t="s">
        <v>27634</v>
      </c>
      <c r="M7826" s="2" t="s">
        <v>13668</v>
      </c>
      <c r="N7826" s="2" t="s">
        <v>323</v>
      </c>
    </row>
    <row r="7827" spans="1:14">
      <c r="A7827" s="2">
        <v>7826</v>
      </c>
      <c r="B7827" s="3" t="s">
        <v>27635</v>
      </c>
      <c r="C7827" s="2" t="s">
        <v>24512</v>
      </c>
      <c r="D7827" s="2">
        <v>1</v>
      </c>
      <c r="E7827" s="2">
        <v>1</v>
      </c>
      <c r="F7827" s="2" t="s">
        <v>27636</v>
      </c>
      <c r="H7827" s="2" t="s">
        <v>17</v>
      </c>
    </row>
    <row r="7828" spans="1:14">
      <c r="A7828" s="2">
        <v>7827</v>
      </c>
      <c r="B7828" s="3" t="s">
        <v>27637</v>
      </c>
      <c r="C7828" s="2" t="s">
        <v>27638</v>
      </c>
      <c r="D7828" s="2">
        <v>1</v>
      </c>
      <c r="E7828" s="2">
        <v>1</v>
      </c>
      <c r="F7828" s="2" t="s">
        <v>27639</v>
      </c>
      <c r="H7828" s="2" t="s">
        <v>17</v>
      </c>
      <c r="K7828" s="4" t="s">
        <v>27640</v>
      </c>
      <c r="M7828" s="2" t="s">
        <v>40</v>
      </c>
      <c r="N7828" s="2" t="s">
        <v>41</v>
      </c>
    </row>
    <row r="7829" spans="1:14">
      <c r="A7829" s="2">
        <v>7828</v>
      </c>
      <c r="B7829" s="3" t="s">
        <v>27641</v>
      </c>
      <c r="C7829" s="2" t="s">
        <v>27642</v>
      </c>
      <c r="D7829" s="2">
        <v>1</v>
      </c>
      <c r="E7829" s="2">
        <v>1</v>
      </c>
      <c r="F7829" s="2" t="s">
        <v>27643</v>
      </c>
      <c r="H7829" s="2" t="s">
        <v>17</v>
      </c>
    </row>
    <row r="7830" spans="1:14">
      <c r="A7830" s="2">
        <v>7829</v>
      </c>
      <c r="B7830" s="3" t="s">
        <v>27644</v>
      </c>
      <c r="C7830" s="2" t="s">
        <v>27645</v>
      </c>
      <c r="D7830" s="2">
        <v>1</v>
      </c>
      <c r="E7830" s="2">
        <v>1</v>
      </c>
      <c r="F7830" s="2" t="s">
        <v>27646</v>
      </c>
      <c r="H7830" s="2" t="s">
        <v>17</v>
      </c>
    </row>
    <row r="7831" spans="1:14">
      <c r="A7831" s="2">
        <v>7830</v>
      </c>
      <c r="B7831" s="3" t="s">
        <v>27647</v>
      </c>
      <c r="C7831" s="2" t="s">
        <v>27648</v>
      </c>
      <c r="D7831" s="2">
        <v>1</v>
      </c>
      <c r="E7831" s="2">
        <v>1</v>
      </c>
      <c r="F7831" s="2" t="s">
        <v>27649</v>
      </c>
      <c r="H7831" s="2" t="s">
        <v>17</v>
      </c>
      <c r="L7831" s="4" t="s">
        <v>27650</v>
      </c>
      <c r="M7831" s="2" t="s">
        <v>170</v>
      </c>
    </row>
    <row r="7832" spans="1:14">
      <c r="A7832" s="2">
        <v>7831</v>
      </c>
      <c r="B7832" s="3" t="s">
        <v>27651</v>
      </c>
      <c r="C7832" s="2" t="s">
        <v>27652</v>
      </c>
      <c r="D7832" s="2">
        <v>1</v>
      </c>
      <c r="E7832" s="2">
        <v>1</v>
      </c>
      <c r="F7832" s="2" t="s">
        <v>27653</v>
      </c>
      <c r="H7832" s="2" t="s">
        <v>17</v>
      </c>
    </row>
    <row r="7833" spans="1:14">
      <c r="A7833" s="2">
        <v>7832</v>
      </c>
      <c r="B7833" s="3" t="s">
        <v>27654</v>
      </c>
      <c r="C7833" s="2" t="s">
        <v>27094</v>
      </c>
      <c r="D7833" s="2">
        <v>1</v>
      </c>
      <c r="E7833" s="2">
        <v>1</v>
      </c>
      <c r="F7833" s="2" t="s">
        <v>27655</v>
      </c>
      <c r="H7833" s="2" t="s">
        <v>17</v>
      </c>
      <c r="L7833" s="4" t="s">
        <v>27656</v>
      </c>
      <c r="M7833" s="2" t="s">
        <v>170</v>
      </c>
    </row>
    <row r="7834" spans="1:14">
      <c r="A7834" s="2">
        <v>7833</v>
      </c>
      <c r="B7834" s="3" t="s">
        <v>27657</v>
      </c>
      <c r="C7834" s="2" t="s">
        <v>26346</v>
      </c>
      <c r="D7834" s="2">
        <v>1</v>
      </c>
      <c r="E7834" s="2">
        <v>1</v>
      </c>
      <c r="F7834" s="2" t="s">
        <v>26347</v>
      </c>
      <c r="H7834" s="2" t="s">
        <v>17</v>
      </c>
      <c r="M7834" s="2" t="s">
        <v>40</v>
      </c>
      <c r="N7834" s="2" t="s">
        <v>9352</v>
      </c>
    </row>
    <row r="7835" spans="1:14">
      <c r="A7835" s="2">
        <v>7834</v>
      </c>
      <c r="B7835" s="3" t="s">
        <v>27658</v>
      </c>
      <c r="C7835" s="2" t="s">
        <v>27659</v>
      </c>
      <c r="D7835" s="2">
        <v>1</v>
      </c>
      <c r="E7835" s="2">
        <v>1</v>
      </c>
      <c r="F7835" s="2" t="s">
        <v>27660</v>
      </c>
      <c r="H7835" s="2" t="s">
        <v>17</v>
      </c>
    </row>
    <row r="7836" spans="1:14">
      <c r="A7836" s="2">
        <v>7835</v>
      </c>
      <c r="B7836" s="3" t="s">
        <v>27661</v>
      </c>
      <c r="C7836" s="2" t="s">
        <v>27662</v>
      </c>
      <c r="D7836" s="2">
        <v>1</v>
      </c>
      <c r="E7836" s="2">
        <v>1</v>
      </c>
      <c r="F7836" s="2" t="s">
        <v>27663</v>
      </c>
      <c r="H7836" s="2" t="s">
        <v>17</v>
      </c>
      <c r="L7836" s="4" t="s">
        <v>25314</v>
      </c>
    </row>
    <row r="7837" spans="1:14">
      <c r="A7837" s="2">
        <v>7836</v>
      </c>
      <c r="B7837" s="3" t="s">
        <v>27664</v>
      </c>
      <c r="C7837" s="2" t="s">
        <v>27665</v>
      </c>
      <c r="D7837" s="2">
        <v>1</v>
      </c>
      <c r="E7837" s="2">
        <v>1</v>
      </c>
      <c r="F7837" s="2" t="s">
        <v>27666</v>
      </c>
      <c r="H7837" s="2" t="s">
        <v>17</v>
      </c>
      <c r="K7837" s="4" t="s">
        <v>27667</v>
      </c>
      <c r="L7837" s="4" t="s">
        <v>27668</v>
      </c>
      <c r="N7837" s="2" t="s">
        <v>19808</v>
      </c>
    </row>
    <row r="7838" spans="1:14">
      <c r="A7838" s="2">
        <v>7837</v>
      </c>
      <c r="B7838" s="3" t="s">
        <v>27669</v>
      </c>
      <c r="C7838" s="2" t="s">
        <v>27670</v>
      </c>
      <c r="D7838" s="2">
        <v>1</v>
      </c>
      <c r="E7838" s="2">
        <v>1</v>
      </c>
      <c r="F7838" s="2" t="s">
        <v>27671</v>
      </c>
      <c r="H7838" s="2" t="s">
        <v>17</v>
      </c>
    </row>
    <row r="7839" spans="1:14">
      <c r="A7839" s="2">
        <v>7838</v>
      </c>
      <c r="B7839" s="3" t="s">
        <v>27672</v>
      </c>
      <c r="C7839" s="2" t="s">
        <v>26130</v>
      </c>
      <c r="D7839" s="2">
        <v>1</v>
      </c>
      <c r="E7839" s="2">
        <v>1</v>
      </c>
      <c r="F7839" s="2" t="s">
        <v>27673</v>
      </c>
      <c r="H7839" s="2" t="s">
        <v>17</v>
      </c>
      <c r="L7839" s="4" t="s">
        <v>27674</v>
      </c>
      <c r="M7839" s="2" t="s">
        <v>198</v>
      </c>
    </row>
    <row r="7840" spans="1:14">
      <c r="A7840" s="2">
        <v>7839</v>
      </c>
      <c r="B7840" s="3" t="s">
        <v>27675</v>
      </c>
      <c r="C7840" s="2" t="s">
        <v>27676</v>
      </c>
      <c r="D7840" s="2">
        <v>1</v>
      </c>
      <c r="E7840" s="2">
        <v>1</v>
      </c>
      <c r="F7840" s="2" t="s">
        <v>27677</v>
      </c>
      <c r="H7840" s="2" t="s">
        <v>17</v>
      </c>
      <c r="K7840" s="4" t="s">
        <v>27678</v>
      </c>
      <c r="L7840" s="4" t="s">
        <v>27679</v>
      </c>
      <c r="M7840" s="2" t="s">
        <v>66</v>
      </c>
      <c r="N7840" s="2" t="s">
        <v>71</v>
      </c>
    </row>
    <row r="7841" spans="1:14">
      <c r="A7841" s="2">
        <v>7840</v>
      </c>
      <c r="B7841" s="3" t="s">
        <v>27680</v>
      </c>
      <c r="C7841" s="2" t="s">
        <v>27681</v>
      </c>
      <c r="D7841" s="2">
        <v>1</v>
      </c>
      <c r="E7841" s="2">
        <v>1</v>
      </c>
      <c r="F7841" s="2" t="s">
        <v>27682</v>
      </c>
      <c r="H7841" s="2" t="s">
        <v>17</v>
      </c>
    </row>
    <row r="7842" spans="1:14">
      <c r="A7842" s="2">
        <v>7841</v>
      </c>
      <c r="B7842" s="3" t="s">
        <v>27683</v>
      </c>
      <c r="C7842" s="2" t="s">
        <v>27684</v>
      </c>
      <c r="D7842" s="2">
        <v>1</v>
      </c>
      <c r="E7842" s="2">
        <v>1</v>
      </c>
      <c r="F7842" s="2" t="s">
        <v>27685</v>
      </c>
      <c r="H7842" s="2" t="s">
        <v>17</v>
      </c>
      <c r="L7842" s="4" t="s">
        <v>27686</v>
      </c>
    </row>
    <row r="7843" spans="1:14">
      <c r="A7843" s="2">
        <v>7842</v>
      </c>
      <c r="B7843" s="3" t="s">
        <v>27687</v>
      </c>
      <c r="C7843" s="2" t="s">
        <v>27688</v>
      </c>
      <c r="D7843" s="2">
        <v>1</v>
      </c>
      <c r="E7843" s="2">
        <v>1</v>
      </c>
      <c r="F7843" s="2" t="s">
        <v>27689</v>
      </c>
      <c r="H7843" s="2" t="s">
        <v>17</v>
      </c>
      <c r="L7843" s="4" t="s">
        <v>27690</v>
      </c>
    </row>
    <row r="7844" spans="1:14">
      <c r="A7844" s="2">
        <v>7843</v>
      </c>
      <c r="B7844" s="3" t="s">
        <v>27691</v>
      </c>
      <c r="C7844" s="2" t="s">
        <v>13224</v>
      </c>
      <c r="D7844" s="2">
        <v>1</v>
      </c>
      <c r="E7844" s="2">
        <v>1</v>
      </c>
      <c r="F7844" s="2" t="s">
        <v>27692</v>
      </c>
      <c r="H7844" s="2" t="s">
        <v>17</v>
      </c>
      <c r="L7844" s="4" t="s">
        <v>27693</v>
      </c>
    </row>
    <row r="7845" spans="1:14">
      <c r="A7845" s="2">
        <v>7844</v>
      </c>
      <c r="B7845" s="3" t="s">
        <v>27694</v>
      </c>
      <c r="C7845" s="2" t="s">
        <v>27695</v>
      </c>
      <c r="D7845" s="2">
        <v>1</v>
      </c>
      <c r="E7845" s="2">
        <v>1</v>
      </c>
      <c r="F7845" s="2" t="s">
        <v>27696</v>
      </c>
      <c r="H7845" s="2" t="s">
        <v>17</v>
      </c>
      <c r="K7845" s="4" t="s">
        <v>27697</v>
      </c>
      <c r="L7845" s="4" t="s">
        <v>27698</v>
      </c>
      <c r="M7845" s="2" t="s">
        <v>76</v>
      </c>
      <c r="N7845" s="2" t="s">
        <v>906</v>
      </c>
    </row>
    <row r="7846" spans="1:14">
      <c r="A7846" s="2">
        <v>7845</v>
      </c>
      <c r="B7846" s="3" t="s">
        <v>27699</v>
      </c>
      <c r="C7846" s="2" t="s">
        <v>27700</v>
      </c>
      <c r="D7846" s="2">
        <v>1</v>
      </c>
      <c r="E7846" s="2">
        <v>1</v>
      </c>
      <c r="F7846" s="2" t="s">
        <v>27701</v>
      </c>
      <c r="H7846" s="2" t="s">
        <v>17</v>
      </c>
      <c r="K7846" s="4" t="s">
        <v>27702</v>
      </c>
      <c r="L7846" s="4" t="s">
        <v>27703</v>
      </c>
      <c r="M7846" s="2" t="s">
        <v>423</v>
      </c>
      <c r="N7846" s="2" t="s">
        <v>3005</v>
      </c>
    </row>
    <row r="7847" spans="1:14">
      <c r="A7847" s="2">
        <v>7846</v>
      </c>
      <c r="B7847" s="3" t="s">
        <v>27704</v>
      </c>
      <c r="C7847" s="2" t="s">
        <v>27705</v>
      </c>
      <c r="D7847" s="2">
        <v>1</v>
      </c>
      <c r="E7847" s="2">
        <v>1</v>
      </c>
      <c r="F7847" s="2" t="s">
        <v>27706</v>
      </c>
      <c r="H7847" s="2" t="s">
        <v>17</v>
      </c>
    </row>
    <row r="7848" spans="1:14">
      <c r="A7848" s="2">
        <v>7847</v>
      </c>
      <c r="B7848" s="3" t="s">
        <v>27707</v>
      </c>
      <c r="C7848" s="2" t="s">
        <v>25637</v>
      </c>
      <c r="D7848" s="2">
        <v>1</v>
      </c>
      <c r="E7848" s="2">
        <v>1</v>
      </c>
      <c r="F7848" s="2" t="s">
        <v>25638</v>
      </c>
      <c r="H7848" s="2" t="s">
        <v>17</v>
      </c>
      <c r="K7848" s="4" t="s">
        <v>27708</v>
      </c>
      <c r="L7848" s="4" t="s">
        <v>27709</v>
      </c>
    </row>
    <row r="7849" spans="1:14">
      <c r="A7849" s="2">
        <v>7848</v>
      </c>
      <c r="B7849" s="3" t="s">
        <v>27710</v>
      </c>
      <c r="C7849" s="2" t="s">
        <v>27711</v>
      </c>
      <c r="D7849" s="2">
        <v>1</v>
      </c>
      <c r="E7849" s="2">
        <v>1</v>
      </c>
      <c r="F7849" s="2" t="s">
        <v>27712</v>
      </c>
      <c r="H7849" s="2" t="s">
        <v>17</v>
      </c>
      <c r="K7849" s="4" t="s">
        <v>27713</v>
      </c>
      <c r="L7849" s="4" t="s">
        <v>27714</v>
      </c>
      <c r="M7849" s="2" t="s">
        <v>170</v>
      </c>
      <c r="N7849" s="2" t="s">
        <v>1762</v>
      </c>
    </row>
    <row r="7850" spans="1:14">
      <c r="A7850" s="2">
        <v>7849</v>
      </c>
      <c r="B7850" s="3" t="s">
        <v>27715</v>
      </c>
      <c r="C7850" s="2" t="s">
        <v>25282</v>
      </c>
      <c r="D7850" s="2">
        <v>1</v>
      </c>
      <c r="E7850" s="2">
        <v>1</v>
      </c>
      <c r="F7850" s="2" t="s">
        <v>25283</v>
      </c>
      <c r="H7850" s="2" t="s">
        <v>17</v>
      </c>
      <c r="K7850" s="4" t="s">
        <v>27716</v>
      </c>
      <c r="L7850" s="4" t="s">
        <v>27717</v>
      </c>
    </row>
    <row r="7851" spans="1:14">
      <c r="A7851" s="2">
        <v>7850</v>
      </c>
      <c r="B7851" s="3" t="s">
        <v>27718</v>
      </c>
      <c r="C7851" s="2" t="s">
        <v>27719</v>
      </c>
      <c r="D7851" s="2">
        <v>1</v>
      </c>
      <c r="E7851" s="2">
        <v>1</v>
      </c>
      <c r="F7851" s="2" t="s">
        <v>27720</v>
      </c>
      <c r="H7851" s="2" t="s">
        <v>17</v>
      </c>
    </row>
    <row r="7852" spans="1:14">
      <c r="A7852" s="2">
        <v>7851</v>
      </c>
      <c r="B7852" s="3" t="s">
        <v>27721</v>
      </c>
      <c r="C7852" s="2" t="s">
        <v>27722</v>
      </c>
      <c r="D7852" s="2">
        <v>1</v>
      </c>
      <c r="E7852" s="2">
        <v>1</v>
      </c>
      <c r="F7852" s="2" t="s">
        <v>27723</v>
      </c>
      <c r="H7852" s="2" t="s">
        <v>17</v>
      </c>
    </row>
    <row r="7853" spans="1:14">
      <c r="A7853" s="2">
        <v>7852</v>
      </c>
      <c r="B7853" s="3" t="s">
        <v>27724</v>
      </c>
      <c r="C7853" s="2" t="s">
        <v>27725</v>
      </c>
      <c r="D7853" s="2">
        <v>1</v>
      </c>
      <c r="E7853" s="2">
        <v>1</v>
      </c>
      <c r="F7853" s="2" t="s">
        <v>27726</v>
      </c>
      <c r="H7853" s="2" t="s">
        <v>17</v>
      </c>
    </row>
    <row r="7854" spans="1:14">
      <c r="A7854" s="2">
        <v>7853</v>
      </c>
      <c r="B7854" s="3" t="s">
        <v>27727</v>
      </c>
      <c r="C7854" s="2" t="s">
        <v>23252</v>
      </c>
      <c r="D7854" s="2">
        <v>1</v>
      </c>
      <c r="E7854" s="2">
        <v>1</v>
      </c>
      <c r="F7854" s="2" t="s">
        <v>27728</v>
      </c>
      <c r="H7854" s="2" t="s">
        <v>17</v>
      </c>
      <c r="K7854" s="4" t="s">
        <v>27729</v>
      </c>
      <c r="L7854" s="4" t="s">
        <v>27730</v>
      </c>
      <c r="M7854" s="2" t="s">
        <v>198</v>
      </c>
      <c r="N7854" s="2" t="s">
        <v>199</v>
      </c>
    </row>
    <row r="7855" spans="1:14">
      <c r="A7855" s="2">
        <v>7854</v>
      </c>
      <c r="B7855" s="3" t="s">
        <v>27731</v>
      </c>
      <c r="C7855" s="2" t="s">
        <v>27732</v>
      </c>
      <c r="D7855" s="2">
        <v>1</v>
      </c>
      <c r="E7855" s="2">
        <v>1</v>
      </c>
      <c r="F7855" s="2" t="s">
        <v>27733</v>
      </c>
      <c r="H7855" s="2" t="s">
        <v>17</v>
      </c>
      <c r="K7855" s="4" t="s">
        <v>27734</v>
      </c>
      <c r="L7855" s="4" t="s">
        <v>27735</v>
      </c>
      <c r="M7855" s="2" t="s">
        <v>170</v>
      </c>
      <c r="N7855" s="2" t="s">
        <v>323</v>
      </c>
    </row>
    <row r="7856" spans="1:14">
      <c r="A7856" s="2">
        <v>7855</v>
      </c>
      <c r="B7856" s="3" t="s">
        <v>27736</v>
      </c>
      <c r="C7856" s="2" t="s">
        <v>27737</v>
      </c>
      <c r="D7856" s="2">
        <v>1</v>
      </c>
      <c r="E7856" s="2">
        <v>1</v>
      </c>
      <c r="F7856" s="2" t="s">
        <v>27738</v>
      </c>
      <c r="H7856" s="2" t="s">
        <v>17</v>
      </c>
    </row>
    <row r="7857" spans="1:14">
      <c r="A7857" s="2">
        <v>7856</v>
      </c>
      <c r="B7857" s="3" t="s">
        <v>27739</v>
      </c>
      <c r="C7857" s="2" t="s">
        <v>27740</v>
      </c>
      <c r="D7857" s="2">
        <v>1</v>
      </c>
      <c r="E7857" s="2">
        <v>1</v>
      </c>
      <c r="F7857" s="2" t="s">
        <v>27741</v>
      </c>
      <c r="H7857" s="2" t="s">
        <v>17</v>
      </c>
    </row>
    <row r="7858" spans="1:14">
      <c r="A7858" s="2">
        <v>7857</v>
      </c>
      <c r="B7858" s="3" t="s">
        <v>27742</v>
      </c>
      <c r="C7858" s="2" t="s">
        <v>27743</v>
      </c>
      <c r="D7858" s="2">
        <v>1</v>
      </c>
      <c r="E7858" s="2">
        <v>1</v>
      </c>
      <c r="F7858" s="2" t="s">
        <v>27744</v>
      </c>
      <c r="H7858" s="2" t="s">
        <v>17</v>
      </c>
      <c r="L7858" s="4" t="s">
        <v>27745</v>
      </c>
      <c r="M7858" s="2" t="s">
        <v>35</v>
      </c>
      <c r="N7858" s="2" t="s">
        <v>11911</v>
      </c>
    </row>
    <row r="7859" spans="1:14">
      <c r="A7859" s="2">
        <v>7858</v>
      </c>
      <c r="B7859" s="3" t="s">
        <v>27746</v>
      </c>
      <c r="C7859" s="2" t="s">
        <v>25897</v>
      </c>
      <c r="D7859" s="2">
        <v>1</v>
      </c>
      <c r="E7859" s="2">
        <v>1</v>
      </c>
      <c r="F7859" s="2" t="s">
        <v>27747</v>
      </c>
      <c r="H7859" s="2" t="s">
        <v>17</v>
      </c>
      <c r="K7859" s="4" t="s">
        <v>27748</v>
      </c>
      <c r="L7859" s="4" t="s">
        <v>27749</v>
      </c>
      <c r="M7859" s="2" t="s">
        <v>35</v>
      </c>
    </row>
    <row r="7860" spans="1:14">
      <c r="A7860" s="2">
        <v>7859</v>
      </c>
      <c r="B7860" s="3" t="s">
        <v>27750</v>
      </c>
      <c r="C7860" s="2" t="s">
        <v>27751</v>
      </c>
      <c r="D7860" s="2">
        <v>1</v>
      </c>
      <c r="E7860" s="2">
        <v>1</v>
      </c>
      <c r="F7860" s="2" t="s">
        <v>27752</v>
      </c>
      <c r="H7860" s="2" t="s">
        <v>17</v>
      </c>
    </row>
    <row r="7861" spans="1:14">
      <c r="A7861" s="2">
        <v>7860</v>
      </c>
      <c r="B7861" s="3" t="s">
        <v>27753</v>
      </c>
      <c r="C7861" s="2" t="s">
        <v>26194</v>
      </c>
      <c r="D7861" s="2">
        <v>1</v>
      </c>
      <c r="E7861" s="2">
        <v>1</v>
      </c>
      <c r="F7861" s="2" t="s">
        <v>27754</v>
      </c>
      <c r="H7861" s="2" t="s">
        <v>17</v>
      </c>
      <c r="L7861" s="4" t="s">
        <v>27755</v>
      </c>
      <c r="M7861" s="2" t="s">
        <v>35</v>
      </c>
      <c r="N7861" s="2" t="s">
        <v>12348</v>
      </c>
    </row>
    <row r="7862" spans="1:14">
      <c r="A7862" s="2">
        <v>7861</v>
      </c>
      <c r="B7862" s="3" t="s">
        <v>27756</v>
      </c>
      <c r="C7862" s="2" t="s">
        <v>27757</v>
      </c>
      <c r="D7862" s="2">
        <v>1</v>
      </c>
      <c r="E7862" s="2">
        <v>1</v>
      </c>
      <c r="F7862" s="2" t="s">
        <v>27758</v>
      </c>
      <c r="H7862" s="2" t="s">
        <v>17</v>
      </c>
      <c r="L7862" s="4" t="s">
        <v>27759</v>
      </c>
      <c r="M7862" s="2" t="s">
        <v>40</v>
      </c>
    </row>
    <row r="7863" spans="1:14">
      <c r="A7863" s="2">
        <v>7862</v>
      </c>
      <c r="B7863" s="3" t="s">
        <v>27760</v>
      </c>
      <c r="C7863" s="2" t="s">
        <v>27761</v>
      </c>
      <c r="D7863" s="2">
        <v>1</v>
      </c>
      <c r="E7863" s="2">
        <v>1</v>
      </c>
      <c r="F7863" s="2" t="s">
        <v>27762</v>
      </c>
      <c r="H7863" s="2" t="s">
        <v>17</v>
      </c>
      <c r="L7863" s="4" t="s">
        <v>27763</v>
      </c>
      <c r="M7863" s="2" t="s">
        <v>40</v>
      </c>
      <c r="N7863" s="2" t="s">
        <v>41</v>
      </c>
    </row>
    <row r="7864" spans="1:14">
      <c r="A7864" s="2">
        <v>7863</v>
      </c>
      <c r="B7864" s="3" t="s">
        <v>27764</v>
      </c>
      <c r="C7864" s="2" t="s">
        <v>27765</v>
      </c>
      <c r="D7864" s="2">
        <v>1</v>
      </c>
      <c r="E7864" s="2">
        <v>1</v>
      </c>
      <c r="F7864" s="2" t="s">
        <v>27766</v>
      </c>
      <c r="H7864" s="2" t="s">
        <v>17</v>
      </c>
      <c r="L7864" s="4" t="s">
        <v>27767</v>
      </c>
      <c r="N7864" s="2" t="s">
        <v>27768</v>
      </c>
    </row>
    <row r="7865" spans="1:14">
      <c r="A7865" s="2">
        <v>7864</v>
      </c>
      <c r="B7865" s="3" t="s">
        <v>27769</v>
      </c>
      <c r="C7865" s="2" t="s">
        <v>27770</v>
      </c>
      <c r="D7865" s="2">
        <v>1</v>
      </c>
      <c r="E7865" s="2">
        <v>1</v>
      </c>
      <c r="F7865" s="2" t="s">
        <v>27771</v>
      </c>
      <c r="H7865" s="2" t="s">
        <v>17</v>
      </c>
    </row>
    <row r="7866" spans="1:14">
      <c r="A7866" s="2">
        <v>7865</v>
      </c>
      <c r="B7866" s="3" t="s">
        <v>27772</v>
      </c>
      <c r="C7866" s="2" t="s">
        <v>27773</v>
      </c>
      <c r="D7866" s="2">
        <v>1</v>
      </c>
      <c r="E7866" s="2">
        <v>1</v>
      </c>
      <c r="F7866" s="2" t="s">
        <v>27774</v>
      </c>
      <c r="H7866" s="2" t="s">
        <v>17</v>
      </c>
      <c r="K7866" s="4" t="s">
        <v>27775</v>
      </c>
      <c r="L7866" s="4" t="s">
        <v>21985</v>
      </c>
      <c r="M7866" s="2" t="s">
        <v>35</v>
      </c>
      <c r="N7866" s="2" t="s">
        <v>14848</v>
      </c>
    </row>
    <row r="7867" spans="1:14">
      <c r="A7867" s="2">
        <v>7866</v>
      </c>
      <c r="B7867" s="3" t="s">
        <v>27776</v>
      </c>
      <c r="C7867" s="2" t="s">
        <v>27777</v>
      </c>
      <c r="D7867" s="2">
        <v>1</v>
      </c>
      <c r="E7867" s="2">
        <v>1</v>
      </c>
      <c r="F7867" s="2" t="s">
        <v>27778</v>
      </c>
      <c r="H7867" s="2" t="s">
        <v>17</v>
      </c>
      <c r="K7867" s="4" t="s">
        <v>27779</v>
      </c>
      <c r="L7867" s="4" t="s">
        <v>27780</v>
      </c>
      <c r="N7867" s="2" t="s">
        <v>13311</v>
      </c>
    </row>
    <row r="7868" spans="1:14">
      <c r="A7868" s="2">
        <v>7867</v>
      </c>
      <c r="B7868" s="3" t="s">
        <v>27781</v>
      </c>
      <c r="C7868" s="2" t="s">
        <v>27782</v>
      </c>
      <c r="D7868" s="2">
        <v>1</v>
      </c>
      <c r="E7868" s="2">
        <v>1</v>
      </c>
      <c r="F7868" s="2" t="s">
        <v>27783</v>
      </c>
      <c r="H7868" s="2" t="s">
        <v>17</v>
      </c>
    </row>
    <row r="7869" spans="1:14">
      <c r="A7869" s="2">
        <v>7868</v>
      </c>
      <c r="B7869" s="3" t="s">
        <v>27784</v>
      </c>
      <c r="C7869" s="2" t="s">
        <v>27785</v>
      </c>
      <c r="D7869" s="2">
        <v>1</v>
      </c>
      <c r="E7869" s="2">
        <v>1</v>
      </c>
      <c r="F7869" s="2" t="s">
        <v>27786</v>
      </c>
      <c r="H7869" s="2" t="s">
        <v>17</v>
      </c>
      <c r="K7869" s="4" t="s">
        <v>27787</v>
      </c>
      <c r="L7869" s="4" t="s">
        <v>27788</v>
      </c>
      <c r="N7869" s="2" t="s">
        <v>27789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I16" r:id="rId16" xr:uid="{00000000-0004-0000-0000-00000F000000}"/>
    <hyperlink ref="B17" r:id="rId17" xr:uid="{00000000-0004-0000-0000-000010000000}"/>
    <hyperlink ref="B18" r:id="rId18" xr:uid="{00000000-0004-0000-0000-000011000000}"/>
    <hyperlink ref="B19" r:id="rId19" xr:uid="{00000000-0004-0000-0000-000012000000}"/>
    <hyperlink ref="I19" r:id="rId20" xr:uid="{00000000-0004-0000-0000-000013000000}"/>
    <hyperlink ref="B20" r:id="rId21" xr:uid="{00000000-0004-0000-0000-000014000000}"/>
    <hyperlink ref="B21" r:id="rId22" xr:uid="{00000000-0004-0000-0000-000015000000}"/>
    <hyperlink ref="B22" r:id="rId23" xr:uid="{00000000-0004-0000-0000-000016000000}"/>
    <hyperlink ref="B23" r:id="rId24" xr:uid="{00000000-0004-0000-0000-000017000000}"/>
    <hyperlink ref="B24" r:id="rId25" xr:uid="{00000000-0004-0000-0000-000018000000}"/>
    <hyperlink ref="B25" r:id="rId26" xr:uid="{00000000-0004-0000-0000-000019000000}"/>
    <hyperlink ref="B26" r:id="rId27" xr:uid="{00000000-0004-0000-0000-00001A000000}"/>
    <hyperlink ref="B27" r:id="rId28" xr:uid="{00000000-0004-0000-0000-00001B000000}"/>
    <hyperlink ref="I27" r:id="rId29" xr:uid="{00000000-0004-0000-0000-00001C000000}"/>
    <hyperlink ref="B28" r:id="rId30" xr:uid="{00000000-0004-0000-0000-00001D000000}"/>
    <hyperlink ref="B29" r:id="rId31" xr:uid="{00000000-0004-0000-0000-00001E000000}"/>
    <hyperlink ref="B30" r:id="rId32" xr:uid="{00000000-0004-0000-0000-00001F000000}"/>
    <hyperlink ref="B31" r:id="rId33" xr:uid="{00000000-0004-0000-0000-000020000000}"/>
    <hyperlink ref="B32" r:id="rId34" xr:uid="{00000000-0004-0000-0000-000021000000}"/>
    <hyperlink ref="B33" r:id="rId35" xr:uid="{00000000-0004-0000-0000-000022000000}"/>
    <hyperlink ref="B34" r:id="rId36" xr:uid="{00000000-0004-0000-0000-000023000000}"/>
    <hyperlink ref="B35" r:id="rId37" xr:uid="{00000000-0004-0000-0000-000024000000}"/>
    <hyperlink ref="B36" r:id="rId38" xr:uid="{00000000-0004-0000-0000-000025000000}"/>
    <hyperlink ref="B37" r:id="rId39" xr:uid="{00000000-0004-0000-0000-000026000000}"/>
    <hyperlink ref="J37" r:id="rId40" xr:uid="{00000000-0004-0000-0000-000027000000}"/>
    <hyperlink ref="B38" r:id="rId41" xr:uid="{00000000-0004-0000-0000-000028000000}"/>
    <hyperlink ref="B39" r:id="rId42" xr:uid="{00000000-0004-0000-0000-000029000000}"/>
    <hyperlink ref="B40" r:id="rId43" xr:uid="{00000000-0004-0000-0000-00002A000000}"/>
    <hyperlink ref="B41" r:id="rId44" xr:uid="{00000000-0004-0000-0000-00002B000000}"/>
    <hyperlink ref="B42" r:id="rId45" xr:uid="{00000000-0004-0000-0000-00002C000000}"/>
    <hyperlink ref="I42" r:id="rId46" xr:uid="{00000000-0004-0000-0000-00002D000000}"/>
    <hyperlink ref="B43" r:id="rId47" xr:uid="{00000000-0004-0000-0000-00002E000000}"/>
    <hyperlink ref="B44" r:id="rId48" xr:uid="{00000000-0004-0000-0000-00002F000000}"/>
    <hyperlink ref="B45" r:id="rId49" xr:uid="{00000000-0004-0000-0000-000030000000}"/>
    <hyperlink ref="B46" r:id="rId50" xr:uid="{00000000-0004-0000-0000-000031000000}"/>
    <hyperlink ref="B47" r:id="rId51" xr:uid="{00000000-0004-0000-0000-000032000000}"/>
    <hyperlink ref="B48" r:id="rId52" xr:uid="{00000000-0004-0000-0000-000033000000}"/>
    <hyperlink ref="B49" r:id="rId53" xr:uid="{00000000-0004-0000-0000-000034000000}"/>
    <hyperlink ref="B50" r:id="rId54" xr:uid="{00000000-0004-0000-0000-000035000000}"/>
    <hyperlink ref="B51" r:id="rId55" xr:uid="{00000000-0004-0000-0000-000036000000}"/>
    <hyperlink ref="I51" r:id="rId56" xr:uid="{00000000-0004-0000-0000-000037000000}"/>
    <hyperlink ref="B52" r:id="rId57" xr:uid="{00000000-0004-0000-0000-000038000000}"/>
    <hyperlink ref="B53" r:id="rId58" xr:uid="{00000000-0004-0000-0000-000039000000}"/>
    <hyperlink ref="B54" r:id="rId59" xr:uid="{00000000-0004-0000-0000-00003A000000}"/>
    <hyperlink ref="B55" r:id="rId60" xr:uid="{00000000-0004-0000-0000-00003B000000}"/>
    <hyperlink ref="B56" r:id="rId61" xr:uid="{00000000-0004-0000-0000-00003C000000}"/>
    <hyperlink ref="B57" r:id="rId62" xr:uid="{00000000-0004-0000-0000-00003D000000}"/>
    <hyperlink ref="B58" r:id="rId63" xr:uid="{00000000-0004-0000-0000-00003E000000}"/>
    <hyperlink ref="B59" r:id="rId64" xr:uid="{00000000-0004-0000-0000-00003F000000}"/>
    <hyperlink ref="B60" r:id="rId65" xr:uid="{00000000-0004-0000-0000-000040000000}"/>
    <hyperlink ref="B61" r:id="rId66" xr:uid="{00000000-0004-0000-0000-000041000000}"/>
    <hyperlink ref="J61" r:id="rId67" xr:uid="{00000000-0004-0000-0000-000042000000}"/>
    <hyperlink ref="B62" r:id="rId68" xr:uid="{00000000-0004-0000-0000-000043000000}"/>
    <hyperlink ref="B63" r:id="rId69" xr:uid="{00000000-0004-0000-0000-000044000000}"/>
    <hyperlink ref="J63" r:id="rId70" xr:uid="{00000000-0004-0000-0000-000045000000}"/>
    <hyperlink ref="B64" r:id="rId71" xr:uid="{00000000-0004-0000-0000-000046000000}"/>
    <hyperlink ref="B65" r:id="rId72" xr:uid="{00000000-0004-0000-0000-000047000000}"/>
    <hyperlink ref="I65" r:id="rId73" xr:uid="{00000000-0004-0000-0000-000048000000}"/>
    <hyperlink ref="B66" r:id="rId74" xr:uid="{00000000-0004-0000-0000-000049000000}"/>
    <hyperlink ref="B67" r:id="rId75" xr:uid="{00000000-0004-0000-0000-00004A000000}"/>
    <hyperlink ref="B68" r:id="rId76" xr:uid="{00000000-0004-0000-0000-00004B000000}"/>
    <hyperlink ref="B69" r:id="rId77" xr:uid="{00000000-0004-0000-0000-00004C000000}"/>
    <hyperlink ref="B70" r:id="rId78" xr:uid="{00000000-0004-0000-0000-00004D000000}"/>
    <hyperlink ref="B71" r:id="rId79" xr:uid="{00000000-0004-0000-0000-00004E000000}"/>
    <hyperlink ref="B72" r:id="rId80" xr:uid="{00000000-0004-0000-0000-00004F000000}"/>
    <hyperlink ref="B73" r:id="rId81" xr:uid="{00000000-0004-0000-0000-000050000000}"/>
    <hyperlink ref="B74" r:id="rId82" xr:uid="{00000000-0004-0000-0000-000051000000}"/>
    <hyperlink ref="B75" r:id="rId83" xr:uid="{00000000-0004-0000-0000-000052000000}"/>
    <hyperlink ref="B76" r:id="rId84" xr:uid="{00000000-0004-0000-0000-000053000000}"/>
    <hyperlink ref="B77" r:id="rId85" xr:uid="{00000000-0004-0000-0000-000054000000}"/>
    <hyperlink ref="B78" r:id="rId86" xr:uid="{00000000-0004-0000-0000-000055000000}"/>
    <hyperlink ref="B79" r:id="rId87" xr:uid="{00000000-0004-0000-0000-000056000000}"/>
    <hyperlink ref="B80" r:id="rId88" xr:uid="{00000000-0004-0000-0000-000057000000}"/>
    <hyperlink ref="B81" r:id="rId89" xr:uid="{00000000-0004-0000-0000-000058000000}"/>
    <hyperlink ref="B82" r:id="rId90" xr:uid="{00000000-0004-0000-0000-000059000000}"/>
    <hyperlink ref="B83" r:id="rId91" xr:uid="{00000000-0004-0000-0000-00005A000000}"/>
    <hyperlink ref="B84" r:id="rId92" xr:uid="{00000000-0004-0000-0000-00005B000000}"/>
    <hyperlink ref="B85" r:id="rId93" xr:uid="{00000000-0004-0000-0000-00005C000000}"/>
    <hyperlink ref="B86" r:id="rId94" xr:uid="{00000000-0004-0000-0000-00005D000000}"/>
    <hyperlink ref="B87" r:id="rId95" xr:uid="{00000000-0004-0000-0000-00005E000000}"/>
    <hyperlink ref="B88" r:id="rId96" xr:uid="{00000000-0004-0000-0000-00005F000000}"/>
    <hyperlink ref="B89" r:id="rId97" xr:uid="{00000000-0004-0000-0000-000060000000}"/>
    <hyperlink ref="J89" r:id="rId98" xr:uid="{00000000-0004-0000-0000-000061000000}"/>
    <hyperlink ref="B90" r:id="rId99" xr:uid="{00000000-0004-0000-0000-000062000000}"/>
    <hyperlink ref="B91" r:id="rId100" xr:uid="{00000000-0004-0000-0000-000063000000}"/>
    <hyperlink ref="I91" r:id="rId101" xr:uid="{00000000-0004-0000-0000-000064000000}"/>
    <hyperlink ref="B92" r:id="rId102" xr:uid="{00000000-0004-0000-0000-000065000000}"/>
    <hyperlink ref="B93" r:id="rId103" xr:uid="{00000000-0004-0000-0000-000066000000}"/>
    <hyperlink ref="B94" r:id="rId104" xr:uid="{00000000-0004-0000-0000-000067000000}"/>
    <hyperlink ref="B95" r:id="rId105" xr:uid="{00000000-0004-0000-0000-000068000000}"/>
    <hyperlink ref="B96" r:id="rId106" xr:uid="{00000000-0004-0000-0000-000069000000}"/>
    <hyperlink ref="B97" r:id="rId107" xr:uid="{00000000-0004-0000-0000-00006A000000}"/>
    <hyperlink ref="B98" r:id="rId108" xr:uid="{00000000-0004-0000-0000-00006B000000}"/>
    <hyperlink ref="B99" r:id="rId109" xr:uid="{00000000-0004-0000-0000-00006C000000}"/>
    <hyperlink ref="B100" r:id="rId110" xr:uid="{00000000-0004-0000-0000-00006D000000}"/>
    <hyperlink ref="B101" r:id="rId111" xr:uid="{00000000-0004-0000-0000-00006E000000}"/>
    <hyperlink ref="B102" r:id="rId112" xr:uid="{00000000-0004-0000-0000-00006F000000}"/>
    <hyperlink ref="B103" r:id="rId113" xr:uid="{00000000-0004-0000-0000-000070000000}"/>
    <hyperlink ref="B104" r:id="rId114" xr:uid="{00000000-0004-0000-0000-000071000000}"/>
    <hyperlink ref="B105" r:id="rId115" xr:uid="{00000000-0004-0000-0000-000072000000}"/>
    <hyperlink ref="B106" r:id="rId116" xr:uid="{00000000-0004-0000-0000-000073000000}"/>
    <hyperlink ref="B107" r:id="rId117" xr:uid="{00000000-0004-0000-0000-000074000000}"/>
    <hyperlink ref="B108" r:id="rId118" xr:uid="{00000000-0004-0000-0000-000075000000}"/>
    <hyperlink ref="B109" r:id="rId119" xr:uid="{00000000-0004-0000-0000-000076000000}"/>
    <hyperlink ref="B110" r:id="rId120" xr:uid="{00000000-0004-0000-0000-000077000000}"/>
    <hyperlink ref="B111" r:id="rId121" xr:uid="{00000000-0004-0000-0000-000078000000}"/>
    <hyperlink ref="B112" r:id="rId122" xr:uid="{00000000-0004-0000-0000-000079000000}"/>
    <hyperlink ref="B113" r:id="rId123" xr:uid="{00000000-0004-0000-0000-00007A000000}"/>
    <hyperlink ref="B114" r:id="rId124" xr:uid="{00000000-0004-0000-0000-00007B000000}"/>
    <hyperlink ref="B115" r:id="rId125" xr:uid="{00000000-0004-0000-0000-00007C000000}"/>
    <hyperlink ref="B116" r:id="rId126" xr:uid="{00000000-0004-0000-0000-00007D000000}"/>
    <hyperlink ref="B117" r:id="rId127" xr:uid="{00000000-0004-0000-0000-00007E000000}"/>
    <hyperlink ref="B118" r:id="rId128" xr:uid="{00000000-0004-0000-0000-00007F000000}"/>
    <hyperlink ref="B119" r:id="rId129" xr:uid="{00000000-0004-0000-0000-000080000000}"/>
    <hyperlink ref="B120" r:id="rId130" xr:uid="{00000000-0004-0000-0000-000081000000}"/>
    <hyperlink ref="B121" r:id="rId131" xr:uid="{00000000-0004-0000-0000-000082000000}"/>
    <hyperlink ref="B122" r:id="rId132" xr:uid="{00000000-0004-0000-0000-000083000000}"/>
    <hyperlink ref="B123" r:id="rId133" xr:uid="{00000000-0004-0000-0000-000084000000}"/>
    <hyperlink ref="B124" r:id="rId134" xr:uid="{00000000-0004-0000-0000-000085000000}"/>
    <hyperlink ref="B125" r:id="rId135" xr:uid="{00000000-0004-0000-0000-000086000000}"/>
    <hyperlink ref="B126" r:id="rId136" xr:uid="{00000000-0004-0000-0000-000087000000}"/>
    <hyperlink ref="B127" r:id="rId137" xr:uid="{00000000-0004-0000-0000-000088000000}"/>
    <hyperlink ref="B128" r:id="rId138" xr:uid="{00000000-0004-0000-0000-000089000000}"/>
    <hyperlink ref="B129" r:id="rId139" xr:uid="{00000000-0004-0000-0000-00008A000000}"/>
    <hyperlink ref="B130" r:id="rId140" xr:uid="{00000000-0004-0000-0000-00008B000000}"/>
    <hyperlink ref="B131" r:id="rId141" xr:uid="{00000000-0004-0000-0000-00008C000000}"/>
    <hyperlink ref="B132" r:id="rId142" xr:uid="{00000000-0004-0000-0000-00008D000000}"/>
    <hyperlink ref="I132" r:id="rId143" xr:uid="{00000000-0004-0000-0000-00008E000000}"/>
    <hyperlink ref="B133" r:id="rId144" xr:uid="{00000000-0004-0000-0000-00008F000000}"/>
    <hyperlink ref="B134" r:id="rId145" xr:uid="{00000000-0004-0000-0000-000090000000}"/>
    <hyperlink ref="B135" r:id="rId146" xr:uid="{00000000-0004-0000-0000-000091000000}"/>
    <hyperlink ref="B136" r:id="rId147" xr:uid="{00000000-0004-0000-0000-000092000000}"/>
    <hyperlink ref="B137" r:id="rId148" xr:uid="{00000000-0004-0000-0000-000093000000}"/>
    <hyperlink ref="B138" r:id="rId149" xr:uid="{00000000-0004-0000-0000-000094000000}"/>
    <hyperlink ref="B139" r:id="rId150" xr:uid="{00000000-0004-0000-0000-000095000000}"/>
    <hyperlink ref="B140" r:id="rId151" xr:uid="{00000000-0004-0000-0000-000096000000}"/>
    <hyperlink ref="B141" r:id="rId152" xr:uid="{00000000-0004-0000-0000-000097000000}"/>
    <hyperlink ref="B142" r:id="rId153" xr:uid="{00000000-0004-0000-0000-000098000000}"/>
    <hyperlink ref="B143" r:id="rId154" xr:uid="{00000000-0004-0000-0000-000099000000}"/>
    <hyperlink ref="B144" r:id="rId155" xr:uid="{00000000-0004-0000-0000-00009A000000}"/>
    <hyperlink ref="B145" r:id="rId156" xr:uid="{00000000-0004-0000-0000-00009B000000}"/>
    <hyperlink ref="B146" r:id="rId157" xr:uid="{00000000-0004-0000-0000-00009C000000}"/>
    <hyperlink ref="B147" r:id="rId158" xr:uid="{00000000-0004-0000-0000-00009D000000}"/>
    <hyperlink ref="B148" r:id="rId159" xr:uid="{00000000-0004-0000-0000-00009E000000}"/>
    <hyperlink ref="B149" r:id="rId160" xr:uid="{00000000-0004-0000-0000-00009F000000}"/>
    <hyperlink ref="B150" r:id="rId161" xr:uid="{00000000-0004-0000-0000-0000A0000000}"/>
    <hyperlink ref="B151" r:id="rId162" xr:uid="{00000000-0004-0000-0000-0000A1000000}"/>
    <hyperlink ref="B152" r:id="rId163" xr:uid="{00000000-0004-0000-0000-0000A2000000}"/>
    <hyperlink ref="B153" r:id="rId164" xr:uid="{00000000-0004-0000-0000-0000A3000000}"/>
    <hyperlink ref="B154" r:id="rId165" xr:uid="{00000000-0004-0000-0000-0000A4000000}"/>
    <hyperlink ref="B155" r:id="rId166" xr:uid="{00000000-0004-0000-0000-0000A5000000}"/>
    <hyperlink ref="B156" r:id="rId167" xr:uid="{00000000-0004-0000-0000-0000A6000000}"/>
    <hyperlink ref="B157" r:id="rId168" xr:uid="{00000000-0004-0000-0000-0000A7000000}"/>
    <hyperlink ref="B158" r:id="rId169" xr:uid="{00000000-0004-0000-0000-0000A8000000}"/>
    <hyperlink ref="B159" r:id="rId170" xr:uid="{00000000-0004-0000-0000-0000A9000000}"/>
    <hyperlink ref="B160" r:id="rId171" xr:uid="{00000000-0004-0000-0000-0000AA000000}"/>
    <hyperlink ref="B161" r:id="rId172" xr:uid="{00000000-0004-0000-0000-0000AB000000}"/>
    <hyperlink ref="B162" r:id="rId173" xr:uid="{00000000-0004-0000-0000-0000AC000000}"/>
    <hyperlink ref="B163" r:id="rId174" xr:uid="{00000000-0004-0000-0000-0000AD000000}"/>
    <hyperlink ref="B164" r:id="rId175" xr:uid="{00000000-0004-0000-0000-0000AE000000}"/>
    <hyperlink ref="B165" r:id="rId176" xr:uid="{00000000-0004-0000-0000-0000AF000000}"/>
    <hyperlink ref="B166" r:id="rId177" xr:uid="{00000000-0004-0000-0000-0000B0000000}"/>
    <hyperlink ref="B167" r:id="rId178" xr:uid="{00000000-0004-0000-0000-0000B1000000}"/>
    <hyperlink ref="B168" r:id="rId179" xr:uid="{00000000-0004-0000-0000-0000B2000000}"/>
    <hyperlink ref="B169" r:id="rId180" xr:uid="{00000000-0004-0000-0000-0000B3000000}"/>
    <hyperlink ref="B170" r:id="rId181" xr:uid="{00000000-0004-0000-0000-0000B4000000}"/>
    <hyperlink ref="B171" r:id="rId182" xr:uid="{00000000-0004-0000-0000-0000B5000000}"/>
    <hyperlink ref="B172" r:id="rId183" xr:uid="{00000000-0004-0000-0000-0000B6000000}"/>
    <hyperlink ref="B173" r:id="rId184" xr:uid="{00000000-0004-0000-0000-0000B7000000}"/>
    <hyperlink ref="B174" r:id="rId185" xr:uid="{00000000-0004-0000-0000-0000B8000000}"/>
    <hyperlink ref="B175" r:id="rId186" xr:uid="{00000000-0004-0000-0000-0000B9000000}"/>
    <hyperlink ref="B176" r:id="rId187" xr:uid="{00000000-0004-0000-0000-0000BA000000}"/>
    <hyperlink ref="B177" r:id="rId188" xr:uid="{00000000-0004-0000-0000-0000BB000000}"/>
    <hyperlink ref="I177" r:id="rId189" xr:uid="{00000000-0004-0000-0000-0000BC000000}"/>
    <hyperlink ref="B178" r:id="rId190" xr:uid="{00000000-0004-0000-0000-0000BD000000}"/>
    <hyperlink ref="I178" r:id="rId191" xr:uid="{00000000-0004-0000-0000-0000BE000000}"/>
    <hyperlink ref="B179" r:id="rId192" xr:uid="{00000000-0004-0000-0000-0000BF000000}"/>
    <hyperlink ref="B180" r:id="rId193" xr:uid="{00000000-0004-0000-0000-0000C0000000}"/>
    <hyperlink ref="B181" r:id="rId194" xr:uid="{00000000-0004-0000-0000-0000C1000000}"/>
    <hyperlink ref="B182" r:id="rId195" xr:uid="{00000000-0004-0000-0000-0000C2000000}"/>
    <hyperlink ref="B183" r:id="rId196" xr:uid="{00000000-0004-0000-0000-0000C3000000}"/>
    <hyperlink ref="B184" r:id="rId197" xr:uid="{00000000-0004-0000-0000-0000C4000000}"/>
    <hyperlink ref="B185" r:id="rId198" xr:uid="{00000000-0004-0000-0000-0000C5000000}"/>
    <hyperlink ref="B186" r:id="rId199" xr:uid="{00000000-0004-0000-0000-0000C6000000}"/>
    <hyperlink ref="B187" r:id="rId200" xr:uid="{00000000-0004-0000-0000-0000C7000000}"/>
    <hyperlink ref="B188" r:id="rId201" xr:uid="{00000000-0004-0000-0000-0000C8000000}"/>
    <hyperlink ref="B189" r:id="rId202" xr:uid="{00000000-0004-0000-0000-0000C9000000}"/>
    <hyperlink ref="B190" r:id="rId203" xr:uid="{00000000-0004-0000-0000-0000CA000000}"/>
    <hyperlink ref="B191" r:id="rId204" xr:uid="{00000000-0004-0000-0000-0000CB000000}"/>
    <hyperlink ref="B192" r:id="rId205" xr:uid="{00000000-0004-0000-0000-0000CC000000}"/>
    <hyperlink ref="B193" r:id="rId206" xr:uid="{00000000-0004-0000-0000-0000CD000000}"/>
    <hyperlink ref="B194" r:id="rId207" xr:uid="{00000000-0004-0000-0000-0000CE000000}"/>
    <hyperlink ref="B195" r:id="rId208" xr:uid="{00000000-0004-0000-0000-0000CF000000}"/>
    <hyperlink ref="B196" r:id="rId209" xr:uid="{00000000-0004-0000-0000-0000D0000000}"/>
    <hyperlink ref="B197" r:id="rId210" xr:uid="{00000000-0004-0000-0000-0000D1000000}"/>
    <hyperlink ref="B198" r:id="rId211" xr:uid="{00000000-0004-0000-0000-0000D2000000}"/>
    <hyperlink ref="B199" r:id="rId212" xr:uid="{00000000-0004-0000-0000-0000D3000000}"/>
    <hyperlink ref="B200" r:id="rId213" xr:uid="{00000000-0004-0000-0000-0000D4000000}"/>
    <hyperlink ref="B201" r:id="rId214" xr:uid="{00000000-0004-0000-0000-0000D5000000}"/>
    <hyperlink ref="I201" r:id="rId215" xr:uid="{00000000-0004-0000-0000-0000D6000000}"/>
    <hyperlink ref="B202" r:id="rId216" xr:uid="{00000000-0004-0000-0000-0000D7000000}"/>
    <hyperlink ref="B203" r:id="rId217" xr:uid="{00000000-0004-0000-0000-0000D8000000}"/>
    <hyperlink ref="B204" r:id="rId218" xr:uid="{00000000-0004-0000-0000-0000D9000000}"/>
    <hyperlink ref="B205" r:id="rId219" xr:uid="{00000000-0004-0000-0000-0000DA000000}"/>
    <hyperlink ref="B206" r:id="rId220" xr:uid="{00000000-0004-0000-0000-0000DB000000}"/>
    <hyperlink ref="B207" r:id="rId221" xr:uid="{00000000-0004-0000-0000-0000DC000000}"/>
    <hyperlink ref="B208" r:id="rId222" xr:uid="{00000000-0004-0000-0000-0000DD000000}"/>
    <hyperlink ref="B209" r:id="rId223" xr:uid="{00000000-0004-0000-0000-0000DE000000}"/>
    <hyperlink ref="B210" r:id="rId224" xr:uid="{00000000-0004-0000-0000-0000DF000000}"/>
    <hyperlink ref="J210" r:id="rId225" xr:uid="{00000000-0004-0000-0000-0000E0000000}"/>
    <hyperlink ref="B211" r:id="rId226" xr:uid="{00000000-0004-0000-0000-0000E1000000}"/>
    <hyperlink ref="B212" r:id="rId227" xr:uid="{00000000-0004-0000-0000-0000E2000000}"/>
    <hyperlink ref="B213" r:id="rId228" xr:uid="{00000000-0004-0000-0000-0000E3000000}"/>
    <hyperlink ref="B214" r:id="rId229" xr:uid="{00000000-0004-0000-0000-0000E4000000}"/>
    <hyperlink ref="J214" r:id="rId230" xr:uid="{00000000-0004-0000-0000-0000E5000000}"/>
    <hyperlink ref="B215" r:id="rId231" xr:uid="{00000000-0004-0000-0000-0000E6000000}"/>
    <hyperlink ref="B216" r:id="rId232" xr:uid="{00000000-0004-0000-0000-0000E7000000}"/>
    <hyperlink ref="B217" r:id="rId233" xr:uid="{00000000-0004-0000-0000-0000E8000000}"/>
    <hyperlink ref="B218" r:id="rId234" xr:uid="{00000000-0004-0000-0000-0000E9000000}"/>
    <hyperlink ref="B219" r:id="rId235" xr:uid="{00000000-0004-0000-0000-0000EA000000}"/>
    <hyperlink ref="B220" r:id="rId236" xr:uid="{00000000-0004-0000-0000-0000EB000000}"/>
    <hyperlink ref="B221" r:id="rId237" xr:uid="{00000000-0004-0000-0000-0000EC000000}"/>
    <hyperlink ref="I221" r:id="rId238" xr:uid="{00000000-0004-0000-0000-0000ED000000}"/>
    <hyperlink ref="B222" r:id="rId239" xr:uid="{00000000-0004-0000-0000-0000EE000000}"/>
    <hyperlink ref="B223" r:id="rId240" xr:uid="{00000000-0004-0000-0000-0000EF000000}"/>
    <hyperlink ref="B224" r:id="rId241" xr:uid="{00000000-0004-0000-0000-0000F0000000}"/>
    <hyperlink ref="B225" r:id="rId242" xr:uid="{00000000-0004-0000-0000-0000F1000000}"/>
    <hyperlink ref="B226" r:id="rId243" xr:uid="{00000000-0004-0000-0000-0000F2000000}"/>
    <hyperlink ref="B227" r:id="rId244" xr:uid="{00000000-0004-0000-0000-0000F3000000}"/>
    <hyperlink ref="B228" r:id="rId245" xr:uid="{00000000-0004-0000-0000-0000F4000000}"/>
    <hyperlink ref="B229" r:id="rId246" xr:uid="{00000000-0004-0000-0000-0000F5000000}"/>
    <hyperlink ref="B230" r:id="rId247" xr:uid="{00000000-0004-0000-0000-0000F6000000}"/>
    <hyperlink ref="B231" r:id="rId248" xr:uid="{00000000-0004-0000-0000-0000F7000000}"/>
    <hyperlink ref="B232" r:id="rId249" xr:uid="{00000000-0004-0000-0000-0000F8000000}"/>
    <hyperlink ref="B233" r:id="rId250" xr:uid="{00000000-0004-0000-0000-0000F9000000}"/>
    <hyperlink ref="B234" r:id="rId251" xr:uid="{00000000-0004-0000-0000-0000FA000000}"/>
    <hyperlink ref="B235" r:id="rId252" xr:uid="{00000000-0004-0000-0000-0000FB000000}"/>
    <hyperlink ref="B236" r:id="rId253" xr:uid="{00000000-0004-0000-0000-0000FC000000}"/>
    <hyperlink ref="B237" r:id="rId254" xr:uid="{00000000-0004-0000-0000-0000FD000000}"/>
    <hyperlink ref="B238" r:id="rId255" xr:uid="{00000000-0004-0000-0000-0000FE000000}"/>
    <hyperlink ref="B239" r:id="rId256" xr:uid="{00000000-0004-0000-0000-0000FF000000}"/>
    <hyperlink ref="B240" r:id="rId257" xr:uid="{00000000-0004-0000-0000-000000010000}"/>
    <hyperlink ref="B241" r:id="rId258" xr:uid="{00000000-0004-0000-0000-000001010000}"/>
    <hyperlink ref="B242" r:id="rId259" xr:uid="{00000000-0004-0000-0000-000002010000}"/>
    <hyperlink ref="B243" r:id="rId260" xr:uid="{00000000-0004-0000-0000-000003010000}"/>
    <hyperlink ref="B244" r:id="rId261" xr:uid="{00000000-0004-0000-0000-000004010000}"/>
    <hyperlink ref="B245" r:id="rId262" xr:uid="{00000000-0004-0000-0000-000005010000}"/>
    <hyperlink ref="B246" r:id="rId263" xr:uid="{00000000-0004-0000-0000-000006010000}"/>
    <hyperlink ref="B247" r:id="rId264" xr:uid="{00000000-0004-0000-0000-000007010000}"/>
    <hyperlink ref="B248" r:id="rId265" xr:uid="{00000000-0004-0000-0000-000008010000}"/>
    <hyperlink ref="B249" r:id="rId266" xr:uid="{00000000-0004-0000-0000-000009010000}"/>
    <hyperlink ref="B250" r:id="rId267" xr:uid="{00000000-0004-0000-0000-00000A010000}"/>
    <hyperlink ref="B251" r:id="rId268" xr:uid="{00000000-0004-0000-0000-00000B010000}"/>
    <hyperlink ref="B252" r:id="rId269" xr:uid="{00000000-0004-0000-0000-00000C010000}"/>
    <hyperlink ref="J252" r:id="rId270" xr:uid="{00000000-0004-0000-0000-00000D010000}"/>
    <hyperlink ref="B253" r:id="rId271" xr:uid="{00000000-0004-0000-0000-00000E010000}"/>
    <hyperlink ref="B254" r:id="rId272" xr:uid="{00000000-0004-0000-0000-00000F010000}"/>
    <hyperlink ref="B255" r:id="rId273" xr:uid="{00000000-0004-0000-0000-000010010000}"/>
    <hyperlink ref="B256" r:id="rId274" xr:uid="{00000000-0004-0000-0000-000011010000}"/>
    <hyperlink ref="B257" r:id="rId275" xr:uid="{00000000-0004-0000-0000-000012010000}"/>
    <hyperlink ref="B258" r:id="rId276" xr:uid="{00000000-0004-0000-0000-000013010000}"/>
    <hyperlink ref="I258" r:id="rId277" xr:uid="{00000000-0004-0000-0000-000014010000}"/>
    <hyperlink ref="B259" r:id="rId278" xr:uid="{00000000-0004-0000-0000-000015010000}"/>
    <hyperlink ref="B260" r:id="rId279" xr:uid="{00000000-0004-0000-0000-000016010000}"/>
    <hyperlink ref="I260" r:id="rId280" xr:uid="{00000000-0004-0000-0000-000017010000}"/>
    <hyperlink ref="B261" r:id="rId281" xr:uid="{00000000-0004-0000-0000-000018010000}"/>
    <hyperlink ref="B262" r:id="rId282" xr:uid="{00000000-0004-0000-0000-000019010000}"/>
    <hyperlink ref="B263" r:id="rId283" xr:uid="{00000000-0004-0000-0000-00001A010000}"/>
    <hyperlink ref="B264" r:id="rId284" xr:uid="{00000000-0004-0000-0000-00001B010000}"/>
    <hyperlink ref="B265" r:id="rId285" xr:uid="{00000000-0004-0000-0000-00001C010000}"/>
    <hyperlink ref="B266" r:id="rId286" xr:uid="{00000000-0004-0000-0000-00001D010000}"/>
    <hyperlink ref="B267" r:id="rId287" xr:uid="{00000000-0004-0000-0000-00001E010000}"/>
    <hyperlink ref="J267" r:id="rId288" xr:uid="{00000000-0004-0000-0000-00001F010000}"/>
    <hyperlink ref="B268" r:id="rId289" xr:uid="{00000000-0004-0000-0000-000020010000}"/>
    <hyperlink ref="B269" r:id="rId290" xr:uid="{00000000-0004-0000-0000-000021010000}"/>
    <hyperlink ref="B270" r:id="rId291" xr:uid="{00000000-0004-0000-0000-000022010000}"/>
    <hyperlink ref="J270" r:id="rId292" xr:uid="{00000000-0004-0000-0000-000023010000}"/>
    <hyperlink ref="B271" r:id="rId293" xr:uid="{00000000-0004-0000-0000-000024010000}"/>
    <hyperlink ref="I271" r:id="rId294" xr:uid="{00000000-0004-0000-0000-000025010000}"/>
    <hyperlink ref="B272" r:id="rId295" xr:uid="{00000000-0004-0000-0000-000026010000}"/>
    <hyperlink ref="B273" r:id="rId296" xr:uid="{00000000-0004-0000-0000-000027010000}"/>
    <hyperlink ref="B274" r:id="rId297" xr:uid="{00000000-0004-0000-0000-000028010000}"/>
    <hyperlink ref="B275" r:id="rId298" xr:uid="{00000000-0004-0000-0000-000029010000}"/>
    <hyperlink ref="B276" r:id="rId299" xr:uid="{00000000-0004-0000-0000-00002A010000}"/>
    <hyperlink ref="B277" r:id="rId300" xr:uid="{00000000-0004-0000-0000-00002B010000}"/>
    <hyperlink ref="B278" r:id="rId301" xr:uid="{00000000-0004-0000-0000-00002C010000}"/>
    <hyperlink ref="I278" r:id="rId302" xr:uid="{00000000-0004-0000-0000-00002D010000}"/>
    <hyperlink ref="B279" r:id="rId303" xr:uid="{00000000-0004-0000-0000-00002E010000}"/>
    <hyperlink ref="B280" r:id="rId304" xr:uid="{00000000-0004-0000-0000-00002F010000}"/>
    <hyperlink ref="B281" r:id="rId305" xr:uid="{00000000-0004-0000-0000-000030010000}"/>
    <hyperlink ref="B282" r:id="rId306" xr:uid="{00000000-0004-0000-0000-000031010000}"/>
    <hyperlink ref="B283" r:id="rId307" xr:uid="{00000000-0004-0000-0000-000032010000}"/>
    <hyperlink ref="B284" r:id="rId308" xr:uid="{00000000-0004-0000-0000-000033010000}"/>
    <hyperlink ref="B285" r:id="rId309" xr:uid="{00000000-0004-0000-0000-000034010000}"/>
    <hyperlink ref="B286" r:id="rId310" xr:uid="{00000000-0004-0000-0000-000035010000}"/>
    <hyperlink ref="B287" r:id="rId311" xr:uid="{00000000-0004-0000-0000-000036010000}"/>
    <hyperlink ref="B288" r:id="rId312" xr:uid="{00000000-0004-0000-0000-000037010000}"/>
    <hyperlink ref="B289" r:id="rId313" xr:uid="{00000000-0004-0000-0000-000038010000}"/>
    <hyperlink ref="B290" r:id="rId314" xr:uid="{00000000-0004-0000-0000-000039010000}"/>
    <hyperlink ref="B291" r:id="rId315" xr:uid="{00000000-0004-0000-0000-00003A010000}"/>
    <hyperlink ref="B292" r:id="rId316" xr:uid="{00000000-0004-0000-0000-00003B010000}"/>
    <hyperlink ref="B293" r:id="rId317" xr:uid="{00000000-0004-0000-0000-00003C010000}"/>
    <hyperlink ref="B294" r:id="rId318" xr:uid="{00000000-0004-0000-0000-00003D010000}"/>
    <hyperlink ref="B295" r:id="rId319" xr:uid="{00000000-0004-0000-0000-00003E010000}"/>
    <hyperlink ref="B296" r:id="rId320" xr:uid="{00000000-0004-0000-0000-00003F010000}"/>
    <hyperlink ref="B297" r:id="rId321" xr:uid="{00000000-0004-0000-0000-000040010000}"/>
    <hyperlink ref="B298" r:id="rId322" xr:uid="{00000000-0004-0000-0000-000041010000}"/>
    <hyperlink ref="B299" r:id="rId323" xr:uid="{00000000-0004-0000-0000-000042010000}"/>
    <hyperlink ref="B300" r:id="rId324" xr:uid="{00000000-0004-0000-0000-000043010000}"/>
    <hyperlink ref="B301" r:id="rId325" xr:uid="{00000000-0004-0000-0000-000044010000}"/>
    <hyperlink ref="B302" r:id="rId326" xr:uid="{00000000-0004-0000-0000-000045010000}"/>
    <hyperlink ref="B303" r:id="rId327" xr:uid="{00000000-0004-0000-0000-000046010000}"/>
    <hyperlink ref="I303" r:id="rId328" xr:uid="{00000000-0004-0000-0000-000047010000}"/>
    <hyperlink ref="B304" r:id="rId329" xr:uid="{00000000-0004-0000-0000-000048010000}"/>
    <hyperlink ref="B305" r:id="rId330" xr:uid="{00000000-0004-0000-0000-000049010000}"/>
    <hyperlink ref="B306" r:id="rId331" xr:uid="{00000000-0004-0000-0000-00004A010000}"/>
    <hyperlink ref="B307" r:id="rId332" xr:uid="{00000000-0004-0000-0000-00004B010000}"/>
    <hyperlink ref="B308" r:id="rId333" xr:uid="{00000000-0004-0000-0000-00004C010000}"/>
    <hyperlink ref="B309" r:id="rId334" xr:uid="{00000000-0004-0000-0000-00004D010000}"/>
    <hyperlink ref="B310" r:id="rId335" xr:uid="{00000000-0004-0000-0000-00004E010000}"/>
    <hyperlink ref="B311" r:id="rId336" xr:uid="{00000000-0004-0000-0000-00004F010000}"/>
    <hyperlink ref="B312" r:id="rId337" xr:uid="{00000000-0004-0000-0000-000050010000}"/>
    <hyperlink ref="B313" r:id="rId338" xr:uid="{00000000-0004-0000-0000-000051010000}"/>
    <hyperlink ref="B314" r:id="rId339" xr:uid="{00000000-0004-0000-0000-000052010000}"/>
    <hyperlink ref="B315" r:id="rId340" xr:uid="{00000000-0004-0000-0000-000053010000}"/>
    <hyperlink ref="B316" r:id="rId341" xr:uid="{00000000-0004-0000-0000-000054010000}"/>
    <hyperlink ref="B317" r:id="rId342" xr:uid="{00000000-0004-0000-0000-000055010000}"/>
    <hyperlink ref="B318" r:id="rId343" xr:uid="{00000000-0004-0000-0000-000056010000}"/>
    <hyperlink ref="B319" r:id="rId344" xr:uid="{00000000-0004-0000-0000-000057010000}"/>
    <hyperlink ref="B320" r:id="rId345" xr:uid="{00000000-0004-0000-0000-000058010000}"/>
    <hyperlink ref="B321" r:id="rId346" xr:uid="{00000000-0004-0000-0000-000059010000}"/>
    <hyperlink ref="B322" r:id="rId347" xr:uid="{00000000-0004-0000-0000-00005A010000}"/>
    <hyperlink ref="B323" r:id="rId348" xr:uid="{00000000-0004-0000-0000-00005B010000}"/>
    <hyperlink ref="B324" r:id="rId349" xr:uid="{00000000-0004-0000-0000-00005C010000}"/>
    <hyperlink ref="B325" r:id="rId350" xr:uid="{00000000-0004-0000-0000-00005D010000}"/>
    <hyperlink ref="B326" r:id="rId351" xr:uid="{00000000-0004-0000-0000-00005E010000}"/>
    <hyperlink ref="B327" r:id="rId352" xr:uid="{00000000-0004-0000-0000-00005F010000}"/>
    <hyperlink ref="B328" r:id="rId353" xr:uid="{00000000-0004-0000-0000-000060010000}"/>
    <hyperlink ref="B329" r:id="rId354" xr:uid="{00000000-0004-0000-0000-000061010000}"/>
    <hyperlink ref="B330" r:id="rId355" xr:uid="{00000000-0004-0000-0000-000062010000}"/>
    <hyperlink ref="B331" r:id="rId356" xr:uid="{00000000-0004-0000-0000-000063010000}"/>
    <hyperlink ref="B332" r:id="rId357" xr:uid="{00000000-0004-0000-0000-000064010000}"/>
    <hyperlink ref="B333" r:id="rId358" xr:uid="{00000000-0004-0000-0000-000065010000}"/>
    <hyperlink ref="B334" r:id="rId359" xr:uid="{00000000-0004-0000-0000-000066010000}"/>
    <hyperlink ref="B335" r:id="rId360" xr:uid="{00000000-0004-0000-0000-000067010000}"/>
    <hyperlink ref="B336" r:id="rId361" xr:uid="{00000000-0004-0000-0000-000068010000}"/>
    <hyperlink ref="B337" r:id="rId362" xr:uid="{00000000-0004-0000-0000-000069010000}"/>
    <hyperlink ref="I337" r:id="rId363" xr:uid="{00000000-0004-0000-0000-00006A010000}"/>
    <hyperlink ref="B338" r:id="rId364" xr:uid="{00000000-0004-0000-0000-00006B010000}"/>
    <hyperlink ref="B339" r:id="rId365" xr:uid="{00000000-0004-0000-0000-00006C010000}"/>
    <hyperlink ref="B340" r:id="rId366" xr:uid="{00000000-0004-0000-0000-00006D010000}"/>
    <hyperlink ref="B341" r:id="rId367" xr:uid="{00000000-0004-0000-0000-00006E010000}"/>
    <hyperlink ref="B342" r:id="rId368" xr:uid="{00000000-0004-0000-0000-00006F010000}"/>
    <hyperlink ref="B343" r:id="rId369" xr:uid="{00000000-0004-0000-0000-000070010000}"/>
    <hyperlink ref="B344" r:id="rId370" xr:uid="{00000000-0004-0000-0000-000071010000}"/>
    <hyperlink ref="B345" r:id="rId371" xr:uid="{00000000-0004-0000-0000-000072010000}"/>
    <hyperlink ref="B346" r:id="rId372" xr:uid="{00000000-0004-0000-0000-000073010000}"/>
    <hyperlink ref="B347" r:id="rId373" xr:uid="{00000000-0004-0000-0000-000074010000}"/>
    <hyperlink ref="B348" r:id="rId374" xr:uid="{00000000-0004-0000-0000-000075010000}"/>
    <hyperlink ref="B349" r:id="rId375" xr:uid="{00000000-0004-0000-0000-000076010000}"/>
    <hyperlink ref="B350" r:id="rId376" xr:uid="{00000000-0004-0000-0000-000077010000}"/>
    <hyperlink ref="B351" r:id="rId377" xr:uid="{00000000-0004-0000-0000-000078010000}"/>
    <hyperlink ref="B352" r:id="rId378" xr:uid="{00000000-0004-0000-0000-000079010000}"/>
    <hyperlink ref="B353" r:id="rId379" xr:uid="{00000000-0004-0000-0000-00007A010000}"/>
    <hyperlink ref="B354" r:id="rId380" xr:uid="{00000000-0004-0000-0000-00007B010000}"/>
    <hyperlink ref="B355" r:id="rId381" xr:uid="{00000000-0004-0000-0000-00007C010000}"/>
    <hyperlink ref="B356" r:id="rId382" xr:uid="{00000000-0004-0000-0000-00007D010000}"/>
    <hyperlink ref="B357" r:id="rId383" xr:uid="{00000000-0004-0000-0000-00007E010000}"/>
    <hyperlink ref="B358" r:id="rId384" xr:uid="{00000000-0004-0000-0000-00007F010000}"/>
    <hyperlink ref="B359" r:id="rId385" xr:uid="{00000000-0004-0000-0000-000080010000}"/>
    <hyperlink ref="B360" r:id="rId386" xr:uid="{00000000-0004-0000-0000-000081010000}"/>
    <hyperlink ref="B361" r:id="rId387" xr:uid="{00000000-0004-0000-0000-000082010000}"/>
    <hyperlink ref="J361" r:id="rId388" xr:uid="{00000000-0004-0000-0000-000083010000}"/>
    <hyperlink ref="B362" r:id="rId389" xr:uid="{00000000-0004-0000-0000-000084010000}"/>
    <hyperlink ref="B363" r:id="rId390" xr:uid="{00000000-0004-0000-0000-000085010000}"/>
    <hyperlink ref="B364" r:id="rId391" xr:uid="{00000000-0004-0000-0000-000086010000}"/>
    <hyperlink ref="I364" r:id="rId392" xr:uid="{00000000-0004-0000-0000-000087010000}"/>
    <hyperlink ref="B365" r:id="rId393" xr:uid="{00000000-0004-0000-0000-000088010000}"/>
    <hyperlink ref="B366" r:id="rId394" xr:uid="{00000000-0004-0000-0000-000089010000}"/>
    <hyperlink ref="B367" r:id="rId395" xr:uid="{00000000-0004-0000-0000-00008A010000}"/>
    <hyperlink ref="B368" r:id="rId396" xr:uid="{00000000-0004-0000-0000-00008B010000}"/>
    <hyperlink ref="B369" r:id="rId397" xr:uid="{00000000-0004-0000-0000-00008C010000}"/>
    <hyperlink ref="B370" r:id="rId398" xr:uid="{00000000-0004-0000-0000-00008D010000}"/>
    <hyperlink ref="B371" r:id="rId399" xr:uid="{00000000-0004-0000-0000-00008E010000}"/>
    <hyperlink ref="B372" r:id="rId400" xr:uid="{00000000-0004-0000-0000-00008F010000}"/>
    <hyperlink ref="B373" r:id="rId401" xr:uid="{00000000-0004-0000-0000-000090010000}"/>
    <hyperlink ref="B374" r:id="rId402" xr:uid="{00000000-0004-0000-0000-000091010000}"/>
    <hyperlink ref="B375" r:id="rId403" xr:uid="{00000000-0004-0000-0000-000092010000}"/>
    <hyperlink ref="B376" r:id="rId404" xr:uid="{00000000-0004-0000-0000-000093010000}"/>
    <hyperlink ref="B377" r:id="rId405" xr:uid="{00000000-0004-0000-0000-000094010000}"/>
    <hyperlink ref="B378" r:id="rId406" xr:uid="{00000000-0004-0000-0000-000095010000}"/>
    <hyperlink ref="B379" r:id="rId407" xr:uid="{00000000-0004-0000-0000-000096010000}"/>
    <hyperlink ref="B380" r:id="rId408" xr:uid="{00000000-0004-0000-0000-000097010000}"/>
    <hyperlink ref="I380" r:id="rId409" xr:uid="{00000000-0004-0000-0000-000098010000}"/>
    <hyperlink ref="B381" r:id="rId410" xr:uid="{00000000-0004-0000-0000-000099010000}"/>
    <hyperlink ref="B382" r:id="rId411" xr:uid="{00000000-0004-0000-0000-00009A010000}"/>
    <hyperlink ref="B383" r:id="rId412" xr:uid="{00000000-0004-0000-0000-00009B010000}"/>
    <hyperlink ref="B384" r:id="rId413" xr:uid="{00000000-0004-0000-0000-00009C010000}"/>
    <hyperlink ref="B385" r:id="rId414" xr:uid="{00000000-0004-0000-0000-00009D010000}"/>
    <hyperlink ref="B386" r:id="rId415" xr:uid="{00000000-0004-0000-0000-00009E010000}"/>
    <hyperlink ref="B387" r:id="rId416" xr:uid="{00000000-0004-0000-0000-00009F010000}"/>
    <hyperlink ref="I387" r:id="rId417" xr:uid="{00000000-0004-0000-0000-0000A0010000}"/>
    <hyperlink ref="B388" r:id="rId418" xr:uid="{00000000-0004-0000-0000-0000A1010000}"/>
    <hyperlink ref="B389" r:id="rId419" xr:uid="{00000000-0004-0000-0000-0000A2010000}"/>
    <hyperlink ref="B390" r:id="rId420" xr:uid="{00000000-0004-0000-0000-0000A3010000}"/>
    <hyperlink ref="B391" r:id="rId421" xr:uid="{00000000-0004-0000-0000-0000A4010000}"/>
    <hyperlink ref="B392" r:id="rId422" xr:uid="{00000000-0004-0000-0000-0000A5010000}"/>
    <hyperlink ref="B393" r:id="rId423" xr:uid="{00000000-0004-0000-0000-0000A6010000}"/>
    <hyperlink ref="B394" r:id="rId424" xr:uid="{00000000-0004-0000-0000-0000A7010000}"/>
    <hyperlink ref="B395" r:id="rId425" xr:uid="{00000000-0004-0000-0000-0000A8010000}"/>
    <hyperlink ref="B396" r:id="rId426" xr:uid="{00000000-0004-0000-0000-0000A9010000}"/>
    <hyperlink ref="B397" r:id="rId427" xr:uid="{00000000-0004-0000-0000-0000AA010000}"/>
    <hyperlink ref="B398" r:id="rId428" xr:uid="{00000000-0004-0000-0000-0000AB010000}"/>
    <hyperlink ref="B399" r:id="rId429" xr:uid="{00000000-0004-0000-0000-0000AC010000}"/>
    <hyperlink ref="B400" r:id="rId430" xr:uid="{00000000-0004-0000-0000-0000AD010000}"/>
    <hyperlink ref="B401" r:id="rId431" xr:uid="{00000000-0004-0000-0000-0000AE010000}"/>
    <hyperlink ref="B402" r:id="rId432" xr:uid="{00000000-0004-0000-0000-0000AF010000}"/>
    <hyperlink ref="B403" r:id="rId433" xr:uid="{00000000-0004-0000-0000-0000B0010000}"/>
    <hyperlink ref="J403" r:id="rId434" xr:uid="{00000000-0004-0000-0000-0000B1010000}"/>
    <hyperlink ref="B404" r:id="rId435" xr:uid="{00000000-0004-0000-0000-0000B2010000}"/>
    <hyperlink ref="J404" r:id="rId436" xr:uid="{00000000-0004-0000-0000-0000B3010000}"/>
    <hyperlink ref="B405" r:id="rId437" xr:uid="{00000000-0004-0000-0000-0000B4010000}"/>
    <hyperlink ref="B406" r:id="rId438" xr:uid="{00000000-0004-0000-0000-0000B5010000}"/>
    <hyperlink ref="B407" r:id="rId439" xr:uid="{00000000-0004-0000-0000-0000B6010000}"/>
    <hyperlink ref="B408" r:id="rId440" xr:uid="{00000000-0004-0000-0000-0000B7010000}"/>
    <hyperlink ref="B409" r:id="rId441" xr:uid="{00000000-0004-0000-0000-0000B8010000}"/>
    <hyperlink ref="B410" r:id="rId442" xr:uid="{00000000-0004-0000-0000-0000B9010000}"/>
    <hyperlink ref="B411" r:id="rId443" xr:uid="{00000000-0004-0000-0000-0000BA010000}"/>
    <hyperlink ref="B412" r:id="rId444" xr:uid="{00000000-0004-0000-0000-0000BB010000}"/>
    <hyperlink ref="B413" r:id="rId445" xr:uid="{00000000-0004-0000-0000-0000BC010000}"/>
    <hyperlink ref="B414" r:id="rId446" xr:uid="{00000000-0004-0000-0000-0000BD010000}"/>
    <hyperlink ref="J414" r:id="rId447" xr:uid="{00000000-0004-0000-0000-0000BE010000}"/>
    <hyperlink ref="B415" r:id="rId448" xr:uid="{00000000-0004-0000-0000-0000BF010000}"/>
    <hyperlink ref="B416" r:id="rId449" xr:uid="{00000000-0004-0000-0000-0000C0010000}"/>
    <hyperlink ref="B417" r:id="rId450" xr:uid="{00000000-0004-0000-0000-0000C1010000}"/>
    <hyperlink ref="B418" r:id="rId451" xr:uid="{00000000-0004-0000-0000-0000C2010000}"/>
    <hyperlink ref="B419" r:id="rId452" xr:uid="{00000000-0004-0000-0000-0000C3010000}"/>
    <hyperlink ref="I419" r:id="rId453" xr:uid="{00000000-0004-0000-0000-0000C4010000}"/>
    <hyperlink ref="B420" r:id="rId454" xr:uid="{00000000-0004-0000-0000-0000C5010000}"/>
    <hyperlink ref="B421" r:id="rId455" xr:uid="{00000000-0004-0000-0000-0000C6010000}"/>
    <hyperlink ref="B422" r:id="rId456" xr:uid="{00000000-0004-0000-0000-0000C7010000}"/>
    <hyperlink ref="B423" r:id="rId457" xr:uid="{00000000-0004-0000-0000-0000C8010000}"/>
    <hyperlink ref="B424" r:id="rId458" xr:uid="{00000000-0004-0000-0000-0000C9010000}"/>
    <hyperlink ref="B425" r:id="rId459" xr:uid="{00000000-0004-0000-0000-0000CA010000}"/>
    <hyperlink ref="B426" r:id="rId460" xr:uid="{00000000-0004-0000-0000-0000CB010000}"/>
    <hyperlink ref="B427" r:id="rId461" xr:uid="{00000000-0004-0000-0000-0000CC010000}"/>
    <hyperlink ref="B428" r:id="rId462" xr:uid="{00000000-0004-0000-0000-0000CD010000}"/>
    <hyperlink ref="B429" r:id="rId463" xr:uid="{00000000-0004-0000-0000-0000CE010000}"/>
    <hyperlink ref="B430" r:id="rId464" xr:uid="{00000000-0004-0000-0000-0000CF010000}"/>
    <hyperlink ref="B431" r:id="rId465" xr:uid="{00000000-0004-0000-0000-0000D0010000}"/>
    <hyperlink ref="B432" r:id="rId466" xr:uid="{00000000-0004-0000-0000-0000D1010000}"/>
    <hyperlink ref="B433" r:id="rId467" xr:uid="{00000000-0004-0000-0000-0000D2010000}"/>
    <hyperlink ref="B434" r:id="rId468" xr:uid="{00000000-0004-0000-0000-0000D3010000}"/>
    <hyperlink ref="B435" r:id="rId469" xr:uid="{00000000-0004-0000-0000-0000D4010000}"/>
    <hyperlink ref="B436" r:id="rId470" xr:uid="{00000000-0004-0000-0000-0000D5010000}"/>
    <hyperlink ref="B437" r:id="rId471" xr:uid="{00000000-0004-0000-0000-0000D6010000}"/>
    <hyperlink ref="B438" r:id="rId472" xr:uid="{00000000-0004-0000-0000-0000D7010000}"/>
    <hyperlink ref="B439" r:id="rId473" xr:uid="{00000000-0004-0000-0000-0000D8010000}"/>
    <hyperlink ref="B440" r:id="rId474" xr:uid="{00000000-0004-0000-0000-0000D9010000}"/>
    <hyperlink ref="B441" r:id="rId475" xr:uid="{00000000-0004-0000-0000-0000DA010000}"/>
    <hyperlink ref="B442" r:id="rId476" xr:uid="{00000000-0004-0000-0000-0000DB010000}"/>
    <hyperlink ref="B443" r:id="rId477" xr:uid="{00000000-0004-0000-0000-0000DC010000}"/>
    <hyperlink ref="B444" r:id="rId478" xr:uid="{00000000-0004-0000-0000-0000DD010000}"/>
    <hyperlink ref="B445" r:id="rId479" xr:uid="{00000000-0004-0000-0000-0000DE010000}"/>
    <hyperlink ref="B446" r:id="rId480" xr:uid="{00000000-0004-0000-0000-0000DF010000}"/>
    <hyperlink ref="B447" r:id="rId481" xr:uid="{00000000-0004-0000-0000-0000E0010000}"/>
    <hyperlink ref="B448" r:id="rId482" xr:uid="{00000000-0004-0000-0000-0000E1010000}"/>
    <hyperlink ref="B449" r:id="rId483" xr:uid="{00000000-0004-0000-0000-0000E2010000}"/>
    <hyperlink ref="B450" r:id="rId484" xr:uid="{00000000-0004-0000-0000-0000E3010000}"/>
    <hyperlink ref="B451" r:id="rId485" xr:uid="{00000000-0004-0000-0000-0000E4010000}"/>
    <hyperlink ref="B452" r:id="rId486" xr:uid="{00000000-0004-0000-0000-0000E5010000}"/>
    <hyperlink ref="B453" r:id="rId487" xr:uid="{00000000-0004-0000-0000-0000E6010000}"/>
    <hyperlink ref="B454" r:id="rId488" xr:uid="{00000000-0004-0000-0000-0000E7010000}"/>
    <hyperlink ref="B455" r:id="rId489" xr:uid="{00000000-0004-0000-0000-0000E8010000}"/>
    <hyperlink ref="I455" r:id="rId490" xr:uid="{00000000-0004-0000-0000-0000E9010000}"/>
    <hyperlink ref="B456" r:id="rId491" xr:uid="{00000000-0004-0000-0000-0000EA010000}"/>
    <hyperlink ref="B457" r:id="rId492" xr:uid="{00000000-0004-0000-0000-0000EB010000}"/>
    <hyperlink ref="B458" r:id="rId493" xr:uid="{00000000-0004-0000-0000-0000EC010000}"/>
    <hyperlink ref="B459" r:id="rId494" xr:uid="{00000000-0004-0000-0000-0000ED010000}"/>
    <hyperlink ref="B460" r:id="rId495" xr:uid="{00000000-0004-0000-0000-0000EE010000}"/>
    <hyperlink ref="B461" r:id="rId496" xr:uid="{00000000-0004-0000-0000-0000EF010000}"/>
    <hyperlink ref="B462" r:id="rId497" xr:uid="{00000000-0004-0000-0000-0000F0010000}"/>
    <hyperlink ref="B463" r:id="rId498" xr:uid="{00000000-0004-0000-0000-0000F1010000}"/>
    <hyperlink ref="B464" r:id="rId499" xr:uid="{00000000-0004-0000-0000-0000F2010000}"/>
    <hyperlink ref="B465" r:id="rId500" xr:uid="{00000000-0004-0000-0000-0000F3010000}"/>
    <hyperlink ref="B466" r:id="rId501" xr:uid="{00000000-0004-0000-0000-0000F4010000}"/>
    <hyperlink ref="B467" r:id="rId502" xr:uid="{00000000-0004-0000-0000-0000F5010000}"/>
    <hyperlink ref="B468" r:id="rId503" xr:uid="{00000000-0004-0000-0000-0000F6010000}"/>
    <hyperlink ref="B469" r:id="rId504" xr:uid="{00000000-0004-0000-0000-0000F7010000}"/>
    <hyperlink ref="B470" r:id="rId505" xr:uid="{00000000-0004-0000-0000-0000F8010000}"/>
    <hyperlink ref="B471" r:id="rId506" xr:uid="{00000000-0004-0000-0000-0000F9010000}"/>
    <hyperlink ref="B472" r:id="rId507" xr:uid="{00000000-0004-0000-0000-0000FA010000}"/>
    <hyperlink ref="I472" r:id="rId508" xr:uid="{00000000-0004-0000-0000-0000FB010000}"/>
    <hyperlink ref="B473" r:id="rId509" xr:uid="{00000000-0004-0000-0000-0000FC010000}"/>
    <hyperlink ref="B474" r:id="rId510" xr:uid="{00000000-0004-0000-0000-0000FD010000}"/>
    <hyperlink ref="B475" r:id="rId511" xr:uid="{00000000-0004-0000-0000-0000FE010000}"/>
    <hyperlink ref="B476" r:id="rId512" xr:uid="{00000000-0004-0000-0000-0000FF010000}"/>
    <hyperlink ref="B477" r:id="rId513" xr:uid="{00000000-0004-0000-0000-000000020000}"/>
    <hyperlink ref="B478" r:id="rId514" xr:uid="{00000000-0004-0000-0000-000001020000}"/>
    <hyperlink ref="J478" r:id="rId515" xr:uid="{00000000-0004-0000-0000-000002020000}"/>
    <hyperlink ref="B479" r:id="rId516" xr:uid="{00000000-0004-0000-0000-000003020000}"/>
    <hyperlink ref="B480" r:id="rId517" xr:uid="{00000000-0004-0000-0000-000004020000}"/>
    <hyperlink ref="B481" r:id="rId518" xr:uid="{00000000-0004-0000-0000-000005020000}"/>
    <hyperlink ref="B482" r:id="rId519" xr:uid="{00000000-0004-0000-0000-000006020000}"/>
    <hyperlink ref="B483" r:id="rId520" xr:uid="{00000000-0004-0000-0000-000007020000}"/>
    <hyperlink ref="B484" r:id="rId521" xr:uid="{00000000-0004-0000-0000-000008020000}"/>
    <hyperlink ref="B485" r:id="rId522" xr:uid="{00000000-0004-0000-0000-000009020000}"/>
    <hyperlink ref="B486" r:id="rId523" xr:uid="{00000000-0004-0000-0000-00000A020000}"/>
    <hyperlink ref="B487" r:id="rId524" xr:uid="{00000000-0004-0000-0000-00000B020000}"/>
    <hyperlink ref="B488" r:id="rId525" xr:uid="{00000000-0004-0000-0000-00000C020000}"/>
    <hyperlink ref="B489" r:id="rId526" xr:uid="{00000000-0004-0000-0000-00000D020000}"/>
    <hyperlink ref="B490" r:id="rId527" xr:uid="{00000000-0004-0000-0000-00000E020000}"/>
    <hyperlink ref="B491" r:id="rId528" xr:uid="{00000000-0004-0000-0000-00000F020000}"/>
    <hyperlink ref="B492" r:id="rId529" xr:uid="{00000000-0004-0000-0000-000010020000}"/>
    <hyperlink ref="B493" r:id="rId530" xr:uid="{00000000-0004-0000-0000-000011020000}"/>
    <hyperlink ref="B494" r:id="rId531" xr:uid="{00000000-0004-0000-0000-000012020000}"/>
    <hyperlink ref="B495" r:id="rId532" xr:uid="{00000000-0004-0000-0000-000013020000}"/>
    <hyperlink ref="B496" r:id="rId533" xr:uid="{00000000-0004-0000-0000-000014020000}"/>
    <hyperlink ref="B497" r:id="rId534" xr:uid="{00000000-0004-0000-0000-000015020000}"/>
    <hyperlink ref="B498" r:id="rId535" xr:uid="{00000000-0004-0000-0000-000016020000}"/>
    <hyperlink ref="B499" r:id="rId536" xr:uid="{00000000-0004-0000-0000-000017020000}"/>
    <hyperlink ref="B500" r:id="rId537" xr:uid="{00000000-0004-0000-0000-000018020000}"/>
    <hyperlink ref="B501" r:id="rId538" xr:uid="{00000000-0004-0000-0000-000019020000}"/>
    <hyperlink ref="B502" r:id="rId539" xr:uid="{00000000-0004-0000-0000-00001A020000}"/>
    <hyperlink ref="B503" r:id="rId540" xr:uid="{00000000-0004-0000-0000-00001B020000}"/>
    <hyperlink ref="B504" r:id="rId541" xr:uid="{00000000-0004-0000-0000-00001C020000}"/>
    <hyperlink ref="B505" r:id="rId542" xr:uid="{00000000-0004-0000-0000-00001D020000}"/>
    <hyperlink ref="B506" r:id="rId543" xr:uid="{00000000-0004-0000-0000-00001E020000}"/>
    <hyperlink ref="B507" r:id="rId544" xr:uid="{00000000-0004-0000-0000-00001F020000}"/>
    <hyperlink ref="B508" r:id="rId545" xr:uid="{00000000-0004-0000-0000-000020020000}"/>
    <hyperlink ref="B509" r:id="rId546" xr:uid="{00000000-0004-0000-0000-000021020000}"/>
    <hyperlink ref="B510" r:id="rId547" xr:uid="{00000000-0004-0000-0000-000022020000}"/>
    <hyperlink ref="B511" r:id="rId548" xr:uid="{00000000-0004-0000-0000-000023020000}"/>
    <hyperlink ref="B512" r:id="rId549" xr:uid="{00000000-0004-0000-0000-000024020000}"/>
    <hyperlink ref="B513" r:id="rId550" xr:uid="{00000000-0004-0000-0000-000025020000}"/>
    <hyperlink ref="B514" r:id="rId551" xr:uid="{00000000-0004-0000-0000-000026020000}"/>
    <hyperlink ref="B515" r:id="rId552" xr:uid="{00000000-0004-0000-0000-000027020000}"/>
    <hyperlink ref="B516" r:id="rId553" xr:uid="{00000000-0004-0000-0000-000028020000}"/>
    <hyperlink ref="B517" r:id="rId554" xr:uid="{00000000-0004-0000-0000-000029020000}"/>
    <hyperlink ref="B518" r:id="rId555" xr:uid="{00000000-0004-0000-0000-00002A020000}"/>
    <hyperlink ref="B519" r:id="rId556" xr:uid="{00000000-0004-0000-0000-00002B020000}"/>
    <hyperlink ref="B520" r:id="rId557" xr:uid="{00000000-0004-0000-0000-00002C020000}"/>
    <hyperlink ref="B521" r:id="rId558" xr:uid="{00000000-0004-0000-0000-00002D020000}"/>
    <hyperlink ref="B522" r:id="rId559" xr:uid="{00000000-0004-0000-0000-00002E020000}"/>
    <hyperlink ref="B523" r:id="rId560" xr:uid="{00000000-0004-0000-0000-00002F020000}"/>
    <hyperlink ref="I523" r:id="rId561" xr:uid="{00000000-0004-0000-0000-000030020000}"/>
    <hyperlink ref="B524" r:id="rId562" xr:uid="{00000000-0004-0000-0000-000031020000}"/>
    <hyperlink ref="B525" r:id="rId563" xr:uid="{00000000-0004-0000-0000-000032020000}"/>
    <hyperlink ref="B526" r:id="rId564" xr:uid="{00000000-0004-0000-0000-000033020000}"/>
    <hyperlink ref="B527" r:id="rId565" xr:uid="{00000000-0004-0000-0000-000034020000}"/>
    <hyperlink ref="B528" r:id="rId566" xr:uid="{00000000-0004-0000-0000-000035020000}"/>
    <hyperlink ref="B529" r:id="rId567" xr:uid="{00000000-0004-0000-0000-000036020000}"/>
    <hyperlink ref="B530" r:id="rId568" xr:uid="{00000000-0004-0000-0000-000037020000}"/>
    <hyperlink ref="I530" r:id="rId569" xr:uid="{00000000-0004-0000-0000-000038020000}"/>
    <hyperlink ref="B531" r:id="rId570" xr:uid="{00000000-0004-0000-0000-000039020000}"/>
    <hyperlink ref="I531" r:id="rId571" xr:uid="{00000000-0004-0000-0000-00003A020000}"/>
    <hyperlink ref="B532" r:id="rId572" xr:uid="{00000000-0004-0000-0000-00003B020000}"/>
    <hyperlink ref="B533" r:id="rId573" xr:uid="{00000000-0004-0000-0000-00003C020000}"/>
    <hyperlink ref="B534" r:id="rId574" xr:uid="{00000000-0004-0000-0000-00003D020000}"/>
    <hyperlink ref="B535" r:id="rId575" xr:uid="{00000000-0004-0000-0000-00003E020000}"/>
    <hyperlink ref="B536" r:id="rId576" xr:uid="{00000000-0004-0000-0000-00003F020000}"/>
    <hyperlink ref="J536" r:id="rId577" xr:uid="{00000000-0004-0000-0000-000040020000}"/>
    <hyperlink ref="B537" r:id="rId578" xr:uid="{00000000-0004-0000-0000-000041020000}"/>
    <hyperlink ref="B538" r:id="rId579" xr:uid="{00000000-0004-0000-0000-000042020000}"/>
    <hyperlink ref="B539" r:id="rId580" xr:uid="{00000000-0004-0000-0000-000043020000}"/>
    <hyperlink ref="B540" r:id="rId581" xr:uid="{00000000-0004-0000-0000-000044020000}"/>
    <hyperlink ref="B541" r:id="rId582" xr:uid="{00000000-0004-0000-0000-000045020000}"/>
    <hyperlink ref="B542" r:id="rId583" xr:uid="{00000000-0004-0000-0000-000046020000}"/>
    <hyperlink ref="B543" r:id="rId584" xr:uid="{00000000-0004-0000-0000-000047020000}"/>
    <hyperlink ref="B544" r:id="rId585" xr:uid="{00000000-0004-0000-0000-000048020000}"/>
    <hyperlink ref="B545" r:id="rId586" xr:uid="{00000000-0004-0000-0000-000049020000}"/>
    <hyperlink ref="B546" r:id="rId587" xr:uid="{00000000-0004-0000-0000-00004A020000}"/>
    <hyperlink ref="B547" r:id="rId588" xr:uid="{00000000-0004-0000-0000-00004B020000}"/>
    <hyperlink ref="B548" r:id="rId589" xr:uid="{00000000-0004-0000-0000-00004C020000}"/>
    <hyperlink ref="J548" r:id="rId590" xr:uid="{00000000-0004-0000-0000-00004D020000}"/>
    <hyperlink ref="B549" r:id="rId591" xr:uid="{00000000-0004-0000-0000-00004E020000}"/>
    <hyperlink ref="B550" r:id="rId592" xr:uid="{00000000-0004-0000-0000-00004F020000}"/>
    <hyperlink ref="I550" r:id="rId593" xr:uid="{00000000-0004-0000-0000-000050020000}"/>
    <hyperlink ref="B551" r:id="rId594" xr:uid="{00000000-0004-0000-0000-000051020000}"/>
    <hyperlink ref="B552" r:id="rId595" xr:uid="{00000000-0004-0000-0000-000052020000}"/>
    <hyperlink ref="B553" r:id="rId596" xr:uid="{00000000-0004-0000-0000-000053020000}"/>
    <hyperlink ref="B554" r:id="rId597" xr:uid="{00000000-0004-0000-0000-000054020000}"/>
    <hyperlink ref="B555" r:id="rId598" xr:uid="{00000000-0004-0000-0000-000055020000}"/>
    <hyperlink ref="B556" r:id="rId599" xr:uid="{00000000-0004-0000-0000-000056020000}"/>
    <hyperlink ref="B557" r:id="rId600" xr:uid="{00000000-0004-0000-0000-000057020000}"/>
    <hyperlink ref="B558" r:id="rId601" xr:uid="{00000000-0004-0000-0000-000058020000}"/>
    <hyperlink ref="B559" r:id="rId602" xr:uid="{00000000-0004-0000-0000-000059020000}"/>
    <hyperlink ref="B560" r:id="rId603" xr:uid="{00000000-0004-0000-0000-00005A020000}"/>
    <hyperlink ref="B561" r:id="rId604" xr:uid="{00000000-0004-0000-0000-00005B020000}"/>
    <hyperlink ref="B562" r:id="rId605" xr:uid="{00000000-0004-0000-0000-00005C020000}"/>
    <hyperlink ref="B563" r:id="rId606" xr:uid="{00000000-0004-0000-0000-00005D020000}"/>
    <hyperlink ref="B564" r:id="rId607" xr:uid="{00000000-0004-0000-0000-00005E020000}"/>
    <hyperlink ref="B565" r:id="rId608" xr:uid="{00000000-0004-0000-0000-00005F020000}"/>
    <hyperlink ref="B566" r:id="rId609" xr:uid="{00000000-0004-0000-0000-000060020000}"/>
    <hyperlink ref="B567" r:id="rId610" xr:uid="{00000000-0004-0000-0000-000061020000}"/>
    <hyperlink ref="B568" r:id="rId611" xr:uid="{00000000-0004-0000-0000-000062020000}"/>
    <hyperlink ref="B569" r:id="rId612" xr:uid="{00000000-0004-0000-0000-000063020000}"/>
    <hyperlink ref="B570" r:id="rId613" xr:uid="{00000000-0004-0000-0000-000064020000}"/>
    <hyperlink ref="B571" r:id="rId614" xr:uid="{00000000-0004-0000-0000-000065020000}"/>
    <hyperlink ref="B572" r:id="rId615" xr:uid="{00000000-0004-0000-0000-000066020000}"/>
    <hyperlink ref="B573" r:id="rId616" xr:uid="{00000000-0004-0000-0000-000067020000}"/>
    <hyperlink ref="B574" r:id="rId617" xr:uid="{00000000-0004-0000-0000-000068020000}"/>
    <hyperlink ref="B575" r:id="rId618" xr:uid="{00000000-0004-0000-0000-000069020000}"/>
    <hyperlink ref="I575" r:id="rId619" xr:uid="{00000000-0004-0000-0000-00006A020000}"/>
    <hyperlink ref="B576" r:id="rId620" xr:uid="{00000000-0004-0000-0000-00006B020000}"/>
    <hyperlink ref="B577" r:id="rId621" xr:uid="{00000000-0004-0000-0000-00006C020000}"/>
    <hyperlink ref="B578" r:id="rId622" xr:uid="{00000000-0004-0000-0000-00006D020000}"/>
    <hyperlink ref="B579" r:id="rId623" xr:uid="{00000000-0004-0000-0000-00006E020000}"/>
    <hyperlink ref="B580" r:id="rId624" xr:uid="{00000000-0004-0000-0000-00006F020000}"/>
    <hyperlink ref="B581" r:id="rId625" xr:uid="{00000000-0004-0000-0000-000070020000}"/>
    <hyperlink ref="B582" r:id="rId626" xr:uid="{00000000-0004-0000-0000-000071020000}"/>
    <hyperlink ref="B583" r:id="rId627" xr:uid="{00000000-0004-0000-0000-000072020000}"/>
    <hyperlink ref="B584" r:id="rId628" xr:uid="{00000000-0004-0000-0000-000073020000}"/>
    <hyperlink ref="B585" r:id="rId629" xr:uid="{00000000-0004-0000-0000-000074020000}"/>
    <hyperlink ref="B586" r:id="rId630" xr:uid="{00000000-0004-0000-0000-000075020000}"/>
    <hyperlink ref="B587" r:id="rId631" xr:uid="{00000000-0004-0000-0000-000076020000}"/>
    <hyperlink ref="I587" r:id="rId632" xr:uid="{00000000-0004-0000-0000-000077020000}"/>
    <hyperlink ref="B588" r:id="rId633" xr:uid="{00000000-0004-0000-0000-000078020000}"/>
    <hyperlink ref="B589" r:id="rId634" xr:uid="{00000000-0004-0000-0000-000079020000}"/>
    <hyperlink ref="I589" r:id="rId635" xr:uid="{00000000-0004-0000-0000-00007A020000}"/>
    <hyperlink ref="B590" r:id="rId636" xr:uid="{00000000-0004-0000-0000-00007B020000}"/>
    <hyperlink ref="B591" r:id="rId637" xr:uid="{00000000-0004-0000-0000-00007C020000}"/>
    <hyperlink ref="B592" r:id="rId638" xr:uid="{00000000-0004-0000-0000-00007D020000}"/>
    <hyperlink ref="B593" r:id="rId639" xr:uid="{00000000-0004-0000-0000-00007E020000}"/>
    <hyperlink ref="B594" r:id="rId640" xr:uid="{00000000-0004-0000-0000-00007F020000}"/>
    <hyperlink ref="B595" r:id="rId641" xr:uid="{00000000-0004-0000-0000-000080020000}"/>
    <hyperlink ref="B596" r:id="rId642" xr:uid="{00000000-0004-0000-0000-000081020000}"/>
    <hyperlink ref="B597" r:id="rId643" xr:uid="{00000000-0004-0000-0000-000082020000}"/>
    <hyperlink ref="B598" r:id="rId644" xr:uid="{00000000-0004-0000-0000-000083020000}"/>
    <hyperlink ref="B599" r:id="rId645" xr:uid="{00000000-0004-0000-0000-000084020000}"/>
    <hyperlink ref="B600" r:id="rId646" xr:uid="{00000000-0004-0000-0000-000085020000}"/>
    <hyperlink ref="B601" r:id="rId647" xr:uid="{00000000-0004-0000-0000-000086020000}"/>
    <hyperlink ref="B602" r:id="rId648" xr:uid="{00000000-0004-0000-0000-000087020000}"/>
    <hyperlink ref="B603" r:id="rId649" xr:uid="{00000000-0004-0000-0000-000088020000}"/>
    <hyperlink ref="B604" r:id="rId650" xr:uid="{00000000-0004-0000-0000-000089020000}"/>
    <hyperlink ref="B605" r:id="rId651" xr:uid="{00000000-0004-0000-0000-00008A020000}"/>
    <hyperlink ref="B606" r:id="rId652" xr:uid="{00000000-0004-0000-0000-00008B020000}"/>
    <hyperlink ref="I606" r:id="rId653" xr:uid="{00000000-0004-0000-0000-00008C020000}"/>
    <hyperlink ref="B607" r:id="rId654" xr:uid="{00000000-0004-0000-0000-00008D020000}"/>
    <hyperlink ref="I607" r:id="rId655" xr:uid="{00000000-0004-0000-0000-00008E020000}"/>
    <hyperlink ref="B608" r:id="rId656" xr:uid="{00000000-0004-0000-0000-00008F020000}"/>
    <hyperlink ref="B609" r:id="rId657" xr:uid="{00000000-0004-0000-0000-000090020000}"/>
    <hyperlink ref="B610" r:id="rId658" xr:uid="{00000000-0004-0000-0000-000091020000}"/>
    <hyperlink ref="B611" r:id="rId659" xr:uid="{00000000-0004-0000-0000-000092020000}"/>
    <hyperlink ref="B612" r:id="rId660" xr:uid="{00000000-0004-0000-0000-000093020000}"/>
    <hyperlink ref="B613" r:id="rId661" xr:uid="{00000000-0004-0000-0000-000094020000}"/>
    <hyperlink ref="B614" r:id="rId662" xr:uid="{00000000-0004-0000-0000-000095020000}"/>
    <hyperlink ref="B615" r:id="rId663" xr:uid="{00000000-0004-0000-0000-000096020000}"/>
    <hyperlink ref="B616" r:id="rId664" xr:uid="{00000000-0004-0000-0000-000097020000}"/>
    <hyperlink ref="B617" r:id="rId665" xr:uid="{00000000-0004-0000-0000-000098020000}"/>
    <hyperlink ref="B618" r:id="rId666" xr:uid="{00000000-0004-0000-0000-000099020000}"/>
    <hyperlink ref="B619" r:id="rId667" xr:uid="{00000000-0004-0000-0000-00009A020000}"/>
    <hyperlink ref="J619" r:id="rId668" xr:uid="{00000000-0004-0000-0000-00009B020000}"/>
    <hyperlink ref="B620" r:id="rId669" xr:uid="{00000000-0004-0000-0000-00009C020000}"/>
    <hyperlink ref="I620" r:id="rId670" xr:uid="{00000000-0004-0000-0000-00009D020000}"/>
    <hyperlink ref="B621" r:id="rId671" xr:uid="{00000000-0004-0000-0000-00009E020000}"/>
    <hyperlink ref="B622" r:id="rId672" xr:uid="{00000000-0004-0000-0000-00009F020000}"/>
    <hyperlink ref="B623" r:id="rId673" xr:uid="{00000000-0004-0000-0000-0000A0020000}"/>
    <hyperlink ref="J623" r:id="rId674" xr:uid="{00000000-0004-0000-0000-0000A1020000}"/>
    <hyperlink ref="B624" r:id="rId675" xr:uid="{00000000-0004-0000-0000-0000A2020000}"/>
    <hyperlink ref="J624" r:id="rId676" xr:uid="{00000000-0004-0000-0000-0000A3020000}"/>
    <hyperlink ref="B625" r:id="rId677" xr:uid="{00000000-0004-0000-0000-0000A4020000}"/>
    <hyperlink ref="B626" r:id="rId678" xr:uid="{00000000-0004-0000-0000-0000A5020000}"/>
    <hyperlink ref="B627" r:id="rId679" xr:uid="{00000000-0004-0000-0000-0000A6020000}"/>
    <hyperlink ref="B628" r:id="rId680" xr:uid="{00000000-0004-0000-0000-0000A7020000}"/>
    <hyperlink ref="B629" r:id="rId681" xr:uid="{00000000-0004-0000-0000-0000A8020000}"/>
    <hyperlink ref="B630" r:id="rId682" xr:uid="{00000000-0004-0000-0000-0000A9020000}"/>
    <hyperlink ref="B631" r:id="rId683" xr:uid="{00000000-0004-0000-0000-0000AA020000}"/>
    <hyperlink ref="B632" r:id="rId684" xr:uid="{00000000-0004-0000-0000-0000AB020000}"/>
    <hyperlink ref="B633" r:id="rId685" xr:uid="{00000000-0004-0000-0000-0000AC020000}"/>
    <hyperlink ref="B634" r:id="rId686" xr:uid="{00000000-0004-0000-0000-0000AD020000}"/>
    <hyperlink ref="B635" r:id="rId687" xr:uid="{00000000-0004-0000-0000-0000AE020000}"/>
    <hyperlink ref="B636" r:id="rId688" xr:uid="{00000000-0004-0000-0000-0000AF020000}"/>
    <hyperlink ref="B637" r:id="rId689" xr:uid="{00000000-0004-0000-0000-0000B0020000}"/>
    <hyperlink ref="B638" r:id="rId690" xr:uid="{00000000-0004-0000-0000-0000B1020000}"/>
    <hyperlink ref="B639" r:id="rId691" xr:uid="{00000000-0004-0000-0000-0000B2020000}"/>
    <hyperlink ref="B640" r:id="rId692" xr:uid="{00000000-0004-0000-0000-0000B3020000}"/>
    <hyperlink ref="B641" r:id="rId693" xr:uid="{00000000-0004-0000-0000-0000B4020000}"/>
    <hyperlink ref="B642" r:id="rId694" xr:uid="{00000000-0004-0000-0000-0000B5020000}"/>
    <hyperlink ref="B643" r:id="rId695" xr:uid="{00000000-0004-0000-0000-0000B6020000}"/>
    <hyperlink ref="B644" r:id="rId696" xr:uid="{00000000-0004-0000-0000-0000B7020000}"/>
    <hyperlink ref="B645" r:id="rId697" xr:uid="{00000000-0004-0000-0000-0000B8020000}"/>
    <hyperlink ref="B646" r:id="rId698" xr:uid="{00000000-0004-0000-0000-0000B9020000}"/>
    <hyperlink ref="B647" r:id="rId699" xr:uid="{00000000-0004-0000-0000-0000BA020000}"/>
    <hyperlink ref="B648" r:id="rId700" xr:uid="{00000000-0004-0000-0000-0000BB020000}"/>
    <hyperlink ref="B649" r:id="rId701" xr:uid="{00000000-0004-0000-0000-0000BC020000}"/>
    <hyperlink ref="B650" r:id="rId702" xr:uid="{00000000-0004-0000-0000-0000BD020000}"/>
    <hyperlink ref="B651" r:id="rId703" xr:uid="{00000000-0004-0000-0000-0000BE020000}"/>
    <hyperlink ref="B652" r:id="rId704" xr:uid="{00000000-0004-0000-0000-0000BF020000}"/>
    <hyperlink ref="B653" r:id="rId705" xr:uid="{00000000-0004-0000-0000-0000C0020000}"/>
    <hyperlink ref="I653" r:id="rId706" xr:uid="{00000000-0004-0000-0000-0000C1020000}"/>
    <hyperlink ref="B654" r:id="rId707" xr:uid="{00000000-0004-0000-0000-0000C2020000}"/>
    <hyperlink ref="B655" r:id="rId708" xr:uid="{00000000-0004-0000-0000-0000C3020000}"/>
    <hyperlink ref="B656" r:id="rId709" xr:uid="{00000000-0004-0000-0000-0000C4020000}"/>
    <hyperlink ref="B657" r:id="rId710" xr:uid="{00000000-0004-0000-0000-0000C5020000}"/>
    <hyperlink ref="J657" r:id="rId711" xr:uid="{00000000-0004-0000-0000-0000C6020000}"/>
    <hyperlink ref="B658" r:id="rId712" xr:uid="{00000000-0004-0000-0000-0000C7020000}"/>
    <hyperlink ref="B659" r:id="rId713" xr:uid="{00000000-0004-0000-0000-0000C8020000}"/>
    <hyperlink ref="B660" r:id="rId714" xr:uid="{00000000-0004-0000-0000-0000C9020000}"/>
    <hyperlink ref="J660" r:id="rId715" xr:uid="{00000000-0004-0000-0000-0000CA020000}"/>
    <hyperlink ref="B661" r:id="rId716" xr:uid="{00000000-0004-0000-0000-0000CB020000}"/>
    <hyperlink ref="B662" r:id="rId717" xr:uid="{00000000-0004-0000-0000-0000CC020000}"/>
    <hyperlink ref="B663" r:id="rId718" xr:uid="{00000000-0004-0000-0000-0000CD020000}"/>
    <hyperlink ref="B664" r:id="rId719" xr:uid="{00000000-0004-0000-0000-0000CE020000}"/>
    <hyperlink ref="B665" r:id="rId720" xr:uid="{00000000-0004-0000-0000-0000CF020000}"/>
    <hyperlink ref="B666" r:id="rId721" xr:uid="{00000000-0004-0000-0000-0000D0020000}"/>
    <hyperlink ref="B667" r:id="rId722" xr:uid="{00000000-0004-0000-0000-0000D1020000}"/>
    <hyperlink ref="B668" r:id="rId723" xr:uid="{00000000-0004-0000-0000-0000D2020000}"/>
    <hyperlink ref="B669" r:id="rId724" xr:uid="{00000000-0004-0000-0000-0000D3020000}"/>
    <hyperlink ref="B670" r:id="rId725" xr:uid="{00000000-0004-0000-0000-0000D4020000}"/>
    <hyperlink ref="B671" r:id="rId726" xr:uid="{00000000-0004-0000-0000-0000D5020000}"/>
    <hyperlink ref="B672" r:id="rId727" xr:uid="{00000000-0004-0000-0000-0000D6020000}"/>
    <hyperlink ref="B673" r:id="rId728" xr:uid="{00000000-0004-0000-0000-0000D7020000}"/>
    <hyperlink ref="B674" r:id="rId729" xr:uid="{00000000-0004-0000-0000-0000D8020000}"/>
    <hyperlink ref="B675" r:id="rId730" xr:uid="{00000000-0004-0000-0000-0000D9020000}"/>
    <hyperlink ref="B676" r:id="rId731" xr:uid="{00000000-0004-0000-0000-0000DA020000}"/>
    <hyperlink ref="B677" r:id="rId732" xr:uid="{00000000-0004-0000-0000-0000DB020000}"/>
    <hyperlink ref="B678" r:id="rId733" xr:uid="{00000000-0004-0000-0000-0000DC020000}"/>
    <hyperlink ref="B679" r:id="rId734" xr:uid="{00000000-0004-0000-0000-0000DD020000}"/>
    <hyperlink ref="B680" r:id="rId735" xr:uid="{00000000-0004-0000-0000-0000DE020000}"/>
    <hyperlink ref="B681" r:id="rId736" xr:uid="{00000000-0004-0000-0000-0000DF020000}"/>
    <hyperlink ref="B682" r:id="rId737" xr:uid="{00000000-0004-0000-0000-0000E0020000}"/>
    <hyperlink ref="B683" r:id="rId738" xr:uid="{00000000-0004-0000-0000-0000E1020000}"/>
    <hyperlink ref="B684" r:id="rId739" xr:uid="{00000000-0004-0000-0000-0000E2020000}"/>
    <hyperlink ref="J684" r:id="rId740" xr:uid="{00000000-0004-0000-0000-0000E3020000}"/>
    <hyperlink ref="B685" r:id="rId741" xr:uid="{00000000-0004-0000-0000-0000E4020000}"/>
    <hyperlink ref="B686" r:id="rId742" xr:uid="{00000000-0004-0000-0000-0000E5020000}"/>
    <hyperlink ref="B687" r:id="rId743" xr:uid="{00000000-0004-0000-0000-0000E6020000}"/>
    <hyperlink ref="J687" r:id="rId744" xr:uid="{00000000-0004-0000-0000-0000E7020000}"/>
    <hyperlink ref="B688" r:id="rId745" xr:uid="{00000000-0004-0000-0000-0000E8020000}"/>
    <hyperlink ref="B689" r:id="rId746" xr:uid="{00000000-0004-0000-0000-0000E9020000}"/>
    <hyperlink ref="B690" r:id="rId747" xr:uid="{00000000-0004-0000-0000-0000EA020000}"/>
    <hyperlink ref="B691" r:id="rId748" xr:uid="{00000000-0004-0000-0000-0000EB020000}"/>
    <hyperlink ref="I691" r:id="rId749" xr:uid="{00000000-0004-0000-0000-0000EC020000}"/>
    <hyperlink ref="B692" r:id="rId750" xr:uid="{00000000-0004-0000-0000-0000ED020000}"/>
    <hyperlink ref="B693" r:id="rId751" xr:uid="{00000000-0004-0000-0000-0000EE020000}"/>
    <hyperlink ref="B694" r:id="rId752" xr:uid="{00000000-0004-0000-0000-0000EF020000}"/>
    <hyperlink ref="J694" r:id="rId753" xr:uid="{00000000-0004-0000-0000-0000F0020000}"/>
    <hyperlink ref="B695" r:id="rId754" xr:uid="{00000000-0004-0000-0000-0000F1020000}"/>
    <hyperlink ref="B696" r:id="rId755" xr:uid="{00000000-0004-0000-0000-0000F2020000}"/>
    <hyperlink ref="B697" r:id="rId756" xr:uid="{00000000-0004-0000-0000-0000F3020000}"/>
    <hyperlink ref="B698" r:id="rId757" xr:uid="{00000000-0004-0000-0000-0000F4020000}"/>
    <hyperlink ref="B699" r:id="rId758" xr:uid="{00000000-0004-0000-0000-0000F5020000}"/>
    <hyperlink ref="B700" r:id="rId759" xr:uid="{00000000-0004-0000-0000-0000F6020000}"/>
    <hyperlink ref="B701" r:id="rId760" xr:uid="{00000000-0004-0000-0000-0000F7020000}"/>
    <hyperlink ref="B702" r:id="rId761" xr:uid="{00000000-0004-0000-0000-0000F8020000}"/>
    <hyperlink ref="B703" r:id="rId762" xr:uid="{00000000-0004-0000-0000-0000F9020000}"/>
    <hyperlink ref="B704" r:id="rId763" xr:uid="{00000000-0004-0000-0000-0000FA020000}"/>
    <hyperlink ref="B705" r:id="rId764" xr:uid="{00000000-0004-0000-0000-0000FB020000}"/>
    <hyperlink ref="B706" r:id="rId765" xr:uid="{00000000-0004-0000-0000-0000FC020000}"/>
    <hyperlink ref="B707" r:id="rId766" xr:uid="{00000000-0004-0000-0000-0000FD020000}"/>
    <hyperlink ref="B708" r:id="rId767" xr:uid="{00000000-0004-0000-0000-0000FE020000}"/>
    <hyperlink ref="J708" r:id="rId768" xr:uid="{00000000-0004-0000-0000-0000FF020000}"/>
    <hyperlink ref="B709" r:id="rId769" xr:uid="{00000000-0004-0000-0000-000000030000}"/>
    <hyperlink ref="J709" r:id="rId770" xr:uid="{00000000-0004-0000-0000-000001030000}"/>
    <hyperlink ref="B710" r:id="rId771" xr:uid="{00000000-0004-0000-0000-000002030000}"/>
    <hyperlink ref="B711" r:id="rId772" xr:uid="{00000000-0004-0000-0000-000003030000}"/>
    <hyperlink ref="B712" r:id="rId773" xr:uid="{00000000-0004-0000-0000-000004030000}"/>
    <hyperlink ref="B713" r:id="rId774" xr:uid="{00000000-0004-0000-0000-000005030000}"/>
    <hyperlink ref="B714" r:id="rId775" xr:uid="{00000000-0004-0000-0000-000006030000}"/>
    <hyperlink ref="B715" r:id="rId776" xr:uid="{00000000-0004-0000-0000-000007030000}"/>
    <hyperlink ref="B716" r:id="rId777" xr:uid="{00000000-0004-0000-0000-000008030000}"/>
    <hyperlink ref="B717" r:id="rId778" xr:uid="{00000000-0004-0000-0000-000009030000}"/>
    <hyperlink ref="B718" r:id="rId779" xr:uid="{00000000-0004-0000-0000-00000A030000}"/>
    <hyperlink ref="B719" r:id="rId780" xr:uid="{00000000-0004-0000-0000-00000B030000}"/>
    <hyperlink ref="B720" r:id="rId781" xr:uid="{00000000-0004-0000-0000-00000C030000}"/>
    <hyperlink ref="B721" r:id="rId782" xr:uid="{00000000-0004-0000-0000-00000D030000}"/>
    <hyperlink ref="B722" r:id="rId783" xr:uid="{00000000-0004-0000-0000-00000E030000}"/>
    <hyperlink ref="B723" r:id="rId784" xr:uid="{00000000-0004-0000-0000-00000F030000}"/>
    <hyperlink ref="B724" r:id="rId785" xr:uid="{00000000-0004-0000-0000-000010030000}"/>
    <hyperlink ref="B725" r:id="rId786" xr:uid="{00000000-0004-0000-0000-000011030000}"/>
    <hyperlink ref="B726" r:id="rId787" xr:uid="{00000000-0004-0000-0000-000012030000}"/>
    <hyperlink ref="B727" r:id="rId788" xr:uid="{00000000-0004-0000-0000-000013030000}"/>
    <hyperlink ref="B728" r:id="rId789" xr:uid="{00000000-0004-0000-0000-000014030000}"/>
    <hyperlink ref="B729" r:id="rId790" xr:uid="{00000000-0004-0000-0000-000015030000}"/>
    <hyperlink ref="B730" r:id="rId791" xr:uid="{00000000-0004-0000-0000-000016030000}"/>
    <hyperlink ref="B731" r:id="rId792" xr:uid="{00000000-0004-0000-0000-000017030000}"/>
    <hyperlink ref="B732" r:id="rId793" xr:uid="{00000000-0004-0000-0000-000018030000}"/>
    <hyperlink ref="J732" r:id="rId794" xr:uid="{00000000-0004-0000-0000-000019030000}"/>
    <hyperlink ref="B733" r:id="rId795" xr:uid="{00000000-0004-0000-0000-00001A030000}"/>
    <hyperlink ref="B734" r:id="rId796" xr:uid="{00000000-0004-0000-0000-00001B030000}"/>
    <hyperlink ref="J734" r:id="rId797" xr:uid="{00000000-0004-0000-0000-00001C030000}"/>
    <hyperlink ref="B735" r:id="rId798" xr:uid="{00000000-0004-0000-0000-00001D030000}"/>
    <hyperlink ref="B736" r:id="rId799" xr:uid="{00000000-0004-0000-0000-00001E030000}"/>
    <hyperlink ref="B737" r:id="rId800" xr:uid="{00000000-0004-0000-0000-00001F030000}"/>
    <hyperlink ref="B738" r:id="rId801" xr:uid="{00000000-0004-0000-0000-000020030000}"/>
    <hyperlink ref="B739" r:id="rId802" xr:uid="{00000000-0004-0000-0000-000021030000}"/>
    <hyperlink ref="B740" r:id="rId803" xr:uid="{00000000-0004-0000-0000-000022030000}"/>
    <hyperlink ref="B741" r:id="rId804" xr:uid="{00000000-0004-0000-0000-000023030000}"/>
    <hyperlink ref="B742" r:id="rId805" xr:uid="{00000000-0004-0000-0000-000024030000}"/>
    <hyperlink ref="B743" r:id="rId806" xr:uid="{00000000-0004-0000-0000-000025030000}"/>
    <hyperlink ref="B744" r:id="rId807" xr:uid="{00000000-0004-0000-0000-000026030000}"/>
    <hyperlink ref="B745" r:id="rId808" xr:uid="{00000000-0004-0000-0000-000027030000}"/>
    <hyperlink ref="B746" r:id="rId809" xr:uid="{00000000-0004-0000-0000-000028030000}"/>
    <hyperlink ref="B747" r:id="rId810" xr:uid="{00000000-0004-0000-0000-000029030000}"/>
    <hyperlink ref="B748" r:id="rId811" xr:uid="{00000000-0004-0000-0000-00002A030000}"/>
    <hyperlink ref="B749" r:id="rId812" xr:uid="{00000000-0004-0000-0000-00002B030000}"/>
    <hyperlink ref="B750" r:id="rId813" xr:uid="{00000000-0004-0000-0000-00002C030000}"/>
    <hyperlink ref="B751" r:id="rId814" xr:uid="{00000000-0004-0000-0000-00002D030000}"/>
    <hyperlink ref="B752" r:id="rId815" xr:uid="{00000000-0004-0000-0000-00002E030000}"/>
    <hyperlink ref="B753" r:id="rId816" xr:uid="{00000000-0004-0000-0000-00002F030000}"/>
    <hyperlink ref="B754" r:id="rId817" xr:uid="{00000000-0004-0000-0000-000030030000}"/>
    <hyperlink ref="B755" r:id="rId818" xr:uid="{00000000-0004-0000-0000-000031030000}"/>
    <hyperlink ref="B756" r:id="rId819" xr:uid="{00000000-0004-0000-0000-000032030000}"/>
    <hyperlink ref="B757" r:id="rId820" xr:uid="{00000000-0004-0000-0000-000033030000}"/>
    <hyperlink ref="B758" r:id="rId821" xr:uid="{00000000-0004-0000-0000-000034030000}"/>
    <hyperlink ref="B759" r:id="rId822" xr:uid="{00000000-0004-0000-0000-000035030000}"/>
    <hyperlink ref="I759" r:id="rId823" xr:uid="{00000000-0004-0000-0000-000036030000}"/>
    <hyperlink ref="B760" r:id="rId824" xr:uid="{00000000-0004-0000-0000-000037030000}"/>
    <hyperlink ref="B761" r:id="rId825" xr:uid="{00000000-0004-0000-0000-000038030000}"/>
    <hyperlink ref="B762" r:id="rId826" xr:uid="{00000000-0004-0000-0000-000039030000}"/>
    <hyperlink ref="B763" r:id="rId827" xr:uid="{00000000-0004-0000-0000-00003A030000}"/>
    <hyperlink ref="B764" r:id="rId828" xr:uid="{00000000-0004-0000-0000-00003B030000}"/>
    <hyperlink ref="B765" r:id="rId829" xr:uid="{00000000-0004-0000-0000-00003C030000}"/>
    <hyperlink ref="B766" r:id="rId830" xr:uid="{00000000-0004-0000-0000-00003D030000}"/>
    <hyperlink ref="B767" r:id="rId831" xr:uid="{00000000-0004-0000-0000-00003E030000}"/>
    <hyperlink ref="J767" r:id="rId832" xr:uid="{00000000-0004-0000-0000-00003F030000}"/>
    <hyperlink ref="B768" r:id="rId833" xr:uid="{00000000-0004-0000-0000-000040030000}"/>
    <hyperlink ref="B769" r:id="rId834" xr:uid="{00000000-0004-0000-0000-000041030000}"/>
    <hyperlink ref="B770" r:id="rId835" xr:uid="{00000000-0004-0000-0000-000042030000}"/>
    <hyperlink ref="B771" r:id="rId836" xr:uid="{00000000-0004-0000-0000-000043030000}"/>
    <hyperlink ref="B772" r:id="rId837" xr:uid="{00000000-0004-0000-0000-000044030000}"/>
    <hyperlink ref="B773" r:id="rId838" xr:uid="{00000000-0004-0000-0000-000045030000}"/>
    <hyperlink ref="B774" r:id="rId839" xr:uid="{00000000-0004-0000-0000-000046030000}"/>
    <hyperlink ref="B775" r:id="rId840" xr:uid="{00000000-0004-0000-0000-000047030000}"/>
    <hyperlink ref="B776" r:id="rId841" xr:uid="{00000000-0004-0000-0000-000048030000}"/>
    <hyperlink ref="B777" r:id="rId842" xr:uid="{00000000-0004-0000-0000-000049030000}"/>
    <hyperlink ref="B778" r:id="rId843" xr:uid="{00000000-0004-0000-0000-00004A030000}"/>
    <hyperlink ref="B779" r:id="rId844" xr:uid="{00000000-0004-0000-0000-00004B030000}"/>
    <hyperlink ref="B780" r:id="rId845" xr:uid="{00000000-0004-0000-0000-00004C030000}"/>
    <hyperlink ref="B781" r:id="rId846" xr:uid="{00000000-0004-0000-0000-00004D030000}"/>
    <hyperlink ref="B782" r:id="rId847" xr:uid="{00000000-0004-0000-0000-00004E030000}"/>
    <hyperlink ref="B783" r:id="rId848" xr:uid="{00000000-0004-0000-0000-00004F030000}"/>
    <hyperlink ref="B784" r:id="rId849" xr:uid="{00000000-0004-0000-0000-000050030000}"/>
    <hyperlink ref="B785" r:id="rId850" xr:uid="{00000000-0004-0000-0000-000051030000}"/>
    <hyperlink ref="B786" r:id="rId851" xr:uid="{00000000-0004-0000-0000-000052030000}"/>
    <hyperlink ref="B787" r:id="rId852" xr:uid="{00000000-0004-0000-0000-000053030000}"/>
    <hyperlink ref="B788" r:id="rId853" xr:uid="{00000000-0004-0000-0000-000054030000}"/>
    <hyperlink ref="I788" r:id="rId854" xr:uid="{00000000-0004-0000-0000-000055030000}"/>
    <hyperlink ref="B789" r:id="rId855" xr:uid="{00000000-0004-0000-0000-000056030000}"/>
    <hyperlink ref="B790" r:id="rId856" xr:uid="{00000000-0004-0000-0000-000057030000}"/>
    <hyperlink ref="B791" r:id="rId857" xr:uid="{00000000-0004-0000-0000-000058030000}"/>
    <hyperlink ref="B792" r:id="rId858" xr:uid="{00000000-0004-0000-0000-000059030000}"/>
    <hyperlink ref="B793" r:id="rId859" xr:uid="{00000000-0004-0000-0000-00005A030000}"/>
    <hyperlink ref="J793" r:id="rId860" xr:uid="{00000000-0004-0000-0000-00005B030000}"/>
    <hyperlink ref="B794" r:id="rId861" xr:uid="{00000000-0004-0000-0000-00005C030000}"/>
    <hyperlink ref="B795" r:id="rId862" xr:uid="{00000000-0004-0000-0000-00005D030000}"/>
    <hyperlink ref="B796" r:id="rId863" xr:uid="{00000000-0004-0000-0000-00005E030000}"/>
    <hyperlink ref="B797" r:id="rId864" xr:uid="{00000000-0004-0000-0000-00005F030000}"/>
    <hyperlink ref="B798" r:id="rId865" xr:uid="{00000000-0004-0000-0000-000060030000}"/>
    <hyperlink ref="B799" r:id="rId866" xr:uid="{00000000-0004-0000-0000-000061030000}"/>
    <hyperlink ref="B800" r:id="rId867" xr:uid="{00000000-0004-0000-0000-000062030000}"/>
    <hyperlink ref="B801" r:id="rId868" xr:uid="{00000000-0004-0000-0000-000063030000}"/>
    <hyperlink ref="B802" r:id="rId869" xr:uid="{00000000-0004-0000-0000-000064030000}"/>
    <hyperlink ref="B803" r:id="rId870" xr:uid="{00000000-0004-0000-0000-000065030000}"/>
    <hyperlink ref="B804" r:id="rId871" xr:uid="{00000000-0004-0000-0000-000066030000}"/>
    <hyperlink ref="B805" r:id="rId872" xr:uid="{00000000-0004-0000-0000-000067030000}"/>
    <hyperlink ref="B806" r:id="rId873" xr:uid="{00000000-0004-0000-0000-000068030000}"/>
    <hyperlink ref="B807" r:id="rId874" xr:uid="{00000000-0004-0000-0000-000069030000}"/>
    <hyperlink ref="B808" r:id="rId875" xr:uid="{00000000-0004-0000-0000-00006A030000}"/>
    <hyperlink ref="B809" r:id="rId876" xr:uid="{00000000-0004-0000-0000-00006B030000}"/>
    <hyperlink ref="B810" r:id="rId877" xr:uid="{00000000-0004-0000-0000-00006C030000}"/>
    <hyperlink ref="B811" r:id="rId878" xr:uid="{00000000-0004-0000-0000-00006D030000}"/>
    <hyperlink ref="B812" r:id="rId879" xr:uid="{00000000-0004-0000-0000-00006E030000}"/>
    <hyperlink ref="B813" r:id="rId880" xr:uid="{00000000-0004-0000-0000-00006F030000}"/>
    <hyperlink ref="B814" r:id="rId881" xr:uid="{00000000-0004-0000-0000-000070030000}"/>
    <hyperlink ref="B815" r:id="rId882" xr:uid="{00000000-0004-0000-0000-000071030000}"/>
    <hyperlink ref="B816" r:id="rId883" xr:uid="{00000000-0004-0000-0000-000072030000}"/>
    <hyperlink ref="B817" r:id="rId884" xr:uid="{00000000-0004-0000-0000-000073030000}"/>
    <hyperlink ref="B818" r:id="rId885" xr:uid="{00000000-0004-0000-0000-000074030000}"/>
    <hyperlink ref="B819" r:id="rId886" xr:uid="{00000000-0004-0000-0000-000075030000}"/>
    <hyperlink ref="B820" r:id="rId887" xr:uid="{00000000-0004-0000-0000-000076030000}"/>
    <hyperlink ref="B821" r:id="rId888" xr:uid="{00000000-0004-0000-0000-000077030000}"/>
    <hyperlink ref="B822" r:id="rId889" xr:uid="{00000000-0004-0000-0000-000078030000}"/>
    <hyperlink ref="B823" r:id="rId890" xr:uid="{00000000-0004-0000-0000-000079030000}"/>
    <hyperlink ref="J823" r:id="rId891" xr:uid="{00000000-0004-0000-0000-00007A030000}"/>
    <hyperlink ref="B824" r:id="rId892" xr:uid="{00000000-0004-0000-0000-00007B030000}"/>
    <hyperlink ref="B825" r:id="rId893" xr:uid="{00000000-0004-0000-0000-00007C030000}"/>
    <hyperlink ref="B826" r:id="rId894" xr:uid="{00000000-0004-0000-0000-00007D030000}"/>
    <hyperlink ref="B827" r:id="rId895" xr:uid="{00000000-0004-0000-0000-00007E030000}"/>
    <hyperlink ref="B828" r:id="rId896" xr:uid="{00000000-0004-0000-0000-00007F030000}"/>
    <hyperlink ref="B829" r:id="rId897" xr:uid="{00000000-0004-0000-0000-000080030000}"/>
    <hyperlink ref="B830" r:id="rId898" xr:uid="{00000000-0004-0000-0000-000081030000}"/>
    <hyperlink ref="B831" r:id="rId899" xr:uid="{00000000-0004-0000-0000-000082030000}"/>
    <hyperlink ref="B832" r:id="rId900" xr:uid="{00000000-0004-0000-0000-000083030000}"/>
    <hyperlink ref="B833" r:id="rId901" xr:uid="{00000000-0004-0000-0000-000084030000}"/>
    <hyperlink ref="B834" r:id="rId902" xr:uid="{00000000-0004-0000-0000-000085030000}"/>
    <hyperlink ref="I834" r:id="rId903" xr:uid="{00000000-0004-0000-0000-000086030000}"/>
    <hyperlink ref="B835" r:id="rId904" xr:uid="{00000000-0004-0000-0000-000087030000}"/>
    <hyperlink ref="B836" r:id="rId905" xr:uid="{00000000-0004-0000-0000-000088030000}"/>
    <hyperlink ref="B837" r:id="rId906" xr:uid="{00000000-0004-0000-0000-000089030000}"/>
    <hyperlink ref="B838" r:id="rId907" xr:uid="{00000000-0004-0000-0000-00008A030000}"/>
    <hyperlink ref="B839" r:id="rId908" xr:uid="{00000000-0004-0000-0000-00008B030000}"/>
    <hyperlink ref="J839" r:id="rId909" xr:uid="{00000000-0004-0000-0000-00008C030000}"/>
    <hyperlink ref="B840" r:id="rId910" xr:uid="{00000000-0004-0000-0000-00008D030000}"/>
    <hyperlink ref="B841" r:id="rId911" xr:uid="{00000000-0004-0000-0000-00008E030000}"/>
    <hyperlink ref="B842" r:id="rId912" xr:uid="{00000000-0004-0000-0000-00008F030000}"/>
    <hyperlink ref="B843" r:id="rId913" xr:uid="{00000000-0004-0000-0000-000090030000}"/>
    <hyperlink ref="B844" r:id="rId914" xr:uid="{00000000-0004-0000-0000-000091030000}"/>
    <hyperlink ref="B845" r:id="rId915" xr:uid="{00000000-0004-0000-0000-000092030000}"/>
    <hyperlink ref="B846" r:id="rId916" xr:uid="{00000000-0004-0000-0000-000093030000}"/>
    <hyperlink ref="B847" r:id="rId917" xr:uid="{00000000-0004-0000-0000-000094030000}"/>
    <hyperlink ref="B848" r:id="rId918" xr:uid="{00000000-0004-0000-0000-000095030000}"/>
    <hyperlink ref="J848" r:id="rId919" xr:uid="{00000000-0004-0000-0000-000096030000}"/>
    <hyperlink ref="B849" r:id="rId920" xr:uid="{00000000-0004-0000-0000-000097030000}"/>
    <hyperlink ref="B850" r:id="rId921" xr:uid="{00000000-0004-0000-0000-000098030000}"/>
    <hyperlink ref="B851" r:id="rId922" xr:uid="{00000000-0004-0000-0000-000099030000}"/>
    <hyperlink ref="B852" r:id="rId923" xr:uid="{00000000-0004-0000-0000-00009A030000}"/>
    <hyperlink ref="B853" r:id="rId924" xr:uid="{00000000-0004-0000-0000-00009B030000}"/>
    <hyperlink ref="J853" r:id="rId925" xr:uid="{00000000-0004-0000-0000-00009C030000}"/>
    <hyperlink ref="B854" r:id="rId926" xr:uid="{00000000-0004-0000-0000-00009D030000}"/>
    <hyperlink ref="B855" r:id="rId927" xr:uid="{00000000-0004-0000-0000-00009E030000}"/>
    <hyperlink ref="J855" r:id="rId928" xr:uid="{00000000-0004-0000-0000-00009F030000}"/>
    <hyperlink ref="B856" r:id="rId929" xr:uid="{00000000-0004-0000-0000-0000A0030000}"/>
    <hyperlink ref="B857" r:id="rId930" xr:uid="{00000000-0004-0000-0000-0000A1030000}"/>
    <hyperlink ref="B858" r:id="rId931" xr:uid="{00000000-0004-0000-0000-0000A2030000}"/>
    <hyperlink ref="B859" r:id="rId932" xr:uid="{00000000-0004-0000-0000-0000A3030000}"/>
    <hyperlink ref="B860" r:id="rId933" xr:uid="{00000000-0004-0000-0000-0000A4030000}"/>
    <hyperlink ref="B861" r:id="rId934" xr:uid="{00000000-0004-0000-0000-0000A5030000}"/>
    <hyperlink ref="B862" r:id="rId935" xr:uid="{00000000-0004-0000-0000-0000A6030000}"/>
    <hyperlink ref="B863" r:id="rId936" xr:uid="{00000000-0004-0000-0000-0000A7030000}"/>
    <hyperlink ref="B864" r:id="rId937" xr:uid="{00000000-0004-0000-0000-0000A8030000}"/>
    <hyperlink ref="B865" r:id="rId938" xr:uid="{00000000-0004-0000-0000-0000A9030000}"/>
    <hyperlink ref="B866" r:id="rId939" xr:uid="{00000000-0004-0000-0000-0000AA030000}"/>
    <hyperlink ref="B867" r:id="rId940" xr:uid="{00000000-0004-0000-0000-0000AB030000}"/>
    <hyperlink ref="B868" r:id="rId941" xr:uid="{00000000-0004-0000-0000-0000AC030000}"/>
    <hyperlink ref="B869" r:id="rId942" xr:uid="{00000000-0004-0000-0000-0000AD030000}"/>
    <hyperlink ref="B870" r:id="rId943" xr:uid="{00000000-0004-0000-0000-0000AE030000}"/>
    <hyperlink ref="B871" r:id="rId944" xr:uid="{00000000-0004-0000-0000-0000AF030000}"/>
    <hyperlink ref="B872" r:id="rId945" xr:uid="{00000000-0004-0000-0000-0000B0030000}"/>
    <hyperlink ref="B873" r:id="rId946" xr:uid="{00000000-0004-0000-0000-0000B1030000}"/>
    <hyperlink ref="B874" r:id="rId947" xr:uid="{00000000-0004-0000-0000-0000B2030000}"/>
    <hyperlink ref="B875" r:id="rId948" xr:uid="{00000000-0004-0000-0000-0000B3030000}"/>
    <hyperlink ref="B876" r:id="rId949" xr:uid="{00000000-0004-0000-0000-0000B4030000}"/>
    <hyperlink ref="B877" r:id="rId950" xr:uid="{00000000-0004-0000-0000-0000B5030000}"/>
    <hyperlink ref="B878" r:id="rId951" xr:uid="{00000000-0004-0000-0000-0000B6030000}"/>
    <hyperlink ref="B879" r:id="rId952" xr:uid="{00000000-0004-0000-0000-0000B7030000}"/>
    <hyperlink ref="B880" r:id="rId953" xr:uid="{00000000-0004-0000-0000-0000B8030000}"/>
    <hyperlink ref="B881" r:id="rId954" xr:uid="{00000000-0004-0000-0000-0000B9030000}"/>
    <hyperlink ref="B882" r:id="rId955" xr:uid="{00000000-0004-0000-0000-0000BA030000}"/>
    <hyperlink ref="B883" r:id="rId956" xr:uid="{00000000-0004-0000-0000-0000BB030000}"/>
    <hyperlink ref="B884" r:id="rId957" xr:uid="{00000000-0004-0000-0000-0000BC030000}"/>
    <hyperlink ref="I884" r:id="rId958" xr:uid="{00000000-0004-0000-0000-0000BD030000}"/>
    <hyperlink ref="B885" r:id="rId959" xr:uid="{00000000-0004-0000-0000-0000BE030000}"/>
    <hyperlink ref="B886" r:id="rId960" xr:uid="{00000000-0004-0000-0000-0000BF030000}"/>
    <hyperlink ref="J886" r:id="rId961" xr:uid="{00000000-0004-0000-0000-0000C0030000}"/>
    <hyperlink ref="B887" r:id="rId962" xr:uid="{00000000-0004-0000-0000-0000C1030000}"/>
    <hyperlink ref="B888" r:id="rId963" xr:uid="{00000000-0004-0000-0000-0000C2030000}"/>
    <hyperlink ref="B889" r:id="rId964" xr:uid="{00000000-0004-0000-0000-0000C3030000}"/>
    <hyperlink ref="B890" r:id="rId965" xr:uid="{00000000-0004-0000-0000-0000C4030000}"/>
    <hyperlink ref="B891" r:id="rId966" xr:uid="{00000000-0004-0000-0000-0000C5030000}"/>
    <hyperlink ref="B892" r:id="rId967" xr:uid="{00000000-0004-0000-0000-0000C6030000}"/>
    <hyperlink ref="B893" r:id="rId968" xr:uid="{00000000-0004-0000-0000-0000C7030000}"/>
    <hyperlink ref="B894" r:id="rId969" xr:uid="{00000000-0004-0000-0000-0000C8030000}"/>
    <hyperlink ref="B895" r:id="rId970" xr:uid="{00000000-0004-0000-0000-0000C9030000}"/>
    <hyperlink ref="B896" r:id="rId971" xr:uid="{00000000-0004-0000-0000-0000CA030000}"/>
    <hyperlink ref="B897" r:id="rId972" xr:uid="{00000000-0004-0000-0000-0000CB030000}"/>
    <hyperlink ref="B898" r:id="rId973" xr:uid="{00000000-0004-0000-0000-0000CC030000}"/>
    <hyperlink ref="B899" r:id="rId974" xr:uid="{00000000-0004-0000-0000-0000CD030000}"/>
    <hyperlink ref="B900" r:id="rId975" xr:uid="{00000000-0004-0000-0000-0000CE030000}"/>
    <hyperlink ref="B901" r:id="rId976" xr:uid="{00000000-0004-0000-0000-0000CF030000}"/>
    <hyperlink ref="B902" r:id="rId977" xr:uid="{00000000-0004-0000-0000-0000D0030000}"/>
    <hyperlink ref="B903" r:id="rId978" xr:uid="{00000000-0004-0000-0000-0000D1030000}"/>
    <hyperlink ref="B904" r:id="rId979" xr:uid="{00000000-0004-0000-0000-0000D2030000}"/>
    <hyperlink ref="B905" r:id="rId980" xr:uid="{00000000-0004-0000-0000-0000D3030000}"/>
    <hyperlink ref="B906" r:id="rId981" xr:uid="{00000000-0004-0000-0000-0000D4030000}"/>
    <hyperlink ref="B907" r:id="rId982" xr:uid="{00000000-0004-0000-0000-0000D5030000}"/>
    <hyperlink ref="B908" r:id="rId983" xr:uid="{00000000-0004-0000-0000-0000D6030000}"/>
    <hyperlink ref="B909" r:id="rId984" xr:uid="{00000000-0004-0000-0000-0000D7030000}"/>
    <hyperlink ref="B910" r:id="rId985" xr:uid="{00000000-0004-0000-0000-0000D8030000}"/>
    <hyperlink ref="B911" r:id="rId986" xr:uid="{00000000-0004-0000-0000-0000D9030000}"/>
    <hyperlink ref="B912" r:id="rId987" xr:uid="{00000000-0004-0000-0000-0000DA030000}"/>
    <hyperlink ref="B913" r:id="rId988" xr:uid="{00000000-0004-0000-0000-0000DB030000}"/>
    <hyperlink ref="B914" r:id="rId989" xr:uid="{00000000-0004-0000-0000-0000DC030000}"/>
    <hyperlink ref="B915" r:id="rId990" xr:uid="{00000000-0004-0000-0000-0000DD030000}"/>
    <hyperlink ref="B916" r:id="rId991" xr:uid="{00000000-0004-0000-0000-0000DE030000}"/>
    <hyperlink ref="B917" r:id="rId992" xr:uid="{00000000-0004-0000-0000-0000DF030000}"/>
    <hyperlink ref="B918" r:id="rId993" xr:uid="{00000000-0004-0000-0000-0000E0030000}"/>
    <hyperlink ref="B919" r:id="rId994" xr:uid="{00000000-0004-0000-0000-0000E1030000}"/>
    <hyperlink ref="B920" r:id="rId995" xr:uid="{00000000-0004-0000-0000-0000E2030000}"/>
    <hyperlink ref="B921" r:id="rId996" xr:uid="{00000000-0004-0000-0000-0000E3030000}"/>
    <hyperlink ref="B922" r:id="rId997" xr:uid="{00000000-0004-0000-0000-0000E4030000}"/>
    <hyperlink ref="B923" r:id="rId998" xr:uid="{00000000-0004-0000-0000-0000E5030000}"/>
    <hyperlink ref="I923" r:id="rId999" xr:uid="{00000000-0004-0000-0000-0000E6030000}"/>
    <hyperlink ref="B924" r:id="rId1000" xr:uid="{00000000-0004-0000-0000-0000E7030000}"/>
    <hyperlink ref="B925" r:id="rId1001" xr:uid="{00000000-0004-0000-0000-0000E8030000}"/>
    <hyperlink ref="B926" r:id="rId1002" xr:uid="{00000000-0004-0000-0000-0000E9030000}"/>
    <hyperlink ref="B927" r:id="rId1003" xr:uid="{00000000-0004-0000-0000-0000EA030000}"/>
    <hyperlink ref="B928" r:id="rId1004" xr:uid="{00000000-0004-0000-0000-0000EB030000}"/>
    <hyperlink ref="B929" r:id="rId1005" xr:uid="{00000000-0004-0000-0000-0000EC030000}"/>
    <hyperlink ref="B930" r:id="rId1006" xr:uid="{00000000-0004-0000-0000-0000ED030000}"/>
    <hyperlink ref="B931" r:id="rId1007" xr:uid="{00000000-0004-0000-0000-0000EE030000}"/>
    <hyperlink ref="B932" r:id="rId1008" xr:uid="{00000000-0004-0000-0000-0000EF030000}"/>
    <hyperlink ref="B933" r:id="rId1009" xr:uid="{00000000-0004-0000-0000-0000F0030000}"/>
    <hyperlink ref="B934" r:id="rId1010" xr:uid="{00000000-0004-0000-0000-0000F1030000}"/>
    <hyperlink ref="B935" r:id="rId1011" xr:uid="{00000000-0004-0000-0000-0000F2030000}"/>
    <hyperlink ref="B936" r:id="rId1012" xr:uid="{00000000-0004-0000-0000-0000F3030000}"/>
    <hyperlink ref="B937" r:id="rId1013" xr:uid="{00000000-0004-0000-0000-0000F4030000}"/>
    <hyperlink ref="B938" r:id="rId1014" xr:uid="{00000000-0004-0000-0000-0000F5030000}"/>
    <hyperlink ref="B939" r:id="rId1015" xr:uid="{00000000-0004-0000-0000-0000F6030000}"/>
    <hyperlink ref="B940" r:id="rId1016" xr:uid="{00000000-0004-0000-0000-0000F7030000}"/>
    <hyperlink ref="B941" r:id="rId1017" xr:uid="{00000000-0004-0000-0000-0000F8030000}"/>
    <hyperlink ref="B942" r:id="rId1018" xr:uid="{00000000-0004-0000-0000-0000F9030000}"/>
    <hyperlink ref="B943" r:id="rId1019" xr:uid="{00000000-0004-0000-0000-0000FA030000}"/>
    <hyperlink ref="B944" r:id="rId1020" xr:uid="{00000000-0004-0000-0000-0000FB030000}"/>
    <hyperlink ref="B945" r:id="rId1021" xr:uid="{00000000-0004-0000-0000-0000FC030000}"/>
    <hyperlink ref="J945" r:id="rId1022" xr:uid="{00000000-0004-0000-0000-0000FD030000}"/>
    <hyperlink ref="B946" r:id="rId1023" xr:uid="{00000000-0004-0000-0000-0000FE030000}"/>
    <hyperlink ref="B947" r:id="rId1024" xr:uid="{00000000-0004-0000-0000-0000FF030000}"/>
    <hyperlink ref="B948" r:id="rId1025" xr:uid="{00000000-0004-0000-0000-000000040000}"/>
    <hyperlink ref="B949" r:id="rId1026" xr:uid="{00000000-0004-0000-0000-000001040000}"/>
    <hyperlink ref="B950" r:id="rId1027" xr:uid="{00000000-0004-0000-0000-000002040000}"/>
    <hyperlink ref="B951" r:id="rId1028" xr:uid="{00000000-0004-0000-0000-000003040000}"/>
    <hyperlink ref="B952" r:id="rId1029" xr:uid="{00000000-0004-0000-0000-000004040000}"/>
    <hyperlink ref="B953" r:id="rId1030" xr:uid="{00000000-0004-0000-0000-000005040000}"/>
    <hyperlink ref="B954" r:id="rId1031" xr:uid="{00000000-0004-0000-0000-000006040000}"/>
    <hyperlink ref="B955" r:id="rId1032" xr:uid="{00000000-0004-0000-0000-000007040000}"/>
    <hyperlink ref="B956" r:id="rId1033" xr:uid="{00000000-0004-0000-0000-000008040000}"/>
    <hyperlink ref="I956" r:id="rId1034" xr:uid="{00000000-0004-0000-0000-000009040000}"/>
    <hyperlink ref="B957" r:id="rId1035" xr:uid="{00000000-0004-0000-0000-00000A040000}"/>
    <hyperlink ref="B958" r:id="rId1036" xr:uid="{00000000-0004-0000-0000-00000B040000}"/>
    <hyperlink ref="B959" r:id="rId1037" xr:uid="{00000000-0004-0000-0000-00000C040000}"/>
    <hyperlink ref="B960" r:id="rId1038" xr:uid="{00000000-0004-0000-0000-00000D040000}"/>
    <hyperlink ref="B961" r:id="rId1039" xr:uid="{00000000-0004-0000-0000-00000E040000}"/>
    <hyperlink ref="B962" r:id="rId1040" xr:uid="{00000000-0004-0000-0000-00000F040000}"/>
    <hyperlink ref="B963" r:id="rId1041" xr:uid="{00000000-0004-0000-0000-000010040000}"/>
    <hyperlink ref="B964" r:id="rId1042" xr:uid="{00000000-0004-0000-0000-000011040000}"/>
    <hyperlink ref="B965" r:id="rId1043" xr:uid="{00000000-0004-0000-0000-000012040000}"/>
    <hyperlink ref="B966" r:id="rId1044" xr:uid="{00000000-0004-0000-0000-000013040000}"/>
    <hyperlink ref="B967" r:id="rId1045" xr:uid="{00000000-0004-0000-0000-000014040000}"/>
    <hyperlink ref="B968" r:id="rId1046" xr:uid="{00000000-0004-0000-0000-000015040000}"/>
    <hyperlink ref="B969" r:id="rId1047" xr:uid="{00000000-0004-0000-0000-000016040000}"/>
    <hyperlink ref="B970" r:id="rId1048" xr:uid="{00000000-0004-0000-0000-000017040000}"/>
    <hyperlink ref="B971" r:id="rId1049" xr:uid="{00000000-0004-0000-0000-000018040000}"/>
    <hyperlink ref="B972" r:id="rId1050" xr:uid="{00000000-0004-0000-0000-000019040000}"/>
    <hyperlink ref="B973" r:id="rId1051" xr:uid="{00000000-0004-0000-0000-00001A040000}"/>
    <hyperlink ref="B974" r:id="rId1052" xr:uid="{00000000-0004-0000-0000-00001B040000}"/>
    <hyperlink ref="B975" r:id="rId1053" xr:uid="{00000000-0004-0000-0000-00001C040000}"/>
    <hyperlink ref="B976" r:id="rId1054" xr:uid="{00000000-0004-0000-0000-00001D040000}"/>
    <hyperlink ref="B977" r:id="rId1055" xr:uid="{00000000-0004-0000-0000-00001E040000}"/>
    <hyperlink ref="B978" r:id="rId1056" xr:uid="{00000000-0004-0000-0000-00001F040000}"/>
    <hyperlink ref="B979" r:id="rId1057" xr:uid="{00000000-0004-0000-0000-000020040000}"/>
    <hyperlink ref="B980" r:id="rId1058" xr:uid="{00000000-0004-0000-0000-000021040000}"/>
    <hyperlink ref="B981" r:id="rId1059" xr:uid="{00000000-0004-0000-0000-000022040000}"/>
    <hyperlink ref="B982" r:id="rId1060" xr:uid="{00000000-0004-0000-0000-000023040000}"/>
    <hyperlink ref="J982" r:id="rId1061" xr:uid="{00000000-0004-0000-0000-000024040000}"/>
    <hyperlink ref="B983" r:id="rId1062" xr:uid="{00000000-0004-0000-0000-000025040000}"/>
    <hyperlink ref="I983" r:id="rId1063" xr:uid="{00000000-0004-0000-0000-000026040000}"/>
    <hyperlink ref="B984" r:id="rId1064" xr:uid="{00000000-0004-0000-0000-000027040000}"/>
    <hyperlink ref="B985" r:id="rId1065" xr:uid="{00000000-0004-0000-0000-000028040000}"/>
    <hyperlink ref="B986" r:id="rId1066" xr:uid="{00000000-0004-0000-0000-000029040000}"/>
    <hyperlink ref="B987" r:id="rId1067" xr:uid="{00000000-0004-0000-0000-00002A040000}"/>
    <hyperlink ref="B988" r:id="rId1068" xr:uid="{00000000-0004-0000-0000-00002B040000}"/>
    <hyperlink ref="B989" r:id="rId1069" xr:uid="{00000000-0004-0000-0000-00002C040000}"/>
    <hyperlink ref="B990" r:id="rId1070" xr:uid="{00000000-0004-0000-0000-00002D040000}"/>
    <hyperlink ref="B991" r:id="rId1071" xr:uid="{00000000-0004-0000-0000-00002E040000}"/>
    <hyperlink ref="B992" r:id="rId1072" xr:uid="{00000000-0004-0000-0000-00002F040000}"/>
    <hyperlink ref="B993" r:id="rId1073" xr:uid="{00000000-0004-0000-0000-000030040000}"/>
    <hyperlink ref="B994" r:id="rId1074" xr:uid="{00000000-0004-0000-0000-000031040000}"/>
    <hyperlink ref="B995" r:id="rId1075" xr:uid="{00000000-0004-0000-0000-000032040000}"/>
    <hyperlink ref="B996" r:id="rId1076" xr:uid="{00000000-0004-0000-0000-000033040000}"/>
    <hyperlink ref="B997" r:id="rId1077" xr:uid="{00000000-0004-0000-0000-000034040000}"/>
    <hyperlink ref="B998" r:id="rId1078" xr:uid="{00000000-0004-0000-0000-000035040000}"/>
    <hyperlink ref="B999" r:id="rId1079" xr:uid="{00000000-0004-0000-0000-000036040000}"/>
    <hyperlink ref="B1000" r:id="rId1080" xr:uid="{00000000-0004-0000-0000-000037040000}"/>
    <hyperlink ref="B1001" r:id="rId1081" xr:uid="{00000000-0004-0000-0000-000038040000}"/>
    <hyperlink ref="B1002" r:id="rId1082" xr:uid="{00000000-0004-0000-0000-000039040000}"/>
    <hyperlink ref="B1003" r:id="rId1083" xr:uid="{00000000-0004-0000-0000-00003A040000}"/>
    <hyperlink ref="B1004" r:id="rId1084" xr:uid="{00000000-0004-0000-0000-00003B040000}"/>
    <hyperlink ref="B1005" r:id="rId1085" xr:uid="{00000000-0004-0000-0000-00003C040000}"/>
    <hyperlink ref="B1006" r:id="rId1086" xr:uid="{00000000-0004-0000-0000-00003D040000}"/>
    <hyperlink ref="B1007" r:id="rId1087" xr:uid="{00000000-0004-0000-0000-00003E040000}"/>
    <hyperlink ref="B1008" r:id="rId1088" xr:uid="{00000000-0004-0000-0000-00003F040000}"/>
    <hyperlink ref="B1009" r:id="rId1089" xr:uid="{00000000-0004-0000-0000-000040040000}"/>
    <hyperlink ref="B1010" r:id="rId1090" xr:uid="{00000000-0004-0000-0000-000041040000}"/>
    <hyperlink ref="B1011" r:id="rId1091" xr:uid="{00000000-0004-0000-0000-000042040000}"/>
    <hyperlink ref="B1012" r:id="rId1092" xr:uid="{00000000-0004-0000-0000-000043040000}"/>
    <hyperlink ref="B1013" r:id="rId1093" xr:uid="{00000000-0004-0000-0000-000044040000}"/>
    <hyperlink ref="B1014" r:id="rId1094" xr:uid="{00000000-0004-0000-0000-000045040000}"/>
    <hyperlink ref="J1014" r:id="rId1095" xr:uid="{00000000-0004-0000-0000-000046040000}"/>
    <hyperlink ref="B1015" r:id="rId1096" xr:uid="{00000000-0004-0000-0000-000047040000}"/>
    <hyperlink ref="B1016" r:id="rId1097" xr:uid="{00000000-0004-0000-0000-000048040000}"/>
    <hyperlink ref="B1017" r:id="rId1098" xr:uid="{00000000-0004-0000-0000-000049040000}"/>
    <hyperlink ref="B1018" r:id="rId1099" xr:uid="{00000000-0004-0000-0000-00004A040000}"/>
    <hyperlink ref="I1018" r:id="rId1100" xr:uid="{00000000-0004-0000-0000-00004B040000}"/>
    <hyperlink ref="B1019" r:id="rId1101" xr:uid="{00000000-0004-0000-0000-00004C040000}"/>
    <hyperlink ref="B1020" r:id="rId1102" xr:uid="{00000000-0004-0000-0000-00004D040000}"/>
    <hyperlink ref="B1021" r:id="rId1103" xr:uid="{00000000-0004-0000-0000-00004E040000}"/>
    <hyperlink ref="B1022" r:id="rId1104" xr:uid="{00000000-0004-0000-0000-00004F040000}"/>
    <hyperlink ref="B1023" r:id="rId1105" xr:uid="{00000000-0004-0000-0000-000050040000}"/>
    <hyperlink ref="B1024" r:id="rId1106" xr:uid="{00000000-0004-0000-0000-000051040000}"/>
    <hyperlink ref="B1025" r:id="rId1107" xr:uid="{00000000-0004-0000-0000-000052040000}"/>
    <hyperlink ref="B1026" r:id="rId1108" xr:uid="{00000000-0004-0000-0000-000053040000}"/>
    <hyperlink ref="B1027" r:id="rId1109" xr:uid="{00000000-0004-0000-0000-000054040000}"/>
    <hyperlink ref="J1027" r:id="rId1110" xr:uid="{00000000-0004-0000-0000-000055040000}"/>
    <hyperlink ref="B1028" r:id="rId1111" xr:uid="{00000000-0004-0000-0000-000056040000}"/>
    <hyperlink ref="B1029" r:id="rId1112" xr:uid="{00000000-0004-0000-0000-000057040000}"/>
    <hyperlink ref="B1030" r:id="rId1113" xr:uid="{00000000-0004-0000-0000-000058040000}"/>
    <hyperlink ref="B1031" r:id="rId1114" xr:uid="{00000000-0004-0000-0000-000059040000}"/>
    <hyperlink ref="B1032" r:id="rId1115" xr:uid="{00000000-0004-0000-0000-00005A040000}"/>
    <hyperlink ref="B1033" r:id="rId1116" xr:uid="{00000000-0004-0000-0000-00005B040000}"/>
    <hyperlink ref="B1034" r:id="rId1117" xr:uid="{00000000-0004-0000-0000-00005C040000}"/>
    <hyperlink ref="B1035" r:id="rId1118" xr:uid="{00000000-0004-0000-0000-00005D040000}"/>
    <hyperlink ref="B1036" r:id="rId1119" xr:uid="{00000000-0004-0000-0000-00005E040000}"/>
    <hyperlink ref="B1037" r:id="rId1120" xr:uid="{00000000-0004-0000-0000-00005F040000}"/>
    <hyperlink ref="B1038" r:id="rId1121" xr:uid="{00000000-0004-0000-0000-000060040000}"/>
    <hyperlink ref="B1039" r:id="rId1122" xr:uid="{00000000-0004-0000-0000-000061040000}"/>
    <hyperlink ref="B1040" r:id="rId1123" xr:uid="{00000000-0004-0000-0000-000062040000}"/>
    <hyperlink ref="B1041" r:id="rId1124" xr:uid="{00000000-0004-0000-0000-000063040000}"/>
    <hyperlink ref="B1042" r:id="rId1125" xr:uid="{00000000-0004-0000-0000-000064040000}"/>
    <hyperlink ref="B1043" r:id="rId1126" xr:uid="{00000000-0004-0000-0000-000065040000}"/>
    <hyperlink ref="B1044" r:id="rId1127" xr:uid="{00000000-0004-0000-0000-000066040000}"/>
    <hyperlink ref="B1045" r:id="rId1128" xr:uid="{00000000-0004-0000-0000-000067040000}"/>
    <hyperlink ref="B1046" r:id="rId1129" xr:uid="{00000000-0004-0000-0000-000068040000}"/>
    <hyperlink ref="B1047" r:id="rId1130" xr:uid="{00000000-0004-0000-0000-000069040000}"/>
    <hyperlink ref="B1048" r:id="rId1131" xr:uid="{00000000-0004-0000-0000-00006A040000}"/>
    <hyperlink ref="B1049" r:id="rId1132" xr:uid="{00000000-0004-0000-0000-00006B040000}"/>
    <hyperlink ref="I1049" r:id="rId1133" xr:uid="{00000000-0004-0000-0000-00006C040000}"/>
    <hyperlink ref="B1050" r:id="rId1134" xr:uid="{00000000-0004-0000-0000-00006D040000}"/>
    <hyperlink ref="B1051" r:id="rId1135" xr:uid="{00000000-0004-0000-0000-00006E040000}"/>
    <hyperlink ref="B1052" r:id="rId1136" xr:uid="{00000000-0004-0000-0000-00006F040000}"/>
    <hyperlink ref="B1053" r:id="rId1137" xr:uid="{00000000-0004-0000-0000-000070040000}"/>
    <hyperlink ref="B1054" r:id="rId1138" xr:uid="{00000000-0004-0000-0000-000071040000}"/>
    <hyperlink ref="B1055" r:id="rId1139" xr:uid="{00000000-0004-0000-0000-000072040000}"/>
    <hyperlink ref="B1056" r:id="rId1140" xr:uid="{00000000-0004-0000-0000-000073040000}"/>
    <hyperlink ref="B1057" r:id="rId1141" xr:uid="{00000000-0004-0000-0000-000074040000}"/>
    <hyperlink ref="B1058" r:id="rId1142" xr:uid="{00000000-0004-0000-0000-000075040000}"/>
    <hyperlink ref="B1059" r:id="rId1143" xr:uid="{00000000-0004-0000-0000-000076040000}"/>
    <hyperlink ref="B1060" r:id="rId1144" xr:uid="{00000000-0004-0000-0000-000077040000}"/>
    <hyperlink ref="B1061" r:id="rId1145" xr:uid="{00000000-0004-0000-0000-000078040000}"/>
    <hyperlink ref="B1062" r:id="rId1146" xr:uid="{00000000-0004-0000-0000-000079040000}"/>
    <hyperlink ref="B1063" r:id="rId1147" xr:uid="{00000000-0004-0000-0000-00007A040000}"/>
    <hyperlink ref="B1064" r:id="rId1148" xr:uid="{00000000-0004-0000-0000-00007B040000}"/>
    <hyperlink ref="B1065" r:id="rId1149" xr:uid="{00000000-0004-0000-0000-00007C040000}"/>
    <hyperlink ref="B1066" r:id="rId1150" xr:uid="{00000000-0004-0000-0000-00007D040000}"/>
    <hyperlink ref="B1067" r:id="rId1151" xr:uid="{00000000-0004-0000-0000-00007E040000}"/>
    <hyperlink ref="B1068" r:id="rId1152" xr:uid="{00000000-0004-0000-0000-00007F040000}"/>
    <hyperlink ref="B1069" r:id="rId1153" xr:uid="{00000000-0004-0000-0000-000080040000}"/>
    <hyperlink ref="B1070" r:id="rId1154" xr:uid="{00000000-0004-0000-0000-000081040000}"/>
    <hyperlink ref="B1071" r:id="rId1155" xr:uid="{00000000-0004-0000-0000-000082040000}"/>
    <hyperlink ref="B1072" r:id="rId1156" xr:uid="{00000000-0004-0000-0000-000083040000}"/>
    <hyperlink ref="B1073" r:id="rId1157" xr:uid="{00000000-0004-0000-0000-000084040000}"/>
    <hyperlink ref="B1074" r:id="rId1158" xr:uid="{00000000-0004-0000-0000-000085040000}"/>
    <hyperlink ref="B1075" r:id="rId1159" xr:uid="{00000000-0004-0000-0000-000086040000}"/>
    <hyperlink ref="B1076" r:id="rId1160" xr:uid="{00000000-0004-0000-0000-000087040000}"/>
    <hyperlink ref="B1077" r:id="rId1161" xr:uid="{00000000-0004-0000-0000-000088040000}"/>
    <hyperlink ref="B1078" r:id="rId1162" xr:uid="{00000000-0004-0000-0000-000089040000}"/>
    <hyperlink ref="B1079" r:id="rId1163" xr:uid="{00000000-0004-0000-0000-00008A040000}"/>
    <hyperlink ref="J1079" r:id="rId1164" xr:uid="{00000000-0004-0000-0000-00008B040000}"/>
    <hyperlink ref="B1080" r:id="rId1165" xr:uid="{00000000-0004-0000-0000-00008C040000}"/>
    <hyperlink ref="B1081" r:id="rId1166" xr:uid="{00000000-0004-0000-0000-00008D040000}"/>
    <hyperlink ref="B1082" r:id="rId1167" xr:uid="{00000000-0004-0000-0000-00008E040000}"/>
    <hyperlink ref="B1083" r:id="rId1168" xr:uid="{00000000-0004-0000-0000-00008F040000}"/>
    <hyperlink ref="B1084" r:id="rId1169" xr:uid="{00000000-0004-0000-0000-000090040000}"/>
    <hyperlink ref="B1085" r:id="rId1170" xr:uid="{00000000-0004-0000-0000-000091040000}"/>
    <hyperlink ref="I1085" r:id="rId1171" xr:uid="{00000000-0004-0000-0000-000092040000}"/>
    <hyperlink ref="J1085" r:id="rId1172" xr:uid="{00000000-0004-0000-0000-000093040000}"/>
    <hyperlink ref="B1086" r:id="rId1173" xr:uid="{00000000-0004-0000-0000-000094040000}"/>
    <hyperlink ref="J1086" r:id="rId1174" xr:uid="{00000000-0004-0000-0000-000095040000}"/>
    <hyperlink ref="B1087" r:id="rId1175" xr:uid="{00000000-0004-0000-0000-000096040000}"/>
    <hyperlink ref="B1088" r:id="rId1176" xr:uid="{00000000-0004-0000-0000-000097040000}"/>
    <hyperlink ref="B1089" r:id="rId1177" xr:uid="{00000000-0004-0000-0000-000098040000}"/>
    <hyperlink ref="B1090" r:id="rId1178" xr:uid="{00000000-0004-0000-0000-000099040000}"/>
    <hyperlink ref="B1091" r:id="rId1179" xr:uid="{00000000-0004-0000-0000-00009A040000}"/>
    <hyperlink ref="B1092" r:id="rId1180" xr:uid="{00000000-0004-0000-0000-00009B040000}"/>
    <hyperlink ref="B1093" r:id="rId1181" xr:uid="{00000000-0004-0000-0000-00009C040000}"/>
    <hyperlink ref="B1094" r:id="rId1182" xr:uid="{00000000-0004-0000-0000-00009D040000}"/>
    <hyperlink ref="B1095" r:id="rId1183" xr:uid="{00000000-0004-0000-0000-00009E040000}"/>
    <hyperlink ref="B1096" r:id="rId1184" xr:uid="{00000000-0004-0000-0000-00009F040000}"/>
    <hyperlink ref="B1097" r:id="rId1185" xr:uid="{00000000-0004-0000-0000-0000A0040000}"/>
    <hyperlink ref="B1098" r:id="rId1186" xr:uid="{00000000-0004-0000-0000-0000A1040000}"/>
    <hyperlink ref="B1099" r:id="rId1187" xr:uid="{00000000-0004-0000-0000-0000A2040000}"/>
    <hyperlink ref="B1100" r:id="rId1188" xr:uid="{00000000-0004-0000-0000-0000A3040000}"/>
    <hyperlink ref="B1101" r:id="rId1189" xr:uid="{00000000-0004-0000-0000-0000A4040000}"/>
    <hyperlink ref="B1102" r:id="rId1190" xr:uid="{00000000-0004-0000-0000-0000A5040000}"/>
    <hyperlink ref="B1103" r:id="rId1191" xr:uid="{00000000-0004-0000-0000-0000A6040000}"/>
    <hyperlink ref="I1103" r:id="rId1192" xr:uid="{00000000-0004-0000-0000-0000A7040000}"/>
    <hyperlink ref="J1103" r:id="rId1193" xr:uid="{00000000-0004-0000-0000-0000A8040000}"/>
    <hyperlink ref="B1104" r:id="rId1194" xr:uid="{00000000-0004-0000-0000-0000A9040000}"/>
    <hyperlink ref="B1105" r:id="rId1195" xr:uid="{00000000-0004-0000-0000-0000AA040000}"/>
    <hyperlink ref="B1106" r:id="rId1196" xr:uid="{00000000-0004-0000-0000-0000AB040000}"/>
    <hyperlink ref="B1107" r:id="rId1197" xr:uid="{00000000-0004-0000-0000-0000AC040000}"/>
    <hyperlink ref="B1108" r:id="rId1198" xr:uid="{00000000-0004-0000-0000-0000AD040000}"/>
    <hyperlink ref="B1109" r:id="rId1199" xr:uid="{00000000-0004-0000-0000-0000AE040000}"/>
    <hyperlink ref="I1109" r:id="rId1200" xr:uid="{00000000-0004-0000-0000-0000AF040000}"/>
    <hyperlink ref="B1110" r:id="rId1201" xr:uid="{00000000-0004-0000-0000-0000B0040000}"/>
    <hyperlink ref="B1111" r:id="rId1202" xr:uid="{00000000-0004-0000-0000-0000B1040000}"/>
    <hyperlink ref="B1112" r:id="rId1203" xr:uid="{00000000-0004-0000-0000-0000B2040000}"/>
    <hyperlink ref="B1113" r:id="rId1204" xr:uid="{00000000-0004-0000-0000-0000B3040000}"/>
    <hyperlink ref="B1114" r:id="rId1205" xr:uid="{00000000-0004-0000-0000-0000B4040000}"/>
    <hyperlink ref="B1115" r:id="rId1206" xr:uid="{00000000-0004-0000-0000-0000B5040000}"/>
    <hyperlink ref="I1115" r:id="rId1207" xr:uid="{00000000-0004-0000-0000-0000B6040000}"/>
    <hyperlink ref="B1116" r:id="rId1208" xr:uid="{00000000-0004-0000-0000-0000B7040000}"/>
    <hyperlink ref="B1117" r:id="rId1209" xr:uid="{00000000-0004-0000-0000-0000B8040000}"/>
    <hyperlink ref="B1118" r:id="rId1210" xr:uid="{00000000-0004-0000-0000-0000B9040000}"/>
    <hyperlink ref="B1119" r:id="rId1211" xr:uid="{00000000-0004-0000-0000-0000BA040000}"/>
    <hyperlink ref="B1120" r:id="rId1212" xr:uid="{00000000-0004-0000-0000-0000BB040000}"/>
    <hyperlink ref="B1121" r:id="rId1213" xr:uid="{00000000-0004-0000-0000-0000BC040000}"/>
    <hyperlink ref="B1122" r:id="rId1214" xr:uid="{00000000-0004-0000-0000-0000BD040000}"/>
    <hyperlink ref="B1123" r:id="rId1215" xr:uid="{00000000-0004-0000-0000-0000BE040000}"/>
    <hyperlink ref="B1124" r:id="rId1216" xr:uid="{00000000-0004-0000-0000-0000BF040000}"/>
    <hyperlink ref="B1125" r:id="rId1217" xr:uid="{00000000-0004-0000-0000-0000C0040000}"/>
    <hyperlink ref="B1126" r:id="rId1218" xr:uid="{00000000-0004-0000-0000-0000C1040000}"/>
    <hyperlink ref="B1127" r:id="rId1219" xr:uid="{00000000-0004-0000-0000-0000C2040000}"/>
    <hyperlink ref="B1128" r:id="rId1220" xr:uid="{00000000-0004-0000-0000-0000C3040000}"/>
    <hyperlink ref="B1129" r:id="rId1221" xr:uid="{00000000-0004-0000-0000-0000C4040000}"/>
    <hyperlink ref="B1130" r:id="rId1222" xr:uid="{00000000-0004-0000-0000-0000C5040000}"/>
    <hyperlink ref="B1131" r:id="rId1223" xr:uid="{00000000-0004-0000-0000-0000C6040000}"/>
    <hyperlink ref="B1132" r:id="rId1224" xr:uid="{00000000-0004-0000-0000-0000C7040000}"/>
    <hyperlink ref="B1133" r:id="rId1225" xr:uid="{00000000-0004-0000-0000-0000C8040000}"/>
    <hyperlink ref="B1134" r:id="rId1226" xr:uid="{00000000-0004-0000-0000-0000C9040000}"/>
    <hyperlink ref="B1135" r:id="rId1227" xr:uid="{00000000-0004-0000-0000-0000CA040000}"/>
    <hyperlink ref="B1136" r:id="rId1228" xr:uid="{00000000-0004-0000-0000-0000CB040000}"/>
    <hyperlink ref="B1137" r:id="rId1229" xr:uid="{00000000-0004-0000-0000-0000CC040000}"/>
    <hyperlink ref="J1137" r:id="rId1230" xr:uid="{00000000-0004-0000-0000-0000CD040000}"/>
    <hyperlink ref="B1138" r:id="rId1231" xr:uid="{00000000-0004-0000-0000-0000CE040000}"/>
    <hyperlink ref="B1139" r:id="rId1232" xr:uid="{00000000-0004-0000-0000-0000CF040000}"/>
    <hyperlink ref="B1140" r:id="rId1233" xr:uid="{00000000-0004-0000-0000-0000D0040000}"/>
    <hyperlink ref="B1141" r:id="rId1234" xr:uid="{00000000-0004-0000-0000-0000D1040000}"/>
    <hyperlink ref="B1142" r:id="rId1235" xr:uid="{00000000-0004-0000-0000-0000D2040000}"/>
    <hyperlink ref="B1143" r:id="rId1236" xr:uid="{00000000-0004-0000-0000-0000D3040000}"/>
    <hyperlink ref="B1144" r:id="rId1237" xr:uid="{00000000-0004-0000-0000-0000D4040000}"/>
    <hyperlink ref="B1145" r:id="rId1238" xr:uid="{00000000-0004-0000-0000-0000D5040000}"/>
    <hyperlink ref="B1146" r:id="rId1239" xr:uid="{00000000-0004-0000-0000-0000D6040000}"/>
    <hyperlink ref="B1147" r:id="rId1240" xr:uid="{00000000-0004-0000-0000-0000D7040000}"/>
    <hyperlink ref="B1148" r:id="rId1241" xr:uid="{00000000-0004-0000-0000-0000D8040000}"/>
    <hyperlink ref="B1149" r:id="rId1242" xr:uid="{00000000-0004-0000-0000-0000D9040000}"/>
    <hyperlink ref="B1150" r:id="rId1243" xr:uid="{00000000-0004-0000-0000-0000DA040000}"/>
    <hyperlink ref="B1151" r:id="rId1244" xr:uid="{00000000-0004-0000-0000-0000DB040000}"/>
    <hyperlink ref="B1152" r:id="rId1245" xr:uid="{00000000-0004-0000-0000-0000DC040000}"/>
    <hyperlink ref="B1153" r:id="rId1246" xr:uid="{00000000-0004-0000-0000-0000DD040000}"/>
    <hyperlink ref="B1154" r:id="rId1247" xr:uid="{00000000-0004-0000-0000-0000DE040000}"/>
    <hyperlink ref="B1155" r:id="rId1248" xr:uid="{00000000-0004-0000-0000-0000DF040000}"/>
    <hyperlink ref="B1156" r:id="rId1249" xr:uid="{00000000-0004-0000-0000-0000E0040000}"/>
    <hyperlink ref="B1157" r:id="rId1250" xr:uid="{00000000-0004-0000-0000-0000E1040000}"/>
    <hyperlink ref="B1158" r:id="rId1251" xr:uid="{00000000-0004-0000-0000-0000E2040000}"/>
    <hyperlink ref="B1159" r:id="rId1252" xr:uid="{00000000-0004-0000-0000-0000E3040000}"/>
    <hyperlink ref="J1159" r:id="rId1253" xr:uid="{00000000-0004-0000-0000-0000E4040000}"/>
    <hyperlink ref="B1160" r:id="rId1254" xr:uid="{00000000-0004-0000-0000-0000E5040000}"/>
    <hyperlink ref="B1161" r:id="rId1255" xr:uid="{00000000-0004-0000-0000-0000E6040000}"/>
    <hyperlink ref="J1161" r:id="rId1256" xr:uid="{00000000-0004-0000-0000-0000E7040000}"/>
    <hyperlink ref="B1162" r:id="rId1257" xr:uid="{00000000-0004-0000-0000-0000E8040000}"/>
    <hyperlink ref="B1163" r:id="rId1258" xr:uid="{00000000-0004-0000-0000-0000E9040000}"/>
    <hyperlink ref="B1164" r:id="rId1259" xr:uid="{00000000-0004-0000-0000-0000EA040000}"/>
    <hyperlink ref="B1165" r:id="rId1260" xr:uid="{00000000-0004-0000-0000-0000EB040000}"/>
    <hyperlink ref="B1166" r:id="rId1261" xr:uid="{00000000-0004-0000-0000-0000EC040000}"/>
    <hyperlink ref="B1167" r:id="rId1262" xr:uid="{00000000-0004-0000-0000-0000ED040000}"/>
    <hyperlink ref="B1168" r:id="rId1263" xr:uid="{00000000-0004-0000-0000-0000EE040000}"/>
    <hyperlink ref="B1169" r:id="rId1264" xr:uid="{00000000-0004-0000-0000-0000EF040000}"/>
    <hyperlink ref="B1170" r:id="rId1265" xr:uid="{00000000-0004-0000-0000-0000F0040000}"/>
    <hyperlink ref="B1171" r:id="rId1266" xr:uid="{00000000-0004-0000-0000-0000F1040000}"/>
    <hyperlink ref="B1172" r:id="rId1267" xr:uid="{00000000-0004-0000-0000-0000F2040000}"/>
    <hyperlink ref="B1173" r:id="rId1268" xr:uid="{00000000-0004-0000-0000-0000F3040000}"/>
    <hyperlink ref="B1174" r:id="rId1269" xr:uid="{00000000-0004-0000-0000-0000F4040000}"/>
    <hyperlink ref="B1175" r:id="rId1270" xr:uid="{00000000-0004-0000-0000-0000F5040000}"/>
    <hyperlink ref="B1176" r:id="rId1271" xr:uid="{00000000-0004-0000-0000-0000F6040000}"/>
    <hyperlink ref="B1177" r:id="rId1272" xr:uid="{00000000-0004-0000-0000-0000F7040000}"/>
    <hyperlink ref="B1178" r:id="rId1273" xr:uid="{00000000-0004-0000-0000-0000F8040000}"/>
    <hyperlink ref="I1178" r:id="rId1274" xr:uid="{00000000-0004-0000-0000-0000F9040000}"/>
    <hyperlink ref="B1179" r:id="rId1275" xr:uid="{00000000-0004-0000-0000-0000FA040000}"/>
    <hyperlink ref="B1180" r:id="rId1276" xr:uid="{00000000-0004-0000-0000-0000FB040000}"/>
    <hyperlink ref="B1181" r:id="rId1277" xr:uid="{00000000-0004-0000-0000-0000FC040000}"/>
    <hyperlink ref="B1182" r:id="rId1278" xr:uid="{00000000-0004-0000-0000-0000FD040000}"/>
    <hyperlink ref="B1183" r:id="rId1279" xr:uid="{00000000-0004-0000-0000-0000FE040000}"/>
    <hyperlink ref="B1184" r:id="rId1280" xr:uid="{00000000-0004-0000-0000-0000FF040000}"/>
    <hyperlink ref="B1185" r:id="rId1281" xr:uid="{00000000-0004-0000-0000-000000050000}"/>
    <hyperlink ref="B1186" r:id="rId1282" xr:uid="{00000000-0004-0000-0000-000001050000}"/>
    <hyperlink ref="B1187" r:id="rId1283" xr:uid="{00000000-0004-0000-0000-000002050000}"/>
    <hyperlink ref="B1188" r:id="rId1284" xr:uid="{00000000-0004-0000-0000-000003050000}"/>
    <hyperlink ref="B1189" r:id="rId1285" xr:uid="{00000000-0004-0000-0000-000004050000}"/>
    <hyperlink ref="B1190" r:id="rId1286" xr:uid="{00000000-0004-0000-0000-000005050000}"/>
    <hyperlink ref="B1191" r:id="rId1287" xr:uid="{00000000-0004-0000-0000-000006050000}"/>
    <hyperlink ref="B1192" r:id="rId1288" xr:uid="{00000000-0004-0000-0000-000007050000}"/>
    <hyperlink ref="B1193" r:id="rId1289" xr:uid="{00000000-0004-0000-0000-000008050000}"/>
    <hyperlink ref="B1194" r:id="rId1290" xr:uid="{00000000-0004-0000-0000-000009050000}"/>
    <hyperlink ref="B1195" r:id="rId1291" xr:uid="{00000000-0004-0000-0000-00000A050000}"/>
    <hyperlink ref="B1196" r:id="rId1292" xr:uid="{00000000-0004-0000-0000-00000B050000}"/>
    <hyperlink ref="J1196" r:id="rId1293" xr:uid="{00000000-0004-0000-0000-00000C050000}"/>
    <hyperlink ref="B1197" r:id="rId1294" xr:uid="{00000000-0004-0000-0000-00000D050000}"/>
    <hyperlink ref="B1198" r:id="rId1295" xr:uid="{00000000-0004-0000-0000-00000E050000}"/>
    <hyperlink ref="J1198" r:id="rId1296" xr:uid="{00000000-0004-0000-0000-00000F050000}"/>
    <hyperlink ref="B1199" r:id="rId1297" xr:uid="{00000000-0004-0000-0000-000010050000}"/>
    <hyperlink ref="B1200" r:id="rId1298" xr:uid="{00000000-0004-0000-0000-000011050000}"/>
    <hyperlink ref="B1201" r:id="rId1299" xr:uid="{00000000-0004-0000-0000-000012050000}"/>
    <hyperlink ref="B1202" r:id="rId1300" xr:uid="{00000000-0004-0000-0000-000013050000}"/>
    <hyperlink ref="B1203" r:id="rId1301" xr:uid="{00000000-0004-0000-0000-000014050000}"/>
    <hyperlink ref="B1204" r:id="rId1302" xr:uid="{00000000-0004-0000-0000-000015050000}"/>
    <hyperlink ref="B1205" r:id="rId1303" xr:uid="{00000000-0004-0000-0000-000016050000}"/>
    <hyperlink ref="B1206" r:id="rId1304" xr:uid="{00000000-0004-0000-0000-000017050000}"/>
    <hyperlink ref="B1207" r:id="rId1305" xr:uid="{00000000-0004-0000-0000-000018050000}"/>
    <hyperlink ref="B1208" r:id="rId1306" xr:uid="{00000000-0004-0000-0000-000019050000}"/>
    <hyperlink ref="B1209" r:id="rId1307" xr:uid="{00000000-0004-0000-0000-00001A050000}"/>
    <hyperlink ref="B1210" r:id="rId1308" xr:uid="{00000000-0004-0000-0000-00001B050000}"/>
    <hyperlink ref="B1211" r:id="rId1309" xr:uid="{00000000-0004-0000-0000-00001C050000}"/>
    <hyperlink ref="J1211" r:id="rId1310" xr:uid="{00000000-0004-0000-0000-00001D050000}"/>
    <hyperlink ref="B1212" r:id="rId1311" xr:uid="{00000000-0004-0000-0000-00001E050000}"/>
    <hyperlink ref="B1213" r:id="rId1312" xr:uid="{00000000-0004-0000-0000-00001F050000}"/>
    <hyperlink ref="B1214" r:id="rId1313" xr:uid="{00000000-0004-0000-0000-000020050000}"/>
    <hyperlink ref="B1215" r:id="rId1314" xr:uid="{00000000-0004-0000-0000-000021050000}"/>
    <hyperlink ref="B1216" r:id="rId1315" xr:uid="{00000000-0004-0000-0000-000022050000}"/>
    <hyperlink ref="B1217" r:id="rId1316" xr:uid="{00000000-0004-0000-0000-000023050000}"/>
    <hyperlink ref="B1218" r:id="rId1317" xr:uid="{00000000-0004-0000-0000-000024050000}"/>
    <hyperlink ref="B1219" r:id="rId1318" xr:uid="{00000000-0004-0000-0000-000025050000}"/>
    <hyperlink ref="B1220" r:id="rId1319" xr:uid="{00000000-0004-0000-0000-000026050000}"/>
    <hyperlink ref="B1221" r:id="rId1320" xr:uid="{00000000-0004-0000-0000-000027050000}"/>
    <hyperlink ref="J1221" r:id="rId1321" xr:uid="{00000000-0004-0000-0000-000028050000}"/>
    <hyperlink ref="B1222" r:id="rId1322" xr:uid="{00000000-0004-0000-0000-000029050000}"/>
    <hyperlink ref="B1223" r:id="rId1323" xr:uid="{00000000-0004-0000-0000-00002A050000}"/>
    <hyperlink ref="B1224" r:id="rId1324" xr:uid="{00000000-0004-0000-0000-00002B050000}"/>
    <hyperlink ref="B1225" r:id="rId1325" xr:uid="{00000000-0004-0000-0000-00002C050000}"/>
    <hyperlink ref="B1226" r:id="rId1326" xr:uid="{00000000-0004-0000-0000-00002D050000}"/>
    <hyperlink ref="B1227" r:id="rId1327" xr:uid="{00000000-0004-0000-0000-00002E050000}"/>
    <hyperlink ref="B1228" r:id="rId1328" xr:uid="{00000000-0004-0000-0000-00002F050000}"/>
    <hyperlink ref="B1229" r:id="rId1329" xr:uid="{00000000-0004-0000-0000-000030050000}"/>
    <hyperlink ref="B1230" r:id="rId1330" xr:uid="{00000000-0004-0000-0000-000031050000}"/>
    <hyperlink ref="B1231" r:id="rId1331" xr:uid="{00000000-0004-0000-0000-000032050000}"/>
    <hyperlink ref="B1232" r:id="rId1332" xr:uid="{00000000-0004-0000-0000-000033050000}"/>
    <hyperlink ref="J1232" r:id="rId1333" xr:uid="{00000000-0004-0000-0000-000034050000}"/>
    <hyperlink ref="B1233" r:id="rId1334" xr:uid="{00000000-0004-0000-0000-000035050000}"/>
    <hyperlink ref="B1234" r:id="rId1335" xr:uid="{00000000-0004-0000-0000-000036050000}"/>
    <hyperlink ref="B1235" r:id="rId1336" xr:uid="{00000000-0004-0000-0000-000037050000}"/>
    <hyperlink ref="B1236" r:id="rId1337" xr:uid="{00000000-0004-0000-0000-000038050000}"/>
    <hyperlink ref="B1237" r:id="rId1338" xr:uid="{00000000-0004-0000-0000-000039050000}"/>
    <hyperlink ref="B1238" r:id="rId1339" xr:uid="{00000000-0004-0000-0000-00003A050000}"/>
    <hyperlink ref="B1239" r:id="rId1340" xr:uid="{00000000-0004-0000-0000-00003B050000}"/>
    <hyperlink ref="B1240" r:id="rId1341" xr:uid="{00000000-0004-0000-0000-00003C050000}"/>
    <hyperlink ref="B1241" r:id="rId1342" xr:uid="{00000000-0004-0000-0000-00003D050000}"/>
    <hyperlink ref="B1242" r:id="rId1343" xr:uid="{00000000-0004-0000-0000-00003E050000}"/>
    <hyperlink ref="I1242" r:id="rId1344" xr:uid="{00000000-0004-0000-0000-00003F050000}"/>
    <hyperlink ref="B1243" r:id="rId1345" xr:uid="{00000000-0004-0000-0000-000040050000}"/>
    <hyperlink ref="B1244" r:id="rId1346" xr:uid="{00000000-0004-0000-0000-000041050000}"/>
    <hyperlink ref="B1245" r:id="rId1347" xr:uid="{00000000-0004-0000-0000-000042050000}"/>
    <hyperlink ref="I1245" r:id="rId1348" xr:uid="{00000000-0004-0000-0000-000043050000}"/>
    <hyperlink ref="B1246" r:id="rId1349" xr:uid="{00000000-0004-0000-0000-000044050000}"/>
    <hyperlink ref="B1247" r:id="rId1350" xr:uid="{00000000-0004-0000-0000-000045050000}"/>
    <hyperlink ref="B1248" r:id="rId1351" xr:uid="{00000000-0004-0000-0000-000046050000}"/>
    <hyperlink ref="B1249" r:id="rId1352" xr:uid="{00000000-0004-0000-0000-000047050000}"/>
    <hyperlink ref="B1250" r:id="rId1353" xr:uid="{00000000-0004-0000-0000-000048050000}"/>
    <hyperlink ref="B1251" r:id="rId1354" xr:uid="{00000000-0004-0000-0000-000049050000}"/>
    <hyperlink ref="B1252" r:id="rId1355" xr:uid="{00000000-0004-0000-0000-00004A050000}"/>
    <hyperlink ref="B1253" r:id="rId1356" xr:uid="{00000000-0004-0000-0000-00004B050000}"/>
    <hyperlink ref="J1253" r:id="rId1357" xr:uid="{00000000-0004-0000-0000-00004C050000}"/>
    <hyperlink ref="B1254" r:id="rId1358" xr:uid="{00000000-0004-0000-0000-00004D050000}"/>
    <hyperlink ref="B1255" r:id="rId1359" xr:uid="{00000000-0004-0000-0000-00004E050000}"/>
    <hyperlink ref="B1256" r:id="rId1360" xr:uid="{00000000-0004-0000-0000-00004F050000}"/>
    <hyperlink ref="B1257" r:id="rId1361" xr:uid="{00000000-0004-0000-0000-000050050000}"/>
    <hyperlink ref="B1258" r:id="rId1362" xr:uid="{00000000-0004-0000-0000-000051050000}"/>
    <hyperlink ref="B1259" r:id="rId1363" xr:uid="{00000000-0004-0000-0000-000052050000}"/>
    <hyperlink ref="B1260" r:id="rId1364" xr:uid="{00000000-0004-0000-0000-000053050000}"/>
    <hyperlink ref="B1261" r:id="rId1365" xr:uid="{00000000-0004-0000-0000-000054050000}"/>
    <hyperlink ref="B1262" r:id="rId1366" xr:uid="{00000000-0004-0000-0000-000055050000}"/>
    <hyperlink ref="B1263" r:id="rId1367" xr:uid="{00000000-0004-0000-0000-000056050000}"/>
    <hyperlink ref="B1264" r:id="rId1368" xr:uid="{00000000-0004-0000-0000-000057050000}"/>
    <hyperlink ref="B1265" r:id="rId1369" xr:uid="{00000000-0004-0000-0000-000058050000}"/>
    <hyperlink ref="B1266" r:id="rId1370" xr:uid="{00000000-0004-0000-0000-000059050000}"/>
    <hyperlink ref="B1267" r:id="rId1371" xr:uid="{00000000-0004-0000-0000-00005A050000}"/>
    <hyperlink ref="B1268" r:id="rId1372" xr:uid="{00000000-0004-0000-0000-00005B050000}"/>
    <hyperlink ref="B1269" r:id="rId1373" xr:uid="{00000000-0004-0000-0000-00005C050000}"/>
    <hyperlink ref="B1270" r:id="rId1374" xr:uid="{00000000-0004-0000-0000-00005D050000}"/>
    <hyperlink ref="B1271" r:id="rId1375" xr:uid="{00000000-0004-0000-0000-00005E050000}"/>
    <hyperlink ref="B1272" r:id="rId1376" xr:uid="{00000000-0004-0000-0000-00005F050000}"/>
    <hyperlink ref="I1272" r:id="rId1377" xr:uid="{00000000-0004-0000-0000-000060050000}"/>
    <hyperlink ref="B1273" r:id="rId1378" xr:uid="{00000000-0004-0000-0000-000061050000}"/>
    <hyperlink ref="B1274" r:id="rId1379" xr:uid="{00000000-0004-0000-0000-000062050000}"/>
    <hyperlink ref="B1275" r:id="rId1380" xr:uid="{00000000-0004-0000-0000-000063050000}"/>
    <hyperlink ref="B1276" r:id="rId1381" xr:uid="{00000000-0004-0000-0000-000064050000}"/>
    <hyperlink ref="B1277" r:id="rId1382" xr:uid="{00000000-0004-0000-0000-000065050000}"/>
    <hyperlink ref="B1278" r:id="rId1383" xr:uid="{00000000-0004-0000-0000-000066050000}"/>
    <hyperlink ref="B1279" r:id="rId1384" xr:uid="{00000000-0004-0000-0000-000067050000}"/>
    <hyperlink ref="B1280" r:id="rId1385" xr:uid="{00000000-0004-0000-0000-000068050000}"/>
    <hyperlink ref="B1281" r:id="rId1386" xr:uid="{00000000-0004-0000-0000-000069050000}"/>
    <hyperlink ref="B1282" r:id="rId1387" xr:uid="{00000000-0004-0000-0000-00006A050000}"/>
    <hyperlink ref="B1283" r:id="rId1388" xr:uid="{00000000-0004-0000-0000-00006B050000}"/>
    <hyperlink ref="B1284" r:id="rId1389" xr:uid="{00000000-0004-0000-0000-00006C050000}"/>
    <hyperlink ref="I1284" r:id="rId1390" xr:uid="{00000000-0004-0000-0000-00006D050000}"/>
    <hyperlink ref="B1285" r:id="rId1391" xr:uid="{00000000-0004-0000-0000-00006E050000}"/>
    <hyperlink ref="B1286" r:id="rId1392" xr:uid="{00000000-0004-0000-0000-00006F050000}"/>
    <hyperlink ref="B1287" r:id="rId1393" xr:uid="{00000000-0004-0000-0000-000070050000}"/>
    <hyperlink ref="B1288" r:id="rId1394" xr:uid="{00000000-0004-0000-0000-000071050000}"/>
    <hyperlink ref="B1289" r:id="rId1395" xr:uid="{00000000-0004-0000-0000-000072050000}"/>
    <hyperlink ref="B1290" r:id="rId1396" xr:uid="{00000000-0004-0000-0000-000073050000}"/>
    <hyperlink ref="B1291" r:id="rId1397" xr:uid="{00000000-0004-0000-0000-000074050000}"/>
    <hyperlink ref="J1291" r:id="rId1398" xr:uid="{00000000-0004-0000-0000-000075050000}"/>
    <hyperlink ref="B1292" r:id="rId1399" xr:uid="{00000000-0004-0000-0000-000076050000}"/>
    <hyperlink ref="B1293" r:id="rId1400" xr:uid="{00000000-0004-0000-0000-000077050000}"/>
    <hyperlink ref="B1294" r:id="rId1401" xr:uid="{00000000-0004-0000-0000-000078050000}"/>
    <hyperlink ref="B1295" r:id="rId1402" xr:uid="{00000000-0004-0000-0000-000079050000}"/>
    <hyperlink ref="B1296" r:id="rId1403" xr:uid="{00000000-0004-0000-0000-00007A050000}"/>
    <hyperlink ref="B1297" r:id="rId1404" xr:uid="{00000000-0004-0000-0000-00007B050000}"/>
    <hyperlink ref="B1298" r:id="rId1405" xr:uid="{00000000-0004-0000-0000-00007C050000}"/>
    <hyperlink ref="B1299" r:id="rId1406" xr:uid="{00000000-0004-0000-0000-00007D050000}"/>
    <hyperlink ref="B1300" r:id="rId1407" xr:uid="{00000000-0004-0000-0000-00007E050000}"/>
    <hyperlink ref="B1301" r:id="rId1408" xr:uid="{00000000-0004-0000-0000-00007F050000}"/>
    <hyperlink ref="B1302" r:id="rId1409" xr:uid="{00000000-0004-0000-0000-000080050000}"/>
    <hyperlink ref="B1303" r:id="rId1410" xr:uid="{00000000-0004-0000-0000-000081050000}"/>
    <hyperlink ref="B1304" r:id="rId1411" xr:uid="{00000000-0004-0000-0000-000082050000}"/>
    <hyperlink ref="B1305" r:id="rId1412" xr:uid="{00000000-0004-0000-0000-000083050000}"/>
    <hyperlink ref="B1306" r:id="rId1413" xr:uid="{00000000-0004-0000-0000-000084050000}"/>
    <hyperlink ref="B1307" r:id="rId1414" xr:uid="{00000000-0004-0000-0000-000085050000}"/>
    <hyperlink ref="B1308" r:id="rId1415" xr:uid="{00000000-0004-0000-0000-000086050000}"/>
    <hyperlink ref="B1309" r:id="rId1416" xr:uid="{00000000-0004-0000-0000-000087050000}"/>
    <hyperlink ref="B1310" r:id="rId1417" xr:uid="{00000000-0004-0000-0000-000088050000}"/>
    <hyperlink ref="B1311" r:id="rId1418" xr:uid="{00000000-0004-0000-0000-000089050000}"/>
    <hyperlink ref="B1312" r:id="rId1419" xr:uid="{00000000-0004-0000-0000-00008A050000}"/>
    <hyperlink ref="B1313" r:id="rId1420" xr:uid="{00000000-0004-0000-0000-00008B050000}"/>
    <hyperlink ref="B1314" r:id="rId1421" xr:uid="{00000000-0004-0000-0000-00008C050000}"/>
    <hyperlink ref="B1315" r:id="rId1422" xr:uid="{00000000-0004-0000-0000-00008D050000}"/>
    <hyperlink ref="B1316" r:id="rId1423" xr:uid="{00000000-0004-0000-0000-00008E050000}"/>
    <hyperlink ref="B1317" r:id="rId1424" xr:uid="{00000000-0004-0000-0000-00008F050000}"/>
    <hyperlink ref="B1318" r:id="rId1425" xr:uid="{00000000-0004-0000-0000-000090050000}"/>
    <hyperlink ref="B1319" r:id="rId1426" xr:uid="{00000000-0004-0000-0000-000091050000}"/>
    <hyperlink ref="B1320" r:id="rId1427" xr:uid="{00000000-0004-0000-0000-000092050000}"/>
    <hyperlink ref="B1321" r:id="rId1428" xr:uid="{00000000-0004-0000-0000-000093050000}"/>
    <hyperlink ref="B1322" r:id="rId1429" xr:uid="{00000000-0004-0000-0000-000094050000}"/>
    <hyperlink ref="B1323" r:id="rId1430" xr:uid="{00000000-0004-0000-0000-000095050000}"/>
    <hyperlink ref="B1324" r:id="rId1431" xr:uid="{00000000-0004-0000-0000-000096050000}"/>
    <hyperlink ref="B1325" r:id="rId1432" xr:uid="{00000000-0004-0000-0000-000097050000}"/>
    <hyperlink ref="B1326" r:id="rId1433" xr:uid="{00000000-0004-0000-0000-000098050000}"/>
    <hyperlink ref="B1327" r:id="rId1434" xr:uid="{00000000-0004-0000-0000-000099050000}"/>
    <hyperlink ref="B1328" r:id="rId1435" xr:uid="{00000000-0004-0000-0000-00009A050000}"/>
    <hyperlink ref="B1329" r:id="rId1436" xr:uid="{00000000-0004-0000-0000-00009B050000}"/>
    <hyperlink ref="B1330" r:id="rId1437" xr:uid="{00000000-0004-0000-0000-00009C050000}"/>
    <hyperlink ref="B1331" r:id="rId1438" xr:uid="{00000000-0004-0000-0000-00009D050000}"/>
    <hyperlink ref="B1332" r:id="rId1439" xr:uid="{00000000-0004-0000-0000-00009E050000}"/>
    <hyperlink ref="B1333" r:id="rId1440" xr:uid="{00000000-0004-0000-0000-00009F050000}"/>
    <hyperlink ref="B1334" r:id="rId1441" xr:uid="{00000000-0004-0000-0000-0000A0050000}"/>
    <hyperlink ref="B1335" r:id="rId1442" xr:uid="{00000000-0004-0000-0000-0000A1050000}"/>
    <hyperlink ref="B1336" r:id="rId1443" xr:uid="{00000000-0004-0000-0000-0000A2050000}"/>
    <hyperlink ref="B1337" r:id="rId1444" xr:uid="{00000000-0004-0000-0000-0000A3050000}"/>
    <hyperlink ref="B1338" r:id="rId1445" xr:uid="{00000000-0004-0000-0000-0000A4050000}"/>
    <hyperlink ref="B1339" r:id="rId1446" xr:uid="{00000000-0004-0000-0000-0000A5050000}"/>
    <hyperlink ref="B1340" r:id="rId1447" xr:uid="{00000000-0004-0000-0000-0000A6050000}"/>
    <hyperlink ref="B1341" r:id="rId1448" xr:uid="{00000000-0004-0000-0000-0000A7050000}"/>
    <hyperlink ref="B1342" r:id="rId1449" xr:uid="{00000000-0004-0000-0000-0000A8050000}"/>
    <hyperlink ref="B1343" r:id="rId1450" xr:uid="{00000000-0004-0000-0000-0000A9050000}"/>
    <hyperlink ref="B1344" r:id="rId1451" xr:uid="{00000000-0004-0000-0000-0000AA050000}"/>
    <hyperlink ref="B1345" r:id="rId1452" xr:uid="{00000000-0004-0000-0000-0000AB050000}"/>
    <hyperlink ref="B1346" r:id="rId1453" xr:uid="{00000000-0004-0000-0000-0000AC050000}"/>
    <hyperlink ref="B1347" r:id="rId1454" xr:uid="{00000000-0004-0000-0000-0000AD050000}"/>
    <hyperlink ref="B1348" r:id="rId1455" xr:uid="{00000000-0004-0000-0000-0000AE050000}"/>
    <hyperlink ref="B1349" r:id="rId1456" xr:uid="{00000000-0004-0000-0000-0000AF050000}"/>
    <hyperlink ref="B1350" r:id="rId1457" xr:uid="{00000000-0004-0000-0000-0000B0050000}"/>
    <hyperlink ref="B1351" r:id="rId1458" xr:uid="{00000000-0004-0000-0000-0000B1050000}"/>
    <hyperlink ref="B1352" r:id="rId1459" xr:uid="{00000000-0004-0000-0000-0000B2050000}"/>
    <hyperlink ref="B1353" r:id="rId1460" xr:uid="{00000000-0004-0000-0000-0000B3050000}"/>
    <hyperlink ref="B1354" r:id="rId1461" xr:uid="{00000000-0004-0000-0000-0000B4050000}"/>
    <hyperlink ref="B1355" r:id="rId1462" xr:uid="{00000000-0004-0000-0000-0000B5050000}"/>
    <hyperlink ref="B1356" r:id="rId1463" xr:uid="{00000000-0004-0000-0000-0000B6050000}"/>
    <hyperlink ref="B1357" r:id="rId1464" xr:uid="{00000000-0004-0000-0000-0000B7050000}"/>
    <hyperlink ref="B1358" r:id="rId1465" xr:uid="{00000000-0004-0000-0000-0000B8050000}"/>
    <hyperlink ref="B1359" r:id="rId1466" xr:uid="{00000000-0004-0000-0000-0000B9050000}"/>
    <hyperlink ref="B1360" r:id="rId1467" xr:uid="{00000000-0004-0000-0000-0000BA050000}"/>
    <hyperlink ref="B1361" r:id="rId1468" xr:uid="{00000000-0004-0000-0000-0000BB050000}"/>
    <hyperlink ref="B1362" r:id="rId1469" xr:uid="{00000000-0004-0000-0000-0000BC050000}"/>
    <hyperlink ref="B1363" r:id="rId1470" xr:uid="{00000000-0004-0000-0000-0000BD050000}"/>
    <hyperlink ref="B1364" r:id="rId1471" xr:uid="{00000000-0004-0000-0000-0000BE050000}"/>
    <hyperlink ref="B1365" r:id="rId1472" xr:uid="{00000000-0004-0000-0000-0000BF050000}"/>
    <hyperlink ref="B1366" r:id="rId1473" xr:uid="{00000000-0004-0000-0000-0000C0050000}"/>
    <hyperlink ref="B1367" r:id="rId1474" xr:uid="{00000000-0004-0000-0000-0000C1050000}"/>
    <hyperlink ref="B1368" r:id="rId1475" xr:uid="{00000000-0004-0000-0000-0000C2050000}"/>
    <hyperlink ref="B1369" r:id="rId1476" xr:uid="{00000000-0004-0000-0000-0000C3050000}"/>
    <hyperlink ref="B1370" r:id="rId1477" xr:uid="{00000000-0004-0000-0000-0000C4050000}"/>
    <hyperlink ref="B1371" r:id="rId1478" xr:uid="{00000000-0004-0000-0000-0000C5050000}"/>
    <hyperlink ref="B1372" r:id="rId1479" xr:uid="{00000000-0004-0000-0000-0000C6050000}"/>
    <hyperlink ref="B1373" r:id="rId1480" xr:uid="{00000000-0004-0000-0000-0000C7050000}"/>
    <hyperlink ref="B1374" r:id="rId1481" xr:uid="{00000000-0004-0000-0000-0000C8050000}"/>
    <hyperlink ref="B1375" r:id="rId1482" xr:uid="{00000000-0004-0000-0000-0000C9050000}"/>
    <hyperlink ref="B1376" r:id="rId1483" xr:uid="{00000000-0004-0000-0000-0000CA050000}"/>
    <hyperlink ref="B1377" r:id="rId1484" xr:uid="{00000000-0004-0000-0000-0000CB050000}"/>
    <hyperlink ref="B1378" r:id="rId1485" xr:uid="{00000000-0004-0000-0000-0000CC050000}"/>
    <hyperlink ref="B1379" r:id="rId1486" xr:uid="{00000000-0004-0000-0000-0000CD050000}"/>
    <hyperlink ref="B1380" r:id="rId1487" xr:uid="{00000000-0004-0000-0000-0000CE050000}"/>
    <hyperlink ref="B1381" r:id="rId1488" xr:uid="{00000000-0004-0000-0000-0000CF050000}"/>
    <hyperlink ref="B1382" r:id="rId1489" xr:uid="{00000000-0004-0000-0000-0000D0050000}"/>
    <hyperlink ref="B1383" r:id="rId1490" xr:uid="{00000000-0004-0000-0000-0000D1050000}"/>
    <hyperlink ref="B1384" r:id="rId1491" xr:uid="{00000000-0004-0000-0000-0000D2050000}"/>
    <hyperlink ref="B1385" r:id="rId1492" xr:uid="{00000000-0004-0000-0000-0000D3050000}"/>
    <hyperlink ref="B1386" r:id="rId1493" xr:uid="{00000000-0004-0000-0000-0000D4050000}"/>
    <hyperlink ref="B1387" r:id="rId1494" xr:uid="{00000000-0004-0000-0000-0000D5050000}"/>
    <hyperlink ref="B1388" r:id="rId1495" xr:uid="{00000000-0004-0000-0000-0000D6050000}"/>
    <hyperlink ref="B1389" r:id="rId1496" xr:uid="{00000000-0004-0000-0000-0000D7050000}"/>
    <hyperlink ref="B1390" r:id="rId1497" xr:uid="{00000000-0004-0000-0000-0000D8050000}"/>
    <hyperlink ref="B1391" r:id="rId1498" xr:uid="{00000000-0004-0000-0000-0000D9050000}"/>
    <hyperlink ref="I1391" r:id="rId1499" xr:uid="{00000000-0004-0000-0000-0000DA050000}"/>
    <hyperlink ref="B1392" r:id="rId1500" xr:uid="{00000000-0004-0000-0000-0000DB050000}"/>
    <hyperlink ref="B1393" r:id="rId1501" xr:uid="{00000000-0004-0000-0000-0000DC050000}"/>
    <hyperlink ref="B1394" r:id="rId1502" xr:uid="{00000000-0004-0000-0000-0000DD050000}"/>
    <hyperlink ref="B1395" r:id="rId1503" xr:uid="{00000000-0004-0000-0000-0000DE050000}"/>
    <hyperlink ref="B1396" r:id="rId1504" xr:uid="{00000000-0004-0000-0000-0000DF050000}"/>
    <hyperlink ref="B1397" r:id="rId1505" xr:uid="{00000000-0004-0000-0000-0000E0050000}"/>
    <hyperlink ref="B1398" r:id="rId1506" xr:uid="{00000000-0004-0000-0000-0000E1050000}"/>
    <hyperlink ref="I1398" r:id="rId1507" xr:uid="{00000000-0004-0000-0000-0000E2050000}"/>
    <hyperlink ref="B1399" r:id="rId1508" xr:uid="{00000000-0004-0000-0000-0000E3050000}"/>
    <hyperlink ref="B1400" r:id="rId1509" xr:uid="{00000000-0004-0000-0000-0000E4050000}"/>
    <hyperlink ref="B1401" r:id="rId1510" xr:uid="{00000000-0004-0000-0000-0000E5050000}"/>
    <hyperlink ref="B1402" r:id="rId1511" xr:uid="{00000000-0004-0000-0000-0000E6050000}"/>
    <hyperlink ref="B1403" r:id="rId1512" xr:uid="{00000000-0004-0000-0000-0000E7050000}"/>
    <hyperlink ref="B1404" r:id="rId1513" xr:uid="{00000000-0004-0000-0000-0000E8050000}"/>
    <hyperlink ref="B1405" r:id="rId1514" xr:uid="{00000000-0004-0000-0000-0000E9050000}"/>
    <hyperlink ref="B1406" r:id="rId1515" xr:uid="{00000000-0004-0000-0000-0000EA050000}"/>
    <hyperlink ref="B1407" r:id="rId1516" xr:uid="{00000000-0004-0000-0000-0000EB050000}"/>
    <hyperlink ref="B1408" r:id="rId1517" xr:uid="{00000000-0004-0000-0000-0000EC050000}"/>
    <hyperlink ref="B1409" r:id="rId1518" xr:uid="{00000000-0004-0000-0000-0000ED050000}"/>
    <hyperlink ref="B1410" r:id="rId1519" xr:uid="{00000000-0004-0000-0000-0000EE050000}"/>
    <hyperlink ref="B1411" r:id="rId1520" xr:uid="{00000000-0004-0000-0000-0000EF050000}"/>
    <hyperlink ref="I1411" r:id="rId1521" xr:uid="{00000000-0004-0000-0000-0000F0050000}"/>
    <hyperlink ref="B1412" r:id="rId1522" xr:uid="{00000000-0004-0000-0000-0000F1050000}"/>
    <hyperlink ref="B1413" r:id="rId1523" xr:uid="{00000000-0004-0000-0000-0000F2050000}"/>
    <hyperlink ref="B1414" r:id="rId1524" xr:uid="{00000000-0004-0000-0000-0000F3050000}"/>
    <hyperlink ref="B1415" r:id="rId1525" xr:uid="{00000000-0004-0000-0000-0000F4050000}"/>
    <hyperlink ref="B1416" r:id="rId1526" xr:uid="{00000000-0004-0000-0000-0000F5050000}"/>
    <hyperlink ref="B1417" r:id="rId1527" xr:uid="{00000000-0004-0000-0000-0000F6050000}"/>
    <hyperlink ref="B1418" r:id="rId1528" xr:uid="{00000000-0004-0000-0000-0000F7050000}"/>
    <hyperlink ref="B1419" r:id="rId1529" xr:uid="{00000000-0004-0000-0000-0000F8050000}"/>
    <hyperlink ref="B1420" r:id="rId1530" xr:uid="{00000000-0004-0000-0000-0000F9050000}"/>
    <hyperlink ref="B1421" r:id="rId1531" xr:uid="{00000000-0004-0000-0000-0000FA050000}"/>
    <hyperlink ref="B1422" r:id="rId1532" xr:uid="{00000000-0004-0000-0000-0000FB050000}"/>
    <hyperlink ref="B1423" r:id="rId1533" xr:uid="{00000000-0004-0000-0000-0000FC050000}"/>
    <hyperlink ref="B1424" r:id="rId1534" xr:uid="{00000000-0004-0000-0000-0000FD050000}"/>
    <hyperlink ref="B1425" r:id="rId1535" xr:uid="{00000000-0004-0000-0000-0000FE050000}"/>
    <hyperlink ref="B1426" r:id="rId1536" xr:uid="{00000000-0004-0000-0000-0000FF050000}"/>
    <hyperlink ref="B1427" r:id="rId1537" xr:uid="{00000000-0004-0000-0000-000000060000}"/>
    <hyperlink ref="I1427" r:id="rId1538" xr:uid="{00000000-0004-0000-0000-000001060000}"/>
    <hyperlink ref="B1428" r:id="rId1539" xr:uid="{00000000-0004-0000-0000-000002060000}"/>
    <hyperlink ref="B1429" r:id="rId1540" xr:uid="{00000000-0004-0000-0000-000003060000}"/>
    <hyperlink ref="B1430" r:id="rId1541" xr:uid="{00000000-0004-0000-0000-000004060000}"/>
    <hyperlink ref="B1431" r:id="rId1542" xr:uid="{00000000-0004-0000-0000-000005060000}"/>
    <hyperlink ref="B1432" r:id="rId1543" xr:uid="{00000000-0004-0000-0000-000006060000}"/>
    <hyperlink ref="B1433" r:id="rId1544" xr:uid="{00000000-0004-0000-0000-000007060000}"/>
    <hyperlink ref="B1434" r:id="rId1545" xr:uid="{00000000-0004-0000-0000-000008060000}"/>
    <hyperlink ref="B1435" r:id="rId1546" xr:uid="{00000000-0004-0000-0000-000009060000}"/>
    <hyperlink ref="B1436" r:id="rId1547" xr:uid="{00000000-0004-0000-0000-00000A060000}"/>
    <hyperlink ref="B1437" r:id="rId1548" xr:uid="{00000000-0004-0000-0000-00000B060000}"/>
    <hyperlink ref="B1438" r:id="rId1549" xr:uid="{00000000-0004-0000-0000-00000C060000}"/>
    <hyperlink ref="B1439" r:id="rId1550" xr:uid="{00000000-0004-0000-0000-00000D060000}"/>
    <hyperlink ref="B1440" r:id="rId1551" xr:uid="{00000000-0004-0000-0000-00000E060000}"/>
    <hyperlink ref="B1441" r:id="rId1552" xr:uid="{00000000-0004-0000-0000-00000F060000}"/>
    <hyperlink ref="B1442" r:id="rId1553" xr:uid="{00000000-0004-0000-0000-000010060000}"/>
    <hyperlink ref="B1443" r:id="rId1554" xr:uid="{00000000-0004-0000-0000-000011060000}"/>
    <hyperlink ref="B1444" r:id="rId1555" xr:uid="{00000000-0004-0000-0000-000012060000}"/>
    <hyperlink ref="B1445" r:id="rId1556" xr:uid="{00000000-0004-0000-0000-000013060000}"/>
    <hyperlink ref="J1445" r:id="rId1557" xr:uid="{00000000-0004-0000-0000-000014060000}"/>
    <hyperlink ref="B1446" r:id="rId1558" xr:uid="{00000000-0004-0000-0000-000015060000}"/>
    <hyperlink ref="B1447" r:id="rId1559" xr:uid="{00000000-0004-0000-0000-000016060000}"/>
    <hyperlink ref="J1447" r:id="rId1560" xr:uid="{00000000-0004-0000-0000-000017060000}"/>
    <hyperlink ref="B1448" r:id="rId1561" xr:uid="{00000000-0004-0000-0000-000018060000}"/>
    <hyperlink ref="B1449" r:id="rId1562" xr:uid="{00000000-0004-0000-0000-000019060000}"/>
    <hyperlink ref="B1450" r:id="rId1563" xr:uid="{00000000-0004-0000-0000-00001A060000}"/>
    <hyperlink ref="B1451" r:id="rId1564" xr:uid="{00000000-0004-0000-0000-00001B060000}"/>
    <hyperlink ref="B1452" r:id="rId1565" xr:uid="{00000000-0004-0000-0000-00001C060000}"/>
    <hyperlink ref="B1453" r:id="rId1566" xr:uid="{00000000-0004-0000-0000-00001D060000}"/>
    <hyperlink ref="B1454" r:id="rId1567" xr:uid="{00000000-0004-0000-0000-00001E060000}"/>
    <hyperlink ref="B1455" r:id="rId1568" xr:uid="{00000000-0004-0000-0000-00001F060000}"/>
    <hyperlink ref="B1456" r:id="rId1569" xr:uid="{00000000-0004-0000-0000-000020060000}"/>
    <hyperlink ref="B1457" r:id="rId1570" xr:uid="{00000000-0004-0000-0000-000021060000}"/>
    <hyperlink ref="B1458" r:id="rId1571" xr:uid="{00000000-0004-0000-0000-000022060000}"/>
    <hyperlink ref="B1459" r:id="rId1572" xr:uid="{00000000-0004-0000-0000-000023060000}"/>
    <hyperlink ref="B1460" r:id="rId1573" xr:uid="{00000000-0004-0000-0000-000024060000}"/>
    <hyperlink ref="I1460" r:id="rId1574" xr:uid="{00000000-0004-0000-0000-000025060000}"/>
    <hyperlink ref="B1461" r:id="rId1575" xr:uid="{00000000-0004-0000-0000-000026060000}"/>
    <hyperlink ref="B1462" r:id="rId1576" xr:uid="{00000000-0004-0000-0000-000027060000}"/>
    <hyperlink ref="B1463" r:id="rId1577" xr:uid="{00000000-0004-0000-0000-000028060000}"/>
    <hyperlink ref="B1464" r:id="rId1578" xr:uid="{00000000-0004-0000-0000-000029060000}"/>
    <hyperlink ref="B1465" r:id="rId1579" xr:uid="{00000000-0004-0000-0000-00002A060000}"/>
    <hyperlink ref="B1466" r:id="rId1580" xr:uid="{00000000-0004-0000-0000-00002B060000}"/>
    <hyperlink ref="B1467" r:id="rId1581" xr:uid="{00000000-0004-0000-0000-00002C060000}"/>
    <hyperlink ref="B1468" r:id="rId1582" xr:uid="{00000000-0004-0000-0000-00002D060000}"/>
    <hyperlink ref="B1469" r:id="rId1583" xr:uid="{00000000-0004-0000-0000-00002E060000}"/>
    <hyperlink ref="B1470" r:id="rId1584" xr:uid="{00000000-0004-0000-0000-00002F060000}"/>
    <hyperlink ref="B1471" r:id="rId1585" xr:uid="{00000000-0004-0000-0000-000030060000}"/>
    <hyperlink ref="B1472" r:id="rId1586" xr:uid="{00000000-0004-0000-0000-000031060000}"/>
    <hyperlink ref="B1473" r:id="rId1587" xr:uid="{00000000-0004-0000-0000-000032060000}"/>
    <hyperlink ref="B1474" r:id="rId1588" xr:uid="{00000000-0004-0000-0000-000033060000}"/>
    <hyperlink ref="B1475" r:id="rId1589" xr:uid="{00000000-0004-0000-0000-000034060000}"/>
    <hyperlink ref="B1476" r:id="rId1590" xr:uid="{00000000-0004-0000-0000-000035060000}"/>
    <hyperlink ref="B1477" r:id="rId1591" xr:uid="{00000000-0004-0000-0000-000036060000}"/>
    <hyperlink ref="B1478" r:id="rId1592" xr:uid="{00000000-0004-0000-0000-000037060000}"/>
    <hyperlink ref="B1479" r:id="rId1593" xr:uid="{00000000-0004-0000-0000-000038060000}"/>
    <hyperlink ref="B1480" r:id="rId1594" xr:uid="{00000000-0004-0000-0000-000039060000}"/>
    <hyperlink ref="B1481" r:id="rId1595" xr:uid="{00000000-0004-0000-0000-00003A060000}"/>
    <hyperlink ref="J1481" r:id="rId1596" xr:uid="{00000000-0004-0000-0000-00003B060000}"/>
    <hyperlink ref="B1482" r:id="rId1597" xr:uid="{00000000-0004-0000-0000-00003C060000}"/>
    <hyperlink ref="B1483" r:id="rId1598" xr:uid="{00000000-0004-0000-0000-00003D060000}"/>
    <hyperlink ref="B1484" r:id="rId1599" xr:uid="{00000000-0004-0000-0000-00003E060000}"/>
    <hyperlink ref="B1485" r:id="rId1600" xr:uid="{00000000-0004-0000-0000-00003F060000}"/>
    <hyperlink ref="B1486" r:id="rId1601" xr:uid="{00000000-0004-0000-0000-000040060000}"/>
    <hyperlink ref="B1487" r:id="rId1602" xr:uid="{00000000-0004-0000-0000-000041060000}"/>
    <hyperlink ref="B1488" r:id="rId1603" xr:uid="{00000000-0004-0000-0000-000042060000}"/>
    <hyperlink ref="B1489" r:id="rId1604" xr:uid="{00000000-0004-0000-0000-000043060000}"/>
    <hyperlink ref="B1490" r:id="rId1605" xr:uid="{00000000-0004-0000-0000-000044060000}"/>
    <hyperlink ref="B1491" r:id="rId1606" xr:uid="{00000000-0004-0000-0000-000045060000}"/>
    <hyperlink ref="B1492" r:id="rId1607" xr:uid="{00000000-0004-0000-0000-000046060000}"/>
    <hyperlink ref="B1493" r:id="rId1608" xr:uid="{00000000-0004-0000-0000-000047060000}"/>
    <hyperlink ref="B1494" r:id="rId1609" xr:uid="{00000000-0004-0000-0000-000048060000}"/>
    <hyperlink ref="B1495" r:id="rId1610" xr:uid="{00000000-0004-0000-0000-000049060000}"/>
    <hyperlink ref="B1496" r:id="rId1611" xr:uid="{00000000-0004-0000-0000-00004A060000}"/>
    <hyperlink ref="B1497" r:id="rId1612" xr:uid="{00000000-0004-0000-0000-00004B060000}"/>
    <hyperlink ref="B1498" r:id="rId1613" xr:uid="{00000000-0004-0000-0000-00004C060000}"/>
    <hyperlink ref="B1499" r:id="rId1614" xr:uid="{00000000-0004-0000-0000-00004D060000}"/>
    <hyperlink ref="B1500" r:id="rId1615" xr:uid="{00000000-0004-0000-0000-00004E060000}"/>
    <hyperlink ref="B1501" r:id="rId1616" xr:uid="{00000000-0004-0000-0000-00004F060000}"/>
    <hyperlink ref="B1502" r:id="rId1617" xr:uid="{00000000-0004-0000-0000-000050060000}"/>
    <hyperlink ref="B1503" r:id="rId1618" xr:uid="{00000000-0004-0000-0000-000051060000}"/>
    <hyperlink ref="B1504" r:id="rId1619" xr:uid="{00000000-0004-0000-0000-000052060000}"/>
    <hyperlink ref="B1505" r:id="rId1620" xr:uid="{00000000-0004-0000-0000-000053060000}"/>
    <hyperlink ref="B1506" r:id="rId1621" xr:uid="{00000000-0004-0000-0000-000054060000}"/>
    <hyperlink ref="B1507" r:id="rId1622" xr:uid="{00000000-0004-0000-0000-000055060000}"/>
    <hyperlink ref="B1508" r:id="rId1623" xr:uid="{00000000-0004-0000-0000-000056060000}"/>
    <hyperlink ref="B1509" r:id="rId1624" xr:uid="{00000000-0004-0000-0000-000057060000}"/>
    <hyperlink ref="B1510" r:id="rId1625" xr:uid="{00000000-0004-0000-0000-000058060000}"/>
    <hyperlink ref="B1511" r:id="rId1626" xr:uid="{00000000-0004-0000-0000-000059060000}"/>
    <hyperlink ref="B1512" r:id="rId1627" xr:uid="{00000000-0004-0000-0000-00005A060000}"/>
    <hyperlink ref="B1513" r:id="rId1628" xr:uid="{00000000-0004-0000-0000-00005B060000}"/>
    <hyperlink ref="B1514" r:id="rId1629" xr:uid="{00000000-0004-0000-0000-00005C060000}"/>
    <hyperlink ref="B1515" r:id="rId1630" xr:uid="{00000000-0004-0000-0000-00005D060000}"/>
    <hyperlink ref="B1516" r:id="rId1631" xr:uid="{00000000-0004-0000-0000-00005E060000}"/>
    <hyperlink ref="B1517" r:id="rId1632" xr:uid="{00000000-0004-0000-0000-00005F060000}"/>
    <hyperlink ref="B1518" r:id="rId1633" xr:uid="{00000000-0004-0000-0000-000060060000}"/>
    <hyperlink ref="B1519" r:id="rId1634" xr:uid="{00000000-0004-0000-0000-000061060000}"/>
    <hyperlink ref="B1520" r:id="rId1635" xr:uid="{00000000-0004-0000-0000-000062060000}"/>
    <hyperlink ref="I1520" r:id="rId1636" xr:uid="{00000000-0004-0000-0000-000063060000}"/>
    <hyperlink ref="B1521" r:id="rId1637" xr:uid="{00000000-0004-0000-0000-000064060000}"/>
    <hyperlink ref="B1522" r:id="rId1638" xr:uid="{00000000-0004-0000-0000-000065060000}"/>
    <hyperlink ref="B1523" r:id="rId1639" xr:uid="{00000000-0004-0000-0000-000066060000}"/>
    <hyperlink ref="B1524" r:id="rId1640" xr:uid="{00000000-0004-0000-0000-000067060000}"/>
    <hyperlink ref="B1525" r:id="rId1641" xr:uid="{00000000-0004-0000-0000-000068060000}"/>
    <hyperlink ref="B1526" r:id="rId1642" xr:uid="{00000000-0004-0000-0000-000069060000}"/>
    <hyperlink ref="B1527" r:id="rId1643" xr:uid="{00000000-0004-0000-0000-00006A060000}"/>
    <hyperlink ref="B1528" r:id="rId1644" xr:uid="{00000000-0004-0000-0000-00006B060000}"/>
    <hyperlink ref="B1529" r:id="rId1645" xr:uid="{00000000-0004-0000-0000-00006C060000}"/>
    <hyperlink ref="B1530" r:id="rId1646" xr:uid="{00000000-0004-0000-0000-00006D060000}"/>
    <hyperlink ref="B1531" r:id="rId1647" xr:uid="{00000000-0004-0000-0000-00006E060000}"/>
    <hyperlink ref="B1532" r:id="rId1648" xr:uid="{00000000-0004-0000-0000-00006F060000}"/>
    <hyperlink ref="B1533" r:id="rId1649" xr:uid="{00000000-0004-0000-0000-000070060000}"/>
    <hyperlink ref="B1534" r:id="rId1650" xr:uid="{00000000-0004-0000-0000-000071060000}"/>
    <hyperlink ref="I1534" r:id="rId1651" location="!/profile.php?id=100001252616480" xr:uid="{00000000-0004-0000-0000-000072060000}"/>
    <hyperlink ref="B1535" r:id="rId1652" xr:uid="{00000000-0004-0000-0000-000073060000}"/>
    <hyperlink ref="B1536" r:id="rId1653" xr:uid="{00000000-0004-0000-0000-000074060000}"/>
    <hyperlink ref="B1537" r:id="rId1654" xr:uid="{00000000-0004-0000-0000-000075060000}"/>
    <hyperlink ref="B1538" r:id="rId1655" xr:uid="{00000000-0004-0000-0000-000076060000}"/>
    <hyperlink ref="B1539" r:id="rId1656" xr:uid="{00000000-0004-0000-0000-000077060000}"/>
    <hyperlink ref="B1540" r:id="rId1657" xr:uid="{00000000-0004-0000-0000-000078060000}"/>
    <hyperlink ref="B1541" r:id="rId1658" xr:uid="{00000000-0004-0000-0000-000079060000}"/>
    <hyperlink ref="B1542" r:id="rId1659" xr:uid="{00000000-0004-0000-0000-00007A060000}"/>
    <hyperlink ref="B1543" r:id="rId1660" xr:uid="{00000000-0004-0000-0000-00007B060000}"/>
    <hyperlink ref="B1544" r:id="rId1661" xr:uid="{00000000-0004-0000-0000-00007C060000}"/>
    <hyperlink ref="B1545" r:id="rId1662" xr:uid="{00000000-0004-0000-0000-00007D060000}"/>
    <hyperlink ref="B1546" r:id="rId1663" xr:uid="{00000000-0004-0000-0000-00007E060000}"/>
    <hyperlink ref="B1547" r:id="rId1664" xr:uid="{00000000-0004-0000-0000-00007F060000}"/>
    <hyperlink ref="B1548" r:id="rId1665" xr:uid="{00000000-0004-0000-0000-000080060000}"/>
    <hyperlink ref="B1549" r:id="rId1666" xr:uid="{00000000-0004-0000-0000-000081060000}"/>
    <hyperlink ref="B1550" r:id="rId1667" xr:uid="{00000000-0004-0000-0000-000082060000}"/>
    <hyperlink ref="B1551" r:id="rId1668" xr:uid="{00000000-0004-0000-0000-000083060000}"/>
    <hyperlink ref="B1552" r:id="rId1669" xr:uid="{00000000-0004-0000-0000-000084060000}"/>
    <hyperlink ref="B1553" r:id="rId1670" xr:uid="{00000000-0004-0000-0000-000085060000}"/>
    <hyperlink ref="B1554" r:id="rId1671" xr:uid="{00000000-0004-0000-0000-000086060000}"/>
    <hyperlink ref="B1555" r:id="rId1672" xr:uid="{00000000-0004-0000-0000-000087060000}"/>
    <hyperlink ref="B1556" r:id="rId1673" xr:uid="{00000000-0004-0000-0000-000088060000}"/>
    <hyperlink ref="B1557" r:id="rId1674" xr:uid="{00000000-0004-0000-0000-000089060000}"/>
    <hyperlink ref="B1558" r:id="rId1675" xr:uid="{00000000-0004-0000-0000-00008A060000}"/>
    <hyperlink ref="B1559" r:id="rId1676" xr:uid="{00000000-0004-0000-0000-00008B060000}"/>
    <hyperlink ref="B1560" r:id="rId1677" xr:uid="{00000000-0004-0000-0000-00008C060000}"/>
    <hyperlink ref="B1561" r:id="rId1678" xr:uid="{00000000-0004-0000-0000-00008D060000}"/>
    <hyperlink ref="B1562" r:id="rId1679" xr:uid="{00000000-0004-0000-0000-00008E060000}"/>
    <hyperlink ref="B1563" r:id="rId1680" xr:uid="{00000000-0004-0000-0000-00008F060000}"/>
    <hyperlink ref="B1564" r:id="rId1681" xr:uid="{00000000-0004-0000-0000-000090060000}"/>
    <hyperlink ref="B1565" r:id="rId1682" xr:uid="{00000000-0004-0000-0000-000091060000}"/>
    <hyperlink ref="B1566" r:id="rId1683" xr:uid="{00000000-0004-0000-0000-000092060000}"/>
    <hyperlink ref="B1567" r:id="rId1684" xr:uid="{00000000-0004-0000-0000-000093060000}"/>
    <hyperlink ref="B1568" r:id="rId1685" xr:uid="{00000000-0004-0000-0000-000094060000}"/>
    <hyperlink ref="B1569" r:id="rId1686" xr:uid="{00000000-0004-0000-0000-000095060000}"/>
    <hyperlink ref="B1570" r:id="rId1687" xr:uid="{00000000-0004-0000-0000-000096060000}"/>
    <hyperlink ref="B1571" r:id="rId1688" xr:uid="{00000000-0004-0000-0000-000097060000}"/>
    <hyperlink ref="B1572" r:id="rId1689" xr:uid="{00000000-0004-0000-0000-000098060000}"/>
    <hyperlink ref="B1573" r:id="rId1690" xr:uid="{00000000-0004-0000-0000-000099060000}"/>
    <hyperlink ref="B1574" r:id="rId1691" xr:uid="{00000000-0004-0000-0000-00009A060000}"/>
    <hyperlink ref="B1575" r:id="rId1692" xr:uid="{00000000-0004-0000-0000-00009B060000}"/>
    <hyperlink ref="B1576" r:id="rId1693" xr:uid="{00000000-0004-0000-0000-00009C060000}"/>
    <hyperlink ref="B1577" r:id="rId1694" xr:uid="{00000000-0004-0000-0000-00009D060000}"/>
    <hyperlink ref="B1578" r:id="rId1695" xr:uid="{00000000-0004-0000-0000-00009E060000}"/>
    <hyperlink ref="B1579" r:id="rId1696" xr:uid="{00000000-0004-0000-0000-00009F060000}"/>
    <hyperlink ref="B1580" r:id="rId1697" xr:uid="{00000000-0004-0000-0000-0000A0060000}"/>
    <hyperlink ref="B1581" r:id="rId1698" xr:uid="{00000000-0004-0000-0000-0000A1060000}"/>
    <hyperlink ref="B1582" r:id="rId1699" xr:uid="{00000000-0004-0000-0000-0000A2060000}"/>
    <hyperlink ref="B1583" r:id="rId1700" xr:uid="{00000000-0004-0000-0000-0000A3060000}"/>
    <hyperlink ref="B1584" r:id="rId1701" xr:uid="{00000000-0004-0000-0000-0000A4060000}"/>
    <hyperlink ref="B1585" r:id="rId1702" xr:uid="{00000000-0004-0000-0000-0000A5060000}"/>
    <hyperlink ref="B1586" r:id="rId1703" xr:uid="{00000000-0004-0000-0000-0000A6060000}"/>
    <hyperlink ref="B1587" r:id="rId1704" xr:uid="{00000000-0004-0000-0000-0000A7060000}"/>
    <hyperlink ref="B1588" r:id="rId1705" xr:uid="{00000000-0004-0000-0000-0000A8060000}"/>
    <hyperlink ref="B1589" r:id="rId1706" xr:uid="{00000000-0004-0000-0000-0000A9060000}"/>
    <hyperlink ref="B1590" r:id="rId1707" xr:uid="{00000000-0004-0000-0000-0000AA060000}"/>
    <hyperlink ref="B1591" r:id="rId1708" xr:uid="{00000000-0004-0000-0000-0000AB060000}"/>
    <hyperlink ref="B1592" r:id="rId1709" xr:uid="{00000000-0004-0000-0000-0000AC060000}"/>
    <hyperlink ref="B1593" r:id="rId1710" xr:uid="{00000000-0004-0000-0000-0000AD060000}"/>
    <hyperlink ref="B1594" r:id="rId1711" xr:uid="{00000000-0004-0000-0000-0000AE060000}"/>
    <hyperlink ref="B1595" r:id="rId1712" xr:uid="{00000000-0004-0000-0000-0000AF060000}"/>
    <hyperlink ref="B1596" r:id="rId1713" xr:uid="{00000000-0004-0000-0000-0000B0060000}"/>
    <hyperlink ref="B1597" r:id="rId1714" xr:uid="{00000000-0004-0000-0000-0000B1060000}"/>
    <hyperlink ref="B1598" r:id="rId1715" xr:uid="{00000000-0004-0000-0000-0000B2060000}"/>
    <hyperlink ref="B1599" r:id="rId1716" xr:uid="{00000000-0004-0000-0000-0000B3060000}"/>
    <hyperlink ref="B1600" r:id="rId1717" xr:uid="{00000000-0004-0000-0000-0000B4060000}"/>
    <hyperlink ref="B1601" r:id="rId1718" xr:uid="{00000000-0004-0000-0000-0000B5060000}"/>
    <hyperlink ref="B1602" r:id="rId1719" xr:uid="{00000000-0004-0000-0000-0000B6060000}"/>
    <hyperlink ref="B1603" r:id="rId1720" xr:uid="{00000000-0004-0000-0000-0000B7060000}"/>
    <hyperlink ref="B1604" r:id="rId1721" xr:uid="{00000000-0004-0000-0000-0000B8060000}"/>
    <hyperlink ref="B1605" r:id="rId1722" xr:uid="{00000000-0004-0000-0000-0000B9060000}"/>
    <hyperlink ref="B1606" r:id="rId1723" xr:uid="{00000000-0004-0000-0000-0000BA060000}"/>
    <hyperlink ref="B1607" r:id="rId1724" xr:uid="{00000000-0004-0000-0000-0000BB060000}"/>
    <hyperlink ref="B1608" r:id="rId1725" xr:uid="{00000000-0004-0000-0000-0000BC060000}"/>
    <hyperlink ref="B1609" r:id="rId1726" xr:uid="{00000000-0004-0000-0000-0000BD060000}"/>
    <hyperlink ref="B1610" r:id="rId1727" xr:uid="{00000000-0004-0000-0000-0000BE060000}"/>
    <hyperlink ref="B1611" r:id="rId1728" xr:uid="{00000000-0004-0000-0000-0000BF060000}"/>
    <hyperlink ref="B1612" r:id="rId1729" xr:uid="{00000000-0004-0000-0000-0000C0060000}"/>
    <hyperlink ref="B1613" r:id="rId1730" xr:uid="{00000000-0004-0000-0000-0000C1060000}"/>
    <hyperlink ref="B1614" r:id="rId1731" xr:uid="{00000000-0004-0000-0000-0000C2060000}"/>
    <hyperlink ref="B1615" r:id="rId1732" xr:uid="{00000000-0004-0000-0000-0000C3060000}"/>
    <hyperlink ref="B1616" r:id="rId1733" xr:uid="{00000000-0004-0000-0000-0000C4060000}"/>
    <hyperlink ref="B1617" r:id="rId1734" xr:uid="{00000000-0004-0000-0000-0000C5060000}"/>
    <hyperlink ref="B1618" r:id="rId1735" xr:uid="{00000000-0004-0000-0000-0000C6060000}"/>
    <hyperlink ref="B1619" r:id="rId1736" xr:uid="{00000000-0004-0000-0000-0000C7060000}"/>
    <hyperlink ref="B1620" r:id="rId1737" xr:uid="{00000000-0004-0000-0000-0000C8060000}"/>
    <hyperlink ref="B1621" r:id="rId1738" xr:uid="{00000000-0004-0000-0000-0000C9060000}"/>
    <hyperlink ref="B1622" r:id="rId1739" xr:uid="{00000000-0004-0000-0000-0000CA060000}"/>
    <hyperlink ref="B1623" r:id="rId1740" xr:uid="{00000000-0004-0000-0000-0000CB060000}"/>
    <hyperlink ref="B1624" r:id="rId1741" xr:uid="{00000000-0004-0000-0000-0000CC060000}"/>
    <hyperlink ref="B1625" r:id="rId1742" xr:uid="{00000000-0004-0000-0000-0000CD060000}"/>
    <hyperlink ref="B1626" r:id="rId1743" xr:uid="{00000000-0004-0000-0000-0000CE060000}"/>
    <hyperlink ref="B1627" r:id="rId1744" xr:uid="{00000000-0004-0000-0000-0000CF060000}"/>
    <hyperlink ref="B1628" r:id="rId1745" xr:uid="{00000000-0004-0000-0000-0000D0060000}"/>
    <hyperlink ref="B1629" r:id="rId1746" xr:uid="{00000000-0004-0000-0000-0000D1060000}"/>
    <hyperlink ref="B1630" r:id="rId1747" xr:uid="{00000000-0004-0000-0000-0000D2060000}"/>
    <hyperlink ref="B1631" r:id="rId1748" xr:uid="{00000000-0004-0000-0000-0000D3060000}"/>
    <hyperlink ref="B1632" r:id="rId1749" xr:uid="{00000000-0004-0000-0000-0000D4060000}"/>
    <hyperlink ref="B1633" r:id="rId1750" xr:uid="{00000000-0004-0000-0000-0000D5060000}"/>
    <hyperlink ref="B1634" r:id="rId1751" xr:uid="{00000000-0004-0000-0000-0000D6060000}"/>
    <hyperlink ref="B1635" r:id="rId1752" xr:uid="{00000000-0004-0000-0000-0000D7060000}"/>
    <hyperlink ref="B1636" r:id="rId1753" xr:uid="{00000000-0004-0000-0000-0000D8060000}"/>
    <hyperlink ref="B1637" r:id="rId1754" xr:uid="{00000000-0004-0000-0000-0000D9060000}"/>
    <hyperlink ref="B1638" r:id="rId1755" xr:uid="{00000000-0004-0000-0000-0000DA060000}"/>
    <hyperlink ref="B1639" r:id="rId1756" xr:uid="{00000000-0004-0000-0000-0000DB060000}"/>
    <hyperlink ref="B1640" r:id="rId1757" xr:uid="{00000000-0004-0000-0000-0000DC060000}"/>
    <hyperlink ref="B1641" r:id="rId1758" xr:uid="{00000000-0004-0000-0000-0000DD060000}"/>
    <hyperlink ref="B1642" r:id="rId1759" xr:uid="{00000000-0004-0000-0000-0000DE060000}"/>
    <hyperlink ref="B1643" r:id="rId1760" xr:uid="{00000000-0004-0000-0000-0000DF060000}"/>
    <hyperlink ref="B1644" r:id="rId1761" xr:uid="{00000000-0004-0000-0000-0000E0060000}"/>
    <hyperlink ref="B1645" r:id="rId1762" xr:uid="{00000000-0004-0000-0000-0000E1060000}"/>
    <hyperlink ref="B1646" r:id="rId1763" xr:uid="{00000000-0004-0000-0000-0000E2060000}"/>
    <hyperlink ref="B1647" r:id="rId1764" xr:uid="{00000000-0004-0000-0000-0000E3060000}"/>
    <hyperlink ref="B1648" r:id="rId1765" xr:uid="{00000000-0004-0000-0000-0000E4060000}"/>
    <hyperlink ref="B1649" r:id="rId1766" xr:uid="{00000000-0004-0000-0000-0000E5060000}"/>
    <hyperlink ref="B1650" r:id="rId1767" xr:uid="{00000000-0004-0000-0000-0000E6060000}"/>
    <hyperlink ref="B1651" r:id="rId1768" xr:uid="{00000000-0004-0000-0000-0000E7060000}"/>
    <hyperlink ref="B1652" r:id="rId1769" xr:uid="{00000000-0004-0000-0000-0000E8060000}"/>
    <hyperlink ref="B1653" r:id="rId1770" xr:uid="{00000000-0004-0000-0000-0000E9060000}"/>
    <hyperlink ref="B1654" r:id="rId1771" xr:uid="{00000000-0004-0000-0000-0000EA060000}"/>
    <hyperlink ref="B1655" r:id="rId1772" xr:uid="{00000000-0004-0000-0000-0000EB060000}"/>
    <hyperlink ref="B1656" r:id="rId1773" xr:uid="{00000000-0004-0000-0000-0000EC060000}"/>
    <hyperlink ref="B1657" r:id="rId1774" xr:uid="{00000000-0004-0000-0000-0000ED060000}"/>
    <hyperlink ref="B1658" r:id="rId1775" xr:uid="{00000000-0004-0000-0000-0000EE060000}"/>
    <hyperlink ref="B1659" r:id="rId1776" xr:uid="{00000000-0004-0000-0000-0000EF060000}"/>
    <hyperlink ref="B1660" r:id="rId1777" xr:uid="{00000000-0004-0000-0000-0000F0060000}"/>
    <hyperlink ref="B1661" r:id="rId1778" xr:uid="{00000000-0004-0000-0000-0000F1060000}"/>
    <hyperlink ref="B1662" r:id="rId1779" xr:uid="{00000000-0004-0000-0000-0000F2060000}"/>
    <hyperlink ref="B1663" r:id="rId1780" xr:uid="{00000000-0004-0000-0000-0000F3060000}"/>
    <hyperlink ref="B1664" r:id="rId1781" xr:uid="{00000000-0004-0000-0000-0000F4060000}"/>
    <hyperlink ref="B1665" r:id="rId1782" xr:uid="{00000000-0004-0000-0000-0000F5060000}"/>
    <hyperlink ref="B1666" r:id="rId1783" xr:uid="{00000000-0004-0000-0000-0000F6060000}"/>
    <hyperlink ref="B1667" r:id="rId1784" xr:uid="{00000000-0004-0000-0000-0000F7060000}"/>
    <hyperlink ref="B1668" r:id="rId1785" xr:uid="{00000000-0004-0000-0000-0000F8060000}"/>
    <hyperlink ref="B1669" r:id="rId1786" xr:uid="{00000000-0004-0000-0000-0000F9060000}"/>
    <hyperlink ref="B1670" r:id="rId1787" xr:uid="{00000000-0004-0000-0000-0000FA060000}"/>
    <hyperlink ref="B1671" r:id="rId1788" xr:uid="{00000000-0004-0000-0000-0000FB060000}"/>
    <hyperlink ref="B1672" r:id="rId1789" xr:uid="{00000000-0004-0000-0000-0000FC060000}"/>
    <hyperlink ref="B1673" r:id="rId1790" xr:uid="{00000000-0004-0000-0000-0000FD060000}"/>
    <hyperlink ref="B1674" r:id="rId1791" xr:uid="{00000000-0004-0000-0000-0000FE060000}"/>
    <hyperlink ref="B1675" r:id="rId1792" xr:uid="{00000000-0004-0000-0000-0000FF060000}"/>
    <hyperlink ref="B1676" r:id="rId1793" xr:uid="{00000000-0004-0000-0000-000000070000}"/>
    <hyperlink ref="B1677" r:id="rId1794" xr:uid="{00000000-0004-0000-0000-000001070000}"/>
    <hyperlink ref="B1678" r:id="rId1795" xr:uid="{00000000-0004-0000-0000-000002070000}"/>
    <hyperlink ref="B1679" r:id="rId1796" xr:uid="{00000000-0004-0000-0000-000003070000}"/>
    <hyperlink ref="B1680" r:id="rId1797" xr:uid="{00000000-0004-0000-0000-000004070000}"/>
    <hyperlink ref="B1681" r:id="rId1798" xr:uid="{00000000-0004-0000-0000-000005070000}"/>
    <hyperlink ref="B1682" r:id="rId1799" xr:uid="{00000000-0004-0000-0000-000006070000}"/>
    <hyperlink ref="B1683" r:id="rId1800" xr:uid="{00000000-0004-0000-0000-000007070000}"/>
    <hyperlink ref="B1684" r:id="rId1801" xr:uid="{00000000-0004-0000-0000-000008070000}"/>
    <hyperlink ref="B1685" r:id="rId1802" xr:uid="{00000000-0004-0000-0000-000009070000}"/>
    <hyperlink ref="B1686" r:id="rId1803" xr:uid="{00000000-0004-0000-0000-00000A070000}"/>
    <hyperlink ref="B1687" r:id="rId1804" xr:uid="{00000000-0004-0000-0000-00000B070000}"/>
    <hyperlink ref="B1688" r:id="rId1805" xr:uid="{00000000-0004-0000-0000-00000C070000}"/>
    <hyperlink ref="B1689" r:id="rId1806" xr:uid="{00000000-0004-0000-0000-00000D070000}"/>
    <hyperlink ref="B1690" r:id="rId1807" xr:uid="{00000000-0004-0000-0000-00000E070000}"/>
    <hyperlink ref="B1691" r:id="rId1808" xr:uid="{00000000-0004-0000-0000-00000F070000}"/>
    <hyperlink ref="B1692" r:id="rId1809" xr:uid="{00000000-0004-0000-0000-000010070000}"/>
    <hyperlink ref="B1693" r:id="rId1810" xr:uid="{00000000-0004-0000-0000-000011070000}"/>
    <hyperlink ref="B1694" r:id="rId1811" xr:uid="{00000000-0004-0000-0000-000012070000}"/>
    <hyperlink ref="B1695" r:id="rId1812" xr:uid="{00000000-0004-0000-0000-000013070000}"/>
    <hyperlink ref="B1696" r:id="rId1813" xr:uid="{00000000-0004-0000-0000-000014070000}"/>
    <hyperlink ref="B1697" r:id="rId1814" xr:uid="{00000000-0004-0000-0000-000015070000}"/>
    <hyperlink ref="B1698" r:id="rId1815" xr:uid="{00000000-0004-0000-0000-000016070000}"/>
    <hyperlink ref="B1699" r:id="rId1816" xr:uid="{00000000-0004-0000-0000-000017070000}"/>
    <hyperlink ref="B1700" r:id="rId1817" xr:uid="{00000000-0004-0000-0000-000018070000}"/>
    <hyperlink ref="B1701" r:id="rId1818" xr:uid="{00000000-0004-0000-0000-000019070000}"/>
    <hyperlink ref="I1701" r:id="rId1819" xr:uid="{00000000-0004-0000-0000-00001A070000}"/>
    <hyperlink ref="B1702" r:id="rId1820" xr:uid="{00000000-0004-0000-0000-00001B070000}"/>
    <hyperlink ref="B1703" r:id="rId1821" xr:uid="{00000000-0004-0000-0000-00001C070000}"/>
    <hyperlink ref="B1704" r:id="rId1822" xr:uid="{00000000-0004-0000-0000-00001D070000}"/>
    <hyperlink ref="B1705" r:id="rId1823" xr:uid="{00000000-0004-0000-0000-00001E070000}"/>
    <hyperlink ref="B1706" r:id="rId1824" xr:uid="{00000000-0004-0000-0000-00001F070000}"/>
    <hyperlink ref="B1707" r:id="rId1825" xr:uid="{00000000-0004-0000-0000-000020070000}"/>
    <hyperlink ref="B1708" r:id="rId1826" xr:uid="{00000000-0004-0000-0000-000021070000}"/>
    <hyperlink ref="B1709" r:id="rId1827" xr:uid="{00000000-0004-0000-0000-000022070000}"/>
    <hyperlink ref="B1710" r:id="rId1828" xr:uid="{00000000-0004-0000-0000-000023070000}"/>
    <hyperlink ref="B1711" r:id="rId1829" xr:uid="{00000000-0004-0000-0000-000024070000}"/>
    <hyperlink ref="B1712" r:id="rId1830" xr:uid="{00000000-0004-0000-0000-000025070000}"/>
    <hyperlink ref="B1713" r:id="rId1831" xr:uid="{00000000-0004-0000-0000-000026070000}"/>
    <hyperlink ref="B1714" r:id="rId1832" xr:uid="{00000000-0004-0000-0000-000027070000}"/>
    <hyperlink ref="B1715" r:id="rId1833" xr:uid="{00000000-0004-0000-0000-000028070000}"/>
    <hyperlink ref="B1716" r:id="rId1834" xr:uid="{00000000-0004-0000-0000-000029070000}"/>
    <hyperlink ref="B1717" r:id="rId1835" xr:uid="{00000000-0004-0000-0000-00002A070000}"/>
    <hyperlink ref="B1718" r:id="rId1836" xr:uid="{00000000-0004-0000-0000-00002B070000}"/>
    <hyperlink ref="B1719" r:id="rId1837" xr:uid="{00000000-0004-0000-0000-00002C070000}"/>
    <hyperlink ref="B1720" r:id="rId1838" xr:uid="{00000000-0004-0000-0000-00002D070000}"/>
    <hyperlink ref="B1721" r:id="rId1839" xr:uid="{00000000-0004-0000-0000-00002E070000}"/>
    <hyperlink ref="B1722" r:id="rId1840" xr:uid="{00000000-0004-0000-0000-00002F070000}"/>
    <hyperlink ref="B1723" r:id="rId1841" xr:uid="{00000000-0004-0000-0000-000030070000}"/>
    <hyperlink ref="B1724" r:id="rId1842" xr:uid="{00000000-0004-0000-0000-000031070000}"/>
    <hyperlink ref="B1725" r:id="rId1843" xr:uid="{00000000-0004-0000-0000-000032070000}"/>
    <hyperlink ref="B1726" r:id="rId1844" xr:uid="{00000000-0004-0000-0000-000033070000}"/>
    <hyperlink ref="B1727" r:id="rId1845" xr:uid="{00000000-0004-0000-0000-000034070000}"/>
    <hyperlink ref="B1728" r:id="rId1846" xr:uid="{00000000-0004-0000-0000-000035070000}"/>
    <hyperlink ref="B1729" r:id="rId1847" xr:uid="{00000000-0004-0000-0000-000036070000}"/>
    <hyperlink ref="B1730" r:id="rId1848" xr:uid="{00000000-0004-0000-0000-000037070000}"/>
    <hyperlink ref="B1731" r:id="rId1849" xr:uid="{00000000-0004-0000-0000-000038070000}"/>
    <hyperlink ref="B1732" r:id="rId1850" xr:uid="{00000000-0004-0000-0000-000039070000}"/>
    <hyperlink ref="B1733" r:id="rId1851" xr:uid="{00000000-0004-0000-0000-00003A070000}"/>
    <hyperlink ref="B1734" r:id="rId1852" xr:uid="{00000000-0004-0000-0000-00003B070000}"/>
    <hyperlink ref="B1735" r:id="rId1853" xr:uid="{00000000-0004-0000-0000-00003C070000}"/>
    <hyperlink ref="B1736" r:id="rId1854" xr:uid="{00000000-0004-0000-0000-00003D070000}"/>
    <hyperlink ref="J1736" r:id="rId1855" xr:uid="{00000000-0004-0000-0000-00003E070000}"/>
    <hyperlink ref="B1737" r:id="rId1856" xr:uid="{00000000-0004-0000-0000-00003F070000}"/>
    <hyperlink ref="B1738" r:id="rId1857" xr:uid="{00000000-0004-0000-0000-000040070000}"/>
    <hyperlink ref="B1739" r:id="rId1858" xr:uid="{00000000-0004-0000-0000-000041070000}"/>
    <hyperlink ref="B1740" r:id="rId1859" xr:uid="{00000000-0004-0000-0000-000042070000}"/>
    <hyperlink ref="B1741" r:id="rId1860" xr:uid="{00000000-0004-0000-0000-000043070000}"/>
    <hyperlink ref="B1742" r:id="rId1861" xr:uid="{00000000-0004-0000-0000-000044070000}"/>
    <hyperlink ref="B1743" r:id="rId1862" xr:uid="{00000000-0004-0000-0000-000045070000}"/>
    <hyperlink ref="B1744" r:id="rId1863" xr:uid="{00000000-0004-0000-0000-000046070000}"/>
    <hyperlink ref="B1745" r:id="rId1864" xr:uid="{00000000-0004-0000-0000-000047070000}"/>
    <hyperlink ref="B1746" r:id="rId1865" xr:uid="{00000000-0004-0000-0000-000048070000}"/>
    <hyperlink ref="B1747" r:id="rId1866" xr:uid="{00000000-0004-0000-0000-000049070000}"/>
    <hyperlink ref="B1748" r:id="rId1867" xr:uid="{00000000-0004-0000-0000-00004A070000}"/>
    <hyperlink ref="B1749" r:id="rId1868" xr:uid="{00000000-0004-0000-0000-00004B070000}"/>
    <hyperlink ref="B1750" r:id="rId1869" xr:uid="{00000000-0004-0000-0000-00004C070000}"/>
    <hyperlink ref="B1751" r:id="rId1870" xr:uid="{00000000-0004-0000-0000-00004D070000}"/>
    <hyperlink ref="B1752" r:id="rId1871" xr:uid="{00000000-0004-0000-0000-00004E070000}"/>
    <hyperlink ref="B1753" r:id="rId1872" xr:uid="{00000000-0004-0000-0000-00004F070000}"/>
    <hyperlink ref="B1754" r:id="rId1873" xr:uid="{00000000-0004-0000-0000-000050070000}"/>
    <hyperlink ref="B1755" r:id="rId1874" xr:uid="{00000000-0004-0000-0000-000051070000}"/>
    <hyperlink ref="B1756" r:id="rId1875" xr:uid="{00000000-0004-0000-0000-000052070000}"/>
    <hyperlink ref="B1757" r:id="rId1876" xr:uid="{00000000-0004-0000-0000-000053070000}"/>
    <hyperlink ref="B1758" r:id="rId1877" xr:uid="{00000000-0004-0000-0000-000054070000}"/>
    <hyperlink ref="B1759" r:id="rId1878" xr:uid="{00000000-0004-0000-0000-000055070000}"/>
    <hyperlink ref="B1760" r:id="rId1879" xr:uid="{00000000-0004-0000-0000-000056070000}"/>
    <hyperlink ref="B1761" r:id="rId1880" xr:uid="{00000000-0004-0000-0000-000057070000}"/>
    <hyperlink ref="B1762" r:id="rId1881" xr:uid="{00000000-0004-0000-0000-000058070000}"/>
    <hyperlink ref="B1763" r:id="rId1882" xr:uid="{00000000-0004-0000-0000-000059070000}"/>
    <hyperlink ref="B1764" r:id="rId1883" xr:uid="{00000000-0004-0000-0000-00005A070000}"/>
    <hyperlink ref="B1765" r:id="rId1884" xr:uid="{00000000-0004-0000-0000-00005B070000}"/>
    <hyperlink ref="B1766" r:id="rId1885" xr:uid="{00000000-0004-0000-0000-00005C070000}"/>
    <hyperlink ref="B1767" r:id="rId1886" xr:uid="{00000000-0004-0000-0000-00005D070000}"/>
    <hyperlink ref="B1768" r:id="rId1887" xr:uid="{00000000-0004-0000-0000-00005E070000}"/>
    <hyperlink ref="B1769" r:id="rId1888" xr:uid="{00000000-0004-0000-0000-00005F070000}"/>
    <hyperlink ref="B1770" r:id="rId1889" xr:uid="{00000000-0004-0000-0000-000060070000}"/>
    <hyperlink ref="B1771" r:id="rId1890" xr:uid="{00000000-0004-0000-0000-000061070000}"/>
    <hyperlink ref="B1772" r:id="rId1891" xr:uid="{00000000-0004-0000-0000-000062070000}"/>
    <hyperlink ref="B1773" r:id="rId1892" xr:uid="{00000000-0004-0000-0000-000063070000}"/>
    <hyperlink ref="B1774" r:id="rId1893" xr:uid="{00000000-0004-0000-0000-000064070000}"/>
    <hyperlink ref="B1775" r:id="rId1894" xr:uid="{00000000-0004-0000-0000-000065070000}"/>
    <hyperlink ref="B1776" r:id="rId1895" xr:uid="{00000000-0004-0000-0000-000066070000}"/>
    <hyperlink ref="B1777" r:id="rId1896" xr:uid="{00000000-0004-0000-0000-000067070000}"/>
    <hyperlink ref="B1778" r:id="rId1897" xr:uid="{00000000-0004-0000-0000-000068070000}"/>
    <hyperlink ref="B1779" r:id="rId1898" xr:uid="{00000000-0004-0000-0000-000069070000}"/>
    <hyperlink ref="B1780" r:id="rId1899" xr:uid="{00000000-0004-0000-0000-00006A070000}"/>
    <hyperlink ref="B1781" r:id="rId1900" xr:uid="{00000000-0004-0000-0000-00006B070000}"/>
    <hyperlink ref="B1782" r:id="rId1901" xr:uid="{00000000-0004-0000-0000-00006C070000}"/>
    <hyperlink ref="B1783" r:id="rId1902" xr:uid="{00000000-0004-0000-0000-00006D070000}"/>
    <hyperlink ref="B1784" r:id="rId1903" xr:uid="{00000000-0004-0000-0000-00006E070000}"/>
    <hyperlink ref="B1785" r:id="rId1904" xr:uid="{00000000-0004-0000-0000-00006F070000}"/>
    <hyperlink ref="B1786" r:id="rId1905" xr:uid="{00000000-0004-0000-0000-000070070000}"/>
    <hyperlink ref="B1787" r:id="rId1906" xr:uid="{00000000-0004-0000-0000-000071070000}"/>
    <hyperlink ref="B1788" r:id="rId1907" xr:uid="{00000000-0004-0000-0000-000072070000}"/>
    <hyperlink ref="B1789" r:id="rId1908" xr:uid="{00000000-0004-0000-0000-000073070000}"/>
    <hyperlink ref="B1790" r:id="rId1909" xr:uid="{00000000-0004-0000-0000-000074070000}"/>
    <hyperlink ref="B1791" r:id="rId1910" xr:uid="{00000000-0004-0000-0000-000075070000}"/>
    <hyperlink ref="B1792" r:id="rId1911" xr:uid="{00000000-0004-0000-0000-000076070000}"/>
    <hyperlink ref="B1793" r:id="rId1912" xr:uid="{00000000-0004-0000-0000-000077070000}"/>
    <hyperlink ref="B1794" r:id="rId1913" xr:uid="{00000000-0004-0000-0000-000078070000}"/>
    <hyperlink ref="B1795" r:id="rId1914" xr:uid="{00000000-0004-0000-0000-000079070000}"/>
    <hyperlink ref="B1796" r:id="rId1915" xr:uid="{00000000-0004-0000-0000-00007A070000}"/>
    <hyperlink ref="B1797" r:id="rId1916" xr:uid="{00000000-0004-0000-0000-00007B070000}"/>
    <hyperlink ref="B1798" r:id="rId1917" xr:uid="{00000000-0004-0000-0000-00007C070000}"/>
    <hyperlink ref="B1799" r:id="rId1918" xr:uid="{00000000-0004-0000-0000-00007D070000}"/>
    <hyperlink ref="B1800" r:id="rId1919" xr:uid="{00000000-0004-0000-0000-00007E070000}"/>
    <hyperlink ref="B1801" r:id="rId1920" xr:uid="{00000000-0004-0000-0000-00007F070000}"/>
    <hyperlink ref="B1802" r:id="rId1921" xr:uid="{00000000-0004-0000-0000-000080070000}"/>
    <hyperlink ref="B1803" r:id="rId1922" xr:uid="{00000000-0004-0000-0000-000081070000}"/>
    <hyperlink ref="B1804" r:id="rId1923" xr:uid="{00000000-0004-0000-0000-000082070000}"/>
    <hyperlink ref="B1805" r:id="rId1924" xr:uid="{00000000-0004-0000-0000-000083070000}"/>
    <hyperlink ref="B1806" r:id="rId1925" xr:uid="{00000000-0004-0000-0000-000084070000}"/>
    <hyperlink ref="B1807" r:id="rId1926" xr:uid="{00000000-0004-0000-0000-000085070000}"/>
    <hyperlink ref="B1808" r:id="rId1927" xr:uid="{00000000-0004-0000-0000-000086070000}"/>
    <hyperlink ref="B1809" r:id="rId1928" xr:uid="{00000000-0004-0000-0000-000087070000}"/>
    <hyperlink ref="B1810" r:id="rId1929" xr:uid="{00000000-0004-0000-0000-000088070000}"/>
    <hyperlink ref="B1811" r:id="rId1930" xr:uid="{00000000-0004-0000-0000-000089070000}"/>
    <hyperlink ref="B1812" r:id="rId1931" xr:uid="{00000000-0004-0000-0000-00008A070000}"/>
    <hyperlink ref="B1813" r:id="rId1932" xr:uid="{00000000-0004-0000-0000-00008B070000}"/>
    <hyperlink ref="B1814" r:id="rId1933" xr:uid="{00000000-0004-0000-0000-00008C070000}"/>
    <hyperlink ref="B1815" r:id="rId1934" xr:uid="{00000000-0004-0000-0000-00008D070000}"/>
    <hyperlink ref="B1816" r:id="rId1935" xr:uid="{00000000-0004-0000-0000-00008E070000}"/>
    <hyperlink ref="B1817" r:id="rId1936" xr:uid="{00000000-0004-0000-0000-00008F070000}"/>
    <hyperlink ref="B1818" r:id="rId1937" xr:uid="{00000000-0004-0000-0000-000090070000}"/>
    <hyperlink ref="B1819" r:id="rId1938" xr:uid="{00000000-0004-0000-0000-000091070000}"/>
    <hyperlink ref="B1820" r:id="rId1939" xr:uid="{00000000-0004-0000-0000-000092070000}"/>
    <hyperlink ref="B1821" r:id="rId1940" xr:uid="{00000000-0004-0000-0000-000093070000}"/>
    <hyperlink ref="B1822" r:id="rId1941" xr:uid="{00000000-0004-0000-0000-000094070000}"/>
    <hyperlink ref="B1823" r:id="rId1942" xr:uid="{00000000-0004-0000-0000-000095070000}"/>
    <hyperlink ref="B1824" r:id="rId1943" xr:uid="{00000000-0004-0000-0000-000096070000}"/>
    <hyperlink ref="B1825" r:id="rId1944" xr:uid="{00000000-0004-0000-0000-000097070000}"/>
    <hyperlink ref="B1826" r:id="rId1945" xr:uid="{00000000-0004-0000-0000-000098070000}"/>
    <hyperlink ref="B1827" r:id="rId1946" xr:uid="{00000000-0004-0000-0000-000099070000}"/>
    <hyperlink ref="B1828" r:id="rId1947" xr:uid="{00000000-0004-0000-0000-00009A070000}"/>
    <hyperlink ref="B1829" r:id="rId1948" xr:uid="{00000000-0004-0000-0000-00009B070000}"/>
    <hyperlink ref="B1830" r:id="rId1949" xr:uid="{00000000-0004-0000-0000-00009C070000}"/>
    <hyperlink ref="B1831" r:id="rId1950" xr:uid="{00000000-0004-0000-0000-00009D070000}"/>
    <hyperlink ref="B1832" r:id="rId1951" xr:uid="{00000000-0004-0000-0000-00009E070000}"/>
    <hyperlink ref="B1833" r:id="rId1952" xr:uid="{00000000-0004-0000-0000-00009F070000}"/>
    <hyperlink ref="B1834" r:id="rId1953" xr:uid="{00000000-0004-0000-0000-0000A0070000}"/>
    <hyperlink ref="B1835" r:id="rId1954" xr:uid="{00000000-0004-0000-0000-0000A1070000}"/>
    <hyperlink ref="B1836" r:id="rId1955" xr:uid="{00000000-0004-0000-0000-0000A2070000}"/>
    <hyperlink ref="B1837" r:id="rId1956" xr:uid="{00000000-0004-0000-0000-0000A3070000}"/>
    <hyperlink ref="B1838" r:id="rId1957" xr:uid="{00000000-0004-0000-0000-0000A4070000}"/>
    <hyperlink ref="B1839" r:id="rId1958" xr:uid="{00000000-0004-0000-0000-0000A5070000}"/>
    <hyperlink ref="B1840" r:id="rId1959" xr:uid="{00000000-0004-0000-0000-0000A6070000}"/>
    <hyperlink ref="B1841" r:id="rId1960" xr:uid="{00000000-0004-0000-0000-0000A7070000}"/>
    <hyperlink ref="B1842" r:id="rId1961" xr:uid="{00000000-0004-0000-0000-0000A8070000}"/>
    <hyperlink ref="B1843" r:id="rId1962" xr:uid="{00000000-0004-0000-0000-0000A9070000}"/>
    <hyperlink ref="B1844" r:id="rId1963" xr:uid="{00000000-0004-0000-0000-0000AA070000}"/>
    <hyperlink ref="B1845" r:id="rId1964" xr:uid="{00000000-0004-0000-0000-0000AB070000}"/>
    <hyperlink ref="B1846" r:id="rId1965" xr:uid="{00000000-0004-0000-0000-0000AC070000}"/>
    <hyperlink ref="B1847" r:id="rId1966" xr:uid="{00000000-0004-0000-0000-0000AD070000}"/>
    <hyperlink ref="B1848" r:id="rId1967" xr:uid="{00000000-0004-0000-0000-0000AE070000}"/>
    <hyperlink ref="B1849" r:id="rId1968" xr:uid="{00000000-0004-0000-0000-0000AF070000}"/>
    <hyperlink ref="B1850" r:id="rId1969" xr:uid="{00000000-0004-0000-0000-0000B0070000}"/>
    <hyperlink ref="B1851" r:id="rId1970" xr:uid="{00000000-0004-0000-0000-0000B1070000}"/>
    <hyperlink ref="B1852" r:id="rId1971" xr:uid="{00000000-0004-0000-0000-0000B2070000}"/>
    <hyperlink ref="B1853" r:id="rId1972" xr:uid="{00000000-0004-0000-0000-0000B3070000}"/>
    <hyperlink ref="B1854" r:id="rId1973" xr:uid="{00000000-0004-0000-0000-0000B4070000}"/>
    <hyperlink ref="B1855" r:id="rId1974" xr:uid="{00000000-0004-0000-0000-0000B5070000}"/>
    <hyperlink ref="B1856" r:id="rId1975" xr:uid="{00000000-0004-0000-0000-0000B6070000}"/>
    <hyperlink ref="B1857" r:id="rId1976" xr:uid="{00000000-0004-0000-0000-0000B7070000}"/>
    <hyperlink ref="B1858" r:id="rId1977" xr:uid="{00000000-0004-0000-0000-0000B8070000}"/>
    <hyperlink ref="B1859" r:id="rId1978" xr:uid="{00000000-0004-0000-0000-0000B9070000}"/>
    <hyperlink ref="B1860" r:id="rId1979" xr:uid="{00000000-0004-0000-0000-0000BA070000}"/>
    <hyperlink ref="B1861" r:id="rId1980" xr:uid="{00000000-0004-0000-0000-0000BB070000}"/>
    <hyperlink ref="B1862" r:id="rId1981" xr:uid="{00000000-0004-0000-0000-0000BC070000}"/>
    <hyperlink ref="B1863" r:id="rId1982" xr:uid="{00000000-0004-0000-0000-0000BD070000}"/>
    <hyperlink ref="B1864" r:id="rId1983" xr:uid="{00000000-0004-0000-0000-0000BE070000}"/>
    <hyperlink ref="B1865" r:id="rId1984" xr:uid="{00000000-0004-0000-0000-0000BF070000}"/>
    <hyperlink ref="B1866" r:id="rId1985" xr:uid="{00000000-0004-0000-0000-0000C0070000}"/>
    <hyperlink ref="B1867" r:id="rId1986" xr:uid="{00000000-0004-0000-0000-0000C1070000}"/>
    <hyperlink ref="B1868" r:id="rId1987" xr:uid="{00000000-0004-0000-0000-0000C2070000}"/>
    <hyperlink ref="B1869" r:id="rId1988" xr:uid="{00000000-0004-0000-0000-0000C3070000}"/>
    <hyperlink ref="B1870" r:id="rId1989" xr:uid="{00000000-0004-0000-0000-0000C4070000}"/>
    <hyperlink ref="B1871" r:id="rId1990" xr:uid="{00000000-0004-0000-0000-0000C5070000}"/>
    <hyperlink ref="B1872" r:id="rId1991" xr:uid="{00000000-0004-0000-0000-0000C6070000}"/>
    <hyperlink ref="B1873" r:id="rId1992" xr:uid="{00000000-0004-0000-0000-0000C7070000}"/>
    <hyperlink ref="B1874" r:id="rId1993" xr:uid="{00000000-0004-0000-0000-0000C8070000}"/>
    <hyperlink ref="B1875" r:id="rId1994" xr:uid="{00000000-0004-0000-0000-0000C9070000}"/>
    <hyperlink ref="B1876" r:id="rId1995" xr:uid="{00000000-0004-0000-0000-0000CA070000}"/>
    <hyperlink ref="B1877" r:id="rId1996" xr:uid="{00000000-0004-0000-0000-0000CB070000}"/>
    <hyperlink ref="B1878" r:id="rId1997" xr:uid="{00000000-0004-0000-0000-0000CC070000}"/>
    <hyperlink ref="B1879" r:id="rId1998" xr:uid="{00000000-0004-0000-0000-0000CD070000}"/>
    <hyperlink ref="B1880" r:id="rId1999" xr:uid="{00000000-0004-0000-0000-0000CE070000}"/>
    <hyperlink ref="B1881" r:id="rId2000" xr:uid="{00000000-0004-0000-0000-0000CF070000}"/>
    <hyperlink ref="B1882" r:id="rId2001" xr:uid="{00000000-0004-0000-0000-0000D0070000}"/>
    <hyperlink ref="B1883" r:id="rId2002" xr:uid="{00000000-0004-0000-0000-0000D1070000}"/>
    <hyperlink ref="B1884" r:id="rId2003" xr:uid="{00000000-0004-0000-0000-0000D2070000}"/>
    <hyperlink ref="B1885" r:id="rId2004" xr:uid="{00000000-0004-0000-0000-0000D3070000}"/>
    <hyperlink ref="B1886" r:id="rId2005" xr:uid="{00000000-0004-0000-0000-0000D4070000}"/>
    <hyperlink ref="B1887" r:id="rId2006" xr:uid="{00000000-0004-0000-0000-0000D5070000}"/>
    <hyperlink ref="B1888" r:id="rId2007" xr:uid="{00000000-0004-0000-0000-0000D6070000}"/>
    <hyperlink ref="B1889" r:id="rId2008" xr:uid="{00000000-0004-0000-0000-0000D7070000}"/>
    <hyperlink ref="B1890" r:id="rId2009" xr:uid="{00000000-0004-0000-0000-0000D8070000}"/>
    <hyperlink ref="B1891" r:id="rId2010" xr:uid="{00000000-0004-0000-0000-0000D9070000}"/>
    <hyperlink ref="B1892" r:id="rId2011" xr:uid="{00000000-0004-0000-0000-0000DA070000}"/>
    <hyperlink ref="B1893" r:id="rId2012" xr:uid="{00000000-0004-0000-0000-0000DB070000}"/>
    <hyperlink ref="B1894" r:id="rId2013" xr:uid="{00000000-0004-0000-0000-0000DC070000}"/>
    <hyperlink ref="B1895" r:id="rId2014" xr:uid="{00000000-0004-0000-0000-0000DD070000}"/>
    <hyperlink ref="B1896" r:id="rId2015" xr:uid="{00000000-0004-0000-0000-0000DE070000}"/>
    <hyperlink ref="B1897" r:id="rId2016" xr:uid="{00000000-0004-0000-0000-0000DF070000}"/>
    <hyperlink ref="B1898" r:id="rId2017" xr:uid="{00000000-0004-0000-0000-0000E0070000}"/>
    <hyperlink ref="B1899" r:id="rId2018" xr:uid="{00000000-0004-0000-0000-0000E1070000}"/>
    <hyperlink ref="B1900" r:id="rId2019" xr:uid="{00000000-0004-0000-0000-0000E2070000}"/>
    <hyperlink ref="B1901" r:id="rId2020" xr:uid="{00000000-0004-0000-0000-0000E3070000}"/>
    <hyperlink ref="B1902" r:id="rId2021" xr:uid="{00000000-0004-0000-0000-0000E4070000}"/>
    <hyperlink ref="B1903" r:id="rId2022" xr:uid="{00000000-0004-0000-0000-0000E5070000}"/>
    <hyperlink ref="B1904" r:id="rId2023" xr:uid="{00000000-0004-0000-0000-0000E6070000}"/>
    <hyperlink ref="B1905" r:id="rId2024" xr:uid="{00000000-0004-0000-0000-0000E7070000}"/>
    <hyperlink ref="B1906" r:id="rId2025" xr:uid="{00000000-0004-0000-0000-0000E8070000}"/>
    <hyperlink ref="B1907" r:id="rId2026" xr:uid="{00000000-0004-0000-0000-0000E9070000}"/>
    <hyperlink ref="B1908" r:id="rId2027" xr:uid="{00000000-0004-0000-0000-0000EA070000}"/>
    <hyperlink ref="B1909" r:id="rId2028" xr:uid="{00000000-0004-0000-0000-0000EB070000}"/>
    <hyperlink ref="B1910" r:id="rId2029" xr:uid="{00000000-0004-0000-0000-0000EC070000}"/>
    <hyperlink ref="B1911" r:id="rId2030" xr:uid="{00000000-0004-0000-0000-0000ED070000}"/>
    <hyperlink ref="B1912" r:id="rId2031" xr:uid="{00000000-0004-0000-0000-0000EE070000}"/>
    <hyperlink ref="B1913" r:id="rId2032" xr:uid="{00000000-0004-0000-0000-0000EF070000}"/>
    <hyperlink ref="B1914" r:id="rId2033" xr:uid="{00000000-0004-0000-0000-0000F0070000}"/>
    <hyperlink ref="B1915" r:id="rId2034" xr:uid="{00000000-0004-0000-0000-0000F1070000}"/>
    <hyperlink ref="B1916" r:id="rId2035" xr:uid="{00000000-0004-0000-0000-0000F2070000}"/>
    <hyperlink ref="B1917" r:id="rId2036" xr:uid="{00000000-0004-0000-0000-0000F3070000}"/>
    <hyperlink ref="B1918" r:id="rId2037" xr:uid="{00000000-0004-0000-0000-0000F4070000}"/>
    <hyperlink ref="B1919" r:id="rId2038" xr:uid="{00000000-0004-0000-0000-0000F5070000}"/>
    <hyperlink ref="B1920" r:id="rId2039" xr:uid="{00000000-0004-0000-0000-0000F6070000}"/>
    <hyperlink ref="B1921" r:id="rId2040" xr:uid="{00000000-0004-0000-0000-0000F7070000}"/>
    <hyperlink ref="B1922" r:id="rId2041" xr:uid="{00000000-0004-0000-0000-0000F8070000}"/>
    <hyperlink ref="B1923" r:id="rId2042" xr:uid="{00000000-0004-0000-0000-0000F9070000}"/>
    <hyperlink ref="B1924" r:id="rId2043" xr:uid="{00000000-0004-0000-0000-0000FA070000}"/>
    <hyperlink ref="B1925" r:id="rId2044" xr:uid="{00000000-0004-0000-0000-0000FB070000}"/>
    <hyperlink ref="B1926" r:id="rId2045" xr:uid="{00000000-0004-0000-0000-0000FC070000}"/>
    <hyperlink ref="B1927" r:id="rId2046" xr:uid="{00000000-0004-0000-0000-0000FD070000}"/>
    <hyperlink ref="B1928" r:id="rId2047" xr:uid="{00000000-0004-0000-0000-0000FE070000}"/>
    <hyperlink ref="B1929" r:id="rId2048" xr:uid="{00000000-0004-0000-0000-0000FF070000}"/>
    <hyperlink ref="B1930" r:id="rId2049" xr:uid="{00000000-0004-0000-0000-000000080000}"/>
    <hyperlink ref="B1931" r:id="rId2050" xr:uid="{00000000-0004-0000-0000-000001080000}"/>
    <hyperlink ref="B1932" r:id="rId2051" xr:uid="{00000000-0004-0000-0000-000002080000}"/>
    <hyperlink ref="B1933" r:id="rId2052" xr:uid="{00000000-0004-0000-0000-000003080000}"/>
    <hyperlink ref="B1934" r:id="rId2053" xr:uid="{00000000-0004-0000-0000-000004080000}"/>
    <hyperlink ref="B1935" r:id="rId2054" xr:uid="{00000000-0004-0000-0000-000005080000}"/>
    <hyperlink ref="B1936" r:id="rId2055" xr:uid="{00000000-0004-0000-0000-000006080000}"/>
    <hyperlink ref="B1937" r:id="rId2056" xr:uid="{00000000-0004-0000-0000-000007080000}"/>
    <hyperlink ref="B1938" r:id="rId2057" xr:uid="{00000000-0004-0000-0000-000008080000}"/>
    <hyperlink ref="B1939" r:id="rId2058" xr:uid="{00000000-0004-0000-0000-000009080000}"/>
    <hyperlink ref="B1940" r:id="rId2059" xr:uid="{00000000-0004-0000-0000-00000A080000}"/>
    <hyperlink ref="B1941" r:id="rId2060" xr:uid="{00000000-0004-0000-0000-00000B080000}"/>
    <hyperlink ref="B1942" r:id="rId2061" xr:uid="{00000000-0004-0000-0000-00000C080000}"/>
    <hyperlink ref="B1943" r:id="rId2062" xr:uid="{00000000-0004-0000-0000-00000D080000}"/>
    <hyperlink ref="B1944" r:id="rId2063" xr:uid="{00000000-0004-0000-0000-00000E080000}"/>
    <hyperlink ref="B1945" r:id="rId2064" xr:uid="{00000000-0004-0000-0000-00000F080000}"/>
    <hyperlink ref="B1946" r:id="rId2065" xr:uid="{00000000-0004-0000-0000-000010080000}"/>
    <hyperlink ref="B1947" r:id="rId2066" xr:uid="{00000000-0004-0000-0000-000011080000}"/>
    <hyperlink ref="B1948" r:id="rId2067" xr:uid="{00000000-0004-0000-0000-000012080000}"/>
    <hyperlink ref="B1949" r:id="rId2068" xr:uid="{00000000-0004-0000-0000-000013080000}"/>
    <hyperlink ref="B1950" r:id="rId2069" xr:uid="{00000000-0004-0000-0000-000014080000}"/>
    <hyperlink ref="B1951" r:id="rId2070" xr:uid="{00000000-0004-0000-0000-000015080000}"/>
    <hyperlink ref="B1952" r:id="rId2071" xr:uid="{00000000-0004-0000-0000-000016080000}"/>
    <hyperlink ref="B1953" r:id="rId2072" xr:uid="{00000000-0004-0000-0000-000017080000}"/>
    <hyperlink ref="B1954" r:id="rId2073" xr:uid="{00000000-0004-0000-0000-000018080000}"/>
    <hyperlink ref="B1955" r:id="rId2074" xr:uid="{00000000-0004-0000-0000-000019080000}"/>
    <hyperlink ref="B1956" r:id="rId2075" xr:uid="{00000000-0004-0000-0000-00001A080000}"/>
    <hyperlink ref="B1957" r:id="rId2076" xr:uid="{00000000-0004-0000-0000-00001B080000}"/>
    <hyperlink ref="B1958" r:id="rId2077" xr:uid="{00000000-0004-0000-0000-00001C080000}"/>
    <hyperlink ref="B1959" r:id="rId2078" xr:uid="{00000000-0004-0000-0000-00001D080000}"/>
    <hyperlink ref="B1960" r:id="rId2079" xr:uid="{00000000-0004-0000-0000-00001E080000}"/>
    <hyperlink ref="B1961" r:id="rId2080" xr:uid="{00000000-0004-0000-0000-00001F080000}"/>
    <hyperlink ref="B1962" r:id="rId2081" xr:uid="{00000000-0004-0000-0000-000020080000}"/>
    <hyperlink ref="B1963" r:id="rId2082" xr:uid="{00000000-0004-0000-0000-000021080000}"/>
    <hyperlink ref="B1964" r:id="rId2083" xr:uid="{00000000-0004-0000-0000-000022080000}"/>
    <hyperlink ref="B1965" r:id="rId2084" xr:uid="{00000000-0004-0000-0000-000023080000}"/>
    <hyperlink ref="B1966" r:id="rId2085" xr:uid="{00000000-0004-0000-0000-000024080000}"/>
    <hyperlink ref="B1967" r:id="rId2086" xr:uid="{00000000-0004-0000-0000-000025080000}"/>
    <hyperlink ref="B1968" r:id="rId2087" xr:uid="{00000000-0004-0000-0000-000026080000}"/>
    <hyperlink ref="B1969" r:id="rId2088" xr:uid="{00000000-0004-0000-0000-000027080000}"/>
    <hyperlink ref="B1970" r:id="rId2089" xr:uid="{00000000-0004-0000-0000-000028080000}"/>
    <hyperlink ref="B1971" r:id="rId2090" xr:uid="{00000000-0004-0000-0000-000029080000}"/>
    <hyperlink ref="B1972" r:id="rId2091" xr:uid="{00000000-0004-0000-0000-00002A080000}"/>
    <hyperlink ref="B1973" r:id="rId2092" xr:uid="{00000000-0004-0000-0000-00002B080000}"/>
    <hyperlink ref="B1974" r:id="rId2093" xr:uid="{00000000-0004-0000-0000-00002C080000}"/>
    <hyperlink ref="B1975" r:id="rId2094" xr:uid="{00000000-0004-0000-0000-00002D080000}"/>
    <hyperlink ref="B1976" r:id="rId2095" xr:uid="{00000000-0004-0000-0000-00002E080000}"/>
    <hyperlink ref="B1977" r:id="rId2096" xr:uid="{00000000-0004-0000-0000-00002F080000}"/>
    <hyperlink ref="B1978" r:id="rId2097" xr:uid="{00000000-0004-0000-0000-000030080000}"/>
    <hyperlink ref="B1979" r:id="rId2098" xr:uid="{00000000-0004-0000-0000-000031080000}"/>
    <hyperlink ref="B1980" r:id="rId2099" xr:uid="{00000000-0004-0000-0000-000032080000}"/>
    <hyperlink ref="B1981" r:id="rId2100" xr:uid="{00000000-0004-0000-0000-000033080000}"/>
    <hyperlink ref="B1982" r:id="rId2101" xr:uid="{00000000-0004-0000-0000-000034080000}"/>
    <hyperlink ref="B1983" r:id="rId2102" xr:uid="{00000000-0004-0000-0000-000035080000}"/>
    <hyperlink ref="B1984" r:id="rId2103" xr:uid="{00000000-0004-0000-0000-000036080000}"/>
    <hyperlink ref="B1985" r:id="rId2104" xr:uid="{00000000-0004-0000-0000-000037080000}"/>
    <hyperlink ref="B1986" r:id="rId2105" xr:uid="{00000000-0004-0000-0000-000038080000}"/>
    <hyperlink ref="B1987" r:id="rId2106" xr:uid="{00000000-0004-0000-0000-000039080000}"/>
    <hyperlink ref="B1988" r:id="rId2107" xr:uid="{00000000-0004-0000-0000-00003A080000}"/>
    <hyperlink ref="B1989" r:id="rId2108" xr:uid="{00000000-0004-0000-0000-00003B080000}"/>
    <hyperlink ref="B1990" r:id="rId2109" xr:uid="{00000000-0004-0000-0000-00003C080000}"/>
    <hyperlink ref="B1991" r:id="rId2110" xr:uid="{00000000-0004-0000-0000-00003D080000}"/>
    <hyperlink ref="B1992" r:id="rId2111" xr:uid="{00000000-0004-0000-0000-00003E080000}"/>
    <hyperlink ref="B1993" r:id="rId2112" xr:uid="{00000000-0004-0000-0000-00003F080000}"/>
    <hyperlink ref="B1994" r:id="rId2113" xr:uid="{00000000-0004-0000-0000-000040080000}"/>
    <hyperlink ref="B1995" r:id="rId2114" xr:uid="{00000000-0004-0000-0000-000041080000}"/>
    <hyperlink ref="B1996" r:id="rId2115" xr:uid="{00000000-0004-0000-0000-000042080000}"/>
    <hyperlink ref="B1997" r:id="rId2116" xr:uid="{00000000-0004-0000-0000-000043080000}"/>
    <hyperlink ref="B1998" r:id="rId2117" xr:uid="{00000000-0004-0000-0000-000044080000}"/>
    <hyperlink ref="B1999" r:id="rId2118" xr:uid="{00000000-0004-0000-0000-000045080000}"/>
    <hyperlink ref="B2000" r:id="rId2119" xr:uid="{00000000-0004-0000-0000-000046080000}"/>
    <hyperlink ref="B2001" r:id="rId2120" xr:uid="{00000000-0004-0000-0000-000047080000}"/>
    <hyperlink ref="B2002" r:id="rId2121" xr:uid="{00000000-0004-0000-0000-000048080000}"/>
    <hyperlink ref="B2003" r:id="rId2122" xr:uid="{00000000-0004-0000-0000-000049080000}"/>
    <hyperlink ref="B2004" r:id="rId2123" xr:uid="{00000000-0004-0000-0000-00004A080000}"/>
    <hyperlink ref="B2005" r:id="rId2124" xr:uid="{00000000-0004-0000-0000-00004B080000}"/>
    <hyperlink ref="B2006" r:id="rId2125" xr:uid="{00000000-0004-0000-0000-00004C080000}"/>
    <hyperlink ref="B2007" r:id="rId2126" xr:uid="{00000000-0004-0000-0000-00004D080000}"/>
    <hyperlink ref="B2008" r:id="rId2127" xr:uid="{00000000-0004-0000-0000-00004E080000}"/>
    <hyperlink ref="B2009" r:id="rId2128" xr:uid="{00000000-0004-0000-0000-00004F080000}"/>
    <hyperlink ref="B2010" r:id="rId2129" xr:uid="{00000000-0004-0000-0000-000050080000}"/>
    <hyperlink ref="B2011" r:id="rId2130" xr:uid="{00000000-0004-0000-0000-000051080000}"/>
    <hyperlink ref="B2012" r:id="rId2131" xr:uid="{00000000-0004-0000-0000-000052080000}"/>
    <hyperlink ref="B2013" r:id="rId2132" xr:uid="{00000000-0004-0000-0000-000053080000}"/>
    <hyperlink ref="B2014" r:id="rId2133" xr:uid="{00000000-0004-0000-0000-000054080000}"/>
    <hyperlink ref="B2015" r:id="rId2134" xr:uid="{00000000-0004-0000-0000-000055080000}"/>
    <hyperlink ref="B2016" r:id="rId2135" xr:uid="{00000000-0004-0000-0000-000056080000}"/>
    <hyperlink ref="B2017" r:id="rId2136" xr:uid="{00000000-0004-0000-0000-000057080000}"/>
    <hyperlink ref="B2018" r:id="rId2137" xr:uid="{00000000-0004-0000-0000-000058080000}"/>
    <hyperlink ref="B2019" r:id="rId2138" xr:uid="{00000000-0004-0000-0000-000059080000}"/>
    <hyperlink ref="B2020" r:id="rId2139" xr:uid="{00000000-0004-0000-0000-00005A080000}"/>
    <hyperlink ref="B2021" r:id="rId2140" xr:uid="{00000000-0004-0000-0000-00005B080000}"/>
    <hyperlink ref="B2022" r:id="rId2141" xr:uid="{00000000-0004-0000-0000-00005C080000}"/>
    <hyperlink ref="B2023" r:id="rId2142" xr:uid="{00000000-0004-0000-0000-00005D080000}"/>
    <hyperlink ref="B2024" r:id="rId2143" xr:uid="{00000000-0004-0000-0000-00005E080000}"/>
    <hyperlink ref="B2025" r:id="rId2144" xr:uid="{00000000-0004-0000-0000-00005F080000}"/>
    <hyperlink ref="B2026" r:id="rId2145" xr:uid="{00000000-0004-0000-0000-000060080000}"/>
    <hyperlink ref="B2027" r:id="rId2146" xr:uid="{00000000-0004-0000-0000-000061080000}"/>
    <hyperlink ref="B2028" r:id="rId2147" xr:uid="{00000000-0004-0000-0000-000062080000}"/>
    <hyperlink ref="B2029" r:id="rId2148" xr:uid="{00000000-0004-0000-0000-000063080000}"/>
    <hyperlink ref="B2030" r:id="rId2149" xr:uid="{00000000-0004-0000-0000-000064080000}"/>
    <hyperlink ref="B2031" r:id="rId2150" xr:uid="{00000000-0004-0000-0000-000065080000}"/>
    <hyperlink ref="B2032" r:id="rId2151" xr:uid="{00000000-0004-0000-0000-000066080000}"/>
    <hyperlink ref="B2033" r:id="rId2152" xr:uid="{00000000-0004-0000-0000-000067080000}"/>
    <hyperlink ref="B2034" r:id="rId2153" xr:uid="{00000000-0004-0000-0000-000068080000}"/>
    <hyperlink ref="B2035" r:id="rId2154" xr:uid="{00000000-0004-0000-0000-000069080000}"/>
    <hyperlink ref="B2036" r:id="rId2155" xr:uid="{00000000-0004-0000-0000-00006A080000}"/>
    <hyperlink ref="B2037" r:id="rId2156" xr:uid="{00000000-0004-0000-0000-00006B080000}"/>
    <hyperlink ref="B2038" r:id="rId2157" xr:uid="{00000000-0004-0000-0000-00006C080000}"/>
    <hyperlink ref="B2039" r:id="rId2158" xr:uid="{00000000-0004-0000-0000-00006D080000}"/>
    <hyperlink ref="B2040" r:id="rId2159" xr:uid="{00000000-0004-0000-0000-00006E080000}"/>
    <hyperlink ref="B2041" r:id="rId2160" xr:uid="{00000000-0004-0000-0000-00006F080000}"/>
    <hyperlink ref="B2042" r:id="rId2161" xr:uid="{00000000-0004-0000-0000-000070080000}"/>
    <hyperlink ref="B2043" r:id="rId2162" xr:uid="{00000000-0004-0000-0000-000071080000}"/>
    <hyperlink ref="B2044" r:id="rId2163" xr:uid="{00000000-0004-0000-0000-000072080000}"/>
    <hyperlink ref="B2045" r:id="rId2164" xr:uid="{00000000-0004-0000-0000-000073080000}"/>
    <hyperlink ref="B2046" r:id="rId2165" xr:uid="{00000000-0004-0000-0000-000074080000}"/>
    <hyperlink ref="B2047" r:id="rId2166" xr:uid="{00000000-0004-0000-0000-000075080000}"/>
    <hyperlink ref="B2048" r:id="rId2167" xr:uid="{00000000-0004-0000-0000-000076080000}"/>
    <hyperlink ref="B2049" r:id="rId2168" xr:uid="{00000000-0004-0000-0000-000077080000}"/>
    <hyperlink ref="B2050" r:id="rId2169" xr:uid="{00000000-0004-0000-0000-000078080000}"/>
    <hyperlink ref="B2051" r:id="rId2170" xr:uid="{00000000-0004-0000-0000-000079080000}"/>
    <hyperlink ref="B2052" r:id="rId2171" xr:uid="{00000000-0004-0000-0000-00007A080000}"/>
    <hyperlink ref="B2053" r:id="rId2172" xr:uid="{00000000-0004-0000-0000-00007B080000}"/>
    <hyperlink ref="B2054" r:id="rId2173" xr:uid="{00000000-0004-0000-0000-00007C080000}"/>
    <hyperlink ref="B2055" r:id="rId2174" xr:uid="{00000000-0004-0000-0000-00007D080000}"/>
    <hyperlink ref="B2056" r:id="rId2175" xr:uid="{00000000-0004-0000-0000-00007E080000}"/>
    <hyperlink ref="B2057" r:id="rId2176" xr:uid="{00000000-0004-0000-0000-00007F080000}"/>
    <hyperlink ref="B2058" r:id="rId2177" xr:uid="{00000000-0004-0000-0000-000080080000}"/>
    <hyperlink ref="B2059" r:id="rId2178" xr:uid="{00000000-0004-0000-0000-000081080000}"/>
    <hyperlink ref="B2060" r:id="rId2179" xr:uid="{00000000-0004-0000-0000-000082080000}"/>
    <hyperlink ref="B2061" r:id="rId2180" xr:uid="{00000000-0004-0000-0000-000083080000}"/>
    <hyperlink ref="B2062" r:id="rId2181" xr:uid="{00000000-0004-0000-0000-000084080000}"/>
    <hyperlink ref="B2063" r:id="rId2182" xr:uid="{00000000-0004-0000-0000-000085080000}"/>
    <hyperlink ref="B2064" r:id="rId2183" xr:uid="{00000000-0004-0000-0000-000086080000}"/>
    <hyperlink ref="B2065" r:id="rId2184" xr:uid="{00000000-0004-0000-0000-000087080000}"/>
    <hyperlink ref="B2066" r:id="rId2185" xr:uid="{00000000-0004-0000-0000-000088080000}"/>
    <hyperlink ref="B2067" r:id="rId2186" xr:uid="{00000000-0004-0000-0000-000089080000}"/>
    <hyperlink ref="B2068" r:id="rId2187" xr:uid="{00000000-0004-0000-0000-00008A080000}"/>
    <hyperlink ref="B2069" r:id="rId2188" xr:uid="{00000000-0004-0000-0000-00008B080000}"/>
    <hyperlink ref="B2070" r:id="rId2189" xr:uid="{00000000-0004-0000-0000-00008C080000}"/>
    <hyperlink ref="B2071" r:id="rId2190" xr:uid="{00000000-0004-0000-0000-00008D080000}"/>
    <hyperlink ref="B2072" r:id="rId2191" xr:uid="{00000000-0004-0000-0000-00008E080000}"/>
    <hyperlink ref="B2073" r:id="rId2192" xr:uid="{00000000-0004-0000-0000-00008F080000}"/>
    <hyperlink ref="B2074" r:id="rId2193" xr:uid="{00000000-0004-0000-0000-000090080000}"/>
    <hyperlink ref="B2075" r:id="rId2194" xr:uid="{00000000-0004-0000-0000-000091080000}"/>
    <hyperlink ref="B2076" r:id="rId2195" xr:uid="{00000000-0004-0000-0000-000092080000}"/>
    <hyperlink ref="B2077" r:id="rId2196" xr:uid="{00000000-0004-0000-0000-000093080000}"/>
    <hyperlink ref="B2078" r:id="rId2197" xr:uid="{00000000-0004-0000-0000-000094080000}"/>
    <hyperlink ref="B2079" r:id="rId2198" xr:uid="{00000000-0004-0000-0000-000095080000}"/>
    <hyperlink ref="B2080" r:id="rId2199" xr:uid="{00000000-0004-0000-0000-000096080000}"/>
    <hyperlink ref="B2081" r:id="rId2200" xr:uid="{00000000-0004-0000-0000-000097080000}"/>
    <hyperlink ref="B2082" r:id="rId2201" xr:uid="{00000000-0004-0000-0000-000098080000}"/>
    <hyperlink ref="B2083" r:id="rId2202" xr:uid="{00000000-0004-0000-0000-000099080000}"/>
    <hyperlink ref="B2084" r:id="rId2203" xr:uid="{00000000-0004-0000-0000-00009A080000}"/>
    <hyperlink ref="B2085" r:id="rId2204" xr:uid="{00000000-0004-0000-0000-00009B080000}"/>
    <hyperlink ref="B2086" r:id="rId2205" xr:uid="{00000000-0004-0000-0000-00009C080000}"/>
    <hyperlink ref="B2087" r:id="rId2206" xr:uid="{00000000-0004-0000-0000-00009D080000}"/>
    <hyperlink ref="B2088" r:id="rId2207" xr:uid="{00000000-0004-0000-0000-00009E080000}"/>
    <hyperlink ref="B2089" r:id="rId2208" xr:uid="{00000000-0004-0000-0000-00009F080000}"/>
    <hyperlink ref="B2090" r:id="rId2209" xr:uid="{00000000-0004-0000-0000-0000A0080000}"/>
    <hyperlink ref="B2091" r:id="rId2210" xr:uid="{00000000-0004-0000-0000-0000A1080000}"/>
    <hyperlink ref="B2092" r:id="rId2211" xr:uid="{00000000-0004-0000-0000-0000A2080000}"/>
    <hyperlink ref="B2093" r:id="rId2212" xr:uid="{00000000-0004-0000-0000-0000A3080000}"/>
    <hyperlink ref="B2094" r:id="rId2213" xr:uid="{00000000-0004-0000-0000-0000A4080000}"/>
    <hyperlink ref="B2095" r:id="rId2214" xr:uid="{00000000-0004-0000-0000-0000A5080000}"/>
    <hyperlink ref="B2096" r:id="rId2215" xr:uid="{00000000-0004-0000-0000-0000A6080000}"/>
    <hyperlink ref="B2097" r:id="rId2216" xr:uid="{00000000-0004-0000-0000-0000A7080000}"/>
    <hyperlink ref="B2098" r:id="rId2217" xr:uid="{00000000-0004-0000-0000-0000A8080000}"/>
    <hyperlink ref="B2099" r:id="rId2218" xr:uid="{00000000-0004-0000-0000-0000A9080000}"/>
    <hyperlink ref="B2100" r:id="rId2219" xr:uid="{00000000-0004-0000-0000-0000AA080000}"/>
    <hyperlink ref="B2101" r:id="rId2220" xr:uid="{00000000-0004-0000-0000-0000AB080000}"/>
    <hyperlink ref="B2102" r:id="rId2221" xr:uid="{00000000-0004-0000-0000-0000AC080000}"/>
    <hyperlink ref="B2103" r:id="rId2222" xr:uid="{00000000-0004-0000-0000-0000AD080000}"/>
    <hyperlink ref="B2104" r:id="rId2223" xr:uid="{00000000-0004-0000-0000-0000AE080000}"/>
    <hyperlink ref="B2105" r:id="rId2224" xr:uid="{00000000-0004-0000-0000-0000AF080000}"/>
    <hyperlink ref="B2106" r:id="rId2225" xr:uid="{00000000-0004-0000-0000-0000B0080000}"/>
    <hyperlink ref="B2107" r:id="rId2226" xr:uid="{00000000-0004-0000-0000-0000B1080000}"/>
    <hyperlink ref="B2108" r:id="rId2227" xr:uid="{00000000-0004-0000-0000-0000B2080000}"/>
    <hyperlink ref="B2109" r:id="rId2228" xr:uid="{00000000-0004-0000-0000-0000B3080000}"/>
    <hyperlink ref="B2110" r:id="rId2229" xr:uid="{00000000-0004-0000-0000-0000B4080000}"/>
    <hyperlink ref="B2111" r:id="rId2230" xr:uid="{00000000-0004-0000-0000-0000B5080000}"/>
    <hyperlink ref="B2112" r:id="rId2231" xr:uid="{00000000-0004-0000-0000-0000B6080000}"/>
    <hyperlink ref="B2113" r:id="rId2232" xr:uid="{00000000-0004-0000-0000-0000B7080000}"/>
    <hyperlink ref="B2114" r:id="rId2233" xr:uid="{00000000-0004-0000-0000-0000B8080000}"/>
    <hyperlink ref="B2115" r:id="rId2234" xr:uid="{00000000-0004-0000-0000-0000B9080000}"/>
    <hyperlink ref="B2116" r:id="rId2235" xr:uid="{00000000-0004-0000-0000-0000BA080000}"/>
    <hyperlink ref="B2117" r:id="rId2236" xr:uid="{00000000-0004-0000-0000-0000BB080000}"/>
    <hyperlink ref="B2118" r:id="rId2237" xr:uid="{00000000-0004-0000-0000-0000BC080000}"/>
    <hyperlink ref="B2119" r:id="rId2238" xr:uid="{00000000-0004-0000-0000-0000BD080000}"/>
    <hyperlink ref="B2120" r:id="rId2239" xr:uid="{00000000-0004-0000-0000-0000BE080000}"/>
    <hyperlink ref="B2121" r:id="rId2240" xr:uid="{00000000-0004-0000-0000-0000BF080000}"/>
    <hyperlink ref="B2122" r:id="rId2241" xr:uid="{00000000-0004-0000-0000-0000C0080000}"/>
    <hyperlink ref="B2123" r:id="rId2242" xr:uid="{00000000-0004-0000-0000-0000C1080000}"/>
    <hyperlink ref="B2124" r:id="rId2243" xr:uid="{00000000-0004-0000-0000-0000C2080000}"/>
    <hyperlink ref="B2125" r:id="rId2244" xr:uid="{00000000-0004-0000-0000-0000C3080000}"/>
    <hyperlink ref="B2126" r:id="rId2245" xr:uid="{00000000-0004-0000-0000-0000C4080000}"/>
    <hyperlink ref="B2127" r:id="rId2246" xr:uid="{00000000-0004-0000-0000-0000C5080000}"/>
    <hyperlink ref="B2128" r:id="rId2247" xr:uid="{00000000-0004-0000-0000-0000C6080000}"/>
    <hyperlink ref="B2129" r:id="rId2248" xr:uid="{00000000-0004-0000-0000-0000C7080000}"/>
    <hyperlink ref="B2130" r:id="rId2249" xr:uid="{00000000-0004-0000-0000-0000C8080000}"/>
    <hyperlink ref="B2131" r:id="rId2250" xr:uid="{00000000-0004-0000-0000-0000C9080000}"/>
    <hyperlink ref="B2132" r:id="rId2251" xr:uid="{00000000-0004-0000-0000-0000CA080000}"/>
    <hyperlink ref="B2133" r:id="rId2252" xr:uid="{00000000-0004-0000-0000-0000CB080000}"/>
    <hyperlink ref="B2134" r:id="rId2253" xr:uid="{00000000-0004-0000-0000-0000CC080000}"/>
    <hyperlink ref="B2135" r:id="rId2254" xr:uid="{00000000-0004-0000-0000-0000CD080000}"/>
    <hyperlink ref="B2136" r:id="rId2255" xr:uid="{00000000-0004-0000-0000-0000CE080000}"/>
    <hyperlink ref="B2137" r:id="rId2256" xr:uid="{00000000-0004-0000-0000-0000CF080000}"/>
    <hyperlink ref="B2138" r:id="rId2257" xr:uid="{00000000-0004-0000-0000-0000D0080000}"/>
    <hyperlink ref="B2139" r:id="rId2258" xr:uid="{00000000-0004-0000-0000-0000D1080000}"/>
    <hyperlink ref="B2140" r:id="rId2259" xr:uid="{00000000-0004-0000-0000-0000D2080000}"/>
    <hyperlink ref="B2141" r:id="rId2260" xr:uid="{00000000-0004-0000-0000-0000D3080000}"/>
    <hyperlink ref="B2142" r:id="rId2261" xr:uid="{00000000-0004-0000-0000-0000D4080000}"/>
    <hyperlink ref="B2143" r:id="rId2262" xr:uid="{00000000-0004-0000-0000-0000D5080000}"/>
    <hyperlink ref="B2144" r:id="rId2263" xr:uid="{00000000-0004-0000-0000-0000D6080000}"/>
    <hyperlink ref="B2145" r:id="rId2264" xr:uid="{00000000-0004-0000-0000-0000D7080000}"/>
    <hyperlink ref="B2146" r:id="rId2265" xr:uid="{00000000-0004-0000-0000-0000D8080000}"/>
    <hyperlink ref="B2147" r:id="rId2266" xr:uid="{00000000-0004-0000-0000-0000D9080000}"/>
    <hyperlink ref="B2148" r:id="rId2267" xr:uid="{00000000-0004-0000-0000-0000DA080000}"/>
    <hyperlink ref="B2149" r:id="rId2268" xr:uid="{00000000-0004-0000-0000-0000DB080000}"/>
    <hyperlink ref="B2150" r:id="rId2269" xr:uid="{00000000-0004-0000-0000-0000DC080000}"/>
    <hyperlink ref="B2151" r:id="rId2270" xr:uid="{00000000-0004-0000-0000-0000DD080000}"/>
    <hyperlink ref="B2152" r:id="rId2271" xr:uid="{00000000-0004-0000-0000-0000DE080000}"/>
    <hyperlink ref="B2153" r:id="rId2272" xr:uid="{00000000-0004-0000-0000-0000DF080000}"/>
    <hyperlink ref="B2154" r:id="rId2273" xr:uid="{00000000-0004-0000-0000-0000E0080000}"/>
    <hyperlink ref="B2155" r:id="rId2274" xr:uid="{00000000-0004-0000-0000-0000E1080000}"/>
    <hyperlink ref="B2156" r:id="rId2275" xr:uid="{00000000-0004-0000-0000-0000E2080000}"/>
    <hyperlink ref="B2157" r:id="rId2276" xr:uid="{00000000-0004-0000-0000-0000E3080000}"/>
    <hyperlink ref="B2158" r:id="rId2277" xr:uid="{00000000-0004-0000-0000-0000E4080000}"/>
    <hyperlink ref="B2159" r:id="rId2278" xr:uid="{00000000-0004-0000-0000-0000E5080000}"/>
    <hyperlink ref="B2160" r:id="rId2279" xr:uid="{00000000-0004-0000-0000-0000E6080000}"/>
    <hyperlink ref="B2161" r:id="rId2280" xr:uid="{00000000-0004-0000-0000-0000E7080000}"/>
    <hyperlink ref="B2162" r:id="rId2281" xr:uid="{00000000-0004-0000-0000-0000E8080000}"/>
    <hyperlink ref="B2163" r:id="rId2282" xr:uid="{00000000-0004-0000-0000-0000E9080000}"/>
    <hyperlink ref="B2164" r:id="rId2283" xr:uid="{00000000-0004-0000-0000-0000EA080000}"/>
    <hyperlink ref="B2165" r:id="rId2284" xr:uid="{00000000-0004-0000-0000-0000EB080000}"/>
    <hyperlink ref="B2166" r:id="rId2285" xr:uid="{00000000-0004-0000-0000-0000EC080000}"/>
    <hyperlink ref="B2167" r:id="rId2286" xr:uid="{00000000-0004-0000-0000-0000ED080000}"/>
    <hyperlink ref="B2168" r:id="rId2287" xr:uid="{00000000-0004-0000-0000-0000EE080000}"/>
    <hyperlink ref="B2169" r:id="rId2288" xr:uid="{00000000-0004-0000-0000-0000EF080000}"/>
    <hyperlink ref="B2170" r:id="rId2289" xr:uid="{00000000-0004-0000-0000-0000F0080000}"/>
    <hyperlink ref="B2171" r:id="rId2290" xr:uid="{00000000-0004-0000-0000-0000F1080000}"/>
    <hyperlink ref="B2172" r:id="rId2291" xr:uid="{00000000-0004-0000-0000-0000F2080000}"/>
    <hyperlink ref="B2173" r:id="rId2292" xr:uid="{00000000-0004-0000-0000-0000F3080000}"/>
    <hyperlink ref="B2174" r:id="rId2293" xr:uid="{00000000-0004-0000-0000-0000F4080000}"/>
    <hyperlink ref="B2175" r:id="rId2294" xr:uid="{00000000-0004-0000-0000-0000F5080000}"/>
    <hyperlink ref="B2176" r:id="rId2295" xr:uid="{00000000-0004-0000-0000-0000F6080000}"/>
    <hyperlink ref="B2177" r:id="rId2296" xr:uid="{00000000-0004-0000-0000-0000F7080000}"/>
    <hyperlink ref="B2178" r:id="rId2297" xr:uid="{00000000-0004-0000-0000-0000F8080000}"/>
    <hyperlink ref="B2179" r:id="rId2298" xr:uid="{00000000-0004-0000-0000-0000F9080000}"/>
    <hyperlink ref="B2180" r:id="rId2299" xr:uid="{00000000-0004-0000-0000-0000FA080000}"/>
    <hyperlink ref="B2181" r:id="rId2300" xr:uid="{00000000-0004-0000-0000-0000FB080000}"/>
    <hyperlink ref="B2182" r:id="rId2301" xr:uid="{00000000-0004-0000-0000-0000FC080000}"/>
    <hyperlink ref="B2183" r:id="rId2302" xr:uid="{00000000-0004-0000-0000-0000FD080000}"/>
    <hyperlink ref="B2184" r:id="rId2303" xr:uid="{00000000-0004-0000-0000-0000FE080000}"/>
    <hyperlink ref="B2185" r:id="rId2304" xr:uid="{00000000-0004-0000-0000-0000FF080000}"/>
    <hyperlink ref="B2186" r:id="rId2305" xr:uid="{00000000-0004-0000-0000-000000090000}"/>
    <hyperlink ref="B2187" r:id="rId2306" xr:uid="{00000000-0004-0000-0000-000001090000}"/>
    <hyperlink ref="B2188" r:id="rId2307" xr:uid="{00000000-0004-0000-0000-000002090000}"/>
    <hyperlink ref="B2189" r:id="rId2308" xr:uid="{00000000-0004-0000-0000-000003090000}"/>
    <hyperlink ref="B2190" r:id="rId2309" xr:uid="{00000000-0004-0000-0000-000004090000}"/>
    <hyperlink ref="B2191" r:id="rId2310" xr:uid="{00000000-0004-0000-0000-000005090000}"/>
    <hyperlink ref="B2192" r:id="rId2311" xr:uid="{00000000-0004-0000-0000-000006090000}"/>
    <hyperlink ref="B2193" r:id="rId2312" xr:uid="{00000000-0004-0000-0000-000007090000}"/>
    <hyperlink ref="B2194" r:id="rId2313" xr:uid="{00000000-0004-0000-0000-000008090000}"/>
    <hyperlink ref="B2195" r:id="rId2314" xr:uid="{00000000-0004-0000-0000-000009090000}"/>
    <hyperlink ref="B2196" r:id="rId2315" xr:uid="{00000000-0004-0000-0000-00000A090000}"/>
    <hyperlink ref="B2197" r:id="rId2316" xr:uid="{00000000-0004-0000-0000-00000B090000}"/>
    <hyperlink ref="B2198" r:id="rId2317" xr:uid="{00000000-0004-0000-0000-00000C090000}"/>
    <hyperlink ref="B2199" r:id="rId2318" xr:uid="{00000000-0004-0000-0000-00000D090000}"/>
    <hyperlink ref="B2200" r:id="rId2319" xr:uid="{00000000-0004-0000-0000-00000E090000}"/>
    <hyperlink ref="B2201" r:id="rId2320" xr:uid="{00000000-0004-0000-0000-00000F090000}"/>
    <hyperlink ref="B2202" r:id="rId2321" xr:uid="{00000000-0004-0000-0000-000010090000}"/>
    <hyperlink ref="B2203" r:id="rId2322" xr:uid="{00000000-0004-0000-0000-000011090000}"/>
    <hyperlink ref="B2204" r:id="rId2323" xr:uid="{00000000-0004-0000-0000-000012090000}"/>
    <hyperlink ref="B2205" r:id="rId2324" xr:uid="{00000000-0004-0000-0000-000013090000}"/>
    <hyperlink ref="B2206" r:id="rId2325" xr:uid="{00000000-0004-0000-0000-000014090000}"/>
    <hyperlink ref="B2207" r:id="rId2326" xr:uid="{00000000-0004-0000-0000-000015090000}"/>
    <hyperlink ref="B2208" r:id="rId2327" xr:uid="{00000000-0004-0000-0000-000016090000}"/>
    <hyperlink ref="B2209" r:id="rId2328" xr:uid="{00000000-0004-0000-0000-000017090000}"/>
    <hyperlink ref="B2210" r:id="rId2329" xr:uid="{00000000-0004-0000-0000-000018090000}"/>
    <hyperlink ref="B2211" r:id="rId2330" xr:uid="{00000000-0004-0000-0000-000019090000}"/>
    <hyperlink ref="B2212" r:id="rId2331" xr:uid="{00000000-0004-0000-0000-00001A090000}"/>
    <hyperlink ref="B2213" r:id="rId2332" xr:uid="{00000000-0004-0000-0000-00001B090000}"/>
    <hyperlink ref="B2214" r:id="rId2333" xr:uid="{00000000-0004-0000-0000-00001C090000}"/>
    <hyperlink ref="B2215" r:id="rId2334" xr:uid="{00000000-0004-0000-0000-00001D090000}"/>
    <hyperlink ref="B2216" r:id="rId2335" xr:uid="{00000000-0004-0000-0000-00001E090000}"/>
    <hyperlink ref="B2217" r:id="rId2336" xr:uid="{00000000-0004-0000-0000-00001F090000}"/>
    <hyperlink ref="B2218" r:id="rId2337" xr:uid="{00000000-0004-0000-0000-000020090000}"/>
    <hyperlink ref="B2219" r:id="rId2338" xr:uid="{00000000-0004-0000-0000-000021090000}"/>
    <hyperlink ref="B2220" r:id="rId2339" xr:uid="{00000000-0004-0000-0000-000022090000}"/>
    <hyperlink ref="B2221" r:id="rId2340" xr:uid="{00000000-0004-0000-0000-000023090000}"/>
    <hyperlink ref="B2222" r:id="rId2341" xr:uid="{00000000-0004-0000-0000-000024090000}"/>
    <hyperlink ref="B2223" r:id="rId2342" xr:uid="{00000000-0004-0000-0000-000025090000}"/>
    <hyperlink ref="B2224" r:id="rId2343" xr:uid="{00000000-0004-0000-0000-000026090000}"/>
    <hyperlink ref="B2225" r:id="rId2344" xr:uid="{00000000-0004-0000-0000-000027090000}"/>
    <hyperlink ref="B2226" r:id="rId2345" xr:uid="{00000000-0004-0000-0000-000028090000}"/>
    <hyperlink ref="B2227" r:id="rId2346" xr:uid="{00000000-0004-0000-0000-000029090000}"/>
    <hyperlink ref="B2228" r:id="rId2347" xr:uid="{00000000-0004-0000-0000-00002A090000}"/>
    <hyperlink ref="B2229" r:id="rId2348" xr:uid="{00000000-0004-0000-0000-00002B090000}"/>
    <hyperlink ref="B2230" r:id="rId2349" xr:uid="{00000000-0004-0000-0000-00002C090000}"/>
    <hyperlink ref="B2231" r:id="rId2350" xr:uid="{00000000-0004-0000-0000-00002D090000}"/>
    <hyperlink ref="B2232" r:id="rId2351" xr:uid="{00000000-0004-0000-0000-00002E090000}"/>
    <hyperlink ref="B2233" r:id="rId2352" xr:uid="{00000000-0004-0000-0000-00002F090000}"/>
    <hyperlink ref="B2234" r:id="rId2353" xr:uid="{00000000-0004-0000-0000-000030090000}"/>
    <hyperlink ref="B2235" r:id="rId2354" xr:uid="{00000000-0004-0000-0000-000031090000}"/>
    <hyperlink ref="B2236" r:id="rId2355" xr:uid="{00000000-0004-0000-0000-000032090000}"/>
    <hyperlink ref="B2237" r:id="rId2356" xr:uid="{00000000-0004-0000-0000-000033090000}"/>
    <hyperlink ref="B2238" r:id="rId2357" xr:uid="{00000000-0004-0000-0000-000034090000}"/>
    <hyperlink ref="B2239" r:id="rId2358" xr:uid="{00000000-0004-0000-0000-000035090000}"/>
    <hyperlink ref="B2240" r:id="rId2359" xr:uid="{00000000-0004-0000-0000-000036090000}"/>
    <hyperlink ref="B2241" r:id="rId2360" xr:uid="{00000000-0004-0000-0000-000037090000}"/>
    <hyperlink ref="B2242" r:id="rId2361" xr:uid="{00000000-0004-0000-0000-000038090000}"/>
    <hyperlink ref="B2243" r:id="rId2362" xr:uid="{00000000-0004-0000-0000-000039090000}"/>
    <hyperlink ref="B2244" r:id="rId2363" xr:uid="{00000000-0004-0000-0000-00003A090000}"/>
    <hyperlink ref="B2245" r:id="rId2364" xr:uid="{00000000-0004-0000-0000-00003B090000}"/>
    <hyperlink ref="B2246" r:id="rId2365" xr:uid="{00000000-0004-0000-0000-00003C090000}"/>
    <hyperlink ref="B2247" r:id="rId2366" xr:uid="{00000000-0004-0000-0000-00003D090000}"/>
    <hyperlink ref="B2248" r:id="rId2367" xr:uid="{00000000-0004-0000-0000-00003E090000}"/>
    <hyperlink ref="B2249" r:id="rId2368" xr:uid="{00000000-0004-0000-0000-00003F090000}"/>
    <hyperlink ref="B2250" r:id="rId2369" xr:uid="{00000000-0004-0000-0000-000040090000}"/>
    <hyperlink ref="B2251" r:id="rId2370" xr:uid="{00000000-0004-0000-0000-000041090000}"/>
    <hyperlink ref="B2252" r:id="rId2371" xr:uid="{00000000-0004-0000-0000-000042090000}"/>
    <hyperlink ref="B2253" r:id="rId2372" xr:uid="{00000000-0004-0000-0000-000043090000}"/>
    <hyperlink ref="B2254" r:id="rId2373" xr:uid="{00000000-0004-0000-0000-000044090000}"/>
    <hyperlink ref="B2255" r:id="rId2374" xr:uid="{00000000-0004-0000-0000-000045090000}"/>
    <hyperlink ref="B2256" r:id="rId2375" xr:uid="{00000000-0004-0000-0000-000046090000}"/>
    <hyperlink ref="B2257" r:id="rId2376" xr:uid="{00000000-0004-0000-0000-000047090000}"/>
    <hyperlink ref="B2258" r:id="rId2377" xr:uid="{00000000-0004-0000-0000-000048090000}"/>
    <hyperlink ref="B2259" r:id="rId2378" xr:uid="{00000000-0004-0000-0000-000049090000}"/>
    <hyperlink ref="B2260" r:id="rId2379" xr:uid="{00000000-0004-0000-0000-00004A090000}"/>
    <hyperlink ref="B2261" r:id="rId2380" xr:uid="{00000000-0004-0000-0000-00004B090000}"/>
    <hyperlink ref="B2262" r:id="rId2381" xr:uid="{00000000-0004-0000-0000-00004C090000}"/>
    <hyperlink ref="B2263" r:id="rId2382" xr:uid="{00000000-0004-0000-0000-00004D090000}"/>
    <hyperlink ref="B2264" r:id="rId2383" xr:uid="{00000000-0004-0000-0000-00004E090000}"/>
    <hyperlink ref="B2265" r:id="rId2384" xr:uid="{00000000-0004-0000-0000-00004F090000}"/>
    <hyperlink ref="B2266" r:id="rId2385" xr:uid="{00000000-0004-0000-0000-000050090000}"/>
    <hyperlink ref="B2267" r:id="rId2386" xr:uid="{00000000-0004-0000-0000-000051090000}"/>
    <hyperlink ref="B2268" r:id="rId2387" xr:uid="{00000000-0004-0000-0000-000052090000}"/>
    <hyperlink ref="B2269" r:id="rId2388" xr:uid="{00000000-0004-0000-0000-000053090000}"/>
    <hyperlink ref="B2270" r:id="rId2389" xr:uid="{00000000-0004-0000-0000-000054090000}"/>
    <hyperlink ref="B2271" r:id="rId2390" xr:uid="{00000000-0004-0000-0000-000055090000}"/>
    <hyperlink ref="B2272" r:id="rId2391" xr:uid="{00000000-0004-0000-0000-000056090000}"/>
    <hyperlink ref="B2273" r:id="rId2392" xr:uid="{00000000-0004-0000-0000-000057090000}"/>
    <hyperlink ref="B2274" r:id="rId2393" xr:uid="{00000000-0004-0000-0000-000058090000}"/>
    <hyperlink ref="B2275" r:id="rId2394" xr:uid="{00000000-0004-0000-0000-000059090000}"/>
    <hyperlink ref="B2276" r:id="rId2395" xr:uid="{00000000-0004-0000-0000-00005A090000}"/>
    <hyperlink ref="B2277" r:id="rId2396" xr:uid="{00000000-0004-0000-0000-00005B090000}"/>
    <hyperlink ref="B2278" r:id="rId2397" xr:uid="{00000000-0004-0000-0000-00005C090000}"/>
    <hyperlink ref="B2279" r:id="rId2398" xr:uid="{00000000-0004-0000-0000-00005D090000}"/>
    <hyperlink ref="B2280" r:id="rId2399" xr:uid="{00000000-0004-0000-0000-00005E090000}"/>
    <hyperlink ref="B2281" r:id="rId2400" xr:uid="{00000000-0004-0000-0000-00005F090000}"/>
    <hyperlink ref="B2282" r:id="rId2401" xr:uid="{00000000-0004-0000-0000-000060090000}"/>
    <hyperlink ref="B2283" r:id="rId2402" xr:uid="{00000000-0004-0000-0000-000061090000}"/>
    <hyperlink ref="B2284" r:id="rId2403" xr:uid="{00000000-0004-0000-0000-000062090000}"/>
    <hyperlink ref="B2285" r:id="rId2404" xr:uid="{00000000-0004-0000-0000-000063090000}"/>
    <hyperlink ref="B2286" r:id="rId2405" xr:uid="{00000000-0004-0000-0000-000064090000}"/>
    <hyperlink ref="B2287" r:id="rId2406" xr:uid="{00000000-0004-0000-0000-000065090000}"/>
    <hyperlink ref="B2288" r:id="rId2407" xr:uid="{00000000-0004-0000-0000-000066090000}"/>
    <hyperlink ref="B2289" r:id="rId2408" xr:uid="{00000000-0004-0000-0000-000067090000}"/>
    <hyperlink ref="B2290" r:id="rId2409" xr:uid="{00000000-0004-0000-0000-000068090000}"/>
    <hyperlink ref="B2291" r:id="rId2410" xr:uid="{00000000-0004-0000-0000-000069090000}"/>
    <hyperlink ref="B2292" r:id="rId2411" xr:uid="{00000000-0004-0000-0000-00006A090000}"/>
    <hyperlink ref="B2293" r:id="rId2412" xr:uid="{00000000-0004-0000-0000-00006B090000}"/>
    <hyperlink ref="B2294" r:id="rId2413" xr:uid="{00000000-0004-0000-0000-00006C090000}"/>
    <hyperlink ref="B2295" r:id="rId2414" xr:uid="{00000000-0004-0000-0000-00006D090000}"/>
    <hyperlink ref="B2296" r:id="rId2415" xr:uid="{00000000-0004-0000-0000-00006E090000}"/>
    <hyperlink ref="B2297" r:id="rId2416" xr:uid="{00000000-0004-0000-0000-00006F090000}"/>
    <hyperlink ref="B2298" r:id="rId2417" xr:uid="{00000000-0004-0000-0000-000070090000}"/>
    <hyperlink ref="B2299" r:id="rId2418" xr:uid="{00000000-0004-0000-0000-000071090000}"/>
    <hyperlink ref="B2300" r:id="rId2419" xr:uid="{00000000-0004-0000-0000-000072090000}"/>
    <hyperlink ref="B2301" r:id="rId2420" xr:uid="{00000000-0004-0000-0000-000073090000}"/>
    <hyperlink ref="B2302" r:id="rId2421" xr:uid="{00000000-0004-0000-0000-000074090000}"/>
    <hyperlink ref="B2303" r:id="rId2422" xr:uid="{00000000-0004-0000-0000-000075090000}"/>
    <hyperlink ref="B2304" r:id="rId2423" xr:uid="{00000000-0004-0000-0000-000076090000}"/>
    <hyperlink ref="B2305" r:id="rId2424" xr:uid="{00000000-0004-0000-0000-000077090000}"/>
    <hyperlink ref="B2306" r:id="rId2425" xr:uid="{00000000-0004-0000-0000-000078090000}"/>
    <hyperlink ref="B2307" r:id="rId2426" xr:uid="{00000000-0004-0000-0000-000079090000}"/>
    <hyperlink ref="B2308" r:id="rId2427" xr:uid="{00000000-0004-0000-0000-00007A090000}"/>
    <hyperlink ref="B2309" r:id="rId2428" xr:uid="{00000000-0004-0000-0000-00007B090000}"/>
    <hyperlink ref="B2310" r:id="rId2429" xr:uid="{00000000-0004-0000-0000-00007C090000}"/>
    <hyperlink ref="B2311" r:id="rId2430" xr:uid="{00000000-0004-0000-0000-00007D090000}"/>
    <hyperlink ref="B2312" r:id="rId2431" xr:uid="{00000000-0004-0000-0000-00007E090000}"/>
    <hyperlink ref="B2313" r:id="rId2432" xr:uid="{00000000-0004-0000-0000-00007F090000}"/>
    <hyperlink ref="B2314" r:id="rId2433" xr:uid="{00000000-0004-0000-0000-000080090000}"/>
    <hyperlink ref="B2315" r:id="rId2434" xr:uid="{00000000-0004-0000-0000-000081090000}"/>
    <hyperlink ref="B2316" r:id="rId2435" xr:uid="{00000000-0004-0000-0000-000082090000}"/>
    <hyperlink ref="B2317" r:id="rId2436" xr:uid="{00000000-0004-0000-0000-000083090000}"/>
    <hyperlink ref="B2318" r:id="rId2437" xr:uid="{00000000-0004-0000-0000-000084090000}"/>
    <hyperlink ref="B2319" r:id="rId2438" xr:uid="{00000000-0004-0000-0000-000085090000}"/>
    <hyperlink ref="B2320" r:id="rId2439" xr:uid="{00000000-0004-0000-0000-000086090000}"/>
    <hyperlink ref="B2321" r:id="rId2440" xr:uid="{00000000-0004-0000-0000-000087090000}"/>
    <hyperlink ref="B2322" r:id="rId2441" xr:uid="{00000000-0004-0000-0000-000088090000}"/>
    <hyperlink ref="B2323" r:id="rId2442" xr:uid="{00000000-0004-0000-0000-000089090000}"/>
    <hyperlink ref="B2324" r:id="rId2443" xr:uid="{00000000-0004-0000-0000-00008A090000}"/>
    <hyperlink ref="B2325" r:id="rId2444" xr:uid="{00000000-0004-0000-0000-00008B090000}"/>
    <hyperlink ref="B2326" r:id="rId2445" xr:uid="{00000000-0004-0000-0000-00008C090000}"/>
    <hyperlink ref="B2327" r:id="rId2446" xr:uid="{00000000-0004-0000-0000-00008D090000}"/>
    <hyperlink ref="B2328" r:id="rId2447" xr:uid="{00000000-0004-0000-0000-00008E090000}"/>
    <hyperlink ref="B2329" r:id="rId2448" xr:uid="{00000000-0004-0000-0000-00008F090000}"/>
    <hyperlink ref="B2330" r:id="rId2449" xr:uid="{00000000-0004-0000-0000-000090090000}"/>
    <hyperlink ref="B2331" r:id="rId2450" xr:uid="{00000000-0004-0000-0000-000091090000}"/>
    <hyperlink ref="B2332" r:id="rId2451" xr:uid="{00000000-0004-0000-0000-000092090000}"/>
    <hyperlink ref="B2333" r:id="rId2452" xr:uid="{00000000-0004-0000-0000-000093090000}"/>
    <hyperlink ref="B2334" r:id="rId2453" xr:uid="{00000000-0004-0000-0000-000094090000}"/>
    <hyperlink ref="B2335" r:id="rId2454" xr:uid="{00000000-0004-0000-0000-000095090000}"/>
    <hyperlink ref="B2336" r:id="rId2455" xr:uid="{00000000-0004-0000-0000-000096090000}"/>
    <hyperlink ref="B2337" r:id="rId2456" xr:uid="{00000000-0004-0000-0000-000097090000}"/>
    <hyperlink ref="B2338" r:id="rId2457" xr:uid="{00000000-0004-0000-0000-000098090000}"/>
    <hyperlink ref="B2339" r:id="rId2458" xr:uid="{00000000-0004-0000-0000-000099090000}"/>
    <hyperlink ref="B2340" r:id="rId2459" xr:uid="{00000000-0004-0000-0000-00009A090000}"/>
    <hyperlink ref="B2341" r:id="rId2460" xr:uid="{00000000-0004-0000-0000-00009B090000}"/>
    <hyperlink ref="B2342" r:id="rId2461" xr:uid="{00000000-0004-0000-0000-00009C090000}"/>
    <hyperlink ref="B2343" r:id="rId2462" xr:uid="{00000000-0004-0000-0000-00009D090000}"/>
    <hyperlink ref="B2344" r:id="rId2463" xr:uid="{00000000-0004-0000-0000-00009E090000}"/>
    <hyperlink ref="B2345" r:id="rId2464" xr:uid="{00000000-0004-0000-0000-00009F090000}"/>
    <hyperlink ref="B2346" r:id="rId2465" xr:uid="{00000000-0004-0000-0000-0000A0090000}"/>
    <hyperlink ref="B2347" r:id="rId2466" xr:uid="{00000000-0004-0000-0000-0000A1090000}"/>
    <hyperlink ref="B2348" r:id="rId2467" xr:uid="{00000000-0004-0000-0000-0000A2090000}"/>
    <hyperlink ref="B2349" r:id="rId2468" xr:uid="{00000000-0004-0000-0000-0000A3090000}"/>
    <hyperlink ref="B2350" r:id="rId2469" xr:uid="{00000000-0004-0000-0000-0000A4090000}"/>
    <hyperlink ref="B2351" r:id="rId2470" xr:uid="{00000000-0004-0000-0000-0000A5090000}"/>
    <hyperlink ref="B2352" r:id="rId2471" xr:uid="{00000000-0004-0000-0000-0000A6090000}"/>
    <hyperlink ref="B2353" r:id="rId2472" xr:uid="{00000000-0004-0000-0000-0000A7090000}"/>
    <hyperlink ref="B2354" r:id="rId2473" xr:uid="{00000000-0004-0000-0000-0000A8090000}"/>
    <hyperlink ref="B2355" r:id="rId2474" xr:uid="{00000000-0004-0000-0000-0000A9090000}"/>
    <hyperlink ref="B2356" r:id="rId2475" xr:uid="{00000000-0004-0000-0000-0000AA090000}"/>
    <hyperlink ref="B2357" r:id="rId2476" xr:uid="{00000000-0004-0000-0000-0000AB090000}"/>
    <hyperlink ref="B2358" r:id="rId2477" xr:uid="{00000000-0004-0000-0000-0000AC090000}"/>
    <hyperlink ref="B2359" r:id="rId2478" xr:uid="{00000000-0004-0000-0000-0000AD090000}"/>
    <hyperlink ref="B2360" r:id="rId2479" xr:uid="{00000000-0004-0000-0000-0000AE090000}"/>
    <hyperlink ref="B2361" r:id="rId2480" xr:uid="{00000000-0004-0000-0000-0000AF090000}"/>
    <hyperlink ref="B2362" r:id="rId2481" xr:uid="{00000000-0004-0000-0000-0000B0090000}"/>
    <hyperlink ref="B2363" r:id="rId2482" xr:uid="{00000000-0004-0000-0000-0000B1090000}"/>
    <hyperlink ref="B2364" r:id="rId2483" xr:uid="{00000000-0004-0000-0000-0000B2090000}"/>
    <hyperlink ref="B2365" r:id="rId2484" xr:uid="{00000000-0004-0000-0000-0000B3090000}"/>
    <hyperlink ref="B2366" r:id="rId2485" xr:uid="{00000000-0004-0000-0000-0000B4090000}"/>
    <hyperlink ref="B2367" r:id="rId2486" xr:uid="{00000000-0004-0000-0000-0000B5090000}"/>
    <hyperlink ref="B2368" r:id="rId2487" xr:uid="{00000000-0004-0000-0000-0000B6090000}"/>
    <hyperlink ref="B2369" r:id="rId2488" xr:uid="{00000000-0004-0000-0000-0000B7090000}"/>
    <hyperlink ref="B2370" r:id="rId2489" xr:uid="{00000000-0004-0000-0000-0000B8090000}"/>
    <hyperlink ref="B2371" r:id="rId2490" xr:uid="{00000000-0004-0000-0000-0000B9090000}"/>
    <hyperlink ref="B2372" r:id="rId2491" xr:uid="{00000000-0004-0000-0000-0000BA090000}"/>
    <hyperlink ref="B2373" r:id="rId2492" xr:uid="{00000000-0004-0000-0000-0000BB090000}"/>
    <hyperlink ref="B2374" r:id="rId2493" xr:uid="{00000000-0004-0000-0000-0000BC090000}"/>
    <hyperlink ref="B2375" r:id="rId2494" xr:uid="{00000000-0004-0000-0000-0000BD090000}"/>
    <hyperlink ref="B2376" r:id="rId2495" xr:uid="{00000000-0004-0000-0000-0000BE090000}"/>
    <hyperlink ref="B2377" r:id="rId2496" xr:uid="{00000000-0004-0000-0000-0000BF090000}"/>
    <hyperlink ref="B2378" r:id="rId2497" xr:uid="{00000000-0004-0000-0000-0000C0090000}"/>
    <hyperlink ref="B2379" r:id="rId2498" xr:uid="{00000000-0004-0000-0000-0000C1090000}"/>
    <hyperlink ref="B2380" r:id="rId2499" xr:uid="{00000000-0004-0000-0000-0000C2090000}"/>
    <hyperlink ref="B2381" r:id="rId2500" xr:uid="{00000000-0004-0000-0000-0000C3090000}"/>
    <hyperlink ref="B2382" r:id="rId2501" xr:uid="{00000000-0004-0000-0000-0000C4090000}"/>
    <hyperlink ref="B2383" r:id="rId2502" xr:uid="{00000000-0004-0000-0000-0000C5090000}"/>
    <hyperlink ref="B2384" r:id="rId2503" xr:uid="{00000000-0004-0000-0000-0000C6090000}"/>
    <hyperlink ref="B2385" r:id="rId2504" xr:uid="{00000000-0004-0000-0000-0000C7090000}"/>
    <hyperlink ref="B2386" r:id="rId2505" xr:uid="{00000000-0004-0000-0000-0000C8090000}"/>
    <hyperlink ref="B2387" r:id="rId2506" xr:uid="{00000000-0004-0000-0000-0000C9090000}"/>
    <hyperlink ref="B2388" r:id="rId2507" xr:uid="{00000000-0004-0000-0000-0000CA090000}"/>
    <hyperlink ref="B2389" r:id="rId2508" xr:uid="{00000000-0004-0000-0000-0000CB090000}"/>
    <hyperlink ref="B2390" r:id="rId2509" xr:uid="{00000000-0004-0000-0000-0000CC090000}"/>
    <hyperlink ref="B2391" r:id="rId2510" xr:uid="{00000000-0004-0000-0000-0000CD090000}"/>
    <hyperlink ref="B2392" r:id="rId2511" xr:uid="{00000000-0004-0000-0000-0000CE090000}"/>
    <hyperlink ref="B2393" r:id="rId2512" xr:uid="{00000000-0004-0000-0000-0000CF090000}"/>
    <hyperlink ref="B2394" r:id="rId2513" xr:uid="{00000000-0004-0000-0000-0000D0090000}"/>
    <hyperlink ref="B2395" r:id="rId2514" xr:uid="{00000000-0004-0000-0000-0000D1090000}"/>
    <hyperlink ref="B2396" r:id="rId2515" xr:uid="{00000000-0004-0000-0000-0000D2090000}"/>
    <hyperlink ref="B2397" r:id="rId2516" xr:uid="{00000000-0004-0000-0000-0000D3090000}"/>
    <hyperlink ref="B2398" r:id="rId2517" xr:uid="{00000000-0004-0000-0000-0000D4090000}"/>
    <hyperlink ref="B2399" r:id="rId2518" xr:uid="{00000000-0004-0000-0000-0000D5090000}"/>
    <hyperlink ref="B2400" r:id="rId2519" xr:uid="{00000000-0004-0000-0000-0000D6090000}"/>
    <hyperlink ref="B2401" r:id="rId2520" xr:uid="{00000000-0004-0000-0000-0000D7090000}"/>
    <hyperlink ref="B2402" r:id="rId2521" xr:uid="{00000000-0004-0000-0000-0000D8090000}"/>
    <hyperlink ref="B2403" r:id="rId2522" xr:uid="{00000000-0004-0000-0000-0000D9090000}"/>
    <hyperlink ref="B2404" r:id="rId2523" xr:uid="{00000000-0004-0000-0000-0000DA090000}"/>
    <hyperlink ref="B2405" r:id="rId2524" xr:uid="{00000000-0004-0000-0000-0000DB090000}"/>
    <hyperlink ref="B2406" r:id="rId2525" xr:uid="{00000000-0004-0000-0000-0000DC090000}"/>
    <hyperlink ref="B2407" r:id="rId2526" xr:uid="{00000000-0004-0000-0000-0000DD090000}"/>
    <hyperlink ref="B2408" r:id="rId2527" xr:uid="{00000000-0004-0000-0000-0000DE090000}"/>
    <hyperlink ref="B2409" r:id="rId2528" xr:uid="{00000000-0004-0000-0000-0000DF090000}"/>
    <hyperlink ref="B2410" r:id="rId2529" xr:uid="{00000000-0004-0000-0000-0000E0090000}"/>
    <hyperlink ref="B2411" r:id="rId2530" xr:uid="{00000000-0004-0000-0000-0000E1090000}"/>
    <hyperlink ref="B2412" r:id="rId2531" xr:uid="{00000000-0004-0000-0000-0000E2090000}"/>
    <hyperlink ref="B2413" r:id="rId2532" xr:uid="{00000000-0004-0000-0000-0000E3090000}"/>
    <hyperlink ref="B2414" r:id="rId2533" xr:uid="{00000000-0004-0000-0000-0000E4090000}"/>
    <hyperlink ref="B2415" r:id="rId2534" xr:uid="{00000000-0004-0000-0000-0000E5090000}"/>
    <hyperlink ref="B2416" r:id="rId2535" xr:uid="{00000000-0004-0000-0000-0000E6090000}"/>
    <hyperlink ref="B2417" r:id="rId2536" xr:uid="{00000000-0004-0000-0000-0000E7090000}"/>
    <hyperlink ref="B2418" r:id="rId2537" xr:uid="{00000000-0004-0000-0000-0000E8090000}"/>
    <hyperlink ref="B2419" r:id="rId2538" xr:uid="{00000000-0004-0000-0000-0000E9090000}"/>
    <hyperlink ref="B2420" r:id="rId2539" xr:uid="{00000000-0004-0000-0000-0000EA090000}"/>
    <hyperlink ref="B2421" r:id="rId2540" xr:uid="{00000000-0004-0000-0000-0000EB090000}"/>
    <hyperlink ref="B2422" r:id="rId2541" xr:uid="{00000000-0004-0000-0000-0000EC090000}"/>
    <hyperlink ref="B2423" r:id="rId2542" xr:uid="{00000000-0004-0000-0000-0000ED090000}"/>
    <hyperlink ref="B2424" r:id="rId2543" xr:uid="{00000000-0004-0000-0000-0000EE090000}"/>
    <hyperlink ref="B2425" r:id="rId2544" xr:uid="{00000000-0004-0000-0000-0000EF090000}"/>
    <hyperlink ref="B2426" r:id="rId2545" xr:uid="{00000000-0004-0000-0000-0000F0090000}"/>
    <hyperlink ref="B2427" r:id="rId2546" xr:uid="{00000000-0004-0000-0000-0000F1090000}"/>
    <hyperlink ref="B2428" r:id="rId2547" xr:uid="{00000000-0004-0000-0000-0000F2090000}"/>
    <hyperlink ref="B2429" r:id="rId2548" xr:uid="{00000000-0004-0000-0000-0000F3090000}"/>
    <hyperlink ref="B2430" r:id="rId2549" xr:uid="{00000000-0004-0000-0000-0000F4090000}"/>
    <hyperlink ref="B2431" r:id="rId2550" xr:uid="{00000000-0004-0000-0000-0000F5090000}"/>
    <hyperlink ref="B2432" r:id="rId2551" xr:uid="{00000000-0004-0000-0000-0000F6090000}"/>
    <hyperlink ref="B2433" r:id="rId2552" xr:uid="{00000000-0004-0000-0000-0000F7090000}"/>
    <hyperlink ref="B2434" r:id="rId2553" xr:uid="{00000000-0004-0000-0000-0000F8090000}"/>
    <hyperlink ref="B2435" r:id="rId2554" xr:uid="{00000000-0004-0000-0000-0000F9090000}"/>
    <hyperlink ref="B2436" r:id="rId2555" xr:uid="{00000000-0004-0000-0000-0000FA090000}"/>
    <hyperlink ref="B2437" r:id="rId2556" xr:uid="{00000000-0004-0000-0000-0000FB090000}"/>
    <hyperlink ref="B2438" r:id="rId2557" xr:uid="{00000000-0004-0000-0000-0000FC090000}"/>
    <hyperlink ref="B2439" r:id="rId2558" xr:uid="{00000000-0004-0000-0000-0000FD090000}"/>
    <hyperlink ref="B2440" r:id="rId2559" xr:uid="{00000000-0004-0000-0000-0000FE090000}"/>
    <hyperlink ref="B2441" r:id="rId2560" xr:uid="{00000000-0004-0000-0000-0000FF090000}"/>
    <hyperlink ref="B2442" r:id="rId2561" xr:uid="{00000000-0004-0000-0000-0000000A0000}"/>
    <hyperlink ref="B2443" r:id="rId2562" xr:uid="{00000000-0004-0000-0000-0000010A0000}"/>
    <hyperlink ref="B2444" r:id="rId2563" xr:uid="{00000000-0004-0000-0000-0000020A0000}"/>
    <hyperlink ref="B2445" r:id="rId2564" xr:uid="{00000000-0004-0000-0000-0000030A0000}"/>
    <hyperlink ref="B2446" r:id="rId2565" xr:uid="{00000000-0004-0000-0000-0000040A0000}"/>
    <hyperlink ref="B2447" r:id="rId2566" xr:uid="{00000000-0004-0000-0000-0000050A0000}"/>
    <hyperlink ref="B2448" r:id="rId2567" xr:uid="{00000000-0004-0000-0000-0000060A0000}"/>
    <hyperlink ref="B2449" r:id="rId2568" xr:uid="{00000000-0004-0000-0000-0000070A0000}"/>
    <hyperlink ref="B2450" r:id="rId2569" xr:uid="{00000000-0004-0000-0000-0000080A0000}"/>
    <hyperlink ref="B2451" r:id="rId2570" xr:uid="{00000000-0004-0000-0000-0000090A0000}"/>
    <hyperlink ref="B2452" r:id="rId2571" xr:uid="{00000000-0004-0000-0000-00000A0A0000}"/>
    <hyperlink ref="B2453" r:id="rId2572" xr:uid="{00000000-0004-0000-0000-00000B0A0000}"/>
    <hyperlink ref="B2454" r:id="rId2573" xr:uid="{00000000-0004-0000-0000-00000C0A0000}"/>
    <hyperlink ref="B2455" r:id="rId2574" xr:uid="{00000000-0004-0000-0000-00000D0A0000}"/>
    <hyperlink ref="B2456" r:id="rId2575" xr:uid="{00000000-0004-0000-0000-00000E0A0000}"/>
    <hyperlink ref="B2457" r:id="rId2576" xr:uid="{00000000-0004-0000-0000-00000F0A0000}"/>
    <hyperlink ref="B2458" r:id="rId2577" xr:uid="{00000000-0004-0000-0000-0000100A0000}"/>
    <hyperlink ref="B2459" r:id="rId2578" xr:uid="{00000000-0004-0000-0000-0000110A0000}"/>
    <hyperlink ref="B2460" r:id="rId2579" xr:uid="{00000000-0004-0000-0000-0000120A0000}"/>
    <hyperlink ref="B2461" r:id="rId2580" xr:uid="{00000000-0004-0000-0000-0000130A0000}"/>
    <hyperlink ref="B2462" r:id="rId2581" xr:uid="{00000000-0004-0000-0000-0000140A0000}"/>
    <hyperlink ref="B2463" r:id="rId2582" xr:uid="{00000000-0004-0000-0000-0000150A0000}"/>
    <hyperlink ref="B2464" r:id="rId2583" xr:uid="{00000000-0004-0000-0000-0000160A0000}"/>
    <hyperlink ref="B2465" r:id="rId2584" xr:uid="{00000000-0004-0000-0000-0000170A0000}"/>
    <hyperlink ref="B2466" r:id="rId2585" xr:uid="{00000000-0004-0000-0000-0000180A0000}"/>
    <hyperlink ref="B2467" r:id="rId2586" xr:uid="{00000000-0004-0000-0000-0000190A0000}"/>
    <hyperlink ref="B2468" r:id="rId2587" xr:uid="{00000000-0004-0000-0000-00001A0A0000}"/>
    <hyperlink ref="B2469" r:id="rId2588" xr:uid="{00000000-0004-0000-0000-00001B0A0000}"/>
    <hyperlink ref="B2470" r:id="rId2589" xr:uid="{00000000-0004-0000-0000-00001C0A0000}"/>
    <hyperlink ref="B2471" r:id="rId2590" xr:uid="{00000000-0004-0000-0000-00001D0A0000}"/>
    <hyperlink ref="B2472" r:id="rId2591" xr:uid="{00000000-0004-0000-0000-00001E0A0000}"/>
    <hyperlink ref="B2473" r:id="rId2592" xr:uid="{00000000-0004-0000-0000-00001F0A0000}"/>
    <hyperlink ref="B2474" r:id="rId2593" xr:uid="{00000000-0004-0000-0000-0000200A0000}"/>
    <hyperlink ref="B2475" r:id="rId2594" xr:uid="{00000000-0004-0000-0000-0000210A0000}"/>
    <hyperlink ref="B2476" r:id="rId2595" xr:uid="{00000000-0004-0000-0000-0000220A0000}"/>
    <hyperlink ref="B2477" r:id="rId2596" xr:uid="{00000000-0004-0000-0000-0000230A0000}"/>
    <hyperlink ref="B2478" r:id="rId2597" xr:uid="{00000000-0004-0000-0000-0000240A0000}"/>
    <hyperlink ref="B2479" r:id="rId2598" xr:uid="{00000000-0004-0000-0000-0000250A0000}"/>
    <hyperlink ref="B2480" r:id="rId2599" xr:uid="{00000000-0004-0000-0000-0000260A0000}"/>
    <hyperlink ref="B2481" r:id="rId2600" xr:uid="{00000000-0004-0000-0000-0000270A0000}"/>
    <hyperlink ref="B2482" r:id="rId2601" xr:uid="{00000000-0004-0000-0000-0000280A0000}"/>
    <hyperlink ref="B2483" r:id="rId2602" xr:uid="{00000000-0004-0000-0000-0000290A0000}"/>
    <hyperlink ref="B2484" r:id="rId2603" xr:uid="{00000000-0004-0000-0000-00002A0A0000}"/>
    <hyperlink ref="B2485" r:id="rId2604" xr:uid="{00000000-0004-0000-0000-00002B0A0000}"/>
    <hyperlink ref="B2486" r:id="rId2605" xr:uid="{00000000-0004-0000-0000-00002C0A0000}"/>
    <hyperlink ref="B2487" r:id="rId2606" xr:uid="{00000000-0004-0000-0000-00002D0A0000}"/>
    <hyperlink ref="B2488" r:id="rId2607" xr:uid="{00000000-0004-0000-0000-00002E0A0000}"/>
    <hyperlink ref="B2489" r:id="rId2608" xr:uid="{00000000-0004-0000-0000-00002F0A0000}"/>
    <hyperlink ref="B2490" r:id="rId2609" xr:uid="{00000000-0004-0000-0000-0000300A0000}"/>
    <hyperlink ref="B2491" r:id="rId2610" xr:uid="{00000000-0004-0000-0000-0000310A0000}"/>
    <hyperlink ref="B2492" r:id="rId2611" xr:uid="{00000000-0004-0000-0000-0000320A0000}"/>
    <hyperlink ref="B2493" r:id="rId2612" xr:uid="{00000000-0004-0000-0000-0000330A0000}"/>
    <hyperlink ref="B2494" r:id="rId2613" xr:uid="{00000000-0004-0000-0000-0000340A0000}"/>
    <hyperlink ref="B2495" r:id="rId2614" xr:uid="{00000000-0004-0000-0000-0000350A0000}"/>
    <hyperlink ref="B2496" r:id="rId2615" xr:uid="{00000000-0004-0000-0000-0000360A0000}"/>
    <hyperlink ref="B2497" r:id="rId2616" xr:uid="{00000000-0004-0000-0000-0000370A0000}"/>
    <hyperlink ref="B2498" r:id="rId2617" xr:uid="{00000000-0004-0000-0000-0000380A0000}"/>
    <hyperlink ref="B2499" r:id="rId2618" xr:uid="{00000000-0004-0000-0000-0000390A0000}"/>
    <hyperlink ref="B2500" r:id="rId2619" xr:uid="{00000000-0004-0000-0000-00003A0A0000}"/>
    <hyperlink ref="B2501" r:id="rId2620" xr:uid="{00000000-0004-0000-0000-00003B0A0000}"/>
    <hyperlink ref="B2502" r:id="rId2621" xr:uid="{00000000-0004-0000-0000-00003C0A0000}"/>
    <hyperlink ref="B2503" r:id="rId2622" xr:uid="{00000000-0004-0000-0000-00003D0A0000}"/>
    <hyperlink ref="B2504" r:id="rId2623" xr:uid="{00000000-0004-0000-0000-00003E0A0000}"/>
    <hyperlink ref="B2505" r:id="rId2624" xr:uid="{00000000-0004-0000-0000-00003F0A0000}"/>
    <hyperlink ref="B2506" r:id="rId2625" xr:uid="{00000000-0004-0000-0000-0000400A0000}"/>
    <hyperlink ref="B2507" r:id="rId2626" xr:uid="{00000000-0004-0000-0000-0000410A0000}"/>
    <hyperlink ref="B2508" r:id="rId2627" xr:uid="{00000000-0004-0000-0000-0000420A0000}"/>
    <hyperlink ref="B2509" r:id="rId2628" xr:uid="{00000000-0004-0000-0000-0000430A0000}"/>
    <hyperlink ref="B2510" r:id="rId2629" xr:uid="{00000000-0004-0000-0000-0000440A0000}"/>
    <hyperlink ref="B2511" r:id="rId2630" xr:uid="{00000000-0004-0000-0000-0000450A0000}"/>
    <hyperlink ref="B2512" r:id="rId2631" xr:uid="{00000000-0004-0000-0000-0000460A0000}"/>
    <hyperlink ref="B2513" r:id="rId2632" xr:uid="{00000000-0004-0000-0000-0000470A0000}"/>
    <hyperlink ref="B2514" r:id="rId2633" xr:uid="{00000000-0004-0000-0000-0000480A0000}"/>
    <hyperlink ref="B2515" r:id="rId2634" xr:uid="{00000000-0004-0000-0000-0000490A0000}"/>
    <hyperlink ref="B2516" r:id="rId2635" xr:uid="{00000000-0004-0000-0000-00004A0A0000}"/>
    <hyperlink ref="B2517" r:id="rId2636" xr:uid="{00000000-0004-0000-0000-00004B0A0000}"/>
    <hyperlink ref="B2518" r:id="rId2637" xr:uid="{00000000-0004-0000-0000-00004C0A0000}"/>
    <hyperlink ref="B2519" r:id="rId2638" xr:uid="{00000000-0004-0000-0000-00004D0A0000}"/>
    <hyperlink ref="B2520" r:id="rId2639" xr:uid="{00000000-0004-0000-0000-00004E0A0000}"/>
    <hyperlink ref="B2521" r:id="rId2640" xr:uid="{00000000-0004-0000-0000-00004F0A0000}"/>
    <hyperlink ref="B2522" r:id="rId2641" xr:uid="{00000000-0004-0000-0000-0000500A0000}"/>
    <hyperlink ref="B2523" r:id="rId2642" xr:uid="{00000000-0004-0000-0000-0000510A0000}"/>
    <hyperlink ref="B2524" r:id="rId2643" xr:uid="{00000000-0004-0000-0000-0000520A0000}"/>
    <hyperlink ref="B2525" r:id="rId2644" xr:uid="{00000000-0004-0000-0000-0000530A0000}"/>
    <hyperlink ref="B2526" r:id="rId2645" xr:uid="{00000000-0004-0000-0000-0000540A0000}"/>
    <hyperlink ref="B2527" r:id="rId2646" xr:uid="{00000000-0004-0000-0000-0000550A0000}"/>
    <hyperlink ref="B2528" r:id="rId2647" xr:uid="{00000000-0004-0000-0000-0000560A0000}"/>
    <hyperlink ref="B2529" r:id="rId2648" xr:uid="{00000000-0004-0000-0000-0000570A0000}"/>
    <hyperlink ref="B2530" r:id="rId2649" xr:uid="{00000000-0004-0000-0000-0000580A0000}"/>
    <hyperlink ref="B2531" r:id="rId2650" xr:uid="{00000000-0004-0000-0000-0000590A0000}"/>
    <hyperlink ref="B2532" r:id="rId2651" xr:uid="{00000000-0004-0000-0000-00005A0A0000}"/>
    <hyperlink ref="B2533" r:id="rId2652" xr:uid="{00000000-0004-0000-0000-00005B0A0000}"/>
    <hyperlink ref="B2534" r:id="rId2653" xr:uid="{00000000-0004-0000-0000-00005C0A0000}"/>
    <hyperlink ref="B2535" r:id="rId2654" xr:uid="{00000000-0004-0000-0000-00005D0A0000}"/>
    <hyperlink ref="B2536" r:id="rId2655" xr:uid="{00000000-0004-0000-0000-00005E0A0000}"/>
    <hyperlink ref="B2537" r:id="rId2656" xr:uid="{00000000-0004-0000-0000-00005F0A0000}"/>
    <hyperlink ref="B2538" r:id="rId2657" xr:uid="{00000000-0004-0000-0000-0000600A0000}"/>
    <hyperlink ref="B2539" r:id="rId2658" xr:uid="{00000000-0004-0000-0000-0000610A0000}"/>
    <hyperlink ref="B2540" r:id="rId2659" xr:uid="{00000000-0004-0000-0000-0000620A0000}"/>
    <hyperlink ref="B2541" r:id="rId2660" xr:uid="{00000000-0004-0000-0000-0000630A0000}"/>
    <hyperlink ref="B2542" r:id="rId2661" xr:uid="{00000000-0004-0000-0000-0000640A0000}"/>
    <hyperlink ref="B2543" r:id="rId2662" xr:uid="{00000000-0004-0000-0000-0000650A0000}"/>
    <hyperlink ref="B2544" r:id="rId2663" xr:uid="{00000000-0004-0000-0000-0000660A0000}"/>
    <hyperlink ref="B2545" r:id="rId2664" xr:uid="{00000000-0004-0000-0000-0000670A0000}"/>
    <hyperlink ref="B2546" r:id="rId2665" xr:uid="{00000000-0004-0000-0000-0000680A0000}"/>
    <hyperlink ref="B2547" r:id="rId2666" xr:uid="{00000000-0004-0000-0000-0000690A0000}"/>
    <hyperlink ref="B2548" r:id="rId2667" xr:uid="{00000000-0004-0000-0000-00006A0A0000}"/>
    <hyperlink ref="B2549" r:id="rId2668" xr:uid="{00000000-0004-0000-0000-00006B0A0000}"/>
    <hyperlink ref="B2550" r:id="rId2669" xr:uid="{00000000-0004-0000-0000-00006C0A0000}"/>
    <hyperlink ref="B2551" r:id="rId2670" xr:uid="{00000000-0004-0000-0000-00006D0A0000}"/>
    <hyperlink ref="B2552" r:id="rId2671" xr:uid="{00000000-0004-0000-0000-00006E0A0000}"/>
    <hyperlink ref="B2553" r:id="rId2672" xr:uid="{00000000-0004-0000-0000-00006F0A0000}"/>
    <hyperlink ref="B2554" r:id="rId2673" xr:uid="{00000000-0004-0000-0000-0000700A0000}"/>
    <hyperlink ref="B2555" r:id="rId2674" xr:uid="{00000000-0004-0000-0000-0000710A0000}"/>
    <hyperlink ref="B2556" r:id="rId2675" xr:uid="{00000000-0004-0000-0000-0000720A0000}"/>
    <hyperlink ref="B2557" r:id="rId2676" xr:uid="{00000000-0004-0000-0000-0000730A0000}"/>
    <hyperlink ref="B2558" r:id="rId2677" xr:uid="{00000000-0004-0000-0000-0000740A0000}"/>
    <hyperlink ref="B2559" r:id="rId2678" xr:uid="{00000000-0004-0000-0000-0000750A0000}"/>
    <hyperlink ref="B2560" r:id="rId2679" xr:uid="{00000000-0004-0000-0000-0000760A0000}"/>
    <hyperlink ref="B2561" r:id="rId2680" xr:uid="{00000000-0004-0000-0000-0000770A0000}"/>
    <hyperlink ref="B2562" r:id="rId2681" xr:uid="{00000000-0004-0000-0000-0000780A0000}"/>
    <hyperlink ref="B2563" r:id="rId2682" xr:uid="{00000000-0004-0000-0000-0000790A0000}"/>
    <hyperlink ref="B2564" r:id="rId2683" xr:uid="{00000000-0004-0000-0000-00007A0A0000}"/>
    <hyperlink ref="B2565" r:id="rId2684" xr:uid="{00000000-0004-0000-0000-00007B0A0000}"/>
    <hyperlink ref="B2566" r:id="rId2685" xr:uid="{00000000-0004-0000-0000-00007C0A0000}"/>
    <hyperlink ref="B2567" r:id="rId2686" xr:uid="{00000000-0004-0000-0000-00007D0A0000}"/>
    <hyperlink ref="B2568" r:id="rId2687" xr:uid="{00000000-0004-0000-0000-00007E0A0000}"/>
    <hyperlink ref="B2569" r:id="rId2688" xr:uid="{00000000-0004-0000-0000-00007F0A0000}"/>
    <hyperlink ref="B2570" r:id="rId2689" xr:uid="{00000000-0004-0000-0000-0000800A0000}"/>
    <hyperlink ref="B2571" r:id="rId2690" xr:uid="{00000000-0004-0000-0000-0000810A0000}"/>
    <hyperlink ref="B2572" r:id="rId2691" xr:uid="{00000000-0004-0000-0000-0000820A0000}"/>
    <hyperlink ref="B2573" r:id="rId2692" xr:uid="{00000000-0004-0000-0000-0000830A0000}"/>
    <hyperlink ref="B2574" r:id="rId2693" xr:uid="{00000000-0004-0000-0000-0000840A0000}"/>
    <hyperlink ref="B2575" r:id="rId2694" xr:uid="{00000000-0004-0000-0000-0000850A0000}"/>
    <hyperlink ref="B2576" r:id="rId2695" xr:uid="{00000000-0004-0000-0000-0000860A0000}"/>
    <hyperlink ref="B2577" r:id="rId2696" xr:uid="{00000000-0004-0000-0000-0000870A0000}"/>
    <hyperlink ref="B2578" r:id="rId2697" xr:uid="{00000000-0004-0000-0000-0000880A0000}"/>
    <hyperlink ref="B2579" r:id="rId2698" xr:uid="{00000000-0004-0000-0000-0000890A0000}"/>
    <hyperlink ref="B2580" r:id="rId2699" xr:uid="{00000000-0004-0000-0000-00008A0A0000}"/>
    <hyperlink ref="B2581" r:id="rId2700" xr:uid="{00000000-0004-0000-0000-00008B0A0000}"/>
    <hyperlink ref="B2582" r:id="rId2701" xr:uid="{00000000-0004-0000-0000-00008C0A0000}"/>
    <hyperlink ref="B2583" r:id="rId2702" xr:uid="{00000000-0004-0000-0000-00008D0A0000}"/>
    <hyperlink ref="B2584" r:id="rId2703" xr:uid="{00000000-0004-0000-0000-00008E0A0000}"/>
    <hyperlink ref="B2585" r:id="rId2704" xr:uid="{00000000-0004-0000-0000-00008F0A0000}"/>
    <hyperlink ref="B2586" r:id="rId2705" xr:uid="{00000000-0004-0000-0000-0000900A0000}"/>
    <hyperlink ref="B2587" r:id="rId2706" xr:uid="{00000000-0004-0000-0000-0000910A0000}"/>
    <hyperlink ref="B2588" r:id="rId2707" xr:uid="{00000000-0004-0000-0000-0000920A0000}"/>
    <hyperlink ref="B2589" r:id="rId2708" xr:uid="{00000000-0004-0000-0000-0000930A0000}"/>
    <hyperlink ref="B2590" r:id="rId2709" xr:uid="{00000000-0004-0000-0000-0000940A0000}"/>
    <hyperlink ref="B2591" r:id="rId2710" xr:uid="{00000000-0004-0000-0000-0000950A0000}"/>
    <hyperlink ref="B2592" r:id="rId2711" xr:uid="{00000000-0004-0000-0000-0000960A0000}"/>
    <hyperlink ref="B2593" r:id="rId2712" xr:uid="{00000000-0004-0000-0000-0000970A0000}"/>
    <hyperlink ref="B2594" r:id="rId2713" xr:uid="{00000000-0004-0000-0000-0000980A0000}"/>
    <hyperlink ref="B2595" r:id="rId2714" xr:uid="{00000000-0004-0000-0000-0000990A0000}"/>
    <hyperlink ref="B2596" r:id="rId2715" xr:uid="{00000000-0004-0000-0000-00009A0A0000}"/>
    <hyperlink ref="B2597" r:id="rId2716" xr:uid="{00000000-0004-0000-0000-00009B0A0000}"/>
    <hyperlink ref="B2598" r:id="rId2717" xr:uid="{00000000-0004-0000-0000-00009C0A0000}"/>
    <hyperlink ref="B2599" r:id="rId2718" xr:uid="{00000000-0004-0000-0000-00009D0A0000}"/>
    <hyperlink ref="B2600" r:id="rId2719" xr:uid="{00000000-0004-0000-0000-00009E0A0000}"/>
    <hyperlink ref="B2601" r:id="rId2720" xr:uid="{00000000-0004-0000-0000-00009F0A0000}"/>
    <hyperlink ref="B2602" r:id="rId2721" xr:uid="{00000000-0004-0000-0000-0000A00A0000}"/>
    <hyperlink ref="B2603" r:id="rId2722" xr:uid="{00000000-0004-0000-0000-0000A10A0000}"/>
    <hyperlink ref="B2604" r:id="rId2723" xr:uid="{00000000-0004-0000-0000-0000A20A0000}"/>
    <hyperlink ref="B2605" r:id="rId2724" xr:uid="{00000000-0004-0000-0000-0000A30A0000}"/>
    <hyperlink ref="B2606" r:id="rId2725" xr:uid="{00000000-0004-0000-0000-0000A40A0000}"/>
    <hyperlink ref="B2607" r:id="rId2726" xr:uid="{00000000-0004-0000-0000-0000A50A0000}"/>
    <hyperlink ref="B2608" r:id="rId2727" xr:uid="{00000000-0004-0000-0000-0000A60A0000}"/>
    <hyperlink ref="B2609" r:id="rId2728" xr:uid="{00000000-0004-0000-0000-0000A70A0000}"/>
    <hyperlink ref="B2610" r:id="rId2729" xr:uid="{00000000-0004-0000-0000-0000A80A0000}"/>
    <hyperlink ref="B2611" r:id="rId2730" xr:uid="{00000000-0004-0000-0000-0000A90A0000}"/>
    <hyperlink ref="B2612" r:id="rId2731" xr:uid="{00000000-0004-0000-0000-0000AA0A0000}"/>
    <hyperlink ref="B2613" r:id="rId2732" xr:uid="{00000000-0004-0000-0000-0000AB0A0000}"/>
    <hyperlink ref="B2614" r:id="rId2733" xr:uid="{00000000-0004-0000-0000-0000AC0A0000}"/>
    <hyperlink ref="B2615" r:id="rId2734" xr:uid="{00000000-0004-0000-0000-0000AD0A0000}"/>
    <hyperlink ref="B2616" r:id="rId2735" xr:uid="{00000000-0004-0000-0000-0000AE0A0000}"/>
    <hyperlink ref="B2617" r:id="rId2736" xr:uid="{00000000-0004-0000-0000-0000AF0A0000}"/>
    <hyperlink ref="B2618" r:id="rId2737" xr:uid="{00000000-0004-0000-0000-0000B00A0000}"/>
    <hyperlink ref="B2619" r:id="rId2738" xr:uid="{00000000-0004-0000-0000-0000B10A0000}"/>
    <hyperlink ref="B2620" r:id="rId2739" xr:uid="{00000000-0004-0000-0000-0000B20A0000}"/>
    <hyperlink ref="B2621" r:id="rId2740" xr:uid="{00000000-0004-0000-0000-0000B30A0000}"/>
    <hyperlink ref="B2622" r:id="rId2741" xr:uid="{00000000-0004-0000-0000-0000B40A0000}"/>
    <hyperlink ref="B2623" r:id="rId2742" xr:uid="{00000000-0004-0000-0000-0000B50A0000}"/>
    <hyperlink ref="B2624" r:id="rId2743" xr:uid="{00000000-0004-0000-0000-0000B60A0000}"/>
    <hyperlink ref="B2625" r:id="rId2744" xr:uid="{00000000-0004-0000-0000-0000B70A0000}"/>
    <hyperlink ref="B2626" r:id="rId2745" xr:uid="{00000000-0004-0000-0000-0000B80A0000}"/>
    <hyperlink ref="B2627" r:id="rId2746" xr:uid="{00000000-0004-0000-0000-0000B90A0000}"/>
    <hyperlink ref="B2628" r:id="rId2747" xr:uid="{00000000-0004-0000-0000-0000BA0A0000}"/>
    <hyperlink ref="B2629" r:id="rId2748" xr:uid="{00000000-0004-0000-0000-0000BB0A0000}"/>
    <hyperlink ref="B2630" r:id="rId2749" xr:uid="{00000000-0004-0000-0000-0000BC0A0000}"/>
    <hyperlink ref="B2631" r:id="rId2750" xr:uid="{00000000-0004-0000-0000-0000BD0A0000}"/>
    <hyperlink ref="B2632" r:id="rId2751" xr:uid="{00000000-0004-0000-0000-0000BE0A0000}"/>
    <hyperlink ref="B2633" r:id="rId2752" xr:uid="{00000000-0004-0000-0000-0000BF0A0000}"/>
    <hyperlink ref="B2634" r:id="rId2753" xr:uid="{00000000-0004-0000-0000-0000C00A0000}"/>
    <hyperlink ref="B2635" r:id="rId2754" xr:uid="{00000000-0004-0000-0000-0000C10A0000}"/>
    <hyperlink ref="B2636" r:id="rId2755" xr:uid="{00000000-0004-0000-0000-0000C20A0000}"/>
    <hyperlink ref="B2637" r:id="rId2756" xr:uid="{00000000-0004-0000-0000-0000C30A0000}"/>
    <hyperlink ref="B2638" r:id="rId2757" xr:uid="{00000000-0004-0000-0000-0000C40A0000}"/>
    <hyperlink ref="B2639" r:id="rId2758" xr:uid="{00000000-0004-0000-0000-0000C50A0000}"/>
    <hyperlink ref="B2640" r:id="rId2759" xr:uid="{00000000-0004-0000-0000-0000C60A0000}"/>
    <hyperlink ref="B2641" r:id="rId2760" xr:uid="{00000000-0004-0000-0000-0000C70A0000}"/>
    <hyperlink ref="B2642" r:id="rId2761" xr:uid="{00000000-0004-0000-0000-0000C80A0000}"/>
    <hyperlink ref="B2643" r:id="rId2762" xr:uid="{00000000-0004-0000-0000-0000C90A0000}"/>
    <hyperlink ref="B2644" r:id="rId2763" xr:uid="{00000000-0004-0000-0000-0000CA0A0000}"/>
    <hyperlink ref="B2645" r:id="rId2764" xr:uid="{00000000-0004-0000-0000-0000CB0A0000}"/>
    <hyperlink ref="B2646" r:id="rId2765" xr:uid="{00000000-0004-0000-0000-0000CC0A0000}"/>
    <hyperlink ref="B2647" r:id="rId2766" xr:uid="{00000000-0004-0000-0000-0000CD0A0000}"/>
    <hyperlink ref="B2648" r:id="rId2767" xr:uid="{00000000-0004-0000-0000-0000CE0A0000}"/>
    <hyperlink ref="B2649" r:id="rId2768" xr:uid="{00000000-0004-0000-0000-0000CF0A0000}"/>
    <hyperlink ref="B2650" r:id="rId2769" xr:uid="{00000000-0004-0000-0000-0000D00A0000}"/>
    <hyperlink ref="B2651" r:id="rId2770" xr:uid="{00000000-0004-0000-0000-0000D10A0000}"/>
    <hyperlink ref="B2652" r:id="rId2771" xr:uid="{00000000-0004-0000-0000-0000D20A0000}"/>
    <hyperlink ref="B2653" r:id="rId2772" xr:uid="{00000000-0004-0000-0000-0000D30A0000}"/>
    <hyperlink ref="B2654" r:id="rId2773" xr:uid="{00000000-0004-0000-0000-0000D40A0000}"/>
    <hyperlink ref="B2655" r:id="rId2774" xr:uid="{00000000-0004-0000-0000-0000D50A0000}"/>
    <hyperlink ref="B2656" r:id="rId2775" xr:uid="{00000000-0004-0000-0000-0000D60A0000}"/>
    <hyperlink ref="B2657" r:id="rId2776" xr:uid="{00000000-0004-0000-0000-0000D70A0000}"/>
    <hyperlink ref="B2658" r:id="rId2777" xr:uid="{00000000-0004-0000-0000-0000D80A0000}"/>
    <hyperlink ref="B2659" r:id="rId2778" xr:uid="{00000000-0004-0000-0000-0000D90A0000}"/>
    <hyperlink ref="B2660" r:id="rId2779" xr:uid="{00000000-0004-0000-0000-0000DA0A0000}"/>
    <hyperlink ref="B2661" r:id="rId2780" xr:uid="{00000000-0004-0000-0000-0000DB0A0000}"/>
    <hyperlink ref="B2662" r:id="rId2781" xr:uid="{00000000-0004-0000-0000-0000DC0A0000}"/>
    <hyperlink ref="B2663" r:id="rId2782" xr:uid="{00000000-0004-0000-0000-0000DD0A0000}"/>
    <hyperlink ref="B2664" r:id="rId2783" xr:uid="{00000000-0004-0000-0000-0000DE0A0000}"/>
    <hyperlink ref="B2665" r:id="rId2784" xr:uid="{00000000-0004-0000-0000-0000DF0A0000}"/>
    <hyperlink ref="B2666" r:id="rId2785" xr:uid="{00000000-0004-0000-0000-0000E00A0000}"/>
    <hyperlink ref="B2667" r:id="rId2786" xr:uid="{00000000-0004-0000-0000-0000E10A0000}"/>
    <hyperlink ref="B2668" r:id="rId2787" xr:uid="{00000000-0004-0000-0000-0000E20A0000}"/>
    <hyperlink ref="B2669" r:id="rId2788" xr:uid="{00000000-0004-0000-0000-0000E30A0000}"/>
    <hyperlink ref="B2670" r:id="rId2789" xr:uid="{00000000-0004-0000-0000-0000E40A0000}"/>
    <hyperlink ref="B2671" r:id="rId2790" xr:uid="{00000000-0004-0000-0000-0000E50A0000}"/>
    <hyperlink ref="B2672" r:id="rId2791" xr:uid="{00000000-0004-0000-0000-0000E60A0000}"/>
    <hyperlink ref="B2673" r:id="rId2792" xr:uid="{00000000-0004-0000-0000-0000E70A0000}"/>
    <hyperlink ref="B2674" r:id="rId2793" xr:uid="{00000000-0004-0000-0000-0000E80A0000}"/>
    <hyperlink ref="B2675" r:id="rId2794" xr:uid="{00000000-0004-0000-0000-0000E90A0000}"/>
    <hyperlink ref="B2676" r:id="rId2795" xr:uid="{00000000-0004-0000-0000-0000EA0A0000}"/>
    <hyperlink ref="B2677" r:id="rId2796" xr:uid="{00000000-0004-0000-0000-0000EB0A0000}"/>
    <hyperlink ref="B2678" r:id="rId2797" xr:uid="{00000000-0004-0000-0000-0000EC0A0000}"/>
    <hyperlink ref="B2679" r:id="rId2798" xr:uid="{00000000-0004-0000-0000-0000ED0A0000}"/>
    <hyperlink ref="B2680" r:id="rId2799" xr:uid="{00000000-0004-0000-0000-0000EE0A0000}"/>
    <hyperlink ref="B2681" r:id="rId2800" xr:uid="{00000000-0004-0000-0000-0000EF0A0000}"/>
    <hyperlink ref="B2682" r:id="rId2801" xr:uid="{00000000-0004-0000-0000-0000F00A0000}"/>
    <hyperlink ref="B2683" r:id="rId2802" xr:uid="{00000000-0004-0000-0000-0000F10A0000}"/>
    <hyperlink ref="B2684" r:id="rId2803" xr:uid="{00000000-0004-0000-0000-0000F20A0000}"/>
    <hyperlink ref="B2685" r:id="rId2804" xr:uid="{00000000-0004-0000-0000-0000F30A0000}"/>
    <hyperlink ref="B2686" r:id="rId2805" xr:uid="{00000000-0004-0000-0000-0000F40A0000}"/>
    <hyperlink ref="B2687" r:id="rId2806" xr:uid="{00000000-0004-0000-0000-0000F50A0000}"/>
    <hyperlink ref="B2688" r:id="rId2807" xr:uid="{00000000-0004-0000-0000-0000F60A0000}"/>
    <hyperlink ref="B2689" r:id="rId2808" xr:uid="{00000000-0004-0000-0000-0000F70A0000}"/>
    <hyperlink ref="B2690" r:id="rId2809" xr:uid="{00000000-0004-0000-0000-0000F80A0000}"/>
    <hyperlink ref="B2691" r:id="rId2810" xr:uid="{00000000-0004-0000-0000-0000F90A0000}"/>
    <hyperlink ref="B2692" r:id="rId2811" xr:uid="{00000000-0004-0000-0000-0000FA0A0000}"/>
    <hyperlink ref="B2693" r:id="rId2812" xr:uid="{00000000-0004-0000-0000-0000FB0A0000}"/>
    <hyperlink ref="B2694" r:id="rId2813" xr:uid="{00000000-0004-0000-0000-0000FC0A0000}"/>
    <hyperlink ref="B2695" r:id="rId2814" xr:uid="{00000000-0004-0000-0000-0000FD0A0000}"/>
    <hyperlink ref="B2696" r:id="rId2815" xr:uid="{00000000-0004-0000-0000-0000FE0A0000}"/>
    <hyperlink ref="B2697" r:id="rId2816" xr:uid="{00000000-0004-0000-0000-0000FF0A0000}"/>
    <hyperlink ref="B2698" r:id="rId2817" xr:uid="{00000000-0004-0000-0000-0000000B0000}"/>
    <hyperlink ref="B2699" r:id="rId2818" xr:uid="{00000000-0004-0000-0000-0000010B0000}"/>
    <hyperlink ref="B2700" r:id="rId2819" xr:uid="{00000000-0004-0000-0000-0000020B0000}"/>
    <hyperlink ref="B2701" r:id="rId2820" xr:uid="{00000000-0004-0000-0000-0000030B0000}"/>
    <hyperlink ref="B2702" r:id="rId2821" xr:uid="{00000000-0004-0000-0000-0000040B0000}"/>
    <hyperlink ref="B2703" r:id="rId2822" xr:uid="{00000000-0004-0000-0000-0000050B0000}"/>
    <hyperlink ref="B2704" r:id="rId2823" xr:uid="{00000000-0004-0000-0000-0000060B0000}"/>
    <hyperlink ref="B2705" r:id="rId2824" xr:uid="{00000000-0004-0000-0000-0000070B0000}"/>
    <hyperlink ref="B2706" r:id="rId2825" xr:uid="{00000000-0004-0000-0000-0000080B0000}"/>
    <hyperlink ref="B2707" r:id="rId2826" xr:uid="{00000000-0004-0000-0000-0000090B0000}"/>
    <hyperlink ref="B2708" r:id="rId2827" xr:uid="{00000000-0004-0000-0000-00000A0B0000}"/>
    <hyperlink ref="B2709" r:id="rId2828" xr:uid="{00000000-0004-0000-0000-00000B0B0000}"/>
    <hyperlink ref="B2710" r:id="rId2829" xr:uid="{00000000-0004-0000-0000-00000C0B0000}"/>
    <hyperlink ref="B2711" r:id="rId2830" xr:uid="{00000000-0004-0000-0000-00000D0B0000}"/>
    <hyperlink ref="B2712" r:id="rId2831" xr:uid="{00000000-0004-0000-0000-00000E0B0000}"/>
    <hyperlink ref="B2713" r:id="rId2832" xr:uid="{00000000-0004-0000-0000-00000F0B0000}"/>
    <hyperlink ref="B2714" r:id="rId2833" xr:uid="{00000000-0004-0000-0000-0000100B0000}"/>
    <hyperlink ref="B2715" r:id="rId2834" xr:uid="{00000000-0004-0000-0000-0000110B0000}"/>
    <hyperlink ref="B2716" r:id="rId2835" xr:uid="{00000000-0004-0000-0000-0000120B0000}"/>
    <hyperlink ref="B2717" r:id="rId2836" xr:uid="{00000000-0004-0000-0000-0000130B0000}"/>
    <hyperlink ref="B2718" r:id="rId2837" xr:uid="{00000000-0004-0000-0000-0000140B0000}"/>
    <hyperlink ref="B2719" r:id="rId2838" xr:uid="{00000000-0004-0000-0000-0000150B0000}"/>
    <hyperlink ref="B2720" r:id="rId2839" xr:uid="{00000000-0004-0000-0000-0000160B0000}"/>
    <hyperlink ref="B2721" r:id="rId2840" xr:uid="{00000000-0004-0000-0000-0000170B0000}"/>
    <hyperlink ref="B2722" r:id="rId2841" xr:uid="{00000000-0004-0000-0000-0000180B0000}"/>
    <hyperlink ref="B2723" r:id="rId2842" xr:uid="{00000000-0004-0000-0000-0000190B0000}"/>
    <hyperlink ref="B2724" r:id="rId2843" xr:uid="{00000000-0004-0000-0000-00001A0B0000}"/>
    <hyperlink ref="B2725" r:id="rId2844" xr:uid="{00000000-0004-0000-0000-00001B0B0000}"/>
    <hyperlink ref="B2726" r:id="rId2845" xr:uid="{00000000-0004-0000-0000-00001C0B0000}"/>
    <hyperlink ref="B2727" r:id="rId2846" xr:uid="{00000000-0004-0000-0000-00001D0B0000}"/>
    <hyperlink ref="B2728" r:id="rId2847" xr:uid="{00000000-0004-0000-0000-00001E0B0000}"/>
    <hyperlink ref="B2729" r:id="rId2848" xr:uid="{00000000-0004-0000-0000-00001F0B0000}"/>
    <hyperlink ref="B2730" r:id="rId2849" xr:uid="{00000000-0004-0000-0000-0000200B0000}"/>
    <hyperlink ref="B2731" r:id="rId2850" xr:uid="{00000000-0004-0000-0000-0000210B0000}"/>
    <hyperlink ref="B2732" r:id="rId2851" xr:uid="{00000000-0004-0000-0000-0000220B0000}"/>
    <hyperlink ref="B2733" r:id="rId2852" xr:uid="{00000000-0004-0000-0000-0000230B0000}"/>
    <hyperlink ref="B2734" r:id="rId2853" xr:uid="{00000000-0004-0000-0000-0000240B0000}"/>
    <hyperlink ref="B2735" r:id="rId2854" xr:uid="{00000000-0004-0000-0000-0000250B0000}"/>
    <hyperlink ref="B2736" r:id="rId2855" xr:uid="{00000000-0004-0000-0000-0000260B0000}"/>
    <hyperlink ref="B2737" r:id="rId2856" xr:uid="{00000000-0004-0000-0000-0000270B0000}"/>
    <hyperlink ref="B2738" r:id="rId2857" xr:uid="{00000000-0004-0000-0000-0000280B0000}"/>
    <hyperlink ref="B2739" r:id="rId2858" xr:uid="{00000000-0004-0000-0000-0000290B0000}"/>
    <hyperlink ref="B2740" r:id="rId2859" xr:uid="{00000000-0004-0000-0000-00002A0B0000}"/>
    <hyperlink ref="B2741" r:id="rId2860" xr:uid="{00000000-0004-0000-0000-00002B0B0000}"/>
    <hyperlink ref="B2742" r:id="rId2861" xr:uid="{00000000-0004-0000-0000-00002C0B0000}"/>
    <hyperlink ref="B2743" r:id="rId2862" xr:uid="{00000000-0004-0000-0000-00002D0B0000}"/>
    <hyperlink ref="B2744" r:id="rId2863" xr:uid="{00000000-0004-0000-0000-00002E0B0000}"/>
    <hyperlink ref="B2745" r:id="rId2864" xr:uid="{00000000-0004-0000-0000-00002F0B0000}"/>
    <hyperlink ref="B2746" r:id="rId2865" xr:uid="{00000000-0004-0000-0000-0000300B0000}"/>
    <hyperlink ref="B2747" r:id="rId2866" xr:uid="{00000000-0004-0000-0000-0000310B0000}"/>
    <hyperlink ref="B2748" r:id="rId2867" xr:uid="{00000000-0004-0000-0000-0000320B0000}"/>
    <hyperlink ref="B2749" r:id="rId2868" xr:uid="{00000000-0004-0000-0000-0000330B0000}"/>
    <hyperlink ref="B2750" r:id="rId2869" xr:uid="{00000000-0004-0000-0000-0000340B0000}"/>
    <hyperlink ref="B2751" r:id="rId2870" xr:uid="{00000000-0004-0000-0000-0000350B0000}"/>
    <hyperlink ref="B2752" r:id="rId2871" xr:uid="{00000000-0004-0000-0000-0000360B0000}"/>
    <hyperlink ref="B2753" r:id="rId2872" xr:uid="{00000000-0004-0000-0000-0000370B0000}"/>
    <hyperlink ref="B2754" r:id="rId2873" xr:uid="{00000000-0004-0000-0000-0000380B0000}"/>
    <hyperlink ref="B2755" r:id="rId2874" xr:uid="{00000000-0004-0000-0000-0000390B0000}"/>
    <hyperlink ref="B2756" r:id="rId2875" xr:uid="{00000000-0004-0000-0000-00003A0B0000}"/>
    <hyperlink ref="B2757" r:id="rId2876" xr:uid="{00000000-0004-0000-0000-00003B0B0000}"/>
    <hyperlink ref="B2758" r:id="rId2877" xr:uid="{00000000-0004-0000-0000-00003C0B0000}"/>
    <hyperlink ref="B2759" r:id="rId2878" xr:uid="{00000000-0004-0000-0000-00003D0B0000}"/>
    <hyperlink ref="B2760" r:id="rId2879" xr:uid="{00000000-0004-0000-0000-00003E0B0000}"/>
    <hyperlink ref="B2761" r:id="rId2880" xr:uid="{00000000-0004-0000-0000-00003F0B0000}"/>
    <hyperlink ref="B2762" r:id="rId2881" xr:uid="{00000000-0004-0000-0000-0000400B0000}"/>
    <hyperlink ref="B2763" r:id="rId2882" xr:uid="{00000000-0004-0000-0000-0000410B0000}"/>
    <hyperlink ref="B2764" r:id="rId2883" xr:uid="{00000000-0004-0000-0000-0000420B0000}"/>
    <hyperlink ref="B2765" r:id="rId2884" xr:uid="{00000000-0004-0000-0000-0000430B0000}"/>
    <hyperlink ref="B2766" r:id="rId2885" xr:uid="{00000000-0004-0000-0000-0000440B0000}"/>
    <hyperlink ref="B2767" r:id="rId2886" xr:uid="{00000000-0004-0000-0000-0000450B0000}"/>
    <hyperlink ref="B2768" r:id="rId2887" xr:uid="{00000000-0004-0000-0000-0000460B0000}"/>
    <hyperlink ref="B2769" r:id="rId2888" xr:uid="{00000000-0004-0000-0000-0000470B0000}"/>
    <hyperlink ref="B2770" r:id="rId2889" xr:uid="{00000000-0004-0000-0000-0000480B0000}"/>
    <hyperlink ref="B2771" r:id="rId2890" xr:uid="{00000000-0004-0000-0000-0000490B0000}"/>
    <hyperlink ref="B2772" r:id="rId2891" xr:uid="{00000000-0004-0000-0000-00004A0B0000}"/>
    <hyperlink ref="B2773" r:id="rId2892" xr:uid="{00000000-0004-0000-0000-00004B0B0000}"/>
    <hyperlink ref="B2774" r:id="rId2893" xr:uid="{00000000-0004-0000-0000-00004C0B0000}"/>
    <hyperlink ref="B2775" r:id="rId2894" xr:uid="{00000000-0004-0000-0000-00004D0B0000}"/>
    <hyperlink ref="B2776" r:id="rId2895" xr:uid="{00000000-0004-0000-0000-00004E0B0000}"/>
    <hyperlink ref="B2777" r:id="rId2896" xr:uid="{00000000-0004-0000-0000-00004F0B0000}"/>
    <hyperlink ref="B2778" r:id="rId2897" xr:uid="{00000000-0004-0000-0000-0000500B0000}"/>
    <hyperlink ref="B2779" r:id="rId2898" xr:uid="{00000000-0004-0000-0000-0000510B0000}"/>
    <hyperlink ref="B2780" r:id="rId2899" xr:uid="{00000000-0004-0000-0000-0000520B0000}"/>
    <hyperlink ref="B2781" r:id="rId2900" xr:uid="{00000000-0004-0000-0000-0000530B0000}"/>
    <hyperlink ref="B2782" r:id="rId2901" xr:uid="{00000000-0004-0000-0000-0000540B0000}"/>
    <hyperlink ref="B2783" r:id="rId2902" xr:uid="{00000000-0004-0000-0000-0000550B0000}"/>
    <hyperlink ref="B2784" r:id="rId2903" xr:uid="{00000000-0004-0000-0000-0000560B0000}"/>
    <hyperlink ref="B2785" r:id="rId2904" xr:uid="{00000000-0004-0000-0000-0000570B0000}"/>
    <hyperlink ref="B2786" r:id="rId2905" xr:uid="{00000000-0004-0000-0000-0000580B0000}"/>
    <hyperlink ref="B2787" r:id="rId2906" xr:uid="{00000000-0004-0000-0000-0000590B0000}"/>
    <hyperlink ref="B2788" r:id="rId2907" xr:uid="{00000000-0004-0000-0000-00005A0B0000}"/>
    <hyperlink ref="B2789" r:id="rId2908" xr:uid="{00000000-0004-0000-0000-00005B0B0000}"/>
    <hyperlink ref="B2790" r:id="rId2909" xr:uid="{00000000-0004-0000-0000-00005C0B0000}"/>
    <hyperlink ref="B2791" r:id="rId2910" xr:uid="{00000000-0004-0000-0000-00005D0B0000}"/>
    <hyperlink ref="B2792" r:id="rId2911" xr:uid="{00000000-0004-0000-0000-00005E0B0000}"/>
    <hyperlink ref="B2793" r:id="rId2912" xr:uid="{00000000-0004-0000-0000-00005F0B0000}"/>
    <hyperlink ref="B2794" r:id="rId2913" xr:uid="{00000000-0004-0000-0000-0000600B0000}"/>
    <hyperlink ref="B2795" r:id="rId2914" xr:uid="{00000000-0004-0000-0000-0000610B0000}"/>
    <hyperlink ref="B2796" r:id="rId2915" xr:uid="{00000000-0004-0000-0000-0000620B0000}"/>
    <hyperlink ref="B2797" r:id="rId2916" xr:uid="{00000000-0004-0000-0000-0000630B0000}"/>
    <hyperlink ref="B2798" r:id="rId2917" xr:uid="{00000000-0004-0000-0000-0000640B0000}"/>
    <hyperlink ref="B2799" r:id="rId2918" xr:uid="{00000000-0004-0000-0000-0000650B0000}"/>
    <hyperlink ref="B2800" r:id="rId2919" xr:uid="{00000000-0004-0000-0000-0000660B0000}"/>
    <hyperlink ref="B2801" r:id="rId2920" xr:uid="{00000000-0004-0000-0000-0000670B0000}"/>
    <hyperlink ref="B2802" r:id="rId2921" xr:uid="{00000000-0004-0000-0000-0000680B0000}"/>
    <hyperlink ref="B2803" r:id="rId2922" xr:uid="{00000000-0004-0000-0000-0000690B0000}"/>
    <hyperlink ref="B2804" r:id="rId2923" xr:uid="{00000000-0004-0000-0000-00006A0B0000}"/>
    <hyperlink ref="B2805" r:id="rId2924" xr:uid="{00000000-0004-0000-0000-00006B0B0000}"/>
    <hyperlink ref="B2806" r:id="rId2925" xr:uid="{00000000-0004-0000-0000-00006C0B0000}"/>
    <hyperlink ref="B2807" r:id="rId2926" xr:uid="{00000000-0004-0000-0000-00006D0B0000}"/>
    <hyperlink ref="B2808" r:id="rId2927" xr:uid="{00000000-0004-0000-0000-00006E0B0000}"/>
    <hyperlink ref="B2809" r:id="rId2928" xr:uid="{00000000-0004-0000-0000-00006F0B0000}"/>
    <hyperlink ref="B2810" r:id="rId2929" xr:uid="{00000000-0004-0000-0000-0000700B0000}"/>
    <hyperlink ref="B2811" r:id="rId2930" xr:uid="{00000000-0004-0000-0000-0000710B0000}"/>
    <hyperlink ref="B2812" r:id="rId2931" xr:uid="{00000000-0004-0000-0000-0000720B0000}"/>
    <hyperlink ref="B2813" r:id="rId2932" xr:uid="{00000000-0004-0000-0000-0000730B0000}"/>
    <hyperlink ref="B2814" r:id="rId2933" xr:uid="{00000000-0004-0000-0000-0000740B0000}"/>
    <hyperlink ref="B2815" r:id="rId2934" xr:uid="{00000000-0004-0000-0000-0000750B0000}"/>
    <hyperlink ref="B2816" r:id="rId2935" xr:uid="{00000000-0004-0000-0000-0000760B0000}"/>
    <hyperlink ref="B2817" r:id="rId2936" xr:uid="{00000000-0004-0000-0000-0000770B0000}"/>
    <hyperlink ref="B2818" r:id="rId2937" xr:uid="{00000000-0004-0000-0000-0000780B0000}"/>
    <hyperlink ref="B2819" r:id="rId2938" xr:uid="{00000000-0004-0000-0000-0000790B0000}"/>
    <hyperlink ref="B2820" r:id="rId2939" xr:uid="{00000000-0004-0000-0000-00007A0B0000}"/>
    <hyperlink ref="B2821" r:id="rId2940" xr:uid="{00000000-0004-0000-0000-00007B0B0000}"/>
    <hyperlink ref="B2822" r:id="rId2941" xr:uid="{00000000-0004-0000-0000-00007C0B0000}"/>
    <hyperlink ref="B2823" r:id="rId2942" xr:uid="{00000000-0004-0000-0000-00007D0B0000}"/>
    <hyperlink ref="B2824" r:id="rId2943" xr:uid="{00000000-0004-0000-0000-00007E0B0000}"/>
    <hyperlink ref="B2825" r:id="rId2944" xr:uid="{00000000-0004-0000-0000-00007F0B0000}"/>
    <hyperlink ref="B2826" r:id="rId2945" xr:uid="{00000000-0004-0000-0000-0000800B0000}"/>
    <hyperlink ref="B2827" r:id="rId2946" xr:uid="{00000000-0004-0000-0000-0000810B0000}"/>
    <hyperlink ref="B2828" r:id="rId2947" xr:uid="{00000000-0004-0000-0000-0000820B0000}"/>
    <hyperlink ref="B2829" r:id="rId2948" xr:uid="{00000000-0004-0000-0000-0000830B0000}"/>
    <hyperlink ref="B2830" r:id="rId2949" xr:uid="{00000000-0004-0000-0000-0000840B0000}"/>
    <hyperlink ref="B2831" r:id="rId2950" xr:uid="{00000000-0004-0000-0000-0000850B0000}"/>
    <hyperlink ref="B2832" r:id="rId2951" xr:uid="{00000000-0004-0000-0000-0000860B0000}"/>
    <hyperlink ref="B2833" r:id="rId2952" xr:uid="{00000000-0004-0000-0000-0000870B0000}"/>
    <hyperlink ref="B2834" r:id="rId2953" xr:uid="{00000000-0004-0000-0000-0000880B0000}"/>
    <hyperlink ref="B2835" r:id="rId2954" xr:uid="{00000000-0004-0000-0000-0000890B0000}"/>
    <hyperlink ref="B2836" r:id="rId2955" xr:uid="{00000000-0004-0000-0000-00008A0B0000}"/>
    <hyperlink ref="B2837" r:id="rId2956" xr:uid="{00000000-0004-0000-0000-00008B0B0000}"/>
    <hyperlink ref="B2838" r:id="rId2957" xr:uid="{00000000-0004-0000-0000-00008C0B0000}"/>
    <hyperlink ref="B2839" r:id="rId2958" xr:uid="{00000000-0004-0000-0000-00008D0B0000}"/>
    <hyperlink ref="B2840" r:id="rId2959" xr:uid="{00000000-0004-0000-0000-00008E0B0000}"/>
    <hyperlink ref="B2841" r:id="rId2960" xr:uid="{00000000-0004-0000-0000-00008F0B0000}"/>
    <hyperlink ref="B2842" r:id="rId2961" xr:uid="{00000000-0004-0000-0000-0000900B0000}"/>
    <hyperlink ref="B2843" r:id="rId2962" xr:uid="{00000000-0004-0000-0000-0000910B0000}"/>
    <hyperlink ref="B2844" r:id="rId2963" xr:uid="{00000000-0004-0000-0000-0000920B0000}"/>
    <hyperlink ref="B2845" r:id="rId2964" xr:uid="{00000000-0004-0000-0000-0000930B0000}"/>
    <hyperlink ref="B2846" r:id="rId2965" xr:uid="{00000000-0004-0000-0000-0000940B0000}"/>
    <hyperlink ref="B2847" r:id="rId2966" xr:uid="{00000000-0004-0000-0000-0000950B0000}"/>
    <hyperlink ref="B2848" r:id="rId2967" xr:uid="{00000000-0004-0000-0000-0000960B0000}"/>
    <hyperlink ref="B2849" r:id="rId2968" xr:uid="{00000000-0004-0000-0000-0000970B0000}"/>
    <hyperlink ref="B2850" r:id="rId2969" xr:uid="{00000000-0004-0000-0000-0000980B0000}"/>
    <hyperlink ref="B2851" r:id="rId2970" xr:uid="{00000000-0004-0000-0000-0000990B0000}"/>
    <hyperlink ref="B2852" r:id="rId2971" xr:uid="{00000000-0004-0000-0000-00009A0B0000}"/>
    <hyperlink ref="B2853" r:id="rId2972" xr:uid="{00000000-0004-0000-0000-00009B0B0000}"/>
    <hyperlink ref="B2854" r:id="rId2973" xr:uid="{00000000-0004-0000-0000-00009C0B0000}"/>
    <hyperlink ref="B2855" r:id="rId2974" xr:uid="{00000000-0004-0000-0000-00009D0B0000}"/>
    <hyperlink ref="B2856" r:id="rId2975" xr:uid="{00000000-0004-0000-0000-00009E0B0000}"/>
    <hyperlink ref="B2857" r:id="rId2976" xr:uid="{00000000-0004-0000-0000-00009F0B0000}"/>
    <hyperlink ref="B2858" r:id="rId2977" xr:uid="{00000000-0004-0000-0000-0000A00B0000}"/>
    <hyperlink ref="B2859" r:id="rId2978" xr:uid="{00000000-0004-0000-0000-0000A10B0000}"/>
    <hyperlink ref="B2860" r:id="rId2979" xr:uid="{00000000-0004-0000-0000-0000A20B0000}"/>
    <hyperlink ref="B2861" r:id="rId2980" xr:uid="{00000000-0004-0000-0000-0000A30B0000}"/>
    <hyperlink ref="B2862" r:id="rId2981" xr:uid="{00000000-0004-0000-0000-0000A40B0000}"/>
    <hyperlink ref="B2863" r:id="rId2982" xr:uid="{00000000-0004-0000-0000-0000A50B0000}"/>
    <hyperlink ref="B2864" r:id="rId2983" xr:uid="{00000000-0004-0000-0000-0000A60B0000}"/>
    <hyperlink ref="B2865" r:id="rId2984" xr:uid="{00000000-0004-0000-0000-0000A70B0000}"/>
    <hyperlink ref="B2866" r:id="rId2985" xr:uid="{00000000-0004-0000-0000-0000A80B0000}"/>
    <hyperlink ref="B2867" r:id="rId2986" xr:uid="{00000000-0004-0000-0000-0000A90B0000}"/>
    <hyperlink ref="B2868" r:id="rId2987" xr:uid="{00000000-0004-0000-0000-0000AA0B0000}"/>
    <hyperlink ref="B2869" r:id="rId2988" xr:uid="{00000000-0004-0000-0000-0000AB0B0000}"/>
    <hyperlink ref="B2870" r:id="rId2989" xr:uid="{00000000-0004-0000-0000-0000AC0B0000}"/>
    <hyperlink ref="B2871" r:id="rId2990" xr:uid="{00000000-0004-0000-0000-0000AD0B0000}"/>
    <hyperlink ref="B2872" r:id="rId2991" xr:uid="{00000000-0004-0000-0000-0000AE0B0000}"/>
    <hyperlink ref="B2873" r:id="rId2992" xr:uid="{00000000-0004-0000-0000-0000AF0B0000}"/>
    <hyperlink ref="B2874" r:id="rId2993" xr:uid="{00000000-0004-0000-0000-0000B00B0000}"/>
    <hyperlink ref="B2875" r:id="rId2994" xr:uid="{00000000-0004-0000-0000-0000B10B0000}"/>
    <hyperlink ref="B2876" r:id="rId2995" xr:uid="{00000000-0004-0000-0000-0000B20B0000}"/>
    <hyperlink ref="B2877" r:id="rId2996" xr:uid="{00000000-0004-0000-0000-0000B30B0000}"/>
    <hyperlink ref="B2878" r:id="rId2997" xr:uid="{00000000-0004-0000-0000-0000B40B0000}"/>
    <hyperlink ref="B2879" r:id="rId2998" xr:uid="{00000000-0004-0000-0000-0000B50B0000}"/>
    <hyperlink ref="B2880" r:id="rId2999" xr:uid="{00000000-0004-0000-0000-0000B60B0000}"/>
    <hyperlink ref="B2881" r:id="rId3000" xr:uid="{00000000-0004-0000-0000-0000B70B0000}"/>
    <hyperlink ref="B2882" r:id="rId3001" xr:uid="{00000000-0004-0000-0000-0000B80B0000}"/>
    <hyperlink ref="B2883" r:id="rId3002" xr:uid="{00000000-0004-0000-0000-0000B90B0000}"/>
    <hyperlink ref="B2884" r:id="rId3003" xr:uid="{00000000-0004-0000-0000-0000BA0B0000}"/>
    <hyperlink ref="B2885" r:id="rId3004" xr:uid="{00000000-0004-0000-0000-0000BB0B0000}"/>
    <hyperlink ref="B2886" r:id="rId3005" xr:uid="{00000000-0004-0000-0000-0000BC0B0000}"/>
    <hyperlink ref="B2887" r:id="rId3006" xr:uid="{00000000-0004-0000-0000-0000BD0B0000}"/>
    <hyperlink ref="B2888" r:id="rId3007" xr:uid="{00000000-0004-0000-0000-0000BE0B0000}"/>
    <hyperlink ref="B2889" r:id="rId3008" xr:uid="{00000000-0004-0000-0000-0000BF0B0000}"/>
    <hyperlink ref="B2890" r:id="rId3009" xr:uid="{00000000-0004-0000-0000-0000C00B0000}"/>
    <hyperlink ref="B2891" r:id="rId3010" xr:uid="{00000000-0004-0000-0000-0000C10B0000}"/>
    <hyperlink ref="B2892" r:id="rId3011" xr:uid="{00000000-0004-0000-0000-0000C20B0000}"/>
    <hyperlink ref="B2893" r:id="rId3012" xr:uid="{00000000-0004-0000-0000-0000C30B0000}"/>
    <hyperlink ref="B2894" r:id="rId3013" xr:uid="{00000000-0004-0000-0000-0000C40B0000}"/>
    <hyperlink ref="B2895" r:id="rId3014" xr:uid="{00000000-0004-0000-0000-0000C50B0000}"/>
    <hyperlink ref="B2896" r:id="rId3015" xr:uid="{00000000-0004-0000-0000-0000C60B0000}"/>
    <hyperlink ref="B2897" r:id="rId3016" xr:uid="{00000000-0004-0000-0000-0000C70B0000}"/>
    <hyperlink ref="B2898" r:id="rId3017" xr:uid="{00000000-0004-0000-0000-0000C80B0000}"/>
    <hyperlink ref="B2899" r:id="rId3018" xr:uid="{00000000-0004-0000-0000-0000C90B0000}"/>
    <hyperlink ref="B2900" r:id="rId3019" xr:uid="{00000000-0004-0000-0000-0000CA0B0000}"/>
    <hyperlink ref="B2901" r:id="rId3020" xr:uid="{00000000-0004-0000-0000-0000CB0B0000}"/>
    <hyperlink ref="B2902" r:id="rId3021" xr:uid="{00000000-0004-0000-0000-0000CC0B0000}"/>
    <hyperlink ref="B2903" r:id="rId3022" xr:uid="{00000000-0004-0000-0000-0000CD0B0000}"/>
    <hyperlink ref="B2904" r:id="rId3023" xr:uid="{00000000-0004-0000-0000-0000CE0B0000}"/>
    <hyperlink ref="B2905" r:id="rId3024" xr:uid="{00000000-0004-0000-0000-0000CF0B0000}"/>
    <hyperlink ref="B2906" r:id="rId3025" xr:uid="{00000000-0004-0000-0000-0000D00B0000}"/>
    <hyperlink ref="B2907" r:id="rId3026" xr:uid="{00000000-0004-0000-0000-0000D10B0000}"/>
    <hyperlink ref="B2908" r:id="rId3027" xr:uid="{00000000-0004-0000-0000-0000D20B0000}"/>
    <hyperlink ref="B2909" r:id="rId3028" xr:uid="{00000000-0004-0000-0000-0000D30B0000}"/>
    <hyperlink ref="B2910" r:id="rId3029" xr:uid="{00000000-0004-0000-0000-0000D40B0000}"/>
    <hyperlink ref="B2911" r:id="rId3030" xr:uid="{00000000-0004-0000-0000-0000D50B0000}"/>
    <hyperlink ref="B2912" r:id="rId3031" xr:uid="{00000000-0004-0000-0000-0000D60B0000}"/>
    <hyperlink ref="B2913" r:id="rId3032" xr:uid="{00000000-0004-0000-0000-0000D70B0000}"/>
    <hyperlink ref="B2914" r:id="rId3033" xr:uid="{00000000-0004-0000-0000-0000D80B0000}"/>
    <hyperlink ref="B2915" r:id="rId3034" xr:uid="{00000000-0004-0000-0000-0000D90B0000}"/>
    <hyperlink ref="B2916" r:id="rId3035" xr:uid="{00000000-0004-0000-0000-0000DA0B0000}"/>
    <hyperlink ref="B2917" r:id="rId3036" xr:uid="{00000000-0004-0000-0000-0000DB0B0000}"/>
    <hyperlink ref="B2918" r:id="rId3037" xr:uid="{00000000-0004-0000-0000-0000DC0B0000}"/>
    <hyperlink ref="B2919" r:id="rId3038" xr:uid="{00000000-0004-0000-0000-0000DD0B0000}"/>
    <hyperlink ref="B2920" r:id="rId3039" xr:uid="{00000000-0004-0000-0000-0000DE0B0000}"/>
    <hyperlink ref="B2921" r:id="rId3040" xr:uid="{00000000-0004-0000-0000-0000DF0B0000}"/>
    <hyperlink ref="B2922" r:id="rId3041" xr:uid="{00000000-0004-0000-0000-0000E00B0000}"/>
    <hyperlink ref="B2923" r:id="rId3042" xr:uid="{00000000-0004-0000-0000-0000E10B0000}"/>
    <hyperlink ref="B2924" r:id="rId3043" xr:uid="{00000000-0004-0000-0000-0000E20B0000}"/>
    <hyperlink ref="B2925" r:id="rId3044" xr:uid="{00000000-0004-0000-0000-0000E30B0000}"/>
    <hyperlink ref="B2926" r:id="rId3045" xr:uid="{00000000-0004-0000-0000-0000E40B0000}"/>
    <hyperlink ref="B2927" r:id="rId3046" xr:uid="{00000000-0004-0000-0000-0000E50B0000}"/>
    <hyperlink ref="B2928" r:id="rId3047" xr:uid="{00000000-0004-0000-0000-0000E60B0000}"/>
    <hyperlink ref="B2929" r:id="rId3048" xr:uid="{00000000-0004-0000-0000-0000E70B0000}"/>
    <hyperlink ref="B2930" r:id="rId3049" xr:uid="{00000000-0004-0000-0000-0000E80B0000}"/>
    <hyperlink ref="B2931" r:id="rId3050" xr:uid="{00000000-0004-0000-0000-0000E90B0000}"/>
    <hyperlink ref="B2932" r:id="rId3051" xr:uid="{00000000-0004-0000-0000-0000EA0B0000}"/>
    <hyperlink ref="B2933" r:id="rId3052" xr:uid="{00000000-0004-0000-0000-0000EB0B0000}"/>
    <hyperlink ref="B2934" r:id="rId3053" xr:uid="{00000000-0004-0000-0000-0000EC0B0000}"/>
    <hyperlink ref="B2935" r:id="rId3054" xr:uid="{00000000-0004-0000-0000-0000ED0B0000}"/>
    <hyperlink ref="B2936" r:id="rId3055" xr:uid="{00000000-0004-0000-0000-0000EE0B0000}"/>
    <hyperlink ref="B2937" r:id="rId3056" xr:uid="{00000000-0004-0000-0000-0000EF0B0000}"/>
    <hyperlink ref="B2938" r:id="rId3057" xr:uid="{00000000-0004-0000-0000-0000F00B0000}"/>
    <hyperlink ref="B2939" r:id="rId3058" xr:uid="{00000000-0004-0000-0000-0000F10B0000}"/>
    <hyperlink ref="B2940" r:id="rId3059" xr:uid="{00000000-0004-0000-0000-0000F20B0000}"/>
    <hyperlink ref="B2941" r:id="rId3060" xr:uid="{00000000-0004-0000-0000-0000F30B0000}"/>
    <hyperlink ref="B2942" r:id="rId3061" xr:uid="{00000000-0004-0000-0000-0000F40B0000}"/>
    <hyperlink ref="B2943" r:id="rId3062" xr:uid="{00000000-0004-0000-0000-0000F50B0000}"/>
    <hyperlink ref="B2944" r:id="rId3063" xr:uid="{00000000-0004-0000-0000-0000F60B0000}"/>
    <hyperlink ref="B2945" r:id="rId3064" xr:uid="{00000000-0004-0000-0000-0000F70B0000}"/>
    <hyperlink ref="B2946" r:id="rId3065" xr:uid="{00000000-0004-0000-0000-0000F80B0000}"/>
    <hyperlink ref="B2947" r:id="rId3066" xr:uid="{00000000-0004-0000-0000-0000F90B0000}"/>
    <hyperlink ref="B2948" r:id="rId3067" xr:uid="{00000000-0004-0000-0000-0000FA0B0000}"/>
    <hyperlink ref="B2949" r:id="rId3068" xr:uid="{00000000-0004-0000-0000-0000FB0B0000}"/>
    <hyperlink ref="B2950" r:id="rId3069" xr:uid="{00000000-0004-0000-0000-0000FC0B0000}"/>
    <hyperlink ref="B2951" r:id="rId3070" xr:uid="{00000000-0004-0000-0000-0000FD0B0000}"/>
    <hyperlink ref="B2952" r:id="rId3071" xr:uid="{00000000-0004-0000-0000-0000FE0B0000}"/>
    <hyperlink ref="B2953" r:id="rId3072" xr:uid="{00000000-0004-0000-0000-0000FF0B0000}"/>
    <hyperlink ref="B2954" r:id="rId3073" xr:uid="{00000000-0004-0000-0000-0000000C0000}"/>
    <hyperlink ref="B2955" r:id="rId3074" xr:uid="{00000000-0004-0000-0000-0000010C0000}"/>
    <hyperlink ref="B2956" r:id="rId3075" xr:uid="{00000000-0004-0000-0000-0000020C0000}"/>
    <hyperlink ref="B2957" r:id="rId3076" xr:uid="{00000000-0004-0000-0000-0000030C0000}"/>
    <hyperlink ref="B2958" r:id="rId3077" xr:uid="{00000000-0004-0000-0000-0000040C0000}"/>
    <hyperlink ref="B2959" r:id="rId3078" xr:uid="{00000000-0004-0000-0000-0000050C0000}"/>
    <hyperlink ref="B2960" r:id="rId3079" xr:uid="{00000000-0004-0000-0000-0000060C0000}"/>
    <hyperlink ref="B2961" r:id="rId3080" xr:uid="{00000000-0004-0000-0000-0000070C0000}"/>
    <hyperlink ref="B2962" r:id="rId3081" xr:uid="{00000000-0004-0000-0000-0000080C0000}"/>
    <hyperlink ref="B2963" r:id="rId3082" xr:uid="{00000000-0004-0000-0000-0000090C0000}"/>
    <hyperlink ref="B2964" r:id="rId3083" xr:uid="{00000000-0004-0000-0000-00000A0C0000}"/>
    <hyperlink ref="B2965" r:id="rId3084" xr:uid="{00000000-0004-0000-0000-00000B0C0000}"/>
    <hyperlink ref="B2966" r:id="rId3085" xr:uid="{00000000-0004-0000-0000-00000C0C0000}"/>
    <hyperlink ref="B2967" r:id="rId3086" xr:uid="{00000000-0004-0000-0000-00000D0C0000}"/>
    <hyperlink ref="B2968" r:id="rId3087" xr:uid="{00000000-0004-0000-0000-00000E0C0000}"/>
    <hyperlink ref="B2969" r:id="rId3088" xr:uid="{00000000-0004-0000-0000-00000F0C0000}"/>
    <hyperlink ref="B2970" r:id="rId3089" xr:uid="{00000000-0004-0000-0000-0000100C0000}"/>
    <hyperlink ref="B2971" r:id="rId3090" xr:uid="{00000000-0004-0000-0000-0000110C0000}"/>
    <hyperlink ref="B2972" r:id="rId3091" xr:uid="{00000000-0004-0000-0000-0000120C0000}"/>
    <hyperlink ref="B2973" r:id="rId3092" xr:uid="{00000000-0004-0000-0000-0000130C0000}"/>
    <hyperlink ref="B2974" r:id="rId3093" xr:uid="{00000000-0004-0000-0000-0000140C0000}"/>
    <hyperlink ref="B2975" r:id="rId3094" xr:uid="{00000000-0004-0000-0000-0000150C0000}"/>
    <hyperlink ref="B2976" r:id="rId3095" xr:uid="{00000000-0004-0000-0000-0000160C0000}"/>
    <hyperlink ref="B2977" r:id="rId3096" xr:uid="{00000000-0004-0000-0000-0000170C0000}"/>
    <hyperlink ref="B2978" r:id="rId3097" xr:uid="{00000000-0004-0000-0000-0000180C0000}"/>
    <hyperlink ref="B2979" r:id="rId3098" xr:uid="{00000000-0004-0000-0000-0000190C0000}"/>
    <hyperlink ref="B2980" r:id="rId3099" xr:uid="{00000000-0004-0000-0000-00001A0C0000}"/>
    <hyperlink ref="B2981" r:id="rId3100" xr:uid="{00000000-0004-0000-0000-00001B0C0000}"/>
    <hyperlink ref="B2982" r:id="rId3101" xr:uid="{00000000-0004-0000-0000-00001C0C0000}"/>
    <hyperlink ref="B2983" r:id="rId3102" xr:uid="{00000000-0004-0000-0000-00001D0C0000}"/>
    <hyperlink ref="B2984" r:id="rId3103" xr:uid="{00000000-0004-0000-0000-00001E0C0000}"/>
    <hyperlink ref="B2985" r:id="rId3104" xr:uid="{00000000-0004-0000-0000-00001F0C0000}"/>
    <hyperlink ref="B2986" r:id="rId3105" xr:uid="{00000000-0004-0000-0000-0000200C0000}"/>
    <hyperlink ref="B2987" r:id="rId3106" xr:uid="{00000000-0004-0000-0000-0000210C0000}"/>
    <hyperlink ref="B2988" r:id="rId3107" xr:uid="{00000000-0004-0000-0000-0000220C0000}"/>
    <hyperlink ref="B2989" r:id="rId3108" xr:uid="{00000000-0004-0000-0000-0000230C0000}"/>
    <hyperlink ref="B2990" r:id="rId3109" xr:uid="{00000000-0004-0000-0000-0000240C0000}"/>
    <hyperlink ref="B2991" r:id="rId3110" xr:uid="{00000000-0004-0000-0000-0000250C0000}"/>
    <hyperlink ref="B2992" r:id="rId3111" xr:uid="{00000000-0004-0000-0000-0000260C0000}"/>
    <hyperlink ref="B2993" r:id="rId3112" xr:uid="{00000000-0004-0000-0000-0000270C0000}"/>
    <hyperlink ref="B2994" r:id="rId3113" xr:uid="{00000000-0004-0000-0000-0000280C0000}"/>
    <hyperlink ref="B2995" r:id="rId3114" xr:uid="{00000000-0004-0000-0000-0000290C0000}"/>
    <hyperlink ref="B2996" r:id="rId3115" xr:uid="{00000000-0004-0000-0000-00002A0C0000}"/>
    <hyperlink ref="B2997" r:id="rId3116" xr:uid="{00000000-0004-0000-0000-00002B0C0000}"/>
    <hyperlink ref="B2998" r:id="rId3117" xr:uid="{00000000-0004-0000-0000-00002C0C0000}"/>
    <hyperlink ref="B2999" r:id="rId3118" xr:uid="{00000000-0004-0000-0000-00002D0C0000}"/>
    <hyperlink ref="B3000" r:id="rId3119" xr:uid="{00000000-0004-0000-0000-00002E0C0000}"/>
    <hyperlink ref="B3001" r:id="rId3120" xr:uid="{00000000-0004-0000-0000-00002F0C0000}"/>
    <hyperlink ref="B3002" r:id="rId3121" xr:uid="{00000000-0004-0000-0000-0000300C0000}"/>
    <hyperlink ref="B3003" r:id="rId3122" xr:uid="{00000000-0004-0000-0000-0000310C0000}"/>
    <hyperlink ref="B3004" r:id="rId3123" xr:uid="{00000000-0004-0000-0000-0000320C0000}"/>
    <hyperlink ref="B3005" r:id="rId3124" xr:uid="{00000000-0004-0000-0000-0000330C0000}"/>
    <hyperlink ref="B3006" r:id="rId3125" xr:uid="{00000000-0004-0000-0000-0000340C0000}"/>
    <hyperlink ref="B3007" r:id="rId3126" xr:uid="{00000000-0004-0000-0000-0000350C0000}"/>
    <hyperlink ref="B3008" r:id="rId3127" xr:uid="{00000000-0004-0000-0000-0000360C0000}"/>
    <hyperlink ref="B3009" r:id="rId3128" xr:uid="{00000000-0004-0000-0000-0000370C0000}"/>
    <hyperlink ref="B3010" r:id="rId3129" xr:uid="{00000000-0004-0000-0000-0000380C0000}"/>
    <hyperlink ref="B3011" r:id="rId3130" xr:uid="{00000000-0004-0000-0000-0000390C0000}"/>
    <hyperlink ref="B3012" r:id="rId3131" xr:uid="{00000000-0004-0000-0000-00003A0C0000}"/>
    <hyperlink ref="B3013" r:id="rId3132" xr:uid="{00000000-0004-0000-0000-00003B0C0000}"/>
    <hyperlink ref="B3014" r:id="rId3133" xr:uid="{00000000-0004-0000-0000-00003C0C0000}"/>
    <hyperlink ref="B3015" r:id="rId3134" xr:uid="{00000000-0004-0000-0000-00003D0C0000}"/>
    <hyperlink ref="B3016" r:id="rId3135" xr:uid="{00000000-0004-0000-0000-00003E0C0000}"/>
    <hyperlink ref="B3017" r:id="rId3136" xr:uid="{00000000-0004-0000-0000-00003F0C0000}"/>
    <hyperlink ref="B3018" r:id="rId3137" xr:uid="{00000000-0004-0000-0000-0000400C0000}"/>
    <hyperlink ref="B3019" r:id="rId3138" xr:uid="{00000000-0004-0000-0000-0000410C0000}"/>
    <hyperlink ref="B3020" r:id="rId3139" xr:uid="{00000000-0004-0000-0000-0000420C0000}"/>
    <hyperlink ref="B3021" r:id="rId3140" xr:uid="{00000000-0004-0000-0000-0000430C0000}"/>
    <hyperlink ref="B3022" r:id="rId3141" xr:uid="{00000000-0004-0000-0000-0000440C0000}"/>
    <hyperlink ref="B3023" r:id="rId3142" xr:uid="{00000000-0004-0000-0000-0000450C0000}"/>
    <hyperlink ref="B3024" r:id="rId3143" xr:uid="{00000000-0004-0000-0000-0000460C0000}"/>
    <hyperlink ref="B3025" r:id="rId3144" xr:uid="{00000000-0004-0000-0000-0000470C0000}"/>
    <hyperlink ref="B3026" r:id="rId3145" xr:uid="{00000000-0004-0000-0000-0000480C0000}"/>
    <hyperlink ref="B3027" r:id="rId3146" xr:uid="{00000000-0004-0000-0000-0000490C0000}"/>
    <hyperlink ref="B3028" r:id="rId3147" xr:uid="{00000000-0004-0000-0000-00004A0C0000}"/>
    <hyperlink ref="B3029" r:id="rId3148" xr:uid="{00000000-0004-0000-0000-00004B0C0000}"/>
    <hyperlink ref="B3030" r:id="rId3149" xr:uid="{00000000-0004-0000-0000-00004C0C0000}"/>
    <hyperlink ref="B3031" r:id="rId3150" xr:uid="{00000000-0004-0000-0000-00004D0C0000}"/>
    <hyperlink ref="B3032" r:id="rId3151" xr:uid="{00000000-0004-0000-0000-00004E0C0000}"/>
    <hyperlink ref="B3033" r:id="rId3152" xr:uid="{00000000-0004-0000-0000-00004F0C0000}"/>
    <hyperlink ref="B3034" r:id="rId3153" xr:uid="{00000000-0004-0000-0000-0000500C0000}"/>
    <hyperlink ref="B3035" r:id="rId3154" xr:uid="{00000000-0004-0000-0000-0000510C0000}"/>
    <hyperlink ref="B3036" r:id="rId3155" xr:uid="{00000000-0004-0000-0000-0000520C0000}"/>
    <hyperlink ref="B3037" r:id="rId3156" xr:uid="{00000000-0004-0000-0000-0000530C0000}"/>
    <hyperlink ref="B3038" r:id="rId3157" xr:uid="{00000000-0004-0000-0000-0000540C0000}"/>
    <hyperlink ref="B3039" r:id="rId3158" xr:uid="{00000000-0004-0000-0000-0000550C0000}"/>
    <hyperlink ref="B3040" r:id="rId3159" xr:uid="{00000000-0004-0000-0000-0000560C0000}"/>
    <hyperlink ref="B3041" r:id="rId3160" xr:uid="{00000000-0004-0000-0000-0000570C0000}"/>
    <hyperlink ref="B3042" r:id="rId3161" xr:uid="{00000000-0004-0000-0000-0000580C0000}"/>
    <hyperlink ref="B3043" r:id="rId3162" xr:uid="{00000000-0004-0000-0000-0000590C0000}"/>
    <hyperlink ref="B3044" r:id="rId3163" xr:uid="{00000000-0004-0000-0000-00005A0C0000}"/>
    <hyperlink ref="B3045" r:id="rId3164" xr:uid="{00000000-0004-0000-0000-00005B0C0000}"/>
    <hyperlink ref="B3046" r:id="rId3165" xr:uid="{00000000-0004-0000-0000-00005C0C0000}"/>
    <hyperlink ref="B3047" r:id="rId3166" xr:uid="{00000000-0004-0000-0000-00005D0C0000}"/>
    <hyperlink ref="B3048" r:id="rId3167" xr:uid="{00000000-0004-0000-0000-00005E0C0000}"/>
    <hyperlink ref="B3049" r:id="rId3168" xr:uid="{00000000-0004-0000-0000-00005F0C0000}"/>
    <hyperlink ref="B3050" r:id="rId3169" xr:uid="{00000000-0004-0000-0000-0000600C0000}"/>
    <hyperlink ref="B3051" r:id="rId3170" xr:uid="{00000000-0004-0000-0000-0000610C0000}"/>
    <hyperlink ref="B3052" r:id="rId3171" xr:uid="{00000000-0004-0000-0000-0000620C0000}"/>
    <hyperlink ref="B3053" r:id="rId3172" xr:uid="{00000000-0004-0000-0000-0000630C0000}"/>
    <hyperlink ref="B3054" r:id="rId3173" xr:uid="{00000000-0004-0000-0000-0000640C0000}"/>
    <hyperlink ref="B3055" r:id="rId3174" xr:uid="{00000000-0004-0000-0000-0000650C0000}"/>
    <hyperlink ref="B3056" r:id="rId3175" xr:uid="{00000000-0004-0000-0000-0000660C0000}"/>
    <hyperlink ref="B3057" r:id="rId3176" xr:uid="{00000000-0004-0000-0000-0000670C0000}"/>
    <hyperlink ref="B3058" r:id="rId3177" xr:uid="{00000000-0004-0000-0000-0000680C0000}"/>
    <hyperlink ref="B3059" r:id="rId3178" xr:uid="{00000000-0004-0000-0000-0000690C0000}"/>
    <hyperlink ref="B3060" r:id="rId3179" xr:uid="{00000000-0004-0000-0000-00006A0C0000}"/>
    <hyperlink ref="B3061" r:id="rId3180" xr:uid="{00000000-0004-0000-0000-00006B0C0000}"/>
    <hyperlink ref="B3062" r:id="rId3181" xr:uid="{00000000-0004-0000-0000-00006C0C0000}"/>
    <hyperlink ref="B3063" r:id="rId3182" xr:uid="{00000000-0004-0000-0000-00006D0C0000}"/>
    <hyperlink ref="B3064" r:id="rId3183" xr:uid="{00000000-0004-0000-0000-00006E0C0000}"/>
    <hyperlink ref="B3065" r:id="rId3184" xr:uid="{00000000-0004-0000-0000-00006F0C0000}"/>
    <hyperlink ref="B3066" r:id="rId3185" xr:uid="{00000000-0004-0000-0000-0000700C0000}"/>
    <hyperlink ref="B3067" r:id="rId3186" xr:uid="{00000000-0004-0000-0000-0000710C0000}"/>
    <hyperlink ref="B3068" r:id="rId3187" xr:uid="{00000000-0004-0000-0000-0000720C0000}"/>
    <hyperlink ref="B3069" r:id="rId3188" xr:uid="{00000000-0004-0000-0000-0000730C0000}"/>
    <hyperlink ref="B3070" r:id="rId3189" xr:uid="{00000000-0004-0000-0000-0000740C0000}"/>
    <hyperlink ref="B3071" r:id="rId3190" xr:uid="{00000000-0004-0000-0000-0000750C0000}"/>
    <hyperlink ref="B3072" r:id="rId3191" xr:uid="{00000000-0004-0000-0000-0000760C0000}"/>
    <hyperlink ref="B3073" r:id="rId3192" xr:uid="{00000000-0004-0000-0000-0000770C0000}"/>
    <hyperlink ref="B3074" r:id="rId3193" xr:uid="{00000000-0004-0000-0000-0000780C0000}"/>
    <hyperlink ref="B3075" r:id="rId3194" xr:uid="{00000000-0004-0000-0000-0000790C0000}"/>
    <hyperlink ref="B3076" r:id="rId3195" xr:uid="{00000000-0004-0000-0000-00007A0C0000}"/>
    <hyperlink ref="B3077" r:id="rId3196" xr:uid="{00000000-0004-0000-0000-00007B0C0000}"/>
    <hyperlink ref="B3078" r:id="rId3197" xr:uid="{00000000-0004-0000-0000-00007C0C0000}"/>
    <hyperlink ref="B3079" r:id="rId3198" xr:uid="{00000000-0004-0000-0000-00007D0C0000}"/>
    <hyperlink ref="B3080" r:id="rId3199" xr:uid="{00000000-0004-0000-0000-00007E0C0000}"/>
    <hyperlink ref="B3081" r:id="rId3200" xr:uid="{00000000-0004-0000-0000-00007F0C0000}"/>
    <hyperlink ref="B3082" r:id="rId3201" xr:uid="{00000000-0004-0000-0000-0000800C0000}"/>
    <hyperlink ref="B3083" r:id="rId3202" xr:uid="{00000000-0004-0000-0000-0000810C0000}"/>
    <hyperlink ref="B3084" r:id="rId3203" xr:uid="{00000000-0004-0000-0000-0000820C0000}"/>
    <hyperlink ref="B3085" r:id="rId3204" xr:uid="{00000000-0004-0000-0000-0000830C0000}"/>
    <hyperlink ref="B3086" r:id="rId3205" xr:uid="{00000000-0004-0000-0000-0000840C0000}"/>
    <hyperlink ref="B3087" r:id="rId3206" xr:uid="{00000000-0004-0000-0000-0000850C0000}"/>
    <hyperlink ref="B3088" r:id="rId3207" xr:uid="{00000000-0004-0000-0000-0000860C0000}"/>
    <hyperlink ref="B3089" r:id="rId3208" xr:uid="{00000000-0004-0000-0000-0000870C0000}"/>
    <hyperlink ref="B3090" r:id="rId3209" xr:uid="{00000000-0004-0000-0000-0000880C0000}"/>
    <hyperlink ref="B3091" r:id="rId3210" xr:uid="{00000000-0004-0000-0000-0000890C0000}"/>
    <hyperlink ref="B3092" r:id="rId3211" xr:uid="{00000000-0004-0000-0000-00008A0C0000}"/>
    <hyperlink ref="B3093" r:id="rId3212" xr:uid="{00000000-0004-0000-0000-00008B0C0000}"/>
    <hyperlink ref="B3094" r:id="rId3213" xr:uid="{00000000-0004-0000-0000-00008C0C0000}"/>
    <hyperlink ref="B3095" r:id="rId3214" xr:uid="{00000000-0004-0000-0000-00008D0C0000}"/>
    <hyperlink ref="B3096" r:id="rId3215" xr:uid="{00000000-0004-0000-0000-00008E0C0000}"/>
    <hyperlink ref="B3097" r:id="rId3216" xr:uid="{00000000-0004-0000-0000-00008F0C0000}"/>
    <hyperlink ref="B3098" r:id="rId3217" xr:uid="{00000000-0004-0000-0000-0000900C0000}"/>
    <hyperlink ref="B3099" r:id="rId3218" xr:uid="{00000000-0004-0000-0000-0000910C0000}"/>
    <hyperlink ref="B3100" r:id="rId3219" xr:uid="{00000000-0004-0000-0000-0000920C0000}"/>
    <hyperlink ref="B3101" r:id="rId3220" xr:uid="{00000000-0004-0000-0000-0000930C0000}"/>
    <hyperlink ref="B3102" r:id="rId3221" xr:uid="{00000000-0004-0000-0000-0000940C0000}"/>
    <hyperlink ref="B3103" r:id="rId3222" xr:uid="{00000000-0004-0000-0000-0000950C0000}"/>
    <hyperlink ref="B3104" r:id="rId3223" xr:uid="{00000000-0004-0000-0000-0000960C0000}"/>
    <hyperlink ref="B3105" r:id="rId3224" xr:uid="{00000000-0004-0000-0000-0000970C0000}"/>
    <hyperlink ref="B3106" r:id="rId3225" xr:uid="{00000000-0004-0000-0000-0000980C0000}"/>
    <hyperlink ref="B3107" r:id="rId3226" xr:uid="{00000000-0004-0000-0000-0000990C0000}"/>
    <hyperlink ref="B3108" r:id="rId3227" xr:uid="{00000000-0004-0000-0000-00009A0C0000}"/>
    <hyperlink ref="B3109" r:id="rId3228" xr:uid="{00000000-0004-0000-0000-00009B0C0000}"/>
    <hyperlink ref="B3110" r:id="rId3229" xr:uid="{00000000-0004-0000-0000-00009C0C0000}"/>
    <hyperlink ref="B3111" r:id="rId3230" xr:uid="{00000000-0004-0000-0000-00009D0C0000}"/>
    <hyperlink ref="B3112" r:id="rId3231" xr:uid="{00000000-0004-0000-0000-00009E0C0000}"/>
    <hyperlink ref="B3113" r:id="rId3232" xr:uid="{00000000-0004-0000-0000-00009F0C0000}"/>
    <hyperlink ref="B3114" r:id="rId3233" xr:uid="{00000000-0004-0000-0000-0000A00C0000}"/>
    <hyperlink ref="B3115" r:id="rId3234" xr:uid="{00000000-0004-0000-0000-0000A10C0000}"/>
    <hyperlink ref="B3116" r:id="rId3235" xr:uid="{00000000-0004-0000-0000-0000A20C0000}"/>
    <hyperlink ref="B3117" r:id="rId3236" xr:uid="{00000000-0004-0000-0000-0000A30C0000}"/>
    <hyperlink ref="B3118" r:id="rId3237" xr:uid="{00000000-0004-0000-0000-0000A40C0000}"/>
    <hyperlink ref="B3119" r:id="rId3238" xr:uid="{00000000-0004-0000-0000-0000A50C0000}"/>
    <hyperlink ref="B3120" r:id="rId3239" xr:uid="{00000000-0004-0000-0000-0000A60C0000}"/>
    <hyperlink ref="B3121" r:id="rId3240" xr:uid="{00000000-0004-0000-0000-0000A70C0000}"/>
    <hyperlink ref="B3122" r:id="rId3241" xr:uid="{00000000-0004-0000-0000-0000A80C0000}"/>
    <hyperlink ref="B3123" r:id="rId3242" xr:uid="{00000000-0004-0000-0000-0000A90C0000}"/>
    <hyperlink ref="B3124" r:id="rId3243" xr:uid="{00000000-0004-0000-0000-0000AA0C0000}"/>
    <hyperlink ref="B3125" r:id="rId3244" xr:uid="{00000000-0004-0000-0000-0000AB0C0000}"/>
    <hyperlink ref="B3126" r:id="rId3245" xr:uid="{00000000-0004-0000-0000-0000AC0C0000}"/>
    <hyperlink ref="B3127" r:id="rId3246" xr:uid="{00000000-0004-0000-0000-0000AD0C0000}"/>
    <hyperlink ref="B3128" r:id="rId3247" xr:uid="{00000000-0004-0000-0000-0000AE0C0000}"/>
    <hyperlink ref="B3129" r:id="rId3248" xr:uid="{00000000-0004-0000-0000-0000AF0C0000}"/>
    <hyperlink ref="B3130" r:id="rId3249" xr:uid="{00000000-0004-0000-0000-0000B00C0000}"/>
    <hyperlink ref="B3131" r:id="rId3250" xr:uid="{00000000-0004-0000-0000-0000B10C0000}"/>
    <hyperlink ref="B3132" r:id="rId3251" xr:uid="{00000000-0004-0000-0000-0000B20C0000}"/>
    <hyperlink ref="B3133" r:id="rId3252" xr:uid="{00000000-0004-0000-0000-0000B30C0000}"/>
    <hyperlink ref="B3134" r:id="rId3253" xr:uid="{00000000-0004-0000-0000-0000B40C0000}"/>
    <hyperlink ref="B3135" r:id="rId3254" xr:uid="{00000000-0004-0000-0000-0000B50C0000}"/>
    <hyperlink ref="B3136" r:id="rId3255" xr:uid="{00000000-0004-0000-0000-0000B60C0000}"/>
    <hyperlink ref="B3137" r:id="rId3256" xr:uid="{00000000-0004-0000-0000-0000B70C0000}"/>
    <hyperlink ref="B3138" r:id="rId3257" xr:uid="{00000000-0004-0000-0000-0000B80C0000}"/>
    <hyperlink ref="B3139" r:id="rId3258" xr:uid="{00000000-0004-0000-0000-0000B90C0000}"/>
    <hyperlink ref="B3140" r:id="rId3259" xr:uid="{00000000-0004-0000-0000-0000BA0C0000}"/>
    <hyperlink ref="B3141" r:id="rId3260" xr:uid="{00000000-0004-0000-0000-0000BB0C0000}"/>
    <hyperlink ref="B3142" r:id="rId3261" xr:uid="{00000000-0004-0000-0000-0000BC0C0000}"/>
    <hyperlink ref="B3143" r:id="rId3262" xr:uid="{00000000-0004-0000-0000-0000BD0C0000}"/>
    <hyperlink ref="B3144" r:id="rId3263" xr:uid="{00000000-0004-0000-0000-0000BE0C0000}"/>
    <hyperlink ref="B3145" r:id="rId3264" xr:uid="{00000000-0004-0000-0000-0000BF0C0000}"/>
    <hyperlink ref="B3146" r:id="rId3265" xr:uid="{00000000-0004-0000-0000-0000C00C0000}"/>
    <hyperlink ref="B3147" r:id="rId3266" xr:uid="{00000000-0004-0000-0000-0000C10C0000}"/>
    <hyperlink ref="B3148" r:id="rId3267" xr:uid="{00000000-0004-0000-0000-0000C20C0000}"/>
    <hyperlink ref="B3149" r:id="rId3268" xr:uid="{00000000-0004-0000-0000-0000C30C0000}"/>
    <hyperlink ref="B3150" r:id="rId3269" xr:uid="{00000000-0004-0000-0000-0000C40C0000}"/>
    <hyperlink ref="B3151" r:id="rId3270" xr:uid="{00000000-0004-0000-0000-0000C50C0000}"/>
    <hyperlink ref="B3152" r:id="rId3271" xr:uid="{00000000-0004-0000-0000-0000C60C0000}"/>
    <hyperlink ref="B3153" r:id="rId3272" xr:uid="{00000000-0004-0000-0000-0000C70C0000}"/>
    <hyperlink ref="B3154" r:id="rId3273" xr:uid="{00000000-0004-0000-0000-0000C80C0000}"/>
    <hyperlink ref="B3155" r:id="rId3274" xr:uid="{00000000-0004-0000-0000-0000C90C0000}"/>
    <hyperlink ref="B3156" r:id="rId3275" xr:uid="{00000000-0004-0000-0000-0000CA0C0000}"/>
    <hyperlink ref="B3157" r:id="rId3276" xr:uid="{00000000-0004-0000-0000-0000CB0C0000}"/>
    <hyperlink ref="B3158" r:id="rId3277" xr:uid="{00000000-0004-0000-0000-0000CC0C0000}"/>
    <hyperlink ref="B3159" r:id="rId3278" xr:uid="{00000000-0004-0000-0000-0000CD0C0000}"/>
    <hyperlink ref="B3160" r:id="rId3279" xr:uid="{00000000-0004-0000-0000-0000CE0C0000}"/>
    <hyperlink ref="B3161" r:id="rId3280" xr:uid="{00000000-0004-0000-0000-0000CF0C0000}"/>
    <hyperlink ref="B3162" r:id="rId3281" xr:uid="{00000000-0004-0000-0000-0000D00C0000}"/>
    <hyperlink ref="B3163" r:id="rId3282" xr:uid="{00000000-0004-0000-0000-0000D10C0000}"/>
    <hyperlink ref="B3164" r:id="rId3283" xr:uid="{00000000-0004-0000-0000-0000D20C0000}"/>
    <hyperlink ref="B3165" r:id="rId3284" xr:uid="{00000000-0004-0000-0000-0000D30C0000}"/>
    <hyperlink ref="B3166" r:id="rId3285" xr:uid="{00000000-0004-0000-0000-0000D40C0000}"/>
    <hyperlink ref="B3167" r:id="rId3286" xr:uid="{00000000-0004-0000-0000-0000D50C0000}"/>
    <hyperlink ref="B3168" r:id="rId3287" xr:uid="{00000000-0004-0000-0000-0000D60C0000}"/>
    <hyperlink ref="B3169" r:id="rId3288" xr:uid="{00000000-0004-0000-0000-0000D70C0000}"/>
    <hyperlink ref="B3170" r:id="rId3289" xr:uid="{00000000-0004-0000-0000-0000D80C0000}"/>
    <hyperlink ref="B3171" r:id="rId3290" xr:uid="{00000000-0004-0000-0000-0000D90C0000}"/>
    <hyperlink ref="B3172" r:id="rId3291" xr:uid="{00000000-0004-0000-0000-0000DA0C0000}"/>
    <hyperlink ref="B3173" r:id="rId3292" xr:uid="{00000000-0004-0000-0000-0000DB0C0000}"/>
    <hyperlink ref="B3174" r:id="rId3293" xr:uid="{00000000-0004-0000-0000-0000DC0C0000}"/>
    <hyperlink ref="B3175" r:id="rId3294" xr:uid="{00000000-0004-0000-0000-0000DD0C0000}"/>
    <hyperlink ref="B3176" r:id="rId3295" xr:uid="{00000000-0004-0000-0000-0000DE0C0000}"/>
    <hyperlink ref="B3177" r:id="rId3296" xr:uid="{00000000-0004-0000-0000-0000DF0C0000}"/>
    <hyperlink ref="B3178" r:id="rId3297" xr:uid="{00000000-0004-0000-0000-0000E00C0000}"/>
    <hyperlink ref="B3179" r:id="rId3298" xr:uid="{00000000-0004-0000-0000-0000E10C0000}"/>
    <hyperlink ref="B3180" r:id="rId3299" xr:uid="{00000000-0004-0000-0000-0000E20C0000}"/>
    <hyperlink ref="B3181" r:id="rId3300" xr:uid="{00000000-0004-0000-0000-0000E30C0000}"/>
    <hyperlink ref="B3182" r:id="rId3301" xr:uid="{00000000-0004-0000-0000-0000E40C0000}"/>
    <hyperlink ref="B3183" r:id="rId3302" xr:uid="{00000000-0004-0000-0000-0000E50C0000}"/>
    <hyperlink ref="B3184" r:id="rId3303" xr:uid="{00000000-0004-0000-0000-0000E60C0000}"/>
    <hyperlink ref="B3185" r:id="rId3304" xr:uid="{00000000-0004-0000-0000-0000E70C0000}"/>
    <hyperlink ref="B3186" r:id="rId3305" xr:uid="{00000000-0004-0000-0000-0000E80C0000}"/>
    <hyperlink ref="B3187" r:id="rId3306" xr:uid="{00000000-0004-0000-0000-0000E90C0000}"/>
    <hyperlink ref="B3188" r:id="rId3307" xr:uid="{00000000-0004-0000-0000-0000EA0C0000}"/>
    <hyperlink ref="B3189" r:id="rId3308" xr:uid="{00000000-0004-0000-0000-0000EB0C0000}"/>
    <hyperlink ref="B3190" r:id="rId3309" xr:uid="{00000000-0004-0000-0000-0000EC0C0000}"/>
    <hyperlink ref="B3191" r:id="rId3310" xr:uid="{00000000-0004-0000-0000-0000ED0C0000}"/>
    <hyperlink ref="B3192" r:id="rId3311" xr:uid="{00000000-0004-0000-0000-0000EE0C0000}"/>
    <hyperlink ref="B3193" r:id="rId3312" xr:uid="{00000000-0004-0000-0000-0000EF0C0000}"/>
    <hyperlink ref="B3194" r:id="rId3313" xr:uid="{00000000-0004-0000-0000-0000F00C0000}"/>
    <hyperlink ref="B3195" r:id="rId3314" xr:uid="{00000000-0004-0000-0000-0000F10C0000}"/>
    <hyperlink ref="B3196" r:id="rId3315" xr:uid="{00000000-0004-0000-0000-0000F20C0000}"/>
    <hyperlink ref="B3197" r:id="rId3316" xr:uid="{00000000-0004-0000-0000-0000F30C0000}"/>
    <hyperlink ref="B3198" r:id="rId3317" xr:uid="{00000000-0004-0000-0000-0000F40C0000}"/>
    <hyperlink ref="B3199" r:id="rId3318" xr:uid="{00000000-0004-0000-0000-0000F50C0000}"/>
    <hyperlink ref="B3200" r:id="rId3319" xr:uid="{00000000-0004-0000-0000-0000F60C0000}"/>
    <hyperlink ref="B3201" r:id="rId3320" xr:uid="{00000000-0004-0000-0000-0000F70C0000}"/>
    <hyperlink ref="B3202" r:id="rId3321" xr:uid="{00000000-0004-0000-0000-0000F80C0000}"/>
    <hyperlink ref="B3203" r:id="rId3322" xr:uid="{00000000-0004-0000-0000-0000F90C0000}"/>
    <hyperlink ref="B3204" r:id="rId3323" xr:uid="{00000000-0004-0000-0000-0000FA0C0000}"/>
    <hyperlink ref="B3205" r:id="rId3324" xr:uid="{00000000-0004-0000-0000-0000FB0C0000}"/>
    <hyperlink ref="B3206" r:id="rId3325" xr:uid="{00000000-0004-0000-0000-0000FC0C0000}"/>
    <hyperlink ref="B3207" r:id="rId3326" xr:uid="{00000000-0004-0000-0000-0000FD0C0000}"/>
    <hyperlink ref="B3208" r:id="rId3327" xr:uid="{00000000-0004-0000-0000-0000FE0C0000}"/>
    <hyperlink ref="B3209" r:id="rId3328" xr:uid="{00000000-0004-0000-0000-0000FF0C0000}"/>
    <hyperlink ref="B3210" r:id="rId3329" xr:uid="{00000000-0004-0000-0000-0000000D0000}"/>
    <hyperlink ref="B3211" r:id="rId3330" xr:uid="{00000000-0004-0000-0000-0000010D0000}"/>
    <hyperlink ref="B3212" r:id="rId3331" xr:uid="{00000000-0004-0000-0000-0000020D0000}"/>
    <hyperlink ref="B3213" r:id="rId3332" xr:uid="{00000000-0004-0000-0000-0000030D0000}"/>
    <hyperlink ref="B3214" r:id="rId3333" xr:uid="{00000000-0004-0000-0000-0000040D0000}"/>
    <hyperlink ref="B3215" r:id="rId3334" xr:uid="{00000000-0004-0000-0000-0000050D0000}"/>
    <hyperlink ref="B3216" r:id="rId3335" xr:uid="{00000000-0004-0000-0000-0000060D0000}"/>
    <hyperlink ref="B3217" r:id="rId3336" xr:uid="{00000000-0004-0000-0000-0000070D0000}"/>
    <hyperlink ref="B3218" r:id="rId3337" xr:uid="{00000000-0004-0000-0000-0000080D0000}"/>
    <hyperlink ref="B3219" r:id="rId3338" xr:uid="{00000000-0004-0000-0000-0000090D0000}"/>
    <hyperlink ref="B3220" r:id="rId3339" xr:uid="{00000000-0004-0000-0000-00000A0D0000}"/>
    <hyperlink ref="B3221" r:id="rId3340" xr:uid="{00000000-0004-0000-0000-00000B0D0000}"/>
    <hyperlink ref="B3222" r:id="rId3341" xr:uid="{00000000-0004-0000-0000-00000C0D0000}"/>
    <hyperlink ref="B3223" r:id="rId3342" xr:uid="{00000000-0004-0000-0000-00000D0D0000}"/>
    <hyperlink ref="B3224" r:id="rId3343" xr:uid="{00000000-0004-0000-0000-00000E0D0000}"/>
    <hyperlink ref="B3225" r:id="rId3344" xr:uid="{00000000-0004-0000-0000-00000F0D0000}"/>
    <hyperlink ref="B3226" r:id="rId3345" xr:uid="{00000000-0004-0000-0000-0000100D0000}"/>
    <hyperlink ref="B3227" r:id="rId3346" xr:uid="{00000000-0004-0000-0000-0000110D0000}"/>
    <hyperlink ref="B3228" r:id="rId3347" xr:uid="{00000000-0004-0000-0000-0000120D0000}"/>
    <hyperlink ref="B3229" r:id="rId3348" xr:uid="{00000000-0004-0000-0000-0000130D0000}"/>
    <hyperlink ref="B3230" r:id="rId3349" xr:uid="{00000000-0004-0000-0000-0000140D0000}"/>
    <hyperlink ref="B3231" r:id="rId3350" xr:uid="{00000000-0004-0000-0000-0000150D0000}"/>
    <hyperlink ref="B3232" r:id="rId3351" xr:uid="{00000000-0004-0000-0000-0000160D0000}"/>
    <hyperlink ref="B3233" r:id="rId3352" xr:uid="{00000000-0004-0000-0000-0000170D0000}"/>
    <hyperlink ref="B3234" r:id="rId3353" xr:uid="{00000000-0004-0000-0000-0000180D0000}"/>
    <hyperlink ref="B3235" r:id="rId3354" xr:uid="{00000000-0004-0000-0000-0000190D0000}"/>
    <hyperlink ref="B3236" r:id="rId3355" xr:uid="{00000000-0004-0000-0000-00001A0D0000}"/>
    <hyperlink ref="B3237" r:id="rId3356" xr:uid="{00000000-0004-0000-0000-00001B0D0000}"/>
    <hyperlink ref="B3238" r:id="rId3357" xr:uid="{00000000-0004-0000-0000-00001C0D0000}"/>
    <hyperlink ref="B3239" r:id="rId3358" xr:uid="{00000000-0004-0000-0000-00001D0D0000}"/>
    <hyperlink ref="B3240" r:id="rId3359" xr:uid="{00000000-0004-0000-0000-00001E0D0000}"/>
    <hyperlink ref="B3241" r:id="rId3360" xr:uid="{00000000-0004-0000-0000-00001F0D0000}"/>
    <hyperlink ref="B3242" r:id="rId3361" xr:uid="{00000000-0004-0000-0000-0000200D0000}"/>
    <hyperlink ref="B3243" r:id="rId3362" xr:uid="{00000000-0004-0000-0000-0000210D0000}"/>
    <hyperlink ref="B3244" r:id="rId3363" xr:uid="{00000000-0004-0000-0000-0000220D0000}"/>
    <hyperlink ref="B3245" r:id="rId3364" xr:uid="{00000000-0004-0000-0000-0000230D0000}"/>
    <hyperlink ref="B3246" r:id="rId3365" xr:uid="{00000000-0004-0000-0000-0000240D0000}"/>
    <hyperlink ref="B3247" r:id="rId3366" xr:uid="{00000000-0004-0000-0000-0000250D0000}"/>
    <hyperlink ref="B3248" r:id="rId3367" xr:uid="{00000000-0004-0000-0000-0000260D0000}"/>
    <hyperlink ref="B3249" r:id="rId3368" xr:uid="{00000000-0004-0000-0000-0000270D0000}"/>
    <hyperlink ref="B3250" r:id="rId3369" xr:uid="{00000000-0004-0000-0000-0000280D0000}"/>
    <hyperlink ref="B3251" r:id="rId3370" xr:uid="{00000000-0004-0000-0000-0000290D0000}"/>
    <hyperlink ref="B3252" r:id="rId3371" xr:uid="{00000000-0004-0000-0000-00002A0D0000}"/>
    <hyperlink ref="B3253" r:id="rId3372" xr:uid="{00000000-0004-0000-0000-00002B0D0000}"/>
    <hyperlink ref="B3254" r:id="rId3373" xr:uid="{00000000-0004-0000-0000-00002C0D0000}"/>
    <hyperlink ref="B3255" r:id="rId3374" xr:uid="{00000000-0004-0000-0000-00002D0D0000}"/>
    <hyperlink ref="B3256" r:id="rId3375" xr:uid="{00000000-0004-0000-0000-00002E0D0000}"/>
    <hyperlink ref="B3257" r:id="rId3376" xr:uid="{00000000-0004-0000-0000-00002F0D0000}"/>
    <hyperlink ref="B3258" r:id="rId3377" xr:uid="{00000000-0004-0000-0000-0000300D0000}"/>
    <hyperlink ref="B3259" r:id="rId3378" xr:uid="{00000000-0004-0000-0000-0000310D0000}"/>
    <hyperlink ref="B3260" r:id="rId3379" xr:uid="{00000000-0004-0000-0000-0000320D0000}"/>
    <hyperlink ref="B3261" r:id="rId3380" xr:uid="{00000000-0004-0000-0000-0000330D0000}"/>
    <hyperlink ref="B3262" r:id="rId3381" xr:uid="{00000000-0004-0000-0000-0000340D0000}"/>
    <hyperlink ref="B3263" r:id="rId3382" xr:uid="{00000000-0004-0000-0000-0000350D0000}"/>
    <hyperlink ref="B3264" r:id="rId3383" xr:uid="{00000000-0004-0000-0000-0000360D0000}"/>
    <hyperlink ref="B3265" r:id="rId3384" xr:uid="{00000000-0004-0000-0000-0000370D0000}"/>
    <hyperlink ref="B3266" r:id="rId3385" xr:uid="{00000000-0004-0000-0000-0000380D0000}"/>
    <hyperlink ref="B3267" r:id="rId3386" xr:uid="{00000000-0004-0000-0000-0000390D0000}"/>
    <hyperlink ref="B3268" r:id="rId3387" xr:uid="{00000000-0004-0000-0000-00003A0D0000}"/>
    <hyperlink ref="B3269" r:id="rId3388" xr:uid="{00000000-0004-0000-0000-00003B0D0000}"/>
    <hyperlink ref="B3270" r:id="rId3389" xr:uid="{00000000-0004-0000-0000-00003C0D0000}"/>
    <hyperlink ref="B3271" r:id="rId3390" xr:uid="{00000000-0004-0000-0000-00003D0D0000}"/>
    <hyperlink ref="B3272" r:id="rId3391" xr:uid="{00000000-0004-0000-0000-00003E0D0000}"/>
    <hyperlink ref="B3273" r:id="rId3392" xr:uid="{00000000-0004-0000-0000-00003F0D0000}"/>
    <hyperlink ref="B3274" r:id="rId3393" xr:uid="{00000000-0004-0000-0000-0000400D0000}"/>
    <hyperlink ref="B3275" r:id="rId3394" xr:uid="{00000000-0004-0000-0000-0000410D0000}"/>
    <hyperlink ref="B3276" r:id="rId3395" xr:uid="{00000000-0004-0000-0000-0000420D0000}"/>
    <hyperlink ref="B3277" r:id="rId3396" xr:uid="{00000000-0004-0000-0000-0000430D0000}"/>
    <hyperlink ref="B3278" r:id="rId3397" xr:uid="{00000000-0004-0000-0000-0000440D0000}"/>
    <hyperlink ref="B3279" r:id="rId3398" xr:uid="{00000000-0004-0000-0000-0000450D0000}"/>
    <hyperlink ref="B3280" r:id="rId3399" xr:uid="{00000000-0004-0000-0000-0000460D0000}"/>
    <hyperlink ref="B3281" r:id="rId3400" xr:uid="{00000000-0004-0000-0000-0000470D0000}"/>
    <hyperlink ref="B3282" r:id="rId3401" xr:uid="{00000000-0004-0000-0000-0000480D0000}"/>
    <hyperlink ref="B3283" r:id="rId3402" xr:uid="{00000000-0004-0000-0000-0000490D0000}"/>
    <hyperlink ref="B3284" r:id="rId3403" xr:uid="{00000000-0004-0000-0000-00004A0D0000}"/>
    <hyperlink ref="B3285" r:id="rId3404" xr:uid="{00000000-0004-0000-0000-00004B0D0000}"/>
    <hyperlink ref="B3286" r:id="rId3405" xr:uid="{00000000-0004-0000-0000-00004C0D0000}"/>
    <hyperlink ref="B3287" r:id="rId3406" xr:uid="{00000000-0004-0000-0000-00004D0D0000}"/>
    <hyperlink ref="B3288" r:id="rId3407" xr:uid="{00000000-0004-0000-0000-00004E0D0000}"/>
    <hyperlink ref="B3289" r:id="rId3408" xr:uid="{00000000-0004-0000-0000-00004F0D0000}"/>
    <hyperlink ref="B3290" r:id="rId3409" xr:uid="{00000000-0004-0000-0000-0000500D0000}"/>
    <hyperlink ref="B3291" r:id="rId3410" xr:uid="{00000000-0004-0000-0000-0000510D0000}"/>
    <hyperlink ref="B3292" r:id="rId3411" xr:uid="{00000000-0004-0000-0000-0000520D0000}"/>
    <hyperlink ref="B3293" r:id="rId3412" xr:uid="{00000000-0004-0000-0000-0000530D0000}"/>
    <hyperlink ref="B3294" r:id="rId3413" xr:uid="{00000000-0004-0000-0000-0000540D0000}"/>
    <hyperlink ref="B3295" r:id="rId3414" xr:uid="{00000000-0004-0000-0000-0000550D0000}"/>
    <hyperlink ref="B3296" r:id="rId3415" xr:uid="{00000000-0004-0000-0000-0000560D0000}"/>
    <hyperlink ref="B3297" r:id="rId3416" xr:uid="{00000000-0004-0000-0000-0000570D0000}"/>
    <hyperlink ref="B3298" r:id="rId3417" xr:uid="{00000000-0004-0000-0000-0000580D0000}"/>
    <hyperlink ref="B3299" r:id="rId3418" xr:uid="{00000000-0004-0000-0000-0000590D0000}"/>
    <hyperlink ref="B3300" r:id="rId3419" xr:uid="{00000000-0004-0000-0000-00005A0D0000}"/>
    <hyperlink ref="B3301" r:id="rId3420" xr:uid="{00000000-0004-0000-0000-00005B0D0000}"/>
    <hyperlink ref="B3302" r:id="rId3421" xr:uid="{00000000-0004-0000-0000-00005C0D0000}"/>
    <hyperlink ref="B3303" r:id="rId3422" xr:uid="{00000000-0004-0000-0000-00005D0D0000}"/>
    <hyperlink ref="B3304" r:id="rId3423" xr:uid="{00000000-0004-0000-0000-00005E0D0000}"/>
    <hyperlink ref="B3305" r:id="rId3424" xr:uid="{00000000-0004-0000-0000-00005F0D0000}"/>
    <hyperlink ref="B3306" r:id="rId3425" xr:uid="{00000000-0004-0000-0000-0000600D0000}"/>
    <hyperlink ref="B3307" r:id="rId3426" xr:uid="{00000000-0004-0000-0000-0000610D0000}"/>
    <hyperlink ref="B3308" r:id="rId3427" xr:uid="{00000000-0004-0000-0000-0000620D0000}"/>
    <hyperlink ref="B3309" r:id="rId3428" xr:uid="{00000000-0004-0000-0000-0000630D0000}"/>
    <hyperlink ref="B3310" r:id="rId3429" xr:uid="{00000000-0004-0000-0000-0000640D0000}"/>
    <hyperlink ref="B3311" r:id="rId3430" xr:uid="{00000000-0004-0000-0000-0000650D0000}"/>
    <hyperlink ref="B3312" r:id="rId3431" xr:uid="{00000000-0004-0000-0000-0000660D0000}"/>
    <hyperlink ref="B3313" r:id="rId3432" xr:uid="{00000000-0004-0000-0000-0000670D0000}"/>
    <hyperlink ref="B3314" r:id="rId3433" xr:uid="{00000000-0004-0000-0000-0000680D0000}"/>
    <hyperlink ref="B3315" r:id="rId3434" xr:uid="{00000000-0004-0000-0000-0000690D0000}"/>
    <hyperlink ref="B3316" r:id="rId3435" xr:uid="{00000000-0004-0000-0000-00006A0D0000}"/>
    <hyperlink ref="B3317" r:id="rId3436" xr:uid="{00000000-0004-0000-0000-00006B0D0000}"/>
    <hyperlink ref="B3318" r:id="rId3437" xr:uid="{00000000-0004-0000-0000-00006C0D0000}"/>
    <hyperlink ref="B3319" r:id="rId3438" xr:uid="{00000000-0004-0000-0000-00006D0D0000}"/>
    <hyperlink ref="B3320" r:id="rId3439" xr:uid="{00000000-0004-0000-0000-00006E0D0000}"/>
    <hyperlink ref="B3321" r:id="rId3440" xr:uid="{00000000-0004-0000-0000-00006F0D0000}"/>
    <hyperlink ref="B3322" r:id="rId3441" xr:uid="{00000000-0004-0000-0000-0000700D0000}"/>
    <hyperlink ref="B3323" r:id="rId3442" xr:uid="{00000000-0004-0000-0000-0000710D0000}"/>
    <hyperlink ref="B3324" r:id="rId3443" xr:uid="{00000000-0004-0000-0000-0000720D0000}"/>
    <hyperlink ref="B3325" r:id="rId3444" xr:uid="{00000000-0004-0000-0000-0000730D0000}"/>
    <hyperlink ref="B3326" r:id="rId3445" xr:uid="{00000000-0004-0000-0000-0000740D0000}"/>
    <hyperlink ref="B3327" r:id="rId3446" xr:uid="{00000000-0004-0000-0000-0000750D0000}"/>
    <hyperlink ref="B3328" r:id="rId3447" xr:uid="{00000000-0004-0000-0000-0000760D0000}"/>
    <hyperlink ref="B3329" r:id="rId3448" xr:uid="{00000000-0004-0000-0000-0000770D0000}"/>
    <hyperlink ref="B3330" r:id="rId3449" xr:uid="{00000000-0004-0000-0000-0000780D0000}"/>
    <hyperlink ref="B3331" r:id="rId3450" xr:uid="{00000000-0004-0000-0000-0000790D0000}"/>
    <hyperlink ref="B3332" r:id="rId3451" xr:uid="{00000000-0004-0000-0000-00007A0D0000}"/>
    <hyperlink ref="B3333" r:id="rId3452" xr:uid="{00000000-0004-0000-0000-00007B0D0000}"/>
    <hyperlink ref="B3334" r:id="rId3453" xr:uid="{00000000-0004-0000-0000-00007C0D0000}"/>
    <hyperlink ref="B3335" r:id="rId3454" xr:uid="{00000000-0004-0000-0000-00007D0D0000}"/>
    <hyperlink ref="B3336" r:id="rId3455" xr:uid="{00000000-0004-0000-0000-00007E0D0000}"/>
    <hyperlink ref="B3337" r:id="rId3456" xr:uid="{00000000-0004-0000-0000-00007F0D0000}"/>
    <hyperlink ref="B3338" r:id="rId3457" xr:uid="{00000000-0004-0000-0000-0000800D0000}"/>
    <hyperlink ref="B3339" r:id="rId3458" xr:uid="{00000000-0004-0000-0000-0000810D0000}"/>
    <hyperlink ref="B3340" r:id="rId3459" xr:uid="{00000000-0004-0000-0000-0000820D0000}"/>
    <hyperlink ref="B3341" r:id="rId3460" xr:uid="{00000000-0004-0000-0000-0000830D0000}"/>
    <hyperlink ref="B3342" r:id="rId3461" xr:uid="{00000000-0004-0000-0000-0000840D0000}"/>
    <hyperlink ref="B3343" r:id="rId3462" xr:uid="{00000000-0004-0000-0000-0000850D0000}"/>
    <hyperlink ref="B3344" r:id="rId3463" xr:uid="{00000000-0004-0000-0000-0000860D0000}"/>
    <hyperlink ref="B3345" r:id="rId3464" xr:uid="{00000000-0004-0000-0000-0000870D0000}"/>
    <hyperlink ref="B3346" r:id="rId3465" xr:uid="{00000000-0004-0000-0000-0000880D0000}"/>
    <hyperlink ref="B3347" r:id="rId3466" xr:uid="{00000000-0004-0000-0000-0000890D0000}"/>
    <hyperlink ref="B3348" r:id="rId3467" xr:uid="{00000000-0004-0000-0000-00008A0D0000}"/>
    <hyperlink ref="B3349" r:id="rId3468" xr:uid="{00000000-0004-0000-0000-00008B0D0000}"/>
    <hyperlink ref="B3350" r:id="rId3469" xr:uid="{00000000-0004-0000-0000-00008C0D0000}"/>
    <hyperlink ref="B3351" r:id="rId3470" xr:uid="{00000000-0004-0000-0000-00008D0D0000}"/>
    <hyperlink ref="B3352" r:id="rId3471" xr:uid="{00000000-0004-0000-0000-00008E0D0000}"/>
    <hyperlink ref="B3353" r:id="rId3472" xr:uid="{00000000-0004-0000-0000-00008F0D0000}"/>
    <hyperlink ref="B3354" r:id="rId3473" xr:uid="{00000000-0004-0000-0000-0000900D0000}"/>
    <hyperlink ref="B3355" r:id="rId3474" xr:uid="{00000000-0004-0000-0000-0000910D0000}"/>
    <hyperlink ref="B3356" r:id="rId3475" xr:uid="{00000000-0004-0000-0000-0000920D0000}"/>
    <hyperlink ref="B3357" r:id="rId3476" xr:uid="{00000000-0004-0000-0000-0000930D0000}"/>
    <hyperlink ref="B3358" r:id="rId3477" xr:uid="{00000000-0004-0000-0000-0000940D0000}"/>
    <hyperlink ref="B3359" r:id="rId3478" xr:uid="{00000000-0004-0000-0000-0000950D0000}"/>
    <hyperlink ref="B3360" r:id="rId3479" xr:uid="{00000000-0004-0000-0000-0000960D0000}"/>
    <hyperlink ref="B3361" r:id="rId3480" xr:uid="{00000000-0004-0000-0000-0000970D0000}"/>
    <hyperlink ref="B3362" r:id="rId3481" xr:uid="{00000000-0004-0000-0000-0000980D0000}"/>
    <hyperlink ref="B3363" r:id="rId3482" xr:uid="{00000000-0004-0000-0000-0000990D0000}"/>
    <hyperlink ref="B3364" r:id="rId3483" xr:uid="{00000000-0004-0000-0000-00009A0D0000}"/>
    <hyperlink ref="B3365" r:id="rId3484" xr:uid="{00000000-0004-0000-0000-00009B0D0000}"/>
    <hyperlink ref="B3366" r:id="rId3485" xr:uid="{00000000-0004-0000-0000-00009C0D0000}"/>
    <hyperlink ref="B3367" r:id="rId3486" xr:uid="{00000000-0004-0000-0000-00009D0D0000}"/>
    <hyperlink ref="B3368" r:id="rId3487" xr:uid="{00000000-0004-0000-0000-00009E0D0000}"/>
    <hyperlink ref="B3369" r:id="rId3488" xr:uid="{00000000-0004-0000-0000-00009F0D0000}"/>
    <hyperlink ref="B3370" r:id="rId3489" xr:uid="{00000000-0004-0000-0000-0000A00D0000}"/>
    <hyperlink ref="B3371" r:id="rId3490" xr:uid="{00000000-0004-0000-0000-0000A10D0000}"/>
    <hyperlink ref="B3372" r:id="rId3491" xr:uid="{00000000-0004-0000-0000-0000A20D0000}"/>
    <hyperlink ref="B3373" r:id="rId3492" xr:uid="{00000000-0004-0000-0000-0000A30D0000}"/>
    <hyperlink ref="B3374" r:id="rId3493" xr:uid="{00000000-0004-0000-0000-0000A40D0000}"/>
    <hyperlink ref="B3375" r:id="rId3494" xr:uid="{00000000-0004-0000-0000-0000A50D0000}"/>
    <hyperlink ref="B3376" r:id="rId3495" xr:uid="{00000000-0004-0000-0000-0000A60D0000}"/>
    <hyperlink ref="B3377" r:id="rId3496" xr:uid="{00000000-0004-0000-0000-0000A70D0000}"/>
    <hyperlink ref="B3378" r:id="rId3497" xr:uid="{00000000-0004-0000-0000-0000A80D0000}"/>
    <hyperlink ref="B3379" r:id="rId3498" xr:uid="{00000000-0004-0000-0000-0000A90D0000}"/>
    <hyperlink ref="B3380" r:id="rId3499" xr:uid="{00000000-0004-0000-0000-0000AA0D0000}"/>
    <hyperlink ref="B3381" r:id="rId3500" xr:uid="{00000000-0004-0000-0000-0000AB0D0000}"/>
    <hyperlink ref="B3382" r:id="rId3501" xr:uid="{00000000-0004-0000-0000-0000AC0D0000}"/>
    <hyperlink ref="B3383" r:id="rId3502" xr:uid="{00000000-0004-0000-0000-0000AD0D0000}"/>
    <hyperlink ref="B3384" r:id="rId3503" xr:uid="{00000000-0004-0000-0000-0000AE0D0000}"/>
    <hyperlink ref="B3385" r:id="rId3504" xr:uid="{00000000-0004-0000-0000-0000AF0D0000}"/>
    <hyperlink ref="B3386" r:id="rId3505" xr:uid="{00000000-0004-0000-0000-0000B00D0000}"/>
    <hyperlink ref="B3387" r:id="rId3506" xr:uid="{00000000-0004-0000-0000-0000B10D0000}"/>
    <hyperlink ref="B3388" r:id="rId3507" xr:uid="{00000000-0004-0000-0000-0000B20D0000}"/>
    <hyperlink ref="B3389" r:id="rId3508" xr:uid="{00000000-0004-0000-0000-0000B30D0000}"/>
    <hyperlink ref="B3390" r:id="rId3509" xr:uid="{00000000-0004-0000-0000-0000B40D0000}"/>
    <hyperlink ref="B3391" r:id="rId3510" xr:uid="{00000000-0004-0000-0000-0000B50D0000}"/>
    <hyperlink ref="B3392" r:id="rId3511" xr:uid="{00000000-0004-0000-0000-0000B60D0000}"/>
    <hyperlink ref="B3393" r:id="rId3512" xr:uid="{00000000-0004-0000-0000-0000B70D0000}"/>
    <hyperlink ref="B3394" r:id="rId3513" xr:uid="{00000000-0004-0000-0000-0000B80D0000}"/>
    <hyperlink ref="B3395" r:id="rId3514" xr:uid="{00000000-0004-0000-0000-0000B90D0000}"/>
    <hyperlink ref="B3396" r:id="rId3515" xr:uid="{00000000-0004-0000-0000-0000BA0D0000}"/>
    <hyperlink ref="B3397" r:id="rId3516" xr:uid="{00000000-0004-0000-0000-0000BB0D0000}"/>
    <hyperlink ref="B3398" r:id="rId3517" xr:uid="{00000000-0004-0000-0000-0000BC0D0000}"/>
    <hyperlink ref="B3399" r:id="rId3518" xr:uid="{00000000-0004-0000-0000-0000BD0D0000}"/>
    <hyperlink ref="B3400" r:id="rId3519" xr:uid="{00000000-0004-0000-0000-0000BE0D0000}"/>
    <hyperlink ref="B3401" r:id="rId3520" xr:uid="{00000000-0004-0000-0000-0000BF0D0000}"/>
    <hyperlink ref="B3402" r:id="rId3521" xr:uid="{00000000-0004-0000-0000-0000C00D0000}"/>
    <hyperlink ref="B3403" r:id="rId3522" xr:uid="{00000000-0004-0000-0000-0000C10D0000}"/>
    <hyperlink ref="B3404" r:id="rId3523" xr:uid="{00000000-0004-0000-0000-0000C20D0000}"/>
    <hyperlink ref="B3405" r:id="rId3524" xr:uid="{00000000-0004-0000-0000-0000C30D0000}"/>
    <hyperlink ref="B3406" r:id="rId3525" xr:uid="{00000000-0004-0000-0000-0000C40D0000}"/>
    <hyperlink ref="B3407" r:id="rId3526" xr:uid="{00000000-0004-0000-0000-0000C50D0000}"/>
    <hyperlink ref="B3408" r:id="rId3527" xr:uid="{00000000-0004-0000-0000-0000C60D0000}"/>
    <hyperlink ref="B3409" r:id="rId3528" xr:uid="{00000000-0004-0000-0000-0000C70D0000}"/>
    <hyperlink ref="B3410" r:id="rId3529" xr:uid="{00000000-0004-0000-0000-0000C80D0000}"/>
    <hyperlink ref="B3411" r:id="rId3530" xr:uid="{00000000-0004-0000-0000-0000C90D0000}"/>
    <hyperlink ref="B3412" r:id="rId3531" xr:uid="{00000000-0004-0000-0000-0000CA0D0000}"/>
    <hyperlink ref="B3413" r:id="rId3532" xr:uid="{00000000-0004-0000-0000-0000CB0D0000}"/>
    <hyperlink ref="B3414" r:id="rId3533" xr:uid="{00000000-0004-0000-0000-0000CC0D0000}"/>
    <hyperlink ref="B3415" r:id="rId3534" xr:uid="{00000000-0004-0000-0000-0000CD0D0000}"/>
    <hyperlink ref="B3416" r:id="rId3535" xr:uid="{00000000-0004-0000-0000-0000CE0D0000}"/>
    <hyperlink ref="B3417" r:id="rId3536" xr:uid="{00000000-0004-0000-0000-0000CF0D0000}"/>
    <hyperlink ref="B3418" r:id="rId3537" xr:uid="{00000000-0004-0000-0000-0000D00D0000}"/>
    <hyperlink ref="B3419" r:id="rId3538" xr:uid="{00000000-0004-0000-0000-0000D10D0000}"/>
    <hyperlink ref="B3420" r:id="rId3539" xr:uid="{00000000-0004-0000-0000-0000D20D0000}"/>
    <hyperlink ref="B3421" r:id="rId3540" xr:uid="{00000000-0004-0000-0000-0000D30D0000}"/>
    <hyperlink ref="B3422" r:id="rId3541" xr:uid="{00000000-0004-0000-0000-0000D40D0000}"/>
    <hyperlink ref="B3423" r:id="rId3542" xr:uid="{00000000-0004-0000-0000-0000D50D0000}"/>
    <hyperlink ref="B3424" r:id="rId3543" xr:uid="{00000000-0004-0000-0000-0000D60D0000}"/>
    <hyperlink ref="B3425" r:id="rId3544" xr:uid="{00000000-0004-0000-0000-0000D70D0000}"/>
    <hyperlink ref="B3426" r:id="rId3545" xr:uid="{00000000-0004-0000-0000-0000D80D0000}"/>
    <hyperlink ref="B3427" r:id="rId3546" xr:uid="{00000000-0004-0000-0000-0000D90D0000}"/>
    <hyperlink ref="B3428" r:id="rId3547" xr:uid="{00000000-0004-0000-0000-0000DA0D0000}"/>
    <hyperlink ref="B3429" r:id="rId3548" xr:uid="{00000000-0004-0000-0000-0000DB0D0000}"/>
    <hyperlink ref="B3430" r:id="rId3549" xr:uid="{00000000-0004-0000-0000-0000DC0D0000}"/>
    <hyperlink ref="B3431" r:id="rId3550" xr:uid="{00000000-0004-0000-0000-0000DD0D0000}"/>
    <hyperlink ref="B3432" r:id="rId3551" xr:uid="{00000000-0004-0000-0000-0000DE0D0000}"/>
    <hyperlink ref="B3433" r:id="rId3552" xr:uid="{00000000-0004-0000-0000-0000DF0D0000}"/>
    <hyperlink ref="B3434" r:id="rId3553" xr:uid="{00000000-0004-0000-0000-0000E00D0000}"/>
    <hyperlink ref="B3435" r:id="rId3554" xr:uid="{00000000-0004-0000-0000-0000E10D0000}"/>
    <hyperlink ref="B3436" r:id="rId3555" xr:uid="{00000000-0004-0000-0000-0000E20D0000}"/>
    <hyperlink ref="B3437" r:id="rId3556" xr:uid="{00000000-0004-0000-0000-0000E30D0000}"/>
    <hyperlink ref="B3438" r:id="rId3557" xr:uid="{00000000-0004-0000-0000-0000E40D0000}"/>
    <hyperlink ref="B3439" r:id="rId3558" xr:uid="{00000000-0004-0000-0000-0000E50D0000}"/>
    <hyperlink ref="B3440" r:id="rId3559" xr:uid="{00000000-0004-0000-0000-0000E60D0000}"/>
    <hyperlink ref="B3441" r:id="rId3560" xr:uid="{00000000-0004-0000-0000-0000E70D0000}"/>
    <hyperlink ref="B3442" r:id="rId3561" xr:uid="{00000000-0004-0000-0000-0000E80D0000}"/>
    <hyperlink ref="B3443" r:id="rId3562" xr:uid="{00000000-0004-0000-0000-0000E90D0000}"/>
    <hyperlink ref="B3444" r:id="rId3563" xr:uid="{00000000-0004-0000-0000-0000EA0D0000}"/>
    <hyperlink ref="B3445" r:id="rId3564" xr:uid="{00000000-0004-0000-0000-0000EB0D0000}"/>
    <hyperlink ref="B3446" r:id="rId3565" xr:uid="{00000000-0004-0000-0000-0000EC0D0000}"/>
    <hyperlink ref="B3447" r:id="rId3566" xr:uid="{00000000-0004-0000-0000-0000ED0D0000}"/>
    <hyperlink ref="B3448" r:id="rId3567" xr:uid="{00000000-0004-0000-0000-0000EE0D0000}"/>
    <hyperlink ref="B3449" r:id="rId3568" xr:uid="{00000000-0004-0000-0000-0000EF0D0000}"/>
    <hyperlink ref="B3450" r:id="rId3569" xr:uid="{00000000-0004-0000-0000-0000F00D0000}"/>
    <hyperlink ref="B3451" r:id="rId3570" xr:uid="{00000000-0004-0000-0000-0000F10D0000}"/>
    <hyperlink ref="B3452" r:id="rId3571" xr:uid="{00000000-0004-0000-0000-0000F20D0000}"/>
    <hyperlink ref="B3453" r:id="rId3572" xr:uid="{00000000-0004-0000-0000-0000F30D0000}"/>
    <hyperlink ref="B3454" r:id="rId3573" xr:uid="{00000000-0004-0000-0000-0000F40D0000}"/>
    <hyperlink ref="B3455" r:id="rId3574" xr:uid="{00000000-0004-0000-0000-0000F50D0000}"/>
    <hyperlink ref="B3456" r:id="rId3575" xr:uid="{00000000-0004-0000-0000-0000F60D0000}"/>
    <hyperlink ref="B3457" r:id="rId3576" xr:uid="{00000000-0004-0000-0000-0000F70D0000}"/>
    <hyperlink ref="B3458" r:id="rId3577" xr:uid="{00000000-0004-0000-0000-0000F80D0000}"/>
    <hyperlink ref="B3459" r:id="rId3578" xr:uid="{00000000-0004-0000-0000-0000F90D0000}"/>
    <hyperlink ref="B3460" r:id="rId3579" xr:uid="{00000000-0004-0000-0000-0000FA0D0000}"/>
    <hyperlink ref="B3461" r:id="rId3580" xr:uid="{00000000-0004-0000-0000-0000FB0D0000}"/>
    <hyperlink ref="B3462" r:id="rId3581" xr:uid="{00000000-0004-0000-0000-0000FC0D0000}"/>
    <hyperlink ref="B3463" r:id="rId3582" xr:uid="{00000000-0004-0000-0000-0000FD0D0000}"/>
    <hyperlink ref="B3464" r:id="rId3583" xr:uid="{00000000-0004-0000-0000-0000FE0D0000}"/>
    <hyperlink ref="B3465" r:id="rId3584" xr:uid="{00000000-0004-0000-0000-0000FF0D0000}"/>
    <hyperlink ref="B3466" r:id="rId3585" xr:uid="{00000000-0004-0000-0000-0000000E0000}"/>
    <hyperlink ref="B3467" r:id="rId3586" xr:uid="{00000000-0004-0000-0000-0000010E0000}"/>
    <hyperlink ref="B3468" r:id="rId3587" xr:uid="{00000000-0004-0000-0000-0000020E0000}"/>
    <hyperlink ref="B3469" r:id="rId3588" xr:uid="{00000000-0004-0000-0000-0000030E0000}"/>
    <hyperlink ref="B3470" r:id="rId3589" xr:uid="{00000000-0004-0000-0000-0000040E0000}"/>
    <hyperlink ref="B3471" r:id="rId3590" xr:uid="{00000000-0004-0000-0000-0000050E0000}"/>
    <hyperlink ref="B3472" r:id="rId3591" xr:uid="{00000000-0004-0000-0000-0000060E0000}"/>
    <hyperlink ref="B3473" r:id="rId3592" xr:uid="{00000000-0004-0000-0000-0000070E0000}"/>
    <hyperlink ref="B3474" r:id="rId3593" xr:uid="{00000000-0004-0000-0000-0000080E0000}"/>
    <hyperlink ref="B3475" r:id="rId3594" xr:uid="{00000000-0004-0000-0000-0000090E0000}"/>
    <hyperlink ref="B3476" r:id="rId3595" xr:uid="{00000000-0004-0000-0000-00000A0E0000}"/>
    <hyperlink ref="B3477" r:id="rId3596" xr:uid="{00000000-0004-0000-0000-00000B0E0000}"/>
    <hyperlink ref="B3478" r:id="rId3597" xr:uid="{00000000-0004-0000-0000-00000C0E0000}"/>
    <hyperlink ref="B3479" r:id="rId3598" xr:uid="{00000000-0004-0000-0000-00000D0E0000}"/>
    <hyperlink ref="B3480" r:id="rId3599" xr:uid="{00000000-0004-0000-0000-00000E0E0000}"/>
    <hyperlink ref="B3481" r:id="rId3600" xr:uid="{00000000-0004-0000-0000-00000F0E0000}"/>
    <hyperlink ref="B3482" r:id="rId3601" xr:uid="{00000000-0004-0000-0000-0000100E0000}"/>
    <hyperlink ref="B3483" r:id="rId3602" xr:uid="{00000000-0004-0000-0000-0000110E0000}"/>
    <hyperlink ref="B3484" r:id="rId3603" xr:uid="{00000000-0004-0000-0000-0000120E0000}"/>
    <hyperlink ref="B3485" r:id="rId3604" xr:uid="{00000000-0004-0000-0000-0000130E0000}"/>
    <hyperlink ref="B3486" r:id="rId3605" xr:uid="{00000000-0004-0000-0000-0000140E0000}"/>
    <hyperlink ref="B3487" r:id="rId3606" xr:uid="{00000000-0004-0000-0000-0000150E0000}"/>
    <hyperlink ref="B3488" r:id="rId3607" xr:uid="{00000000-0004-0000-0000-0000160E0000}"/>
    <hyperlink ref="B3489" r:id="rId3608" xr:uid="{00000000-0004-0000-0000-0000170E0000}"/>
    <hyperlink ref="B3490" r:id="rId3609" xr:uid="{00000000-0004-0000-0000-0000180E0000}"/>
    <hyperlink ref="B3491" r:id="rId3610" xr:uid="{00000000-0004-0000-0000-0000190E0000}"/>
    <hyperlink ref="B3492" r:id="rId3611" xr:uid="{00000000-0004-0000-0000-00001A0E0000}"/>
    <hyperlink ref="B3493" r:id="rId3612" xr:uid="{00000000-0004-0000-0000-00001B0E0000}"/>
    <hyperlink ref="B3494" r:id="rId3613" xr:uid="{00000000-0004-0000-0000-00001C0E0000}"/>
    <hyperlink ref="B3495" r:id="rId3614" xr:uid="{00000000-0004-0000-0000-00001D0E0000}"/>
    <hyperlink ref="B3496" r:id="rId3615" xr:uid="{00000000-0004-0000-0000-00001E0E0000}"/>
    <hyperlink ref="B3497" r:id="rId3616" xr:uid="{00000000-0004-0000-0000-00001F0E0000}"/>
    <hyperlink ref="B3498" r:id="rId3617" xr:uid="{00000000-0004-0000-0000-0000200E0000}"/>
    <hyperlink ref="B3499" r:id="rId3618" xr:uid="{00000000-0004-0000-0000-0000210E0000}"/>
    <hyperlink ref="B3500" r:id="rId3619" xr:uid="{00000000-0004-0000-0000-0000220E0000}"/>
    <hyperlink ref="B3501" r:id="rId3620" xr:uid="{00000000-0004-0000-0000-0000230E0000}"/>
    <hyperlink ref="B3502" r:id="rId3621" xr:uid="{00000000-0004-0000-0000-0000240E0000}"/>
    <hyperlink ref="B3503" r:id="rId3622" xr:uid="{00000000-0004-0000-0000-0000250E0000}"/>
    <hyperlink ref="B3504" r:id="rId3623" xr:uid="{00000000-0004-0000-0000-0000260E0000}"/>
    <hyperlink ref="B3505" r:id="rId3624" xr:uid="{00000000-0004-0000-0000-0000270E0000}"/>
    <hyperlink ref="B3506" r:id="rId3625" xr:uid="{00000000-0004-0000-0000-0000280E0000}"/>
    <hyperlink ref="B3507" r:id="rId3626" xr:uid="{00000000-0004-0000-0000-0000290E0000}"/>
    <hyperlink ref="B3508" r:id="rId3627" xr:uid="{00000000-0004-0000-0000-00002A0E0000}"/>
    <hyperlink ref="B3509" r:id="rId3628" xr:uid="{00000000-0004-0000-0000-00002B0E0000}"/>
    <hyperlink ref="B3510" r:id="rId3629" xr:uid="{00000000-0004-0000-0000-00002C0E0000}"/>
    <hyperlink ref="B3511" r:id="rId3630" xr:uid="{00000000-0004-0000-0000-00002D0E0000}"/>
    <hyperlink ref="B3512" r:id="rId3631" xr:uid="{00000000-0004-0000-0000-00002E0E0000}"/>
    <hyperlink ref="B3513" r:id="rId3632" xr:uid="{00000000-0004-0000-0000-00002F0E0000}"/>
    <hyperlink ref="B3514" r:id="rId3633" xr:uid="{00000000-0004-0000-0000-0000300E0000}"/>
    <hyperlink ref="B3515" r:id="rId3634" xr:uid="{00000000-0004-0000-0000-0000310E0000}"/>
    <hyperlink ref="B3516" r:id="rId3635" xr:uid="{00000000-0004-0000-0000-0000320E0000}"/>
    <hyperlink ref="B3517" r:id="rId3636" xr:uid="{00000000-0004-0000-0000-0000330E0000}"/>
    <hyperlink ref="B3518" r:id="rId3637" xr:uid="{00000000-0004-0000-0000-0000340E0000}"/>
    <hyperlink ref="B3519" r:id="rId3638" xr:uid="{00000000-0004-0000-0000-0000350E0000}"/>
    <hyperlink ref="B3520" r:id="rId3639" xr:uid="{00000000-0004-0000-0000-0000360E0000}"/>
    <hyperlink ref="B3521" r:id="rId3640" xr:uid="{00000000-0004-0000-0000-0000370E0000}"/>
    <hyperlink ref="B3522" r:id="rId3641" xr:uid="{00000000-0004-0000-0000-0000380E0000}"/>
    <hyperlink ref="B3523" r:id="rId3642" xr:uid="{00000000-0004-0000-0000-0000390E0000}"/>
    <hyperlink ref="B3524" r:id="rId3643" xr:uid="{00000000-0004-0000-0000-00003A0E0000}"/>
    <hyperlink ref="B3525" r:id="rId3644" xr:uid="{00000000-0004-0000-0000-00003B0E0000}"/>
    <hyperlink ref="B3526" r:id="rId3645" xr:uid="{00000000-0004-0000-0000-00003C0E0000}"/>
    <hyperlink ref="B3527" r:id="rId3646" xr:uid="{00000000-0004-0000-0000-00003D0E0000}"/>
    <hyperlink ref="B3528" r:id="rId3647" xr:uid="{00000000-0004-0000-0000-00003E0E0000}"/>
    <hyperlink ref="B3529" r:id="rId3648" xr:uid="{00000000-0004-0000-0000-00003F0E0000}"/>
    <hyperlink ref="B3530" r:id="rId3649" xr:uid="{00000000-0004-0000-0000-0000400E0000}"/>
    <hyperlink ref="B3531" r:id="rId3650" xr:uid="{00000000-0004-0000-0000-0000410E0000}"/>
    <hyperlink ref="B3532" r:id="rId3651" xr:uid="{00000000-0004-0000-0000-0000420E0000}"/>
    <hyperlink ref="B3533" r:id="rId3652" xr:uid="{00000000-0004-0000-0000-0000430E0000}"/>
    <hyperlink ref="B3534" r:id="rId3653" xr:uid="{00000000-0004-0000-0000-0000440E0000}"/>
    <hyperlink ref="B3535" r:id="rId3654" xr:uid="{00000000-0004-0000-0000-0000450E0000}"/>
    <hyperlink ref="B3536" r:id="rId3655" xr:uid="{00000000-0004-0000-0000-0000460E0000}"/>
    <hyperlink ref="B3537" r:id="rId3656" xr:uid="{00000000-0004-0000-0000-0000470E0000}"/>
    <hyperlink ref="B3538" r:id="rId3657" xr:uid="{00000000-0004-0000-0000-0000480E0000}"/>
    <hyperlink ref="B3539" r:id="rId3658" xr:uid="{00000000-0004-0000-0000-0000490E0000}"/>
    <hyperlink ref="B3540" r:id="rId3659" xr:uid="{00000000-0004-0000-0000-00004A0E0000}"/>
    <hyperlink ref="B3541" r:id="rId3660" xr:uid="{00000000-0004-0000-0000-00004B0E0000}"/>
    <hyperlink ref="B3542" r:id="rId3661" xr:uid="{00000000-0004-0000-0000-00004C0E0000}"/>
    <hyperlink ref="B3543" r:id="rId3662" xr:uid="{00000000-0004-0000-0000-00004D0E0000}"/>
    <hyperlink ref="B3544" r:id="rId3663" xr:uid="{00000000-0004-0000-0000-00004E0E0000}"/>
    <hyperlink ref="B3545" r:id="rId3664" xr:uid="{00000000-0004-0000-0000-00004F0E0000}"/>
    <hyperlink ref="B3546" r:id="rId3665" xr:uid="{00000000-0004-0000-0000-0000500E0000}"/>
    <hyperlink ref="B3547" r:id="rId3666" xr:uid="{00000000-0004-0000-0000-0000510E0000}"/>
    <hyperlink ref="B3548" r:id="rId3667" xr:uid="{00000000-0004-0000-0000-0000520E0000}"/>
    <hyperlink ref="B3549" r:id="rId3668" xr:uid="{00000000-0004-0000-0000-0000530E0000}"/>
    <hyperlink ref="B3550" r:id="rId3669" xr:uid="{00000000-0004-0000-0000-0000540E0000}"/>
    <hyperlink ref="B3551" r:id="rId3670" xr:uid="{00000000-0004-0000-0000-0000550E0000}"/>
    <hyperlink ref="B3552" r:id="rId3671" xr:uid="{00000000-0004-0000-0000-0000560E0000}"/>
    <hyperlink ref="B3553" r:id="rId3672" xr:uid="{00000000-0004-0000-0000-0000570E0000}"/>
    <hyperlink ref="B3554" r:id="rId3673" xr:uid="{00000000-0004-0000-0000-0000580E0000}"/>
    <hyperlink ref="B3555" r:id="rId3674" xr:uid="{00000000-0004-0000-0000-0000590E0000}"/>
    <hyperlink ref="B3556" r:id="rId3675" xr:uid="{00000000-0004-0000-0000-00005A0E0000}"/>
    <hyperlink ref="B3557" r:id="rId3676" xr:uid="{00000000-0004-0000-0000-00005B0E0000}"/>
    <hyperlink ref="B3558" r:id="rId3677" xr:uid="{00000000-0004-0000-0000-00005C0E0000}"/>
    <hyperlink ref="B3559" r:id="rId3678" xr:uid="{00000000-0004-0000-0000-00005D0E0000}"/>
    <hyperlink ref="B3560" r:id="rId3679" xr:uid="{00000000-0004-0000-0000-00005E0E0000}"/>
    <hyperlink ref="B3561" r:id="rId3680" xr:uid="{00000000-0004-0000-0000-00005F0E0000}"/>
    <hyperlink ref="B3562" r:id="rId3681" xr:uid="{00000000-0004-0000-0000-0000600E0000}"/>
    <hyperlink ref="B3563" r:id="rId3682" xr:uid="{00000000-0004-0000-0000-0000610E0000}"/>
    <hyperlink ref="B3564" r:id="rId3683" xr:uid="{00000000-0004-0000-0000-0000620E0000}"/>
    <hyperlink ref="B3565" r:id="rId3684" xr:uid="{00000000-0004-0000-0000-0000630E0000}"/>
    <hyperlink ref="B3566" r:id="rId3685" xr:uid="{00000000-0004-0000-0000-0000640E0000}"/>
    <hyperlink ref="B3567" r:id="rId3686" xr:uid="{00000000-0004-0000-0000-0000650E0000}"/>
    <hyperlink ref="B3568" r:id="rId3687" xr:uid="{00000000-0004-0000-0000-0000660E0000}"/>
    <hyperlink ref="B3569" r:id="rId3688" xr:uid="{00000000-0004-0000-0000-0000670E0000}"/>
    <hyperlink ref="B3570" r:id="rId3689" xr:uid="{00000000-0004-0000-0000-0000680E0000}"/>
    <hyperlink ref="B3571" r:id="rId3690" xr:uid="{00000000-0004-0000-0000-0000690E0000}"/>
    <hyperlink ref="B3572" r:id="rId3691" xr:uid="{00000000-0004-0000-0000-00006A0E0000}"/>
    <hyperlink ref="B3573" r:id="rId3692" xr:uid="{00000000-0004-0000-0000-00006B0E0000}"/>
    <hyperlink ref="B3574" r:id="rId3693" xr:uid="{00000000-0004-0000-0000-00006C0E0000}"/>
    <hyperlink ref="B3575" r:id="rId3694" xr:uid="{00000000-0004-0000-0000-00006D0E0000}"/>
    <hyperlink ref="B3576" r:id="rId3695" xr:uid="{00000000-0004-0000-0000-00006E0E0000}"/>
    <hyperlink ref="B3577" r:id="rId3696" xr:uid="{00000000-0004-0000-0000-00006F0E0000}"/>
    <hyperlink ref="B3578" r:id="rId3697" xr:uid="{00000000-0004-0000-0000-0000700E0000}"/>
    <hyperlink ref="B3579" r:id="rId3698" xr:uid="{00000000-0004-0000-0000-0000710E0000}"/>
    <hyperlink ref="B3580" r:id="rId3699" xr:uid="{00000000-0004-0000-0000-0000720E0000}"/>
    <hyperlink ref="B3581" r:id="rId3700" xr:uid="{00000000-0004-0000-0000-0000730E0000}"/>
    <hyperlink ref="B3582" r:id="rId3701" xr:uid="{00000000-0004-0000-0000-0000740E0000}"/>
    <hyperlink ref="B3583" r:id="rId3702" xr:uid="{00000000-0004-0000-0000-0000750E0000}"/>
    <hyperlink ref="B3584" r:id="rId3703" xr:uid="{00000000-0004-0000-0000-0000760E0000}"/>
    <hyperlink ref="B3585" r:id="rId3704" xr:uid="{00000000-0004-0000-0000-0000770E0000}"/>
    <hyperlink ref="B3586" r:id="rId3705" xr:uid="{00000000-0004-0000-0000-0000780E0000}"/>
    <hyperlink ref="B3587" r:id="rId3706" xr:uid="{00000000-0004-0000-0000-0000790E0000}"/>
    <hyperlink ref="B3588" r:id="rId3707" xr:uid="{00000000-0004-0000-0000-00007A0E0000}"/>
    <hyperlink ref="B3589" r:id="rId3708" xr:uid="{00000000-0004-0000-0000-00007B0E0000}"/>
    <hyperlink ref="B3590" r:id="rId3709" xr:uid="{00000000-0004-0000-0000-00007C0E0000}"/>
    <hyperlink ref="B3591" r:id="rId3710" xr:uid="{00000000-0004-0000-0000-00007D0E0000}"/>
    <hyperlink ref="B3592" r:id="rId3711" xr:uid="{00000000-0004-0000-0000-00007E0E0000}"/>
    <hyperlink ref="B3593" r:id="rId3712" xr:uid="{00000000-0004-0000-0000-00007F0E0000}"/>
    <hyperlink ref="B3594" r:id="rId3713" xr:uid="{00000000-0004-0000-0000-0000800E0000}"/>
    <hyperlink ref="B3595" r:id="rId3714" xr:uid="{00000000-0004-0000-0000-0000810E0000}"/>
    <hyperlink ref="B3596" r:id="rId3715" xr:uid="{00000000-0004-0000-0000-0000820E0000}"/>
    <hyperlink ref="B3597" r:id="rId3716" xr:uid="{00000000-0004-0000-0000-0000830E0000}"/>
    <hyperlink ref="B3598" r:id="rId3717" xr:uid="{00000000-0004-0000-0000-0000840E0000}"/>
    <hyperlink ref="B3599" r:id="rId3718" xr:uid="{00000000-0004-0000-0000-0000850E0000}"/>
    <hyperlink ref="B3600" r:id="rId3719" xr:uid="{00000000-0004-0000-0000-0000860E0000}"/>
    <hyperlink ref="B3601" r:id="rId3720" xr:uid="{00000000-0004-0000-0000-0000870E0000}"/>
    <hyperlink ref="B3602" r:id="rId3721" xr:uid="{00000000-0004-0000-0000-0000880E0000}"/>
    <hyperlink ref="B3603" r:id="rId3722" xr:uid="{00000000-0004-0000-0000-0000890E0000}"/>
    <hyperlink ref="B3604" r:id="rId3723" xr:uid="{00000000-0004-0000-0000-00008A0E0000}"/>
    <hyperlink ref="B3605" r:id="rId3724" xr:uid="{00000000-0004-0000-0000-00008B0E0000}"/>
    <hyperlink ref="B3606" r:id="rId3725" xr:uid="{00000000-0004-0000-0000-00008C0E0000}"/>
    <hyperlink ref="B3607" r:id="rId3726" xr:uid="{00000000-0004-0000-0000-00008D0E0000}"/>
    <hyperlink ref="B3608" r:id="rId3727" xr:uid="{00000000-0004-0000-0000-00008E0E0000}"/>
    <hyperlink ref="B3609" r:id="rId3728" xr:uid="{00000000-0004-0000-0000-00008F0E0000}"/>
    <hyperlink ref="B3610" r:id="rId3729" xr:uid="{00000000-0004-0000-0000-0000900E0000}"/>
    <hyperlink ref="B3611" r:id="rId3730" xr:uid="{00000000-0004-0000-0000-0000910E0000}"/>
    <hyperlink ref="B3612" r:id="rId3731" xr:uid="{00000000-0004-0000-0000-0000920E0000}"/>
    <hyperlink ref="B3613" r:id="rId3732" xr:uid="{00000000-0004-0000-0000-0000930E0000}"/>
    <hyperlink ref="B3614" r:id="rId3733" xr:uid="{00000000-0004-0000-0000-0000940E0000}"/>
    <hyperlink ref="B3615" r:id="rId3734" xr:uid="{00000000-0004-0000-0000-0000950E0000}"/>
    <hyperlink ref="B3616" r:id="rId3735" xr:uid="{00000000-0004-0000-0000-0000960E0000}"/>
    <hyperlink ref="B3617" r:id="rId3736" xr:uid="{00000000-0004-0000-0000-0000970E0000}"/>
    <hyperlink ref="B3618" r:id="rId3737" xr:uid="{00000000-0004-0000-0000-0000980E0000}"/>
    <hyperlink ref="B3619" r:id="rId3738" xr:uid="{00000000-0004-0000-0000-0000990E0000}"/>
    <hyperlink ref="B3620" r:id="rId3739" xr:uid="{00000000-0004-0000-0000-00009A0E0000}"/>
    <hyperlink ref="B3621" r:id="rId3740" xr:uid="{00000000-0004-0000-0000-00009B0E0000}"/>
    <hyperlink ref="B3622" r:id="rId3741" xr:uid="{00000000-0004-0000-0000-00009C0E0000}"/>
    <hyperlink ref="B3623" r:id="rId3742" xr:uid="{00000000-0004-0000-0000-00009D0E0000}"/>
    <hyperlink ref="B3624" r:id="rId3743" xr:uid="{00000000-0004-0000-0000-00009E0E0000}"/>
    <hyperlink ref="B3625" r:id="rId3744" xr:uid="{00000000-0004-0000-0000-00009F0E0000}"/>
    <hyperlink ref="B3626" r:id="rId3745" xr:uid="{00000000-0004-0000-0000-0000A00E0000}"/>
    <hyperlink ref="B3627" r:id="rId3746" xr:uid="{00000000-0004-0000-0000-0000A10E0000}"/>
    <hyperlink ref="B3628" r:id="rId3747" xr:uid="{00000000-0004-0000-0000-0000A20E0000}"/>
    <hyperlink ref="B3629" r:id="rId3748" xr:uid="{00000000-0004-0000-0000-0000A30E0000}"/>
    <hyperlink ref="B3630" r:id="rId3749" xr:uid="{00000000-0004-0000-0000-0000A40E0000}"/>
    <hyperlink ref="B3631" r:id="rId3750" xr:uid="{00000000-0004-0000-0000-0000A50E0000}"/>
    <hyperlink ref="B3632" r:id="rId3751" xr:uid="{00000000-0004-0000-0000-0000A60E0000}"/>
    <hyperlink ref="B3633" r:id="rId3752" xr:uid="{00000000-0004-0000-0000-0000A70E0000}"/>
    <hyperlink ref="B3634" r:id="rId3753" xr:uid="{00000000-0004-0000-0000-0000A80E0000}"/>
    <hyperlink ref="B3635" r:id="rId3754" xr:uid="{00000000-0004-0000-0000-0000A90E0000}"/>
    <hyperlink ref="B3636" r:id="rId3755" xr:uid="{00000000-0004-0000-0000-0000AA0E0000}"/>
    <hyperlink ref="B3637" r:id="rId3756" xr:uid="{00000000-0004-0000-0000-0000AB0E0000}"/>
    <hyperlink ref="B3638" r:id="rId3757" xr:uid="{00000000-0004-0000-0000-0000AC0E0000}"/>
    <hyperlink ref="B3639" r:id="rId3758" xr:uid="{00000000-0004-0000-0000-0000AD0E0000}"/>
    <hyperlink ref="B3640" r:id="rId3759" xr:uid="{00000000-0004-0000-0000-0000AE0E0000}"/>
    <hyperlink ref="B3641" r:id="rId3760" xr:uid="{00000000-0004-0000-0000-0000AF0E0000}"/>
    <hyperlink ref="B3642" r:id="rId3761" xr:uid="{00000000-0004-0000-0000-0000B00E0000}"/>
    <hyperlink ref="B3643" r:id="rId3762" xr:uid="{00000000-0004-0000-0000-0000B10E0000}"/>
    <hyperlink ref="B3644" r:id="rId3763" xr:uid="{00000000-0004-0000-0000-0000B20E0000}"/>
    <hyperlink ref="B3645" r:id="rId3764" xr:uid="{00000000-0004-0000-0000-0000B30E0000}"/>
    <hyperlink ref="B3646" r:id="rId3765" xr:uid="{00000000-0004-0000-0000-0000B40E0000}"/>
    <hyperlink ref="B3647" r:id="rId3766" xr:uid="{00000000-0004-0000-0000-0000B50E0000}"/>
    <hyperlink ref="B3648" r:id="rId3767" xr:uid="{00000000-0004-0000-0000-0000B60E0000}"/>
    <hyperlink ref="B3649" r:id="rId3768" xr:uid="{00000000-0004-0000-0000-0000B70E0000}"/>
    <hyperlink ref="B3650" r:id="rId3769" xr:uid="{00000000-0004-0000-0000-0000B80E0000}"/>
    <hyperlink ref="B3651" r:id="rId3770" xr:uid="{00000000-0004-0000-0000-0000B90E0000}"/>
    <hyperlink ref="B3652" r:id="rId3771" xr:uid="{00000000-0004-0000-0000-0000BA0E0000}"/>
    <hyperlink ref="B3653" r:id="rId3772" xr:uid="{00000000-0004-0000-0000-0000BB0E0000}"/>
    <hyperlink ref="B3654" r:id="rId3773" xr:uid="{00000000-0004-0000-0000-0000BC0E0000}"/>
    <hyperlink ref="B3655" r:id="rId3774" xr:uid="{00000000-0004-0000-0000-0000BD0E0000}"/>
    <hyperlink ref="B3656" r:id="rId3775" xr:uid="{00000000-0004-0000-0000-0000BE0E0000}"/>
    <hyperlink ref="B3657" r:id="rId3776" xr:uid="{00000000-0004-0000-0000-0000BF0E0000}"/>
    <hyperlink ref="B3658" r:id="rId3777" xr:uid="{00000000-0004-0000-0000-0000C00E0000}"/>
    <hyperlink ref="B3659" r:id="rId3778" xr:uid="{00000000-0004-0000-0000-0000C10E0000}"/>
    <hyperlink ref="B3660" r:id="rId3779" xr:uid="{00000000-0004-0000-0000-0000C20E0000}"/>
    <hyperlink ref="B3661" r:id="rId3780" xr:uid="{00000000-0004-0000-0000-0000C30E0000}"/>
    <hyperlink ref="B3662" r:id="rId3781" xr:uid="{00000000-0004-0000-0000-0000C40E0000}"/>
    <hyperlink ref="B3663" r:id="rId3782" xr:uid="{00000000-0004-0000-0000-0000C50E0000}"/>
    <hyperlink ref="B3664" r:id="rId3783" xr:uid="{00000000-0004-0000-0000-0000C60E0000}"/>
    <hyperlink ref="B3665" r:id="rId3784" xr:uid="{00000000-0004-0000-0000-0000C70E0000}"/>
    <hyperlink ref="B3666" r:id="rId3785" xr:uid="{00000000-0004-0000-0000-0000C80E0000}"/>
    <hyperlink ref="B3667" r:id="rId3786" xr:uid="{00000000-0004-0000-0000-0000C90E0000}"/>
    <hyperlink ref="B3668" r:id="rId3787" xr:uid="{00000000-0004-0000-0000-0000CA0E0000}"/>
    <hyperlink ref="B3669" r:id="rId3788" xr:uid="{00000000-0004-0000-0000-0000CB0E0000}"/>
    <hyperlink ref="B3670" r:id="rId3789" xr:uid="{00000000-0004-0000-0000-0000CC0E0000}"/>
    <hyperlink ref="B3671" r:id="rId3790" xr:uid="{00000000-0004-0000-0000-0000CD0E0000}"/>
    <hyperlink ref="B3672" r:id="rId3791" xr:uid="{00000000-0004-0000-0000-0000CE0E0000}"/>
    <hyperlink ref="B3673" r:id="rId3792" xr:uid="{00000000-0004-0000-0000-0000CF0E0000}"/>
    <hyperlink ref="B3674" r:id="rId3793" xr:uid="{00000000-0004-0000-0000-0000D00E0000}"/>
    <hyperlink ref="B3675" r:id="rId3794" xr:uid="{00000000-0004-0000-0000-0000D10E0000}"/>
    <hyperlink ref="B3676" r:id="rId3795" xr:uid="{00000000-0004-0000-0000-0000D20E0000}"/>
    <hyperlink ref="B3677" r:id="rId3796" xr:uid="{00000000-0004-0000-0000-0000D30E0000}"/>
    <hyperlink ref="B3678" r:id="rId3797" xr:uid="{00000000-0004-0000-0000-0000D40E0000}"/>
    <hyperlink ref="B3679" r:id="rId3798" xr:uid="{00000000-0004-0000-0000-0000D50E0000}"/>
    <hyperlink ref="B3680" r:id="rId3799" xr:uid="{00000000-0004-0000-0000-0000D60E0000}"/>
    <hyperlink ref="B3681" r:id="rId3800" xr:uid="{00000000-0004-0000-0000-0000D70E0000}"/>
    <hyperlink ref="B3682" r:id="rId3801" xr:uid="{00000000-0004-0000-0000-0000D80E0000}"/>
    <hyperlink ref="B3683" r:id="rId3802" xr:uid="{00000000-0004-0000-0000-0000D90E0000}"/>
    <hyperlink ref="B3684" r:id="rId3803" xr:uid="{00000000-0004-0000-0000-0000DA0E0000}"/>
    <hyperlink ref="B3685" r:id="rId3804" xr:uid="{00000000-0004-0000-0000-0000DB0E0000}"/>
    <hyperlink ref="B3686" r:id="rId3805" xr:uid="{00000000-0004-0000-0000-0000DC0E0000}"/>
    <hyperlink ref="B3687" r:id="rId3806" xr:uid="{00000000-0004-0000-0000-0000DD0E0000}"/>
    <hyperlink ref="B3688" r:id="rId3807" xr:uid="{00000000-0004-0000-0000-0000DE0E0000}"/>
    <hyperlink ref="B3689" r:id="rId3808" xr:uid="{00000000-0004-0000-0000-0000DF0E0000}"/>
    <hyperlink ref="B3690" r:id="rId3809" xr:uid="{00000000-0004-0000-0000-0000E00E0000}"/>
    <hyperlink ref="B3691" r:id="rId3810" xr:uid="{00000000-0004-0000-0000-0000E10E0000}"/>
    <hyperlink ref="B3692" r:id="rId3811" xr:uid="{00000000-0004-0000-0000-0000E20E0000}"/>
    <hyperlink ref="B3693" r:id="rId3812" xr:uid="{00000000-0004-0000-0000-0000E30E0000}"/>
    <hyperlink ref="B3694" r:id="rId3813" xr:uid="{00000000-0004-0000-0000-0000E40E0000}"/>
    <hyperlink ref="B3695" r:id="rId3814" xr:uid="{00000000-0004-0000-0000-0000E50E0000}"/>
    <hyperlink ref="B3696" r:id="rId3815" xr:uid="{00000000-0004-0000-0000-0000E60E0000}"/>
    <hyperlink ref="B3697" r:id="rId3816" xr:uid="{00000000-0004-0000-0000-0000E70E0000}"/>
    <hyperlink ref="B3698" r:id="rId3817" xr:uid="{00000000-0004-0000-0000-0000E80E0000}"/>
    <hyperlink ref="B3699" r:id="rId3818" xr:uid="{00000000-0004-0000-0000-0000E90E0000}"/>
    <hyperlink ref="B3700" r:id="rId3819" xr:uid="{00000000-0004-0000-0000-0000EA0E0000}"/>
    <hyperlink ref="B3701" r:id="rId3820" xr:uid="{00000000-0004-0000-0000-0000EB0E0000}"/>
    <hyperlink ref="B3702" r:id="rId3821" xr:uid="{00000000-0004-0000-0000-0000EC0E0000}"/>
    <hyperlink ref="B3703" r:id="rId3822" xr:uid="{00000000-0004-0000-0000-0000ED0E0000}"/>
    <hyperlink ref="B3704" r:id="rId3823" xr:uid="{00000000-0004-0000-0000-0000EE0E0000}"/>
    <hyperlink ref="B3705" r:id="rId3824" xr:uid="{00000000-0004-0000-0000-0000EF0E0000}"/>
    <hyperlink ref="B3706" r:id="rId3825" xr:uid="{00000000-0004-0000-0000-0000F00E0000}"/>
    <hyperlink ref="B3707" r:id="rId3826" xr:uid="{00000000-0004-0000-0000-0000F10E0000}"/>
    <hyperlink ref="B3708" r:id="rId3827" xr:uid="{00000000-0004-0000-0000-0000F20E0000}"/>
    <hyperlink ref="B3709" r:id="rId3828" xr:uid="{00000000-0004-0000-0000-0000F30E0000}"/>
    <hyperlink ref="B3710" r:id="rId3829" xr:uid="{00000000-0004-0000-0000-0000F40E0000}"/>
    <hyperlink ref="B3711" r:id="rId3830" xr:uid="{00000000-0004-0000-0000-0000F50E0000}"/>
    <hyperlink ref="B3712" r:id="rId3831" xr:uid="{00000000-0004-0000-0000-0000F60E0000}"/>
    <hyperlink ref="B3713" r:id="rId3832" xr:uid="{00000000-0004-0000-0000-0000F70E0000}"/>
    <hyperlink ref="B3714" r:id="rId3833" xr:uid="{00000000-0004-0000-0000-0000F80E0000}"/>
    <hyperlink ref="B3715" r:id="rId3834" xr:uid="{00000000-0004-0000-0000-0000F90E0000}"/>
    <hyperlink ref="B3716" r:id="rId3835" xr:uid="{00000000-0004-0000-0000-0000FA0E0000}"/>
    <hyperlink ref="B3717" r:id="rId3836" xr:uid="{00000000-0004-0000-0000-0000FB0E0000}"/>
    <hyperlink ref="B3718" r:id="rId3837" xr:uid="{00000000-0004-0000-0000-0000FC0E0000}"/>
    <hyperlink ref="B3719" r:id="rId3838" xr:uid="{00000000-0004-0000-0000-0000FD0E0000}"/>
    <hyperlink ref="B3720" r:id="rId3839" xr:uid="{00000000-0004-0000-0000-0000FE0E0000}"/>
    <hyperlink ref="B3721" r:id="rId3840" xr:uid="{00000000-0004-0000-0000-0000FF0E0000}"/>
    <hyperlink ref="B3722" r:id="rId3841" xr:uid="{00000000-0004-0000-0000-0000000F0000}"/>
    <hyperlink ref="B3723" r:id="rId3842" xr:uid="{00000000-0004-0000-0000-0000010F0000}"/>
    <hyperlink ref="B3724" r:id="rId3843" xr:uid="{00000000-0004-0000-0000-0000020F0000}"/>
    <hyperlink ref="B3725" r:id="rId3844" xr:uid="{00000000-0004-0000-0000-0000030F0000}"/>
    <hyperlink ref="B3726" r:id="rId3845" xr:uid="{00000000-0004-0000-0000-0000040F0000}"/>
    <hyperlink ref="B3727" r:id="rId3846" xr:uid="{00000000-0004-0000-0000-0000050F0000}"/>
    <hyperlink ref="B3728" r:id="rId3847" xr:uid="{00000000-0004-0000-0000-0000060F0000}"/>
    <hyperlink ref="B3729" r:id="rId3848" xr:uid="{00000000-0004-0000-0000-0000070F0000}"/>
    <hyperlink ref="B3730" r:id="rId3849" xr:uid="{00000000-0004-0000-0000-0000080F0000}"/>
    <hyperlink ref="B3731" r:id="rId3850" xr:uid="{00000000-0004-0000-0000-0000090F0000}"/>
    <hyperlink ref="B3732" r:id="rId3851" xr:uid="{00000000-0004-0000-0000-00000A0F0000}"/>
    <hyperlink ref="B3733" r:id="rId3852" xr:uid="{00000000-0004-0000-0000-00000B0F0000}"/>
    <hyperlink ref="B3734" r:id="rId3853" xr:uid="{00000000-0004-0000-0000-00000C0F0000}"/>
    <hyperlink ref="B3735" r:id="rId3854" xr:uid="{00000000-0004-0000-0000-00000D0F0000}"/>
    <hyperlink ref="B3736" r:id="rId3855" xr:uid="{00000000-0004-0000-0000-00000E0F0000}"/>
    <hyperlink ref="B3737" r:id="rId3856" xr:uid="{00000000-0004-0000-0000-00000F0F0000}"/>
    <hyperlink ref="B3738" r:id="rId3857" xr:uid="{00000000-0004-0000-0000-0000100F0000}"/>
    <hyperlink ref="B3739" r:id="rId3858" xr:uid="{00000000-0004-0000-0000-0000110F0000}"/>
    <hyperlink ref="B3740" r:id="rId3859" xr:uid="{00000000-0004-0000-0000-0000120F0000}"/>
    <hyperlink ref="B3741" r:id="rId3860" xr:uid="{00000000-0004-0000-0000-0000130F0000}"/>
    <hyperlink ref="B3742" r:id="rId3861" xr:uid="{00000000-0004-0000-0000-0000140F0000}"/>
    <hyperlink ref="B3743" r:id="rId3862" xr:uid="{00000000-0004-0000-0000-0000150F0000}"/>
    <hyperlink ref="B3744" r:id="rId3863" xr:uid="{00000000-0004-0000-0000-0000160F0000}"/>
    <hyperlink ref="B3745" r:id="rId3864" xr:uid="{00000000-0004-0000-0000-0000170F0000}"/>
    <hyperlink ref="B3746" r:id="rId3865" xr:uid="{00000000-0004-0000-0000-0000180F0000}"/>
    <hyperlink ref="B3747" r:id="rId3866" xr:uid="{00000000-0004-0000-0000-0000190F0000}"/>
    <hyperlink ref="B3748" r:id="rId3867" xr:uid="{00000000-0004-0000-0000-00001A0F0000}"/>
    <hyperlink ref="B3749" r:id="rId3868" xr:uid="{00000000-0004-0000-0000-00001B0F0000}"/>
    <hyperlink ref="B3750" r:id="rId3869" xr:uid="{00000000-0004-0000-0000-00001C0F0000}"/>
    <hyperlink ref="B3751" r:id="rId3870" xr:uid="{00000000-0004-0000-0000-00001D0F0000}"/>
    <hyperlink ref="B3752" r:id="rId3871" xr:uid="{00000000-0004-0000-0000-00001E0F0000}"/>
    <hyperlink ref="B3753" r:id="rId3872" xr:uid="{00000000-0004-0000-0000-00001F0F0000}"/>
    <hyperlink ref="B3754" r:id="rId3873" xr:uid="{00000000-0004-0000-0000-0000200F0000}"/>
    <hyperlink ref="B3755" r:id="rId3874" xr:uid="{00000000-0004-0000-0000-0000210F0000}"/>
    <hyperlink ref="B3756" r:id="rId3875" xr:uid="{00000000-0004-0000-0000-0000220F0000}"/>
    <hyperlink ref="B3757" r:id="rId3876" xr:uid="{00000000-0004-0000-0000-0000230F0000}"/>
    <hyperlink ref="B3758" r:id="rId3877" xr:uid="{00000000-0004-0000-0000-0000240F0000}"/>
    <hyperlink ref="B3759" r:id="rId3878" xr:uid="{00000000-0004-0000-0000-0000250F0000}"/>
    <hyperlink ref="B3760" r:id="rId3879" xr:uid="{00000000-0004-0000-0000-0000260F0000}"/>
    <hyperlink ref="B3761" r:id="rId3880" xr:uid="{00000000-0004-0000-0000-0000270F0000}"/>
    <hyperlink ref="B3762" r:id="rId3881" xr:uid="{00000000-0004-0000-0000-0000280F0000}"/>
    <hyperlink ref="B3763" r:id="rId3882" xr:uid="{00000000-0004-0000-0000-0000290F0000}"/>
    <hyperlink ref="B3764" r:id="rId3883" xr:uid="{00000000-0004-0000-0000-00002A0F0000}"/>
    <hyperlink ref="B3765" r:id="rId3884" xr:uid="{00000000-0004-0000-0000-00002B0F0000}"/>
    <hyperlink ref="B3766" r:id="rId3885" xr:uid="{00000000-0004-0000-0000-00002C0F0000}"/>
    <hyperlink ref="B3767" r:id="rId3886" xr:uid="{00000000-0004-0000-0000-00002D0F0000}"/>
    <hyperlink ref="B3768" r:id="rId3887" xr:uid="{00000000-0004-0000-0000-00002E0F0000}"/>
    <hyperlink ref="B3769" r:id="rId3888" xr:uid="{00000000-0004-0000-0000-00002F0F0000}"/>
    <hyperlink ref="B3770" r:id="rId3889" xr:uid="{00000000-0004-0000-0000-0000300F0000}"/>
    <hyperlink ref="B3771" r:id="rId3890" xr:uid="{00000000-0004-0000-0000-0000310F0000}"/>
    <hyperlink ref="B3772" r:id="rId3891" xr:uid="{00000000-0004-0000-0000-0000320F0000}"/>
    <hyperlink ref="B3773" r:id="rId3892" xr:uid="{00000000-0004-0000-0000-0000330F0000}"/>
    <hyperlink ref="B3774" r:id="rId3893" xr:uid="{00000000-0004-0000-0000-0000340F0000}"/>
    <hyperlink ref="B3775" r:id="rId3894" xr:uid="{00000000-0004-0000-0000-0000350F0000}"/>
    <hyperlink ref="B3776" r:id="rId3895" xr:uid="{00000000-0004-0000-0000-0000360F0000}"/>
    <hyperlink ref="B3777" r:id="rId3896" xr:uid="{00000000-0004-0000-0000-0000370F0000}"/>
    <hyperlink ref="B3778" r:id="rId3897" xr:uid="{00000000-0004-0000-0000-0000380F0000}"/>
    <hyperlink ref="B3779" r:id="rId3898" xr:uid="{00000000-0004-0000-0000-0000390F0000}"/>
    <hyperlink ref="B3780" r:id="rId3899" xr:uid="{00000000-0004-0000-0000-00003A0F0000}"/>
    <hyperlink ref="B3781" r:id="rId3900" xr:uid="{00000000-0004-0000-0000-00003B0F0000}"/>
    <hyperlink ref="B3782" r:id="rId3901" xr:uid="{00000000-0004-0000-0000-00003C0F0000}"/>
    <hyperlink ref="B3783" r:id="rId3902" xr:uid="{00000000-0004-0000-0000-00003D0F0000}"/>
    <hyperlink ref="B3784" r:id="rId3903" xr:uid="{00000000-0004-0000-0000-00003E0F0000}"/>
    <hyperlink ref="B3785" r:id="rId3904" xr:uid="{00000000-0004-0000-0000-00003F0F0000}"/>
    <hyperlink ref="B3786" r:id="rId3905" xr:uid="{00000000-0004-0000-0000-0000400F0000}"/>
    <hyperlink ref="B3787" r:id="rId3906" xr:uid="{00000000-0004-0000-0000-0000410F0000}"/>
    <hyperlink ref="B3788" r:id="rId3907" xr:uid="{00000000-0004-0000-0000-0000420F0000}"/>
    <hyperlink ref="B3789" r:id="rId3908" xr:uid="{00000000-0004-0000-0000-0000430F0000}"/>
    <hyperlink ref="B3790" r:id="rId3909" xr:uid="{00000000-0004-0000-0000-0000440F0000}"/>
    <hyperlink ref="B3791" r:id="rId3910" xr:uid="{00000000-0004-0000-0000-0000450F0000}"/>
    <hyperlink ref="B3792" r:id="rId3911" xr:uid="{00000000-0004-0000-0000-0000460F0000}"/>
    <hyperlink ref="B3793" r:id="rId3912" xr:uid="{00000000-0004-0000-0000-0000470F0000}"/>
    <hyperlink ref="B3794" r:id="rId3913" xr:uid="{00000000-0004-0000-0000-0000480F0000}"/>
    <hyperlink ref="B3795" r:id="rId3914" xr:uid="{00000000-0004-0000-0000-0000490F0000}"/>
    <hyperlink ref="B3796" r:id="rId3915" xr:uid="{00000000-0004-0000-0000-00004A0F0000}"/>
    <hyperlink ref="B3797" r:id="rId3916" xr:uid="{00000000-0004-0000-0000-00004B0F0000}"/>
    <hyperlink ref="B3798" r:id="rId3917" xr:uid="{00000000-0004-0000-0000-00004C0F0000}"/>
    <hyperlink ref="B3799" r:id="rId3918" xr:uid="{00000000-0004-0000-0000-00004D0F0000}"/>
    <hyperlink ref="B3800" r:id="rId3919" xr:uid="{00000000-0004-0000-0000-00004E0F0000}"/>
    <hyperlink ref="B3801" r:id="rId3920" xr:uid="{00000000-0004-0000-0000-00004F0F0000}"/>
    <hyperlink ref="B3802" r:id="rId3921" xr:uid="{00000000-0004-0000-0000-0000500F0000}"/>
    <hyperlink ref="B3803" r:id="rId3922" xr:uid="{00000000-0004-0000-0000-0000510F0000}"/>
    <hyperlink ref="B3804" r:id="rId3923" xr:uid="{00000000-0004-0000-0000-0000520F0000}"/>
    <hyperlink ref="B3805" r:id="rId3924" xr:uid="{00000000-0004-0000-0000-0000530F0000}"/>
    <hyperlink ref="B3806" r:id="rId3925" xr:uid="{00000000-0004-0000-0000-0000540F0000}"/>
    <hyperlink ref="B3807" r:id="rId3926" xr:uid="{00000000-0004-0000-0000-0000550F0000}"/>
    <hyperlink ref="B3808" r:id="rId3927" xr:uid="{00000000-0004-0000-0000-0000560F0000}"/>
    <hyperlink ref="B3809" r:id="rId3928" xr:uid="{00000000-0004-0000-0000-0000570F0000}"/>
    <hyperlink ref="B3810" r:id="rId3929" xr:uid="{00000000-0004-0000-0000-0000580F0000}"/>
    <hyperlink ref="B3811" r:id="rId3930" xr:uid="{00000000-0004-0000-0000-0000590F0000}"/>
    <hyperlink ref="B3812" r:id="rId3931" xr:uid="{00000000-0004-0000-0000-00005A0F0000}"/>
    <hyperlink ref="B3813" r:id="rId3932" xr:uid="{00000000-0004-0000-0000-00005B0F0000}"/>
    <hyperlink ref="B3814" r:id="rId3933" xr:uid="{00000000-0004-0000-0000-00005C0F0000}"/>
    <hyperlink ref="B3815" r:id="rId3934" xr:uid="{00000000-0004-0000-0000-00005D0F0000}"/>
    <hyperlink ref="B3816" r:id="rId3935" xr:uid="{00000000-0004-0000-0000-00005E0F0000}"/>
    <hyperlink ref="B3817" r:id="rId3936" xr:uid="{00000000-0004-0000-0000-00005F0F0000}"/>
    <hyperlink ref="B3818" r:id="rId3937" xr:uid="{00000000-0004-0000-0000-0000600F0000}"/>
    <hyperlink ref="B3819" r:id="rId3938" xr:uid="{00000000-0004-0000-0000-0000610F0000}"/>
    <hyperlink ref="B3820" r:id="rId3939" xr:uid="{00000000-0004-0000-0000-0000620F0000}"/>
    <hyperlink ref="B3821" r:id="rId3940" xr:uid="{00000000-0004-0000-0000-0000630F0000}"/>
    <hyperlink ref="B3822" r:id="rId3941" xr:uid="{00000000-0004-0000-0000-0000640F0000}"/>
    <hyperlink ref="B3823" r:id="rId3942" xr:uid="{00000000-0004-0000-0000-0000650F0000}"/>
    <hyperlink ref="B3824" r:id="rId3943" xr:uid="{00000000-0004-0000-0000-0000660F0000}"/>
    <hyperlink ref="B3825" r:id="rId3944" xr:uid="{00000000-0004-0000-0000-0000670F0000}"/>
    <hyperlink ref="B3826" r:id="rId3945" xr:uid="{00000000-0004-0000-0000-0000680F0000}"/>
    <hyperlink ref="B3827" r:id="rId3946" xr:uid="{00000000-0004-0000-0000-0000690F0000}"/>
    <hyperlink ref="B3828" r:id="rId3947" xr:uid="{00000000-0004-0000-0000-00006A0F0000}"/>
    <hyperlink ref="B3829" r:id="rId3948" xr:uid="{00000000-0004-0000-0000-00006B0F0000}"/>
    <hyperlink ref="B3830" r:id="rId3949" xr:uid="{00000000-0004-0000-0000-00006C0F0000}"/>
    <hyperlink ref="B3831" r:id="rId3950" xr:uid="{00000000-0004-0000-0000-00006D0F0000}"/>
    <hyperlink ref="B3832" r:id="rId3951" xr:uid="{00000000-0004-0000-0000-00006E0F0000}"/>
    <hyperlink ref="B3833" r:id="rId3952" xr:uid="{00000000-0004-0000-0000-00006F0F0000}"/>
    <hyperlink ref="B3834" r:id="rId3953" xr:uid="{00000000-0004-0000-0000-0000700F0000}"/>
    <hyperlink ref="B3835" r:id="rId3954" xr:uid="{00000000-0004-0000-0000-0000710F0000}"/>
    <hyperlink ref="B3836" r:id="rId3955" xr:uid="{00000000-0004-0000-0000-0000720F0000}"/>
    <hyperlink ref="B3837" r:id="rId3956" xr:uid="{00000000-0004-0000-0000-0000730F0000}"/>
    <hyperlink ref="B3838" r:id="rId3957" xr:uid="{00000000-0004-0000-0000-0000740F0000}"/>
    <hyperlink ref="B3839" r:id="rId3958" xr:uid="{00000000-0004-0000-0000-0000750F0000}"/>
    <hyperlink ref="B3840" r:id="rId3959" xr:uid="{00000000-0004-0000-0000-0000760F0000}"/>
    <hyperlink ref="B3841" r:id="rId3960" xr:uid="{00000000-0004-0000-0000-0000770F0000}"/>
    <hyperlink ref="B3842" r:id="rId3961" xr:uid="{00000000-0004-0000-0000-0000780F0000}"/>
    <hyperlink ref="B3843" r:id="rId3962" xr:uid="{00000000-0004-0000-0000-0000790F0000}"/>
    <hyperlink ref="B3844" r:id="rId3963" xr:uid="{00000000-0004-0000-0000-00007A0F0000}"/>
    <hyperlink ref="B3845" r:id="rId3964" xr:uid="{00000000-0004-0000-0000-00007B0F0000}"/>
    <hyperlink ref="B3846" r:id="rId3965" xr:uid="{00000000-0004-0000-0000-00007C0F0000}"/>
    <hyperlink ref="B3847" r:id="rId3966" xr:uid="{00000000-0004-0000-0000-00007D0F0000}"/>
    <hyperlink ref="B3848" r:id="rId3967" xr:uid="{00000000-0004-0000-0000-00007E0F0000}"/>
    <hyperlink ref="B3849" r:id="rId3968" xr:uid="{00000000-0004-0000-0000-00007F0F0000}"/>
    <hyperlink ref="B3850" r:id="rId3969" xr:uid="{00000000-0004-0000-0000-0000800F0000}"/>
    <hyperlink ref="B3851" r:id="rId3970" xr:uid="{00000000-0004-0000-0000-0000810F0000}"/>
    <hyperlink ref="B3852" r:id="rId3971" xr:uid="{00000000-0004-0000-0000-0000820F0000}"/>
    <hyperlink ref="B3853" r:id="rId3972" xr:uid="{00000000-0004-0000-0000-0000830F0000}"/>
    <hyperlink ref="B3854" r:id="rId3973" xr:uid="{00000000-0004-0000-0000-0000840F0000}"/>
    <hyperlink ref="B3855" r:id="rId3974" xr:uid="{00000000-0004-0000-0000-0000850F0000}"/>
    <hyperlink ref="B3856" r:id="rId3975" xr:uid="{00000000-0004-0000-0000-0000860F0000}"/>
    <hyperlink ref="B3857" r:id="rId3976" xr:uid="{00000000-0004-0000-0000-0000870F0000}"/>
    <hyperlink ref="B3858" r:id="rId3977" xr:uid="{00000000-0004-0000-0000-0000880F0000}"/>
    <hyperlink ref="B3859" r:id="rId3978" xr:uid="{00000000-0004-0000-0000-0000890F0000}"/>
    <hyperlink ref="B3860" r:id="rId3979" xr:uid="{00000000-0004-0000-0000-00008A0F0000}"/>
    <hyperlink ref="B3861" r:id="rId3980" xr:uid="{00000000-0004-0000-0000-00008B0F0000}"/>
    <hyperlink ref="B3862" r:id="rId3981" xr:uid="{00000000-0004-0000-0000-00008C0F0000}"/>
    <hyperlink ref="B3863" r:id="rId3982" xr:uid="{00000000-0004-0000-0000-00008D0F0000}"/>
    <hyperlink ref="B3864" r:id="rId3983" xr:uid="{00000000-0004-0000-0000-00008E0F0000}"/>
    <hyperlink ref="B3865" r:id="rId3984" xr:uid="{00000000-0004-0000-0000-00008F0F0000}"/>
    <hyperlink ref="B3866" r:id="rId3985" xr:uid="{00000000-0004-0000-0000-0000900F0000}"/>
    <hyperlink ref="B3867" r:id="rId3986" xr:uid="{00000000-0004-0000-0000-0000910F0000}"/>
    <hyperlink ref="B3868" r:id="rId3987" xr:uid="{00000000-0004-0000-0000-0000920F0000}"/>
    <hyperlink ref="B3869" r:id="rId3988" xr:uid="{00000000-0004-0000-0000-0000930F0000}"/>
    <hyperlink ref="B3870" r:id="rId3989" xr:uid="{00000000-0004-0000-0000-0000940F0000}"/>
    <hyperlink ref="B3871" r:id="rId3990" xr:uid="{00000000-0004-0000-0000-0000950F0000}"/>
    <hyperlink ref="B3872" r:id="rId3991" xr:uid="{00000000-0004-0000-0000-0000960F0000}"/>
    <hyperlink ref="B3873" r:id="rId3992" xr:uid="{00000000-0004-0000-0000-0000970F0000}"/>
    <hyperlink ref="B3874" r:id="rId3993" xr:uid="{00000000-0004-0000-0000-0000980F0000}"/>
    <hyperlink ref="B3875" r:id="rId3994" xr:uid="{00000000-0004-0000-0000-0000990F0000}"/>
    <hyperlink ref="B3876" r:id="rId3995" xr:uid="{00000000-0004-0000-0000-00009A0F0000}"/>
    <hyperlink ref="B3877" r:id="rId3996" xr:uid="{00000000-0004-0000-0000-00009B0F0000}"/>
    <hyperlink ref="B3878" r:id="rId3997" xr:uid="{00000000-0004-0000-0000-00009C0F0000}"/>
    <hyperlink ref="B3879" r:id="rId3998" xr:uid="{00000000-0004-0000-0000-00009D0F0000}"/>
    <hyperlink ref="B3880" r:id="rId3999" xr:uid="{00000000-0004-0000-0000-00009E0F0000}"/>
    <hyperlink ref="B3881" r:id="rId4000" xr:uid="{00000000-0004-0000-0000-00009F0F0000}"/>
    <hyperlink ref="B3882" r:id="rId4001" xr:uid="{00000000-0004-0000-0000-0000A00F0000}"/>
    <hyperlink ref="B3883" r:id="rId4002" xr:uid="{00000000-0004-0000-0000-0000A10F0000}"/>
    <hyperlink ref="B3884" r:id="rId4003" xr:uid="{00000000-0004-0000-0000-0000A20F0000}"/>
    <hyperlink ref="B3885" r:id="rId4004" xr:uid="{00000000-0004-0000-0000-0000A30F0000}"/>
    <hyperlink ref="B3886" r:id="rId4005" xr:uid="{00000000-0004-0000-0000-0000A40F0000}"/>
    <hyperlink ref="B3887" r:id="rId4006" xr:uid="{00000000-0004-0000-0000-0000A50F0000}"/>
    <hyperlink ref="B3888" r:id="rId4007" xr:uid="{00000000-0004-0000-0000-0000A60F0000}"/>
    <hyperlink ref="B3889" r:id="rId4008" xr:uid="{00000000-0004-0000-0000-0000A70F0000}"/>
    <hyperlink ref="B3890" r:id="rId4009" xr:uid="{00000000-0004-0000-0000-0000A80F0000}"/>
    <hyperlink ref="B3891" r:id="rId4010" xr:uid="{00000000-0004-0000-0000-0000A90F0000}"/>
    <hyperlink ref="B3892" r:id="rId4011" xr:uid="{00000000-0004-0000-0000-0000AA0F0000}"/>
    <hyperlink ref="B3893" r:id="rId4012" xr:uid="{00000000-0004-0000-0000-0000AB0F0000}"/>
    <hyperlink ref="B3894" r:id="rId4013" xr:uid="{00000000-0004-0000-0000-0000AC0F0000}"/>
    <hyperlink ref="B3895" r:id="rId4014" xr:uid="{00000000-0004-0000-0000-0000AD0F0000}"/>
    <hyperlink ref="B3896" r:id="rId4015" xr:uid="{00000000-0004-0000-0000-0000AE0F0000}"/>
    <hyperlink ref="B3897" r:id="rId4016" xr:uid="{00000000-0004-0000-0000-0000AF0F0000}"/>
    <hyperlink ref="B3898" r:id="rId4017" xr:uid="{00000000-0004-0000-0000-0000B00F0000}"/>
    <hyperlink ref="B3899" r:id="rId4018" xr:uid="{00000000-0004-0000-0000-0000B10F0000}"/>
    <hyperlink ref="B3900" r:id="rId4019" xr:uid="{00000000-0004-0000-0000-0000B20F0000}"/>
    <hyperlink ref="B3901" r:id="rId4020" xr:uid="{00000000-0004-0000-0000-0000B30F0000}"/>
    <hyperlink ref="B3902" r:id="rId4021" xr:uid="{00000000-0004-0000-0000-0000B40F0000}"/>
    <hyperlink ref="B3903" r:id="rId4022" xr:uid="{00000000-0004-0000-0000-0000B50F0000}"/>
    <hyperlink ref="B3904" r:id="rId4023" xr:uid="{00000000-0004-0000-0000-0000B60F0000}"/>
    <hyperlink ref="B3905" r:id="rId4024" xr:uid="{00000000-0004-0000-0000-0000B70F0000}"/>
    <hyperlink ref="B3906" r:id="rId4025" xr:uid="{00000000-0004-0000-0000-0000B80F0000}"/>
    <hyperlink ref="B3907" r:id="rId4026" xr:uid="{00000000-0004-0000-0000-0000B90F0000}"/>
    <hyperlink ref="B3908" r:id="rId4027" xr:uid="{00000000-0004-0000-0000-0000BA0F0000}"/>
    <hyperlink ref="B3909" r:id="rId4028" xr:uid="{00000000-0004-0000-0000-0000BB0F0000}"/>
    <hyperlink ref="B3910" r:id="rId4029" xr:uid="{00000000-0004-0000-0000-0000BC0F0000}"/>
    <hyperlink ref="B3911" r:id="rId4030" xr:uid="{00000000-0004-0000-0000-0000BD0F0000}"/>
    <hyperlink ref="B3912" r:id="rId4031" xr:uid="{00000000-0004-0000-0000-0000BE0F0000}"/>
    <hyperlink ref="B3913" r:id="rId4032" xr:uid="{00000000-0004-0000-0000-0000BF0F0000}"/>
    <hyperlink ref="B3914" r:id="rId4033" xr:uid="{00000000-0004-0000-0000-0000C00F0000}"/>
    <hyperlink ref="B3915" r:id="rId4034" xr:uid="{00000000-0004-0000-0000-0000C10F0000}"/>
    <hyperlink ref="B3916" r:id="rId4035" xr:uid="{00000000-0004-0000-0000-0000C20F0000}"/>
    <hyperlink ref="B3917" r:id="rId4036" xr:uid="{00000000-0004-0000-0000-0000C30F0000}"/>
    <hyperlink ref="B3918" r:id="rId4037" xr:uid="{00000000-0004-0000-0000-0000C40F0000}"/>
    <hyperlink ref="B3919" r:id="rId4038" xr:uid="{00000000-0004-0000-0000-0000C50F0000}"/>
    <hyperlink ref="B3920" r:id="rId4039" xr:uid="{00000000-0004-0000-0000-0000C60F0000}"/>
    <hyperlink ref="B3921" r:id="rId4040" xr:uid="{00000000-0004-0000-0000-0000C70F0000}"/>
    <hyperlink ref="B3922" r:id="rId4041" xr:uid="{00000000-0004-0000-0000-0000C80F0000}"/>
    <hyperlink ref="B3923" r:id="rId4042" xr:uid="{00000000-0004-0000-0000-0000C90F0000}"/>
    <hyperlink ref="B3924" r:id="rId4043" xr:uid="{00000000-0004-0000-0000-0000CA0F0000}"/>
    <hyperlink ref="B3925" r:id="rId4044" xr:uid="{00000000-0004-0000-0000-0000CB0F0000}"/>
    <hyperlink ref="B3926" r:id="rId4045" xr:uid="{00000000-0004-0000-0000-0000CC0F0000}"/>
    <hyperlink ref="B3927" r:id="rId4046" xr:uid="{00000000-0004-0000-0000-0000CD0F0000}"/>
    <hyperlink ref="B3928" r:id="rId4047" xr:uid="{00000000-0004-0000-0000-0000CE0F0000}"/>
    <hyperlink ref="B3929" r:id="rId4048" xr:uid="{00000000-0004-0000-0000-0000CF0F0000}"/>
    <hyperlink ref="B3930" r:id="rId4049" xr:uid="{00000000-0004-0000-0000-0000D00F0000}"/>
    <hyperlink ref="B3931" r:id="rId4050" xr:uid="{00000000-0004-0000-0000-0000D10F0000}"/>
    <hyperlink ref="B3932" r:id="rId4051" xr:uid="{00000000-0004-0000-0000-0000D20F0000}"/>
    <hyperlink ref="B3933" r:id="rId4052" xr:uid="{00000000-0004-0000-0000-0000D30F0000}"/>
    <hyperlink ref="B3934" r:id="rId4053" xr:uid="{00000000-0004-0000-0000-0000D40F0000}"/>
    <hyperlink ref="B3935" r:id="rId4054" xr:uid="{00000000-0004-0000-0000-0000D50F0000}"/>
    <hyperlink ref="B3936" r:id="rId4055" xr:uid="{00000000-0004-0000-0000-0000D60F0000}"/>
    <hyperlink ref="B3937" r:id="rId4056" xr:uid="{00000000-0004-0000-0000-0000D70F0000}"/>
    <hyperlink ref="B3938" r:id="rId4057" xr:uid="{00000000-0004-0000-0000-0000D80F0000}"/>
    <hyperlink ref="B3939" r:id="rId4058" xr:uid="{00000000-0004-0000-0000-0000D90F0000}"/>
    <hyperlink ref="B3940" r:id="rId4059" xr:uid="{00000000-0004-0000-0000-0000DA0F0000}"/>
    <hyperlink ref="B3941" r:id="rId4060" xr:uid="{00000000-0004-0000-0000-0000DB0F0000}"/>
    <hyperlink ref="B3942" r:id="rId4061" xr:uid="{00000000-0004-0000-0000-0000DC0F0000}"/>
    <hyperlink ref="B3943" r:id="rId4062" xr:uid="{00000000-0004-0000-0000-0000DD0F0000}"/>
    <hyperlink ref="B3944" r:id="rId4063" xr:uid="{00000000-0004-0000-0000-0000DE0F0000}"/>
    <hyperlink ref="B3945" r:id="rId4064" xr:uid="{00000000-0004-0000-0000-0000DF0F0000}"/>
    <hyperlink ref="B3946" r:id="rId4065" xr:uid="{00000000-0004-0000-0000-0000E00F0000}"/>
    <hyperlink ref="B3947" r:id="rId4066" xr:uid="{00000000-0004-0000-0000-0000E10F0000}"/>
    <hyperlink ref="B3948" r:id="rId4067" xr:uid="{00000000-0004-0000-0000-0000E20F0000}"/>
    <hyperlink ref="B3949" r:id="rId4068" xr:uid="{00000000-0004-0000-0000-0000E30F0000}"/>
    <hyperlink ref="B3950" r:id="rId4069" xr:uid="{00000000-0004-0000-0000-0000E40F0000}"/>
    <hyperlink ref="B3951" r:id="rId4070" xr:uid="{00000000-0004-0000-0000-0000E50F0000}"/>
    <hyperlink ref="B3952" r:id="rId4071" xr:uid="{00000000-0004-0000-0000-0000E60F0000}"/>
    <hyperlink ref="B3953" r:id="rId4072" xr:uid="{00000000-0004-0000-0000-0000E70F0000}"/>
    <hyperlink ref="B3954" r:id="rId4073" xr:uid="{00000000-0004-0000-0000-0000E80F0000}"/>
    <hyperlink ref="B3955" r:id="rId4074" xr:uid="{00000000-0004-0000-0000-0000E90F0000}"/>
    <hyperlink ref="B3956" r:id="rId4075" xr:uid="{00000000-0004-0000-0000-0000EA0F0000}"/>
    <hyperlink ref="B3957" r:id="rId4076" xr:uid="{00000000-0004-0000-0000-0000EB0F0000}"/>
    <hyperlink ref="B3958" r:id="rId4077" xr:uid="{00000000-0004-0000-0000-0000EC0F0000}"/>
    <hyperlink ref="B3959" r:id="rId4078" xr:uid="{00000000-0004-0000-0000-0000ED0F0000}"/>
    <hyperlink ref="B3960" r:id="rId4079" xr:uid="{00000000-0004-0000-0000-0000EE0F0000}"/>
    <hyperlink ref="B3961" r:id="rId4080" xr:uid="{00000000-0004-0000-0000-0000EF0F0000}"/>
    <hyperlink ref="B3962" r:id="rId4081" xr:uid="{00000000-0004-0000-0000-0000F00F0000}"/>
    <hyperlink ref="B3963" r:id="rId4082" xr:uid="{00000000-0004-0000-0000-0000F10F0000}"/>
    <hyperlink ref="B3964" r:id="rId4083" xr:uid="{00000000-0004-0000-0000-0000F20F0000}"/>
    <hyperlink ref="B3965" r:id="rId4084" xr:uid="{00000000-0004-0000-0000-0000F30F0000}"/>
    <hyperlink ref="B3966" r:id="rId4085" xr:uid="{00000000-0004-0000-0000-0000F40F0000}"/>
    <hyperlink ref="B3967" r:id="rId4086" xr:uid="{00000000-0004-0000-0000-0000F50F0000}"/>
    <hyperlink ref="B3968" r:id="rId4087" xr:uid="{00000000-0004-0000-0000-0000F60F0000}"/>
    <hyperlink ref="B3969" r:id="rId4088" xr:uid="{00000000-0004-0000-0000-0000F70F0000}"/>
    <hyperlink ref="B3970" r:id="rId4089" xr:uid="{00000000-0004-0000-0000-0000F80F0000}"/>
    <hyperlink ref="B3971" r:id="rId4090" xr:uid="{00000000-0004-0000-0000-0000F90F0000}"/>
    <hyperlink ref="B3972" r:id="rId4091" xr:uid="{00000000-0004-0000-0000-0000FA0F0000}"/>
    <hyperlink ref="B3973" r:id="rId4092" xr:uid="{00000000-0004-0000-0000-0000FB0F0000}"/>
    <hyperlink ref="B3974" r:id="rId4093" xr:uid="{00000000-0004-0000-0000-0000FC0F0000}"/>
    <hyperlink ref="B3975" r:id="rId4094" xr:uid="{00000000-0004-0000-0000-0000FD0F0000}"/>
    <hyperlink ref="B3976" r:id="rId4095" xr:uid="{00000000-0004-0000-0000-0000FE0F0000}"/>
    <hyperlink ref="B3977" r:id="rId4096" xr:uid="{00000000-0004-0000-0000-0000FF0F0000}"/>
    <hyperlink ref="B3978" r:id="rId4097" xr:uid="{00000000-0004-0000-0000-000000100000}"/>
    <hyperlink ref="B3979" r:id="rId4098" xr:uid="{00000000-0004-0000-0000-000001100000}"/>
    <hyperlink ref="B3980" r:id="rId4099" xr:uid="{00000000-0004-0000-0000-000002100000}"/>
    <hyperlink ref="B3981" r:id="rId4100" xr:uid="{00000000-0004-0000-0000-000003100000}"/>
    <hyperlink ref="B3982" r:id="rId4101" xr:uid="{00000000-0004-0000-0000-000004100000}"/>
    <hyperlink ref="B3983" r:id="rId4102" xr:uid="{00000000-0004-0000-0000-000005100000}"/>
    <hyperlink ref="B3984" r:id="rId4103" xr:uid="{00000000-0004-0000-0000-000006100000}"/>
    <hyperlink ref="B3985" r:id="rId4104" xr:uid="{00000000-0004-0000-0000-000007100000}"/>
    <hyperlink ref="B3986" r:id="rId4105" xr:uid="{00000000-0004-0000-0000-000008100000}"/>
    <hyperlink ref="B3987" r:id="rId4106" xr:uid="{00000000-0004-0000-0000-000009100000}"/>
    <hyperlink ref="B3988" r:id="rId4107" xr:uid="{00000000-0004-0000-0000-00000A100000}"/>
    <hyperlink ref="B3989" r:id="rId4108" xr:uid="{00000000-0004-0000-0000-00000B100000}"/>
    <hyperlink ref="B3990" r:id="rId4109" xr:uid="{00000000-0004-0000-0000-00000C100000}"/>
    <hyperlink ref="B3991" r:id="rId4110" xr:uid="{00000000-0004-0000-0000-00000D100000}"/>
    <hyperlink ref="B3992" r:id="rId4111" xr:uid="{00000000-0004-0000-0000-00000E100000}"/>
    <hyperlink ref="B3993" r:id="rId4112" xr:uid="{00000000-0004-0000-0000-00000F100000}"/>
    <hyperlink ref="B3994" r:id="rId4113" xr:uid="{00000000-0004-0000-0000-000010100000}"/>
    <hyperlink ref="B3995" r:id="rId4114" xr:uid="{00000000-0004-0000-0000-000011100000}"/>
    <hyperlink ref="B3996" r:id="rId4115" xr:uid="{00000000-0004-0000-0000-000012100000}"/>
    <hyperlink ref="B3997" r:id="rId4116" xr:uid="{00000000-0004-0000-0000-000013100000}"/>
    <hyperlink ref="B3998" r:id="rId4117" xr:uid="{00000000-0004-0000-0000-000014100000}"/>
    <hyperlink ref="B3999" r:id="rId4118" xr:uid="{00000000-0004-0000-0000-000015100000}"/>
    <hyperlink ref="B4000" r:id="rId4119" xr:uid="{00000000-0004-0000-0000-000016100000}"/>
    <hyperlink ref="B4001" r:id="rId4120" xr:uid="{00000000-0004-0000-0000-000017100000}"/>
    <hyperlink ref="B4002" r:id="rId4121" xr:uid="{00000000-0004-0000-0000-000018100000}"/>
    <hyperlink ref="B4003" r:id="rId4122" xr:uid="{00000000-0004-0000-0000-000019100000}"/>
    <hyperlink ref="B4004" r:id="rId4123" xr:uid="{00000000-0004-0000-0000-00001A100000}"/>
    <hyperlink ref="B4005" r:id="rId4124" xr:uid="{00000000-0004-0000-0000-00001B100000}"/>
    <hyperlink ref="B4006" r:id="rId4125" xr:uid="{00000000-0004-0000-0000-00001C100000}"/>
    <hyperlink ref="B4007" r:id="rId4126" xr:uid="{00000000-0004-0000-0000-00001D100000}"/>
    <hyperlink ref="B4008" r:id="rId4127" xr:uid="{00000000-0004-0000-0000-00001E100000}"/>
    <hyperlink ref="B4009" r:id="rId4128" xr:uid="{00000000-0004-0000-0000-00001F100000}"/>
    <hyperlink ref="B4010" r:id="rId4129" xr:uid="{00000000-0004-0000-0000-000020100000}"/>
    <hyperlink ref="B4011" r:id="rId4130" xr:uid="{00000000-0004-0000-0000-000021100000}"/>
    <hyperlink ref="B4012" r:id="rId4131" xr:uid="{00000000-0004-0000-0000-000022100000}"/>
    <hyperlink ref="B4013" r:id="rId4132" xr:uid="{00000000-0004-0000-0000-000023100000}"/>
    <hyperlink ref="B4014" r:id="rId4133" xr:uid="{00000000-0004-0000-0000-000024100000}"/>
    <hyperlink ref="B4015" r:id="rId4134" xr:uid="{00000000-0004-0000-0000-000025100000}"/>
    <hyperlink ref="B4016" r:id="rId4135" xr:uid="{00000000-0004-0000-0000-000026100000}"/>
    <hyperlink ref="B4017" r:id="rId4136" xr:uid="{00000000-0004-0000-0000-000027100000}"/>
    <hyperlink ref="B4018" r:id="rId4137" xr:uid="{00000000-0004-0000-0000-000028100000}"/>
    <hyperlink ref="B4019" r:id="rId4138" xr:uid="{00000000-0004-0000-0000-000029100000}"/>
    <hyperlink ref="B4020" r:id="rId4139" xr:uid="{00000000-0004-0000-0000-00002A100000}"/>
    <hyperlink ref="B4021" r:id="rId4140" xr:uid="{00000000-0004-0000-0000-00002B100000}"/>
    <hyperlink ref="B4022" r:id="rId4141" xr:uid="{00000000-0004-0000-0000-00002C100000}"/>
    <hyperlink ref="B4023" r:id="rId4142" xr:uid="{00000000-0004-0000-0000-00002D100000}"/>
    <hyperlink ref="B4024" r:id="rId4143" xr:uid="{00000000-0004-0000-0000-00002E100000}"/>
    <hyperlink ref="B4025" r:id="rId4144" xr:uid="{00000000-0004-0000-0000-00002F100000}"/>
    <hyperlink ref="B4026" r:id="rId4145" xr:uid="{00000000-0004-0000-0000-000030100000}"/>
    <hyperlink ref="B4027" r:id="rId4146" xr:uid="{00000000-0004-0000-0000-000031100000}"/>
    <hyperlink ref="B4028" r:id="rId4147" xr:uid="{00000000-0004-0000-0000-000032100000}"/>
    <hyperlink ref="B4029" r:id="rId4148" xr:uid="{00000000-0004-0000-0000-000033100000}"/>
    <hyperlink ref="B4030" r:id="rId4149" xr:uid="{00000000-0004-0000-0000-000034100000}"/>
    <hyperlink ref="B4031" r:id="rId4150" xr:uid="{00000000-0004-0000-0000-000035100000}"/>
    <hyperlink ref="B4032" r:id="rId4151" xr:uid="{00000000-0004-0000-0000-000036100000}"/>
    <hyperlink ref="B4033" r:id="rId4152" xr:uid="{00000000-0004-0000-0000-000037100000}"/>
    <hyperlink ref="B4034" r:id="rId4153" xr:uid="{00000000-0004-0000-0000-000038100000}"/>
    <hyperlink ref="B4035" r:id="rId4154" xr:uid="{00000000-0004-0000-0000-000039100000}"/>
    <hyperlink ref="B4036" r:id="rId4155" xr:uid="{00000000-0004-0000-0000-00003A100000}"/>
    <hyperlink ref="B4037" r:id="rId4156" xr:uid="{00000000-0004-0000-0000-00003B100000}"/>
    <hyperlink ref="B4038" r:id="rId4157" xr:uid="{00000000-0004-0000-0000-00003C100000}"/>
    <hyperlink ref="B4039" r:id="rId4158" xr:uid="{00000000-0004-0000-0000-00003D100000}"/>
    <hyperlink ref="B4040" r:id="rId4159" xr:uid="{00000000-0004-0000-0000-00003E100000}"/>
    <hyperlink ref="B4041" r:id="rId4160" xr:uid="{00000000-0004-0000-0000-00003F100000}"/>
    <hyperlink ref="B4042" r:id="rId4161" xr:uid="{00000000-0004-0000-0000-000040100000}"/>
    <hyperlink ref="B4043" r:id="rId4162" xr:uid="{00000000-0004-0000-0000-000041100000}"/>
    <hyperlink ref="B4044" r:id="rId4163" xr:uid="{00000000-0004-0000-0000-000042100000}"/>
    <hyperlink ref="B4045" r:id="rId4164" xr:uid="{00000000-0004-0000-0000-000043100000}"/>
    <hyperlink ref="B4046" r:id="rId4165" xr:uid="{00000000-0004-0000-0000-000044100000}"/>
    <hyperlink ref="B4047" r:id="rId4166" xr:uid="{00000000-0004-0000-0000-000045100000}"/>
    <hyperlink ref="B4048" r:id="rId4167" xr:uid="{00000000-0004-0000-0000-000046100000}"/>
    <hyperlink ref="B4049" r:id="rId4168" xr:uid="{00000000-0004-0000-0000-000047100000}"/>
    <hyperlink ref="B4050" r:id="rId4169" xr:uid="{00000000-0004-0000-0000-000048100000}"/>
    <hyperlink ref="B4051" r:id="rId4170" xr:uid="{00000000-0004-0000-0000-000049100000}"/>
    <hyperlink ref="B4052" r:id="rId4171" xr:uid="{00000000-0004-0000-0000-00004A100000}"/>
    <hyperlink ref="B4053" r:id="rId4172" xr:uid="{00000000-0004-0000-0000-00004B100000}"/>
    <hyperlink ref="B4054" r:id="rId4173" xr:uid="{00000000-0004-0000-0000-00004C100000}"/>
    <hyperlink ref="B4055" r:id="rId4174" xr:uid="{00000000-0004-0000-0000-00004D100000}"/>
    <hyperlink ref="B4056" r:id="rId4175" xr:uid="{00000000-0004-0000-0000-00004E100000}"/>
    <hyperlink ref="B4057" r:id="rId4176" xr:uid="{00000000-0004-0000-0000-00004F100000}"/>
    <hyperlink ref="B4058" r:id="rId4177" xr:uid="{00000000-0004-0000-0000-000050100000}"/>
    <hyperlink ref="B4059" r:id="rId4178" xr:uid="{00000000-0004-0000-0000-000051100000}"/>
    <hyperlink ref="B4060" r:id="rId4179" xr:uid="{00000000-0004-0000-0000-000052100000}"/>
    <hyperlink ref="B4061" r:id="rId4180" xr:uid="{00000000-0004-0000-0000-000053100000}"/>
    <hyperlink ref="B4062" r:id="rId4181" xr:uid="{00000000-0004-0000-0000-000054100000}"/>
    <hyperlink ref="B4063" r:id="rId4182" xr:uid="{00000000-0004-0000-0000-000055100000}"/>
    <hyperlink ref="B4064" r:id="rId4183" xr:uid="{00000000-0004-0000-0000-000056100000}"/>
    <hyperlink ref="B4065" r:id="rId4184" xr:uid="{00000000-0004-0000-0000-000057100000}"/>
    <hyperlink ref="B4066" r:id="rId4185" xr:uid="{00000000-0004-0000-0000-000058100000}"/>
    <hyperlink ref="B4067" r:id="rId4186" xr:uid="{00000000-0004-0000-0000-000059100000}"/>
    <hyperlink ref="B4068" r:id="rId4187" xr:uid="{00000000-0004-0000-0000-00005A100000}"/>
    <hyperlink ref="B4069" r:id="rId4188" xr:uid="{00000000-0004-0000-0000-00005B100000}"/>
    <hyperlink ref="B4070" r:id="rId4189" xr:uid="{00000000-0004-0000-0000-00005C100000}"/>
    <hyperlink ref="B4071" r:id="rId4190" xr:uid="{00000000-0004-0000-0000-00005D100000}"/>
    <hyperlink ref="B4072" r:id="rId4191" xr:uid="{00000000-0004-0000-0000-00005E100000}"/>
    <hyperlink ref="B4073" r:id="rId4192" xr:uid="{00000000-0004-0000-0000-00005F100000}"/>
    <hyperlink ref="B4074" r:id="rId4193" xr:uid="{00000000-0004-0000-0000-000060100000}"/>
    <hyperlink ref="B4075" r:id="rId4194" xr:uid="{00000000-0004-0000-0000-000061100000}"/>
    <hyperlink ref="B4076" r:id="rId4195" xr:uid="{00000000-0004-0000-0000-000062100000}"/>
    <hyperlink ref="B4077" r:id="rId4196" xr:uid="{00000000-0004-0000-0000-000063100000}"/>
    <hyperlink ref="B4078" r:id="rId4197" xr:uid="{00000000-0004-0000-0000-000064100000}"/>
    <hyperlink ref="B4079" r:id="rId4198" xr:uid="{00000000-0004-0000-0000-000065100000}"/>
    <hyperlink ref="B4080" r:id="rId4199" xr:uid="{00000000-0004-0000-0000-000066100000}"/>
    <hyperlink ref="B4081" r:id="rId4200" xr:uid="{00000000-0004-0000-0000-000067100000}"/>
    <hyperlink ref="B4082" r:id="rId4201" xr:uid="{00000000-0004-0000-0000-000068100000}"/>
    <hyperlink ref="B4083" r:id="rId4202" xr:uid="{00000000-0004-0000-0000-000069100000}"/>
    <hyperlink ref="B4084" r:id="rId4203" xr:uid="{00000000-0004-0000-0000-00006A100000}"/>
    <hyperlink ref="B4085" r:id="rId4204" xr:uid="{00000000-0004-0000-0000-00006B100000}"/>
    <hyperlink ref="B4086" r:id="rId4205" xr:uid="{00000000-0004-0000-0000-00006C100000}"/>
    <hyperlink ref="B4087" r:id="rId4206" xr:uid="{00000000-0004-0000-0000-00006D100000}"/>
    <hyperlink ref="B4088" r:id="rId4207" xr:uid="{00000000-0004-0000-0000-00006E100000}"/>
    <hyperlink ref="B4089" r:id="rId4208" xr:uid="{00000000-0004-0000-0000-00006F100000}"/>
    <hyperlink ref="B4090" r:id="rId4209" xr:uid="{00000000-0004-0000-0000-000070100000}"/>
    <hyperlink ref="B4091" r:id="rId4210" xr:uid="{00000000-0004-0000-0000-000071100000}"/>
    <hyperlink ref="B4092" r:id="rId4211" xr:uid="{00000000-0004-0000-0000-000072100000}"/>
    <hyperlink ref="B4093" r:id="rId4212" xr:uid="{00000000-0004-0000-0000-000073100000}"/>
    <hyperlink ref="B4094" r:id="rId4213" xr:uid="{00000000-0004-0000-0000-000074100000}"/>
    <hyperlink ref="B4095" r:id="rId4214" xr:uid="{00000000-0004-0000-0000-000075100000}"/>
    <hyperlink ref="B4096" r:id="rId4215" xr:uid="{00000000-0004-0000-0000-000076100000}"/>
    <hyperlink ref="B4097" r:id="rId4216" xr:uid="{00000000-0004-0000-0000-000077100000}"/>
    <hyperlink ref="B4098" r:id="rId4217" xr:uid="{00000000-0004-0000-0000-000078100000}"/>
    <hyperlink ref="B4099" r:id="rId4218" xr:uid="{00000000-0004-0000-0000-000079100000}"/>
    <hyperlink ref="B4100" r:id="rId4219" xr:uid="{00000000-0004-0000-0000-00007A100000}"/>
    <hyperlink ref="B4101" r:id="rId4220" xr:uid="{00000000-0004-0000-0000-00007B100000}"/>
    <hyperlink ref="B4102" r:id="rId4221" xr:uid="{00000000-0004-0000-0000-00007C100000}"/>
    <hyperlink ref="B4103" r:id="rId4222" xr:uid="{00000000-0004-0000-0000-00007D100000}"/>
    <hyperlink ref="B4104" r:id="rId4223" xr:uid="{00000000-0004-0000-0000-00007E100000}"/>
    <hyperlink ref="B4105" r:id="rId4224" xr:uid="{00000000-0004-0000-0000-00007F100000}"/>
    <hyperlink ref="B4106" r:id="rId4225" xr:uid="{00000000-0004-0000-0000-000080100000}"/>
    <hyperlink ref="B4107" r:id="rId4226" xr:uid="{00000000-0004-0000-0000-000081100000}"/>
    <hyperlink ref="B4108" r:id="rId4227" xr:uid="{00000000-0004-0000-0000-000082100000}"/>
    <hyperlink ref="B4109" r:id="rId4228" xr:uid="{00000000-0004-0000-0000-000083100000}"/>
    <hyperlink ref="B4110" r:id="rId4229" xr:uid="{00000000-0004-0000-0000-000084100000}"/>
    <hyperlink ref="B4111" r:id="rId4230" xr:uid="{00000000-0004-0000-0000-000085100000}"/>
    <hyperlink ref="B4112" r:id="rId4231" xr:uid="{00000000-0004-0000-0000-000086100000}"/>
    <hyperlink ref="B4113" r:id="rId4232" xr:uid="{00000000-0004-0000-0000-000087100000}"/>
    <hyperlink ref="B4114" r:id="rId4233" xr:uid="{00000000-0004-0000-0000-000088100000}"/>
    <hyperlink ref="B4115" r:id="rId4234" xr:uid="{00000000-0004-0000-0000-000089100000}"/>
    <hyperlink ref="B4116" r:id="rId4235" xr:uid="{00000000-0004-0000-0000-00008A100000}"/>
    <hyperlink ref="B4117" r:id="rId4236" xr:uid="{00000000-0004-0000-0000-00008B100000}"/>
    <hyperlink ref="B4118" r:id="rId4237" xr:uid="{00000000-0004-0000-0000-00008C100000}"/>
    <hyperlink ref="B4119" r:id="rId4238" xr:uid="{00000000-0004-0000-0000-00008D100000}"/>
    <hyperlink ref="B4120" r:id="rId4239" xr:uid="{00000000-0004-0000-0000-00008E100000}"/>
    <hyperlink ref="B4121" r:id="rId4240" xr:uid="{00000000-0004-0000-0000-00008F100000}"/>
    <hyperlink ref="B4122" r:id="rId4241" xr:uid="{00000000-0004-0000-0000-000090100000}"/>
    <hyperlink ref="B4123" r:id="rId4242" xr:uid="{00000000-0004-0000-0000-000091100000}"/>
    <hyperlink ref="B4124" r:id="rId4243" xr:uid="{00000000-0004-0000-0000-000092100000}"/>
    <hyperlink ref="B4125" r:id="rId4244" xr:uid="{00000000-0004-0000-0000-000093100000}"/>
    <hyperlink ref="B4126" r:id="rId4245" xr:uid="{00000000-0004-0000-0000-000094100000}"/>
    <hyperlink ref="B4127" r:id="rId4246" xr:uid="{00000000-0004-0000-0000-000095100000}"/>
    <hyperlink ref="B4128" r:id="rId4247" xr:uid="{00000000-0004-0000-0000-000096100000}"/>
    <hyperlink ref="B4129" r:id="rId4248" xr:uid="{00000000-0004-0000-0000-000097100000}"/>
    <hyperlink ref="B4130" r:id="rId4249" xr:uid="{00000000-0004-0000-0000-000098100000}"/>
    <hyperlink ref="B4131" r:id="rId4250" xr:uid="{00000000-0004-0000-0000-000099100000}"/>
    <hyperlink ref="B4132" r:id="rId4251" xr:uid="{00000000-0004-0000-0000-00009A100000}"/>
    <hyperlink ref="B4133" r:id="rId4252" xr:uid="{00000000-0004-0000-0000-00009B100000}"/>
    <hyperlink ref="B4134" r:id="rId4253" xr:uid="{00000000-0004-0000-0000-00009C100000}"/>
    <hyperlink ref="B4135" r:id="rId4254" xr:uid="{00000000-0004-0000-0000-00009D100000}"/>
    <hyperlink ref="B4136" r:id="rId4255" xr:uid="{00000000-0004-0000-0000-00009E100000}"/>
    <hyperlink ref="B4137" r:id="rId4256" xr:uid="{00000000-0004-0000-0000-00009F100000}"/>
    <hyperlink ref="B4138" r:id="rId4257" xr:uid="{00000000-0004-0000-0000-0000A0100000}"/>
    <hyperlink ref="B4139" r:id="rId4258" xr:uid="{00000000-0004-0000-0000-0000A1100000}"/>
    <hyperlink ref="B4140" r:id="rId4259" xr:uid="{00000000-0004-0000-0000-0000A2100000}"/>
    <hyperlink ref="B4141" r:id="rId4260" xr:uid="{00000000-0004-0000-0000-0000A3100000}"/>
    <hyperlink ref="B4142" r:id="rId4261" xr:uid="{00000000-0004-0000-0000-0000A4100000}"/>
    <hyperlink ref="B4143" r:id="rId4262" xr:uid="{00000000-0004-0000-0000-0000A5100000}"/>
    <hyperlink ref="B4144" r:id="rId4263" xr:uid="{00000000-0004-0000-0000-0000A6100000}"/>
    <hyperlink ref="B4145" r:id="rId4264" xr:uid="{00000000-0004-0000-0000-0000A7100000}"/>
    <hyperlink ref="B4146" r:id="rId4265" xr:uid="{00000000-0004-0000-0000-0000A8100000}"/>
    <hyperlink ref="B4147" r:id="rId4266" xr:uid="{00000000-0004-0000-0000-0000A9100000}"/>
    <hyperlink ref="B4148" r:id="rId4267" xr:uid="{00000000-0004-0000-0000-0000AA100000}"/>
    <hyperlink ref="B4149" r:id="rId4268" xr:uid="{00000000-0004-0000-0000-0000AB100000}"/>
    <hyperlink ref="B4150" r:id="rId4269" xr:uid="{00000000-0004-0000-0000-0000AC100000}"/>
    <hyperlink ref="B4151" r:id="rId4270" xr:uid="{00000000-0004-0000-0000-0000AD100000}"/>
    <hyperlink ref="B4152" r:id="rId4271" xr:uid="{00000000-0004-0000-0000-0000AE100000}"/>
    <hyperlink ref="B4153" r:id="rId4272" xr:uid="{00000000-0004-0000-0000-0000AF100000}"/>
    <hyperlink ref="B4154" r:id="rId4273" xr:uid="{00000000-0004-0000-0000-0000B0100000}"/>
    <hyperlink ref="B4155" r:id="rId4274" xr:uid="{00000000-0004-0000-0000-0000B1100000}"/>
    <hyperlink ref="B4156" r:id="rId4275" xr:uid="{00000000-0004-0000-0000-0000B2100000}"/>
    <hyperlink ref="B4157" r:id="rId4276" xr:uid="{00000000-0004-0000-0000-0000B3100000}"/>
    <hyperlink ref="B4158" r:id="rId4277" xr:uid="{00000000-0004-0000-0000-0000B4100000}"/>
    <hyperlink ref="B4159" r:id="rId4278" xr:uid="{00000000-0004-0000-0000-0000B5100000}"/>
    <hyperlink ref="B4160" r:id="rId4279" xr:uid="{00000000-0004-0000-0000-0000B6100000}"/>
    <hyperlink ref="B4161" r:id="rId4280" xr:uid="{00000000-0004-0000-0000-0000B7100000}"/>
    <hyperlink ref="B4162" r:id="rId4281" xr:uid="{00000000-0004-0000-0000-0000B8100000}"/>
    <hyperlink ref="B4163" r:id="rId4282" xr:uid="{00000000-0004-0000-0000-0000B9100000}"/>
    <hyperlink ref="B4164" r:id="rId4283" xr:uid="{00000000-0004-0000-0000-0000BA100000}"/>
    <hyperlink ref="B4165" r:id="rId4284" xr:uid="{00000000-0004-0000-0000-0000BB100000}"/>
    <hyperlink ref="B4166" r:id="rId4285" xr:uid="{00000000-0004-0000-0000-0000BC100000}"/>
    <hyperlink ref="B4167" r:id="rId4286" xr:uid="{00000000-0004-0000-0000-0000BD100000}"/>
    <hyperlink ref="B4168" r:id="rId4287" xr:uid="{00000000-0004-0000-0000-0000BE100000}"/>
    <hyperlink ref="B4169" r:id="rId4288" xr:uid="{00000000-0004-0000-0000-0000BF100000}"/>
    <hyperlink ref="B4170" r:id="rId4289" xr:uid="{00000000-0004-0000-0000-0000C0100000}"/>
    <hyperlink ref="B4171" r:id="rId4290" xr:uid="{00000000-0004-0000-0000-0000C1100000}"/>
    <hyperlink ref="B4172" r:id="rId4291" xr:uid="{00000000-0004-0000-0000-0000C2100000}"/>
    <hyperlink ref="B4173" r:id="rId4292" xr:uid="{00000000-0004-0000-0000-0000C3100000}"/>
    <hyperlink ref="B4174" r:id="rId4293" xr:uid="{00000000-0004-0000-0000-0000C4100000}"/>
    <hyperlink ref="B4175" r:id="rId4294" xr:uid="{00000000-0004-0000-0000-0000C5100000}"/>
    <hyperlink ref="B4176" r:id="rId4295" xr:uid="{00000000-0004-0000-0000-0000C6100000}"/>
    <hyperlink ref="B4177" r:id="rId4296" xr:uid="{00000000-0004-0000-0000-0000C7100000}"/>
    <hyperlink ref="B4178" r:id="rId4297" xr:uid="{00000000-0004-0000-0000-0000C8100000}"/>
    <hyperlink ref="B4179" r:id="rId4298" xr:uid="{00000000-0004-0000-0000-0000C9100000}"/>
    <hyperlink ref="B4180" r:id="rId4299" xr:uid="{00000000-0004-0000-0000-0000CA100000}"/>
    <hyperlink ref="B4181" r:id="rId4300" xr:uid="{00000000-0004-0000-0000-0000CB100000}"/>
    <hyperlink ref="B4182" r:id="rId4301" xr:uid="{00000000-0004-0000-0000-0000CC100000}"/>
    <hyperlink ref="B4183" r:id="rId4302" xr:uid="{00000000-0004-0000-0000-0000CD100000}"/>
    <hyperlink ref="B4184" r:id="rId4303" xr:uid="{00000000-0004-0000-0000-0000CE100000}"/>
    <hyperlink ref="B4185" r:id="rId4304" xr:uid="{00000000-0004-0000-0000-0000CF100000}"/>
    <hyperlink ref="B4186" r:id="rId4305" xr:uid="{00000000-0004-0000-0000-0000D0100000}"/>
    <hyperlink ref="B4187" r:id="rId4306" xr:uid="{00000000-0004-0000-0000-0000D1100000}"/>
    <hyperlink ref="B4188" r:id="rId4307" xr:uid="{00000000-0004-0000-0000-0000D2100000}"/>
    <hyperlink ref="B4189" r:id="rId4308" xr:uid="{00000000-0004-0000-0000-0000D3100000}"/>
    <hyperlink ref="B4190" r:id="rId4309" xr:uid="{00000000-0004-0000-0000-0000D4100000}"/>
    <hyperlink ref="B4191" r:id="rId4310" xr:uid="{00000000-0004-0000-0000-0000D5100000}"/>
    <hyperlink ref="B4192" r:id="rId4311" xr:uid="{00000000-0004-0000-0000-0000D6100000}"/>
    <hyperlink ref="B4193" r:id="rId4312" xr:uid="{00000000-0004-0000-0000-0000D7100000}"/>
    <hyperlink ref="B4194" r:id="rId4313" xr:uid="{00000000-0004-0000-0000-0000D8100000}"/>
    <hyperlink ref="B4195" r:id="rId4314" xr:uid="{00000000-0004-0000-0000-0000D9100000}"/>
    <hyperlink ref="B4196" r:id="rId4315" xr:uid="{00000000-0004-0000-0000-0000DA100000}"/>
    <hyperlink ref="B4197" r:id="rId4316" xr:uid="{00000000-0004-0000-0000-0000DB100000}"/>
    <hyperlink ref="B4198" r:id="rId4317" xr:uid="{00000000-0004-0000-0000-0000DC100000}"/>
    <hyperlink ref="B4199" r:id="rId4318" xr:uid="{00000000-0004-0000-0000-0000DD100000}"/>
    <hyperlink ref="B4200" r:id="rId4319" xr:uid="{00000000-0004-0000-0000-0000DE100000}"/>
    <hyperlink ref="B4201" r:id="rId4320" xr:uid="{00000000-0004-0000-0000-0000DF100000}"/>
    <hyperlink ref="B4202" r:id="rId4321" xr:uid="{00000000-0004-0000-0000-0000E0100000}"/>
    <hyperlink ref="B4203" r:id="rId4322" xr:uid="{00000000-0004-0000-0000-0000E1100000}"/>
    <hyperlink ref="B4204" r:id="rId4323" xr:uid="{00000000-0004-0000-0000-0000E2100000}"/>
    <hyperlink ref="B4205" r:id="rId4324" xr:uid="{00000000-0004-0000-0000-0000E3100000}"/>
    <hyperlink ref="B4206" r:id="rId4325" xr:uid="{00000000-0004-0000-0000-0000E4100000}"/>
    <hyperlink ref="B4207" r:id="rId4326" xr:uid="{00000000-0004-0000-0000-0000E5100000}"/>
    <hyperlink ref="B4208" r:id="rId4327" xr:uid="{00000000-0004-0000-0000-0000E6100000}"/>
    <hyperlink ref="B4209" r:id="rId4328" xr:uid="{00000000-0004-0000-0000-0000E7100000}"/>
    <hyperlink ref="B4210" r:id="rId4329" xr:uid="{00000000-0004-0000-0000-0000E8100000}"/>
    <hyperlink ref="B4211" r:id="rId4330" xr:uid="{00000000-0004-0000-0000-0000E9100000}"/>
    <hyperlink ref="B4212" r:id="rId4331" xr:uid="{00000000-0004-0000-0000-0000EA100000}"/>
    <hyperlink ref="B4213" r:id="rId4332" xr:uid="{00000000-0004-0000-0000-0000EB100000}"/>
    <hyperlink ref="B4214" r:id="rId4333" xr:uid="{00000000-0004-0000-0000-0000EC100000}"/>
    <hyperlink ref="B4215" r:id="rId4334" xr:uid="{00000000-0004-0000-0000-0000ED100000}"/>
    <hyperlink ref="B4216" r:id="rId4335" xr:uid="{00000000-0004-0000-0000-0000EE100000}"/>
    <hyperlink ref="B4217" r:id="rId4336" xr:uid="{00000000-0004-0000-0000-0000EF100000}"/>
    <hyperlink ref="B4218" r:id="rId4337" xr:uid="{00000000-0004-0000-0000-0000F0100000}"/>
    <hyperlink ref="B4219" r:id="rId4338" xr:uid="{00000000-0004-0000-0000-0000F1100000}"/>
    <hyperlink ref="B4220" r:id="rId4339" xr:uid="{00000000-0004-0000-0000-0000F2100000}"/>
    <hyperlink ref="B4221" r:id="rId4340" xr:uid="{00000000-0004-0000-0000-0000F3100000}"/>
    <hyperlink ref="B4222" r:id="rId4341" xr:uid="{00000000-0004-0000-0000-0000F4100000}"/>
    <hyperlink ref="B4223" r:id="rId4342" xr:uid="{00000000-0004-0000-0000-0000F5100000}"/>
    <hyperlink ref="B4224" r:id="rId4343" xr:uid="{00000000-0004-0000-0000-0000F6100000}"/>
    <hyperlink ref="B4225" r:id="rId4344" xr:uid="{00000000-0004-0000-0000-0000F7100000}"/>
    <hyperlink ref="B4226" r:id="rId4345" xr:uid="{00000000-0004-0000-0000-0000F8100000}"/>
    <hyperlink ref="B4227" r:id="rId4346" xr:uid="{00000000-0004-0000-0000-0000F9100000}"/>
    <hyperlink ref="B4228" r:id="rId4347" xr:uid="{00000000-0004-0000-0000-0000FA100000}"/>
    <hyperlink ref="B4229" r:id="rId4348" xr:uid="{00000000-0004-0000-0000-0000FB100000}"/>
    <hyperlink ref="B4230" r:id="rId4349" xr:uid="{00000000-0004-0000-0000-0000FC100000}"/>
    <hyperlink ref="B4231" r:id="rId4350" xr:uid="{00000000-0004-0000-0000-0000FD100000}"/>
    <hyperlink ref="B4232" r:id="rId4351" xr:uid="{00000000-0004-0000-0000-0000FE100000}"/>
    <hyperlink ref="B4233" r:id="rId4352" xr:uid="{00000000-0004-0000-0000-0000FF100000}"/>
    <hyperlink ref="B4234" r:id="rId4353" xr:uid="{00000000-0004-0000-0000-000000110000}"/>
    <hyperlink ref="B4235" r:id="rId4354" xr:uid="{00000000-0004-0000-0000-000001110000}"/>
    <hyperlink ref="B4236" r:id="rId4355" xr:uid="{00000000-0004-0000-0000-000002110000}"/>
    <hyperlink ref="B4237" r:id="rId4356" xr:uid="{00000000-0004-0000-0000-000003110000}"/>
    <hyperlink ref="B4238" r:id="rId4357" xr:uid="{00000000-0004-0000-0000-000004110000}"/>
    <hyperlink ref="B4239" r:id="rId4358" xr:uid="{00000000-0004-0000-0000-000005110000}"/>
    <hyperlink ref="B4240" r:id="rId4359" xr:uid="{00000000-0004-0000-0000-000006110000}"/>
    <hyperlink ref="B4241" r:id="rId4360" xr:uid="{00000000-0004-0000-0000-000007110000}"/>
    <hyperlink ref="B4242" r:id="rId4361" xr:uid="{00000000-0004-0000-0000-000008110000}"/>
    <hyperlink ref="B4243" r:id="rId4362" xr:uid="{00000000-0004-0000-0000-000009110000}"/>
    <hyperlink ref="B4244" r:id="rId4363" xr:uid="{00000000-0004-0000-0000-00000A110000}"/>
    <hyperlink ref="B4245" r:id="rId4364" xr:uid="{00000000-0004-0000-0000-00000B110000}"/>
    <hyperlink ref="B4246" r:id="rId4365" xr:uid="{00000000-0004-0000-0000-00000C110000}"/>
    <hyperlink ref="B4247" r:id="rId4366" xr:uid="{00000000-0004-0000-0000-00000D110000}"/>
    <hyperlink ref="B4248" r:id="rId4367" xr:uid="{00000000-0004-0000-0000-00000E110000}"/>
    <hyperlink ref="B4249" r:id="rId4368" xr:uid="{00000000-0004-0000-0000-00000F110000}"/>
    <hyperlink ref="B4250" r:id="rId4369" xr:uid="{00000000-0004-0000-0000-000010110000}"/>
    <hyperlink ref="B4251" r:id="rId4370" xr:uid="{00000000-0004-0000-0000-000011110000}"/>
    <hyperlink ref="B4252" r:id="rId4371" xr:uid="{00000000-0004-0000-0000-000012110000}"/>
    <hyperlink ref="B4253" r:id="rId4372" xr:uid="{00000000-0004-0000-0000-000013110000}"/>
    <hyperlink ref="B4254" r:id="rId4373" xr:uid="{00000000-0004-0000-0000-000014110000}"/>
    <hyperlink ref="B4255" r:id="rId4374" xr:uid="{00000000-0004-0000-0000-000015110000}"/>
    <hyperlink ref="B4256" r:id="rId4375" xr:uid="{00000000-0004-0000-0000-000016110000}"/>
    <hyperlink ref="B4257" r:id="rId4376" xr:uid="{00000000-0004-0000-0000-000017110000}"/>
    <hyperlink ref="B4258" r:id="rId4377" xr:uid="{00000000-0004-0000-0000-000018110000}"/>
    <hyperlink ref="B4259" r:id="rId4378" xr:uid="{00000000-0004-0000-0000-000019110000}"/>
    <hyperlink ref="B4260" r:id="rId4379" xr:uid="{00000000-0004-0000-0000-00001A110000}"/>
    <hyperlink ref="B4261" r:id="rId4380" xr:uid="{00000000-0004-0000-0000-00001B110000}"/>
    <hyperlink ref="B4262" r:id="rId4381" xr:uid="{00000000-0004-0000-0000-00001C110000}"/>
    <hyperlink ref="B4263" r:id="rId4382" xr:uid="{00000000-0004-0000-0000-00001D110000}"/>
    <hyperlink ref="B4264" r:id="rId4383" xr:uid="{00000000-0004-0000-0000-00001E110000}"/>
    <hyperlink ref="B4265" r:id="rId4384" xr:uid="{00000000-0004-0000-0000-00001F110000}"/>
    <hyperlink ref="B4266" r:id="rId4385" xr:uid="{00000000-0004-0000-0000-000020110000}"/>
    <hyperlink ref="B4267" r:id="rId4386" xr:uid="{00000000-0004-0000-0000-000021110000}"/>
    <hyperlink ref="B4268" r:id="rId4387" xr:uid="{00000000-0004-0000-0000-000022110000}"/>
    <hyperlink ref="B4269" r:id="rId4388" xr:uid="{00000000-0004-0000-0000-000023110000}"/>
    <hyperlink ref="B4270" r:id="rId4389" xr:uid="{00000000-0004-0000-0000-000024110000}"/>
    <hyperlink ref="B4271" r:id="rId4390" xr:uid="{00000000-0004-0000-0000-000025110000}"/>
    <hyperlink ref="B4272" r:id="rId4391" xr:uid="{00000000-0004-0000-0000-000026110000}"/>
    <hyperlink ref="B4273" r:id="rId4392" xr:uid="{00000000-0004-0000-0000-000027110000}"/>
    <hyperlink ref="B4274" r:id="rId4393" xr:uid="{00000000-0004-0000-0000-000028110000}"/>
    <hyperlink ref="B4275" r:id="rId4394" xr:uid="{00000000-0004-0000-0000-000029110000}"/>
    <hyperlink ref="B4276" r:id="rId4395" xr:uid="{00000000-0004-0000-0000-00002A110000}"/>
    <hyperlink ref="B4277" r:id="rId4396" xr:uid="{00000000-0004-0000-0000-00002B110000}"/>
    <hyperlink ref="B4278" r:id="rId4397" xr:uid="{00000000-0004-0000-0000-00002C110000}"/>
    <hyperlink ref="B4279" r:id="rId4398" xr:uid="{00000000-0004-0000-0000-00002D110000}"/>
    <hyperlink ref="B4280" r:id="rId4399" xr:uid="{00000000-0004-0000-0000-00002E110000}"/>
    <hyperlink ref="B4281" r:id="rId4400" xr:uid="{00000000-0004-0000-0000-00002F110000}"/>
    <hyperlink ref="B4282" r:id="rId4401" xr:uid="{00000000-0004-0000-0000-000030110000}"/>
    <hyperlink ref="B4283" r:id="rId4402" xr:uid="{00000000-0004-0000-0000-000031110000}"/>
    <hyperlink ref="B4284" r:id="rId4403" xr:uid="{00000000-0004-0000-0000-000032110000}"/>
    <hyperlink ref="B4285" r:id="rId4404" xr:uid="{00000000-0004-0000-0000-000033110000}"/>
    <hyperlink ref="B4286" r:id="rId4405" xr:uid="{00000000-0004-0000-0000-000034110000}"/>
    <hyperlink ref="B4287" r:id="rId4406" xr:uid="{00000000-0004-0000-0000-000035110000}"/>
    <hyperlink ref="B4288" r:id="rId4407" xr:uid="{00000000-0004-0000-0000-000036110000}"/>
    <hyperlink ref="B4289" r:id="rId4408" xr:uid="{00000000-0004-0000-0000-000037110000}"/>
    <hyperlink ref="B4290" r:id="rId4409" xr:uid="{00000000-0004-0000-0000-000038110000}"/>
    <hyperlink ref="B4291" r:id="rId4410" xr:uid="{00000000-0004-0000-0000-000039110000}"/>
    <hyperlink ref="B4292" r:id="rId4411" xr:uid="{00000000-0004-0000-0000-00003A110000}"/>
    <hyperlink ref="B4293" r:id="rId4412" xr:uid="{00000000-0004-0000-0000-00003B110000}"/>
    <hyperlink ref="B4294" r:id="rId4413" xr:uid="{00000000-0004-0000-0000-00003C110000}"/>
    <hyperlink ref="B4295" r:id="rId4414" xr:uid="{00000000-0004-0000-0000-00003D110000}"/>
    <hyperlink ref="B4296" r:id="rId4415" xr:uid="{00000000-0004-0000-0000-00003E110000}"/>
    <hyperlink ref="B4297" r:id="rId4416" xr:uid="{00000000-0004-0000-0000-00003F110000}"/>
    <hyperlink ref="B4298" r:id="rId4417" xr:uid="{00000000-0004-0000-0000-000040110000}"/>
    <hyperlink ref="B4299" r:id="rId4418" xr:uid="{00000000-0004-0000-0000-000041110000}"/>
    <hyperlink ref="B4300" r:id="rId4419" xr:uid="{00000000-0004-0000-0000-000042110000}"/>
    <hyperlink ref="B4301" r:id="rId4420" xr:uid="{00000000-0004-0000-0000-000043110000}"/>
    <hyperlink ref="B4302" r:id="rId4421" xr:uid="{00000000-0004-0000-0000-000044110000}"/>
    <hyperlink ref="B4303" r:id="rId4422" xr:uid="{00000000-0004-0000-0000-000045110000}"/>
    <hyperlink ref="B4304" r:id="rId4423" xr:uid="{00000000-0004-0000-0000-000046110000}"/>
    <hyperlink ref="B4305" r:id="rId4424" xr:uid="{00000000-0004-0000-0000-000047110000}"/>
    <hyperlink ref="B4306" r:id="rId4425" xr:uid="{00000000-0004-0000-0000-000048110000}"/>
    <hyperlink ref="B4307" r:id="rId4426" xr:uid="{00000000-0004-0000-0000-000049110000}"/>
    <hyperlink ref="B4308" r:id="rId4427" xr:uid="{00000000-0004-0000-0000-00004A110000}"/>
    <hyperlink ref="B4309" r:id="rId4428" xr:uid="{00000000-0004-0000-0000-00004B110000}"/>
    <hyperlink ref="B4310" r:id="rId4429" xr:uid="{00000000-0004-0000-0000-00004C110000}"/>
    <hyperlink ref="B4311" r:id="rId4430" xr:uid="{00000000-0004-0000-0000-00004D110000}"/>
    <hyperlink ref="B4312" r:id="rId4431" xr:uid="{00000000-0004-0000-0000-00004E110000}"/>
    <hyperlink ref="B4313" r:id="rId4432" xr:uid="{00000000-0004-0000-0000-00004F110000}"/>
    <hyperlink ref="B4314" r:id="rId4433" xr:uid="{00000000-0004-0000-0000-000050110000}"/>
    <hyperlink ref="B4315" r:id="rId4434" xr:uid="{00000000-0004-0000-0000-000051110000}"/>
    <hyperlink ref="B4316" r:id="rId4435" xr:uid="{00000000-0004-0000-0000-000052110000}"/>
    <hyperlink ref="B4317" r:id="rId4436" xr:uid="{00000000-0004-0000-0000-000053110000}"/>
    <hyperlink ref="B4318" r:id="rId4437" xr:uid="{00000000-0004-0000-0000-000054110000}"/>
    <hyperlink ref="B4319" r:id="rId4438" xr:uid="{00000000-0004-0000-0000-000055110000}"/>
    <hyperlink ref="B4320" r:id="rId4439" xr:uid="{00000000-0004-0000-0000-000056110000}"/>
    <hyperlink ref="B4321" r:id="rId4440" xr:uid="{00000000-0004-0000-0000-000057110000}"/>
    <hyperlink ref="B4322" r:id="rId4441" xr:uid="{00000000-0004-0000-0000-000058110000}"/>
    <hyperlink ref="B4323" r:id="rId4442" xr:uid="{00000000-0004-0000-0000-000059110000}"/>
    <hyperlink ref="B4324" r:id="rId4443" xr:uid="{00000000-0004-0000-0000-00005A110000}"/>
    <hyperlink ref="B4325" r:id="rId4444" xr:uid="{00000000-0004-0000-0000-00005B110000}"/>
    <hyperlink ref="B4326" r:id="rId4445" xr:uid="{00000000-0004-0000-0000-00005C110000}"/>
    <hyperlink ref="B4327" r:id="rId4446" xr:uid="{00000000-0004-0000-0000-00005D110000}"/>
    <hyperlink ref="B4328" r:id="rId4447" xr:uid="{00000000-0004-0000-0000-00005E110000}"/>
    <hyperlink ref="B4329" r:id="rId4448" xr:uid="{00000000-0004-0000-0000-00005F110000}"/>
    <hyperlink ref="B4330" r:id="rId4449" xr:uid="{00000000-0004-0000-0000-000060110000}"/>
    <hyperlink ref="B4331" r:id="rId4450" xr:uid="{00000000-0004-0000-0000-000061110000}"/>
    <hyperlink ref="B4332" r:id="rId4451" xr:uid="{00000000-0004-0000-0000-000062110000}"/>
    <hyperlink ref="B4333" r:id="rId4452" xr:uid="{00000000-0004-0000-0000-000063110000}"/>
    <hyperlink ref="B4334" r:id="rId4453" xr:uid="{00000000-0004-0000-0000-000064110000}"/>
    <hyperlink ref="B4335" r:id="rId4454" xr:uid="{00000000-0004-0000-0000-000065110000}"/>
    <hyperlink ref="B4336" r:id="rId4455" xr:uid="{00000000-0004-0000-0000-000066110000}"/>
    <hyperlink ref="B4337" r:id="rId4456" xr:uid="{00000000-0004-0000-0000-000067110000}"/>
    <hyperlink ref="B4338" r:id="rId4457" xr:uid="{00000000-0004-0000-0000-000068110000}"/>
    <hyperlink ref="B4339" r:id="rId4458" xr:uid="{00000000-0004-0000-0000-000069110000}"/>
    <hyperlink ref="B4340" r:id="rId4459" xr:uid="{00000000-0004-0000-0000-00006A110000}"/>
    <hyperlink ref="B4341" r:id="rId4460" xr:uid="{00000000-0004-0000-0000-00006B110000}"/>
    <hyperlink ref="B4342" r:id="rId4461" xr:uid="{00000000-0004-0000-0000-00006C110000}"/>
    <hyperlink ref="B4343" r:id="rId4462" xr:uid="{00000000-0004-0000-0000-00006D110000}"/>
    <hyperlink ref="B4344" r:id="rId4463" xr:uid="{00000000-0004-0000-0000-00006E110000}"/>
    <hyperlink ref="B4345" r:id="rId4464" xr:uid="{00000000-0004-0000-0000-00006F110000}"/>
    <hyperlink ref="B4346" r:id="rId4465" xr:uid="{00000000-0004-0000-0000-000070110000}"/>
    <hyperlink ref="B4347" r:id="rId4466" xr:uid="{00000000-0004-0000-0000-000071110000}"/>
    <hyperlink ref="B4348" r:id="rId4467" xr:uid="{00000000-0004-0000-0000-000072110000}"/>
    <hyperlink ref="B4349" r:id="rId4468" xr:uid="{00000000-0004-0000-0000-000073110000}"/>
    <hyperlink ref="B4350" r:id="rId4469" xr:uid="{00000000-0004-0000-0000-000074110000}"/>
    <hyperlink ref="B4351" r:id="rId4470" xr:uid="{00000000-0004-0000-0000-000075110000}"/>
    <hyperlink ref="B4352" r:id="rId4471" xr:uid="{00000000-0004-0000-0000-000076110000}"/>
    <hyperlink ref="B4353" r:id="rId4472" xr:uid="{00000000-0004-0000-0000-000077110000}"/>
    <hyperlink ref="B4354" r:id="rId4473" xr:uid="{00000000-0004-0000-0000-000078110000}"/>
    <hyperlink ref="B4355" r:id="rId4474" xr:uid="{00000000-0004-0000-0000-000079110000}"/>
    <hyperlink ref="B4356" r:id="rId4475" xr:uid="{00000000-0004-0000-0000-00007A110000}"/>
    <hyperlink ref="B4357" r:id="rId4476" xr:uid="{00000000-0004-0000-0000-00007B110000}"/>
    <hyperlink ref="B4358" r:id="rId4477" xr:uid="{00000000-0004-0000-0000-00007C110000}"/>
    <hyperlink ref="B4359" r:id="rId4478" xr:uid="{00000000-0004-0000-0000-00007D110000}"/>
    <hyperlink ref="B4360" r:id="rId4479" xr:uid="{00000000-0004-0000-0000-00007E110000}"/>
    <hyperlink ref="B4361" r:id="rId4480" xr:uid="{00000000-0004-0000-0000-00007F110000}"/>
    <hyperlink ref="B4362" r:id="rId4481" xr:uid="{00000000-0004-0000-0000-000080110000}"/>
    <hyperlink ref="B4363" r:id="rId4482" xr:uid="{00000000-0004-0000-0000-000081110000}"/>
    <hyperlink ref="B4364" r:id="rId4483" xr:uid="{00000000-0004-0000-0000-000082110000}"/>
    <hyperlink ref="B4365" r:id="rId4484" xr:uid="{00000000-0004-0000-0000-000083110000}"/>
    <hyperlink ref="B4366" r:id="rId4485" xr:uid="{00000000-0004-0000-0000-000084110000}"/>
    <hyperlink ref="B4367" r:id="rId4486" xr:uid="{00000000-0004-0000-0000-000085110000}"/>
    <hyperlink ref="B4368" r:id="rId4487" xr:uid="{00000000-0004-0000-0000-000086110000}"/>
    <hyperlink ref="B4369" r:id="rId4488" xr:uid="{00000000-0004-0000-0000-000087110000}"/>
    <hyperlink ref="B4370" r:id="rId4489" xr:uid="{00000000-0004-0000-0000-000088110000}"/>
    <hyperlink ref="B4371" r:id="rId4490" xr:uid="{00000000-0004-0000-0000-000089110000}"/>
    <hyperlink ref="B4372" r:id="rId4491" xr:uid="{00000000-0004-0000-0000-00008A110000}"/>
    <hyperlink ref="B4373" r:id="rId4492" xr:uid="{00000000-0004-0000-0000-00008B110000}"/>
    <hyperlink ref="B4374" r:id="rId4493" xr:uid="{00000000-0004-0000-0000-00008C110000}"/>
    <hyperlink ref="B4375" r:id="rId4494" xr:uid="{00000000-0004-0000-0000-00008D110000}"/>
    <hyperlink ref="B4376" r:id="rId4495" xr:uid="{00000000-0004-0000-0000-00008E110000}"/>
    <hyperlink ref="B4377" r:id="rId4496" xr:uid="{00000000-0004-0000-0000-00008F110000}"/>
    <hyperlink ref="B4378" r:id="rId4497" xr:uid="{00000000-0004-0000-0000-000090110000}"/>
    <hyperlink ref="B4379" r:id="rId4498" xr:uid="{00000000-0004-0000-0000-000091110000}"/>
    <hyperlink ref="B4380" r:id="rId4499" xr:uid="{00000000-0004-0000-0000-000092110000}"/>
    <hyperlink ref="B4381" r:id="rId4500" xr:uid="{00000000-0004-0000-0000-000093110000}"/>
    <hyperlink ref="B4382" r:id="rId4501" xr:uid="{00000000-0004-0000-0000-000094110000}"/>
    <hyperlink ref="B4383" r:id="rId4502" xr:uid="{00000000-0004-0000-0000-000095110000}"/>
    <hyperlink ref="B4384" r:id="rId4503" xr:uid="{00000000-0004-0000-0000-000096110000}"/>
    <hyperlink ref="B4385" r:id="rId4504" xr:uid="{00000000-0004-0000-0000-000097110000}"/>
    <hyperlink ref="B4386" r:id="rId4505" xr:uid="{00000000-0004-0000-0000-000098110000}"/>
    <hyperlink ref="B4387" r:id="rId4506" xr:uid="{00000000-0004-0000-0000-000099110000}"/>
    <hyperlink ref="B4388" r:id="rId4507" xr:uid="{00000000-0004-0000-0000-00009A110000}"/>
    <hyperlink ref="B4389" r:id="rId4508" xr:uid="{00000000-0004-0000-0000-00009B110000}"/>
    <hyperlink ref="B4390" r:id="rId4509" xr:uid="{00000000-0004-0000-0000-00009C110000}"/>
    <hyperlink ref="B4391" r:id="rId4510" xr:uid="{00000000-0004-0000-0000-00009D110000}"/>
    <hyperlink ref="B4392" r:id="rId4511" xr:uid="{00000000-0004-0000-0000-00009E110000}"/>
    <hyperlink ref="B4393" r:id="rId4512" xr:uid="{00000000-0004-0000-0000-00009F110000}"/>
    <hyperlink ref="B4394" r:id="rId4513" xr:uid="{00000000-0004-0000-0000-0000A0110000}"/>
    <hyperlink ref="B4395" r:id="rId4514" xr:uid="{00000000-0004-0000-0000-0000A1110000}"/>
    <hyperlink ref="B4396" r:id="rId4515" xr:uid="{00000000-0004-0000-0000-0000A2110000}"/>
    <hyperlink ref="B4397" r:id="rId4516" xr:uid="{00000000-0004-0000-0000-0000A3110000}"/>
    <hyperlink ref="B4398" r:id="rId4517" xr:uid="{00000000-0004-0000-0000-0000A4110000}"/>
    <hyperlink ref="B4399" r:id="rId4518" xr:uid="{00000000-0004-0000-0000-0000A5110000}"/>
    <hyperlink ref="B4400" r:id="rId4519" xr:uid="{00000000-0004-0000-0000-0000A6110000}"/>
    <hyperlink ref="B4401" r:id="rId4520" xr:uid="{00000000-0004-0000-0000-0000A7110000}"/>
    <hyperlink ref="B4402" r:id="rId4521" xr:uid="{00000000-0004-0000-0000-0000A8110000}"/>
    <hyperlink ref="B4403" r:id="rId4522" xr:uid="{00000000-0004-0000-0000-0000A9110000}"/>
    <hyperlink ref="B4404" r:id="rId4523" xr:uid="{00000000-0004-0000-0000-0000AA110000}"/>
    <hyperlink ref="B4405" r:id="rId4524" xr:uid="{00000000-0004-0000-0000-0000AB110000}"/>
    <hyperlink ref="B4406" r:id="rId4525" xr:uid="{00000000-0004-0000-0000-0000AC110000}"/>
    <hyperlink ref="B4407" r:id="rId4526" xr:uid="{00000000-0004-0000-0000-0000AD110000}"/>
    <hyperlink ref="B4408" r:id="rId4527" xr:uid="{00000000-0004-0000-0000-0000AE110000}"/>
    <hyperlink ref="B4409" r:id="rId4528" xr:uid="{00000000-0004-0000-0000-0000AF110000}"/>
    <hyperlink ref="B4410" r:id="rId4529" xr:uid="{00000000-0004-0000-0000-0000B0110000}"/>
    <hyperlink ref="B4411" r:id="rId4530" xr:uid="{00000000-0004-0000-0000-0000B1110000}"/>
    <hyperlink ref="B4412" r:id="rId4531" xr:uid="{00000000-0004-0000-0000-0000B2110000}"/>
    <hyperlink ref="B4413" r:id="rId4532" xr:uid="{00000000-0004-0000-0000-0000B3110000}"/>
    <hyperlink ref="B4414" r:id="rId4533" xr:uid="{00000000-0004-0000-0000-0000B4110000}"/>
    <hyperlink ref="B4415" r:id="rId4534" xr:uid="{00000000-0004-0000-0000-0000B5110000}"/>
    <hyperlink ref="B4416" r:id="rId4535" xr:uid="{00000000-0004-0000-0000-0000B6110000}"/>
    <hyperlink ref="B4417" r:id="rId4536" xr:uid="{00000000-0004-0000-0000-0000B7110000}"/>
    <hyperlink ref="B4418" r:id="rId4537" xr:uid="{00000000-0004-0000-0000-0000B8110000}"/>
    <hyperlink ref="B4419" r:id="rId4538" xr:uid="{00000000-0004-0000-0000-0000B9110000}"/>
    <hyperlink ref="B4420" r:id="rId4539" xr:uid="{00000000-0004-0000-0000-0000BA110000}"/>
    <hyperlink ref="B4421" r:id="rId4540" xr:uid="{00000000-0004-0000-0000-0000BB110000}"/>
    <hyperlink ref="B4422" r:id="rId4541" xr:uid="{00000000-0004-0000-0000-0000BC110000}"/>
    <hyperlink ref="B4423" r:id="rId4542" xr:uid="{00000000-0004-0000-0000-0000BD110000}"/>
    <hyperlink ref="B4424" r:id="rId4543" xr:uid="{00000000-0004-0000-0000-0000BE110000}"/>
    <hyperlink ref="B4425" r:id="rId4544" xr:uid="{00000000-0004-0000-0000-0000BF110000}"/>
    <hyperlink ref="B4426" r:id="rId4545" xr:uid="{00000000-0004-0000-0000-0000C0110000}"/>
    <hyperlink ref="B4427" r:id="rId4546" xr:uid="{00000000-0004-0000-0000-0000C1110000}"/>
    <hyperlink ref="B4428" r:id="rId4547" xr:uid="{00000000-0004-0000-0000-0000C2110000}"/>
    <hyperlink ref="B4429" r:id="rId4548" xr:uid="{00000000-0004-0000-0000-0000C3110000}"/>
    <hyperlink ref="B4430" r:id="rId4549" xr:uid="{00000000-0004-0000-0000-0000C4110000}"/>
    <hyperlink ref="B4431" r:id="rId4550" xr:uid="{00000000-0004-0000-0000-0000C5110000}"/>
    <hyperlink ref="B4432" r:id="rId4551" xr:uid="{00000000-0004-0000-0000-0000C6110000}"/>
    <hyperlink ref="B4433" r:id="rId4552" xr:uid="{00000000-0004-0000-0000-0000C7110000}"/>
    <hyperlink ref="B4434" r:id="rId4553" xr:uid="{00000000-0004-0000-0000-0000C8110000}"/>
    <hyperlink ref="B4435" r:id="rId4554" xr:uid="{00000000-0004-0000-0000-0000C9110000}"/>
    <hyperlink ref="B4436" r:id="rId4555" xr:uid="{00000000-0004-0000-0000-0000CA110000}"/>
    <hyperlink ref="B4437" r:id="rId4556" xr:uid="{00000000-0004-0000-0000-0000CB110000}"/>
    <hyperlink ref="B4438" r:id="rId4557" xr:uid="{00000000-0004-0000-0000-0000CC110000}"/>
    <hyperlink ref="B4439" r:id="rId4558" xr:uid="{00000000-0004-0000-0000-0000CD110000}"/>
    <hyperlink ref="B4440" r:id="rId4559" xr:uid="{00000000-0004-0000-0000-0000CE110000}"/>
    <hyperlink ref="B4441" r:id="rId4560" xr:uid="{00000000-0004-0000-0000-0000CF110000}"/>
    <hyperlink ref="B4442" r:id="rId4561" xr:uid="{00000000-0004-0000-0000-0000D0110000}"/>
    <hyperlink ref="B4443" r:id="rId4562" xr:uid="{00000000-0004-0000-0000-0000D1110000}"/>
    <hyperlink ref="B4444" r:id="rId4563" xr:uid="{00000000-0004-0000-0000-0000D2110000}"/>
    <hyperlink ref="B4445" r:id="rId4564" xr:uid="{00000000-0004-0000-0000-0000D3110000}"/>
    <hyperlink ref="B4446" r:id="rId4565" xr:uid="{00000000-0004-0000-0000-0000D4110000}"/>
    <hyperlink ref="B4447" r:id="rId4566" xr:uid="{00000000-0004-0000-0000-0000D5110000}"/>
    <hyperlink ref="B4448" r:id="rId4567" xr:uid="{00000000-0004-0000-0000-0000D6110000}"/>
    <hyperlink ref="B4449" r:id="rId4568" xr:uid="{00000000-0004-0000-0000-0000D7110000}"/>
    <hyperlink ref="B4450" r:id="rId4569" xr:uid="{00000000-0004-0000-0000-0000D8110000}"/>
    <hyperlink ref="B4451" r:id="rId4570" xr:uid="{00000000-0004-0000-0000-0000D9110000}"/>
    <hyperlink ref="B4452" r:id="rId4571" xr:uid="{00000000-0004-0000-0000-0000DA110000}"/>
    <hyperlink ref="B4453" r:id="rId4572" xr:uid="{00000000-0004-0000-0000-0000DB110000}"/>
    <hyperlink ref="B4454" r:id="rId4573" xr:uid="{00000000-0004-0000-0000-0000DC110000}"/>
    <hyperlink ref="B4455" r:id="rId4574" xr:uid="{00000000-0004-0000-0000-0000DD110000}"/>
    <hyperlink ref="B4456" r:id="rId4575" xr:uid="{00000000-0004-0000-0000-0000DE110000}"/>
    <hyperlink ref="B4457" r:id="rId4576" xr:uid="{00000000-0004-0000-0000-0000DF110000}"/>
    <hyperlink ref="B4458" r:id="rId4577" xr:uid="{00000000-0004-0000-0000-0000E0110000}"/>
    <hyperlink ref="B4459" r:id="rId4578" xr:uid="{00000000-0004-0000-0000-0000E1110000}"/>
    <hyperlink ref="B4460" r:id="rId4579" xr:uid="{00000000-0004-0000-0000-0000E2110000}"/>
    <hyperlink ref="B4461" r:id="rId4580" xr:uid="{00000000-0004-0000-0000-0000E3110000}"/>
    <hyperlink ref="B4462" r:id="rId4581" xr:uid="{00000000-0004-0000-0000-0000E4110000}"/>
    <hyperlink ref="B4463" r:id="rId4582" xr:uid="{00000000-0004-0000-0000-0000E5110000}"/>
    <hyperlink ref="B4464" r:id="rId4583" xr:uid="{00000000-0004-0000-0000-0000E6110000}"/>
    <hyperlink ref="B4465" r:id="rId4584" xr:uid="{00000000-0004-0000-0000-0000E7110000}"/>
    <hyperlink ref="B4466" r:id="rId4585" xr:uid="{00000000-0004-0000-0000-0000E8110000}"/>
    <hyperlink ref="B4467" r:id="rId4586" xr:uid="{00000000-0004-0000-0000-0000E9110000}"/>
    <hyperlink ref="B4468" r:id="rId4587" xr:uid="{00000000-0004-0000-0000-0000EA110000}"/>
    <hyperlink ref="B4469" r:id="rId4588" xr:uid="{00000000-0004-0000-0000-0000EB110000}"/>
    <hyperlink ref="B4470" r:id="rId4589" xr:uid="{00000000-0004-0000-0000-0000EC110000}"/>
    <hyperlink ref="B4471" r:id="rId4590" xr:uid="{00000000-0004-0000-0000-0000ED110000}"/>
    <hyperlink ref="B4472" r:id="rId4591" xr:uid="{00000000-0004-0000-0000-0000EE110000}"/>
    <hyperlink ref="B4473" r:id="rId4592" xr:uid="{00000000-0004-0000-0000-0000EF110000}"/>
    <hyperlink ref="B4474" r:id="rId4593" xr:uid="{00000000-0004-0000-0000-0000F0110000}"/>
    <hyperlink ref="B4475" r:id="rId4594" xr:uid="{00000000-0004-0000-0000-0000F1110000}"/>
    <hyperlink ref="B4476" r:id="rId4595" xr:uid="{00000000-0004-0000-0000-0000F2110000}"/>
    <hyperlink ref="B4477" r:id="rId4596" xr:uid="{00000000-0004-0000-0000-0000F3110000}"/>
    <hyperlink ref="B4478" r:id="rId4597" xr:uid="{00000000-0004-0000-0000-0000F4110000}"/>
    <hyperlink ref="B4479" r:id="rId4598" xr:uid="{00000000-0004-0000-0000-0000F5110000}"/>
    <hyperlink ref="B4480" r:id="rId4599" xr:uid="{00000000-0004-0000-0000-0000F6110000}"/>
    <hyperlink ref="B4481" r:id="rId4600" xr:uid="{00000000-0004-0000-0000-0000F7110000}"/>
    <hyperlink ref="B4482" r:id="rId4601" xr:uid="{00000000-0004-0000-0000-0000F8110000}"/>
    <hyperlink ref="B4483" r:id="rId4602" xr:uid="{00000000-0004-0000-0000-0000F9110000}"/>
    <hyperlink ref="B4484" r:id="rId4603" xr:uid="{00000000-0004-0000-0000-0000FA110000}"/>
    <hyperlink ref="B4485" r:id="rId4604" xr:uid="{00000000-0004-0000-0000-0000FB110000}"/>
    <hyperlink ref="B4486" r:id="rId4605" xr:uid="{00000000-0004-0000-0000-0000FC110000}"/>
    <hyperlink ref="B4487" r:id="rId4606" xr:uid="{00000000-0004-0000-0000-0000FD110000}"/>
    <hyperlink ref="B4488" r:id="rId4607" xr:uid="{00000000-0004-0000-0000-0000FE110000}"/>
    <hyperlink ref="B4489" r:id="rId4608" xr:uid="{00000000-0004-0000-0000-0000FF110000}"/>
    <hyperlink ref="B4490" r:id="rId4609" xr:uid="{00000000-0004-0000-0000-000000120000}"/>
    <hyperlink ref="B4491" r:id="rId4610" xr:uid="{00000000-0004-0000-0000-000001120000}"/>
    <hyperlink ref="B4492" r:id="rId4611" xr:uid="{00000000-0004-0000-0000-000002120000}"/>
    <hyperlink ref="B4493" r:id="rId4612" xr:uid="{00000000-0004-0000-0000-000003120000}"/>
    <hyperlink ref="B4494" r:id="rId4613" xr:uid="{00000000-0004-0000-0000-000004120000}"/>
    <hyperlink ref="B4495" r:id="rId4614" xr:uid="{00000000-0004-0000-0000-000005120000}"/>
    <hyperlink ref="B4496" r:id="rId4615" xr:uid="{00000000-0004-0000-0000-000006120000}"/>
    <hyperlink ref="B4497" r:id="rId4616" xr:uid="{00000000-0004-0000-0000-000007120000}"/>
    <hyperlink ref="B4498" r:id="rId4617" xr:uid="{00000000-0004-0000-0000-000008120000}"/>
    <hyperlink ref="B4499" r:id="rId4618" xr:uid="{00000000-0004-0000-0000-000009120000}"/>
    <hyperlink ref="B4500" r:id="rId4619" xr:uid="{00000000-0004-0000-0000-00000A120000}"/>
    <hyperlink ref="B4501" r:id="rId4620" xr:uid="{00000000-0004-0000-0000-00000B120000}"/>
    <hyperlink ref="B4502" r:id="rId4621" xr:uid="{00000000-0004-0000-0000-00000C120000}"/>
    <hyperlink ref="B4503" r:id="rId4622" xr:uid="{00000000-0004-0000-0000-00000D120000}"/>
    <hyperlink ref="B4504" r:id="rId4623" xr:uid="{00000000-0004-0000-0000-00000E120000}"/>
    <hyperlink ref="B4505" r:id="rId4624" xr:uid="{00000000-0004-0000-0000-00000F120000}"/>
    <hyperlink ref="B4506" r:id="rId4625" xr:uid="{00000000-0004-0000-0000-000010120000}"/>
    <hyperlink ref="B4507" r:id="rId4626" xr:uid="{00000000-0004-0000-0000-000011120000}"/>
    <hyperlink ref="B4508" r:id="rId4627" xr:uid="{00000000-0004-0000-0000-000012120000}"/>
    <hyperlink ref="B4509" r:id="rId4628" xr:uid="{00000000-0004-0000-0000-000013120000}"/>
    <hyperlink ref="B4510" r:id="rId4629" xr:uid="{00000000-0004-0000-0000-000014120000}"/>
    <hyperlink ref="B4511" r:id="rId4630" xr:uid="{00000000-0004-0000-0000-000015120000}"/>
    <hyperlink ref="B4512" r:id="rId4631" xr:uid="{00000000-0004-0000-0000-000016120000}"/>
    <hyperlink ref="B4513" r:id="rId4632" xr:uid="{00000000-0004-0000-0000-000017120000}"/>
    <hyperlink ref="B4514" r:id="rId4633" xr:uid="{00000000-0004-0000-0000-000018120000}"/>
    <hyperlink ref="B4515" r:id="rId4634" xr:uid="{00000000-0004-0000-0000-000019120000}"/>
    <hyperlink ref="B4516" r:id="rId4635" xr:uid="{00000000-0004-0000-0000-00001A120000}"/>
    <hyperlink ref="B4517" r:id="rId4636" xr:uid="{00000000-0004-0000-0000-00001B120000}"/>
    <hyperlink ref="B4518" r:id="rId4637" xr:uid="{00000000-0004-0000-0000-00001C120000}"/>
    <hyperlink ref="B4519" r:id="rId4638" xr:uid="{00000000-0004-0000-0000-00001D120000}"/>
    <hyperlink ref="B4520" r:id="rId4639" xr:uid="{00000000-0004-0000-0000-00001E120000}"/>
    <hyperlink ref="B4521" r:id="rId4640" xr:uid="{00000000-0004-0000-0000-00001F120000}"/>
    <hyperlink ref="B4522" r:id="rId4641" xr:uid="{00000000-0004-0000-0000-000020120000}"/>
    <hyperlink ref="B4523" r:id="rId4642" xr:uid="{00000000-0004-0000-0000-000021120000}"/>
    <hyperlink ref="B4524" r:id="rId4643" xr:uid="{00000000-0004-0000-0000-000022120000}"/>
    <hyperlink ref="B4525" r:id="rId4644" xr:uid="{00000000-0004-0000-0000-000023120000}"/>
    <hyperlink ref="B4526" r:id="rId4645" xr:uid="{00000000-0004-0000-0000-000024120000}"/>
    <hyperlink ref="B4527" r:id="rId4646" xr:uid="{00000000-0004-0000-0000-000025120000}"/>
    <hyperlink ref="B4528" r:id="rId4647" xr:uid="{00000000-0004-0000-0000-000026120000}"/>
    <hyperlink ref="B4529" r:id="rId4648" xr:uid="{00000000-0004-0000-0000-000027120000}"/>
    <hyperlink ref="B4530" r:id="rId4649" xr:uid="{00000000-0004-0000-0000-000028120000}"/>
    <hyperlink ref="B4531" r:id="rId4650" xr:uid="{00000000-0004-0000-0000-000029120000}"/>
    <hyperlink ref="B4532" r:id="rId4651" xr:uid="{00000000-0004-0000-0000-00002A120000}"/>
    <hyperlink ref="B4533" r:id="rId4652" xr:uid="{00000000-0004-0000-0000-00002B120000}"/>
    <hyperlink ref="B4534" r:id="rId4653" xr:uid="{00000000-0004-0000-0000-00002C120000}"/>
    <hyperlink ref="B4535" r:id="rId4654" xr:uid="{00000000-0004-0000-0000-00002D120000}"/>
    <hyperlink ref="B4536" r:id="rId4655" xr:uid="{00000000-0004-0000-0000-00002E120000}"/>
    <hyperlink ref="B4537" r:id="rId4656" xr:uid="{00000000-0004-0000-0000-00002F120000}"/>
    <hyperlink ref="B4538" r:id="rId4657" xr:uid="{00000000-0004-0000-0000-000030120000}"/>
    <hyperlink ref="B4539" r:id="rId4658" xr:uid="{00000000-0004-0000-0000-000031120000}"/>
    <hyperlink ref="B4540" r:id="rId4659" xr:uid="{00000000-0004-0000-0000-000032120000}"/>
    <hyperlink ref="B4541" r:id="rId4660" xr:uid="{00000000-0004-0000-0000-000033120000}"/>
    <hyperlink ref="B4542" r:id="rId4661" xr:uid="{00000000-0004-0000-0000-000034120000}"/>
    <hyperlink ref="B4543" r:id="rId4662" xr:uid="{00000000-0004-0000-0000-000035120000}"/>
    <hyperlink ref="B4544" r:id="rId4663" xr:uid="{00000000-0004-0000-0000-000036120000}"/>
    <hyperlink ref="B4545" r:id="rId4664" xr:uid="{00000000-0004-0000-0000-000037120000}"/>
    <hyperlink ref="B4546" r:id="rId4665" xr:uid="{00000000-0004-0000-0000-000038120000}"/>
    <hyperlink ref="B4547" r:id="rId4666" xr:uid="{00000000-0004-0000-0000-000039120000}"/>
    <hyperlink ref="B4548" r:id="rId4667" xr:uid="{00000000-0004-0000-0000-00003A120000}"/>
    <hyperlink ref="B4549" r:id="rId4668" xr:uid="{00000000-0004-0000-0000-00003B120000}"/>
    <hyperlink ref="B4550" r:id="rId4669" xr:uid="{00000000-0004-0000-0000-00003C120000}"/>
    <hyperlink ref="B4551" r:id="rId4670" xr:uid="{00000000-0004-0000-0000-00003D120000}"/>
    <hyperlink ref="B4552" r:id="rId4671" xr:uid="{00000000-0004-0000-0000-00003E120000}"/>
    <hyperlink ref="B4553" r:id="rId4672" xr:uid="{00000000-0004-0000-0000-00003F120000}"/>
    <hyperlink ref="B4554" r:id="rId4673" xr:uid="{00000000-0004-0000-0000-000040120000}"/>
    <hyperlink ref="B4555" r:id="rId4674" xr:uid="{00000000-0004-0000-0000-000041120000}"/>
    <hyperlink ref="B4556" r:id="rId4675" xr:uid="{00000000-0004-0000-0000-000042120000}"/>
    <hyperlink ref="B4557" r:id="rId4676" xr:uid="{00000000-0004-0000-0000-000043120000}"/>
    <hyperlink ref="B4558" r:id="rId4677" xr:uid="{00000000-0004-0000-0000-000044120000}"/>
    <hyperlink ref="B4559" r:id="rId4678" xr:uid="{00000000-0004-0000-0000-000045120000}"/>
    <hyperlink ref="B4560" r:id="rId4679" xr:uid="{00000000-0004-0000-0000-000046120000}"/>
    <hyperlink ref="B4561" r:id="rId4680" xr:uid="{00000000-0004-0000-0000-000047120000}"/>
    <hyperlink ref="B4562" r:id="rId4681" xr:uid="{00000000-0004-0000-0000-000048120000}"/>
    <hyperlink ref="B4563" r:id="rId4682" xr:uid="{00000000-0004-0000-0000-000049120000}"/>
    <hyperlink ref="B4564" r:id="rId4683" xr:uid="{00000000-0004-0000-0000-00004A120000}"/>
    <hyperlink ref="B4565" r:id="rId4684" xr:uid="{00000000-0004-0000-0000-00004B120000}"/>
    <hyperlink ref="B4566" r:id="rId4685" xr:uid="{00000000-0004-0000-0000-00004C120000}"/>
    <hyperlink ref="B4567" r:id="rId4686" xr:uid="{00000000-0004-0000-0000-00004D120000}"/>
    <hyperlink ref="B4568" r:id="rId4687" xr:uid="{00000000-0004-0000-0000-00004E120000}"/>
    <hyperlink ref="B4569" r:id="rId4688" xr:uid="{00000000-0004-0000-0000-00004F120000}"/>
    <hyperlink ref="B4570" r:id="rId4689" xr:uid="{00000000-0004-0000-0000-000050120000}"/>
    <hyperlink ref="B4571" r:id="rId4690" xr:uid="{00000000-0004-0000-0000-000051120000}"/>
    <hyperlink ref="B4572" r:id="rId4691" xr:uid="{00000000-0004-0000-0000-000052120000}"/>
    <hyperlink ref="B4573" r:id="rId4692" xr:uid="{00000000-0004-0000-0000-000053120000}"/>
    <hyperlink ref="B4574" r:id="rId4693" xr:uid="{00000000-0004-0000-0000-000054120000}"/>
    <hyperlink ref="B4575" r:id="rId4694" xr:uid="{00000000-0004-0000-0000-000055120000}"/>
    <hyperlink ref="B4576" r:id="rId4695" xr:uid="{00000000-0004-0000-0000-000056120000}"/>
    <hyperlink ref="B4577" r:id="rId4696" xr:uid="{00000000-0004-0000-0000-000057120000}"/>
    <hyperlink ref="B4578" r:id="rId4697" xr:uid="{00000000-0004-0000-0000-000058120000}"/>
    <hyperlink ref="B4579" r:id="rId4698" xr:uid="{00000000-0004-0000-0000-000059120000}"/>
    <hyperlink ref="B4580" r:id="rId4699" xr:uid="{00000000-0004-0000-0000-00005A120000}"/>
    <hyperlink ref="B4581" r:id="rId4700" xr:uid="{00000000-0004-0000-0000-00005B120000}"/>
    <hyperlink ref="B4582" r:id="rId4701" xr:uid="{00000000-0004-0000-0000-00005C120000}"/>
    <hyperlink ref="B4583" r:id="rId4702" xr:uid="{00000000-0004-0000-0000-00005D120000}"/>
    <hyperlink ref="B4584" r:id="rId4703" xr:uid="{00000000-0004-0000-0000-00005E120000}"/>
    <hyperlink ref="B4585" r:id="rId4704" xr:uid="{00000000-0004-0000-0000-00005F120000}"/>
    <hyperlink ref="B4586" r:id="rId4705" xr:uid="{00000000-0004-0000-0000-000060120000}"/>
    <hyperlink ref="B4587" r:id="rId4706" xr:uid="{00000000-0004-0000-0000-000061120000}"/>
    <hyperlink ref="B4588" r:id="rId4707" xr:uid="{00000000-0004-0000-0000-000062120000}"/>
    <hyperlink ref="B4589" r:id="rId4708" xr:uid="{00000000-0004-0000-0000-000063120000}"/>
    <hyperlink ref="B4590" r:id="rId4709" xr:uid="{00000000-0004-0000-0000-000064120000}"/>
    <hyperlink ref="B4591" r:id="rId4710" xr:uid="{00000000-0004-0000-0000-000065120000}"/>
    <hyperlink ref="B4592" r:id="rId4711" xr:uid="{00000000-0004-0000-0000-000066120000}"/>
    <hyperlink ref="B4593" r:id="rId4712" xr:uid="{00000000-0004-0000-0000-000067120000}"/>
    <hyperlink ref="B4594" r:id="rId4713" xr:uid="{00000000-0004-0000-0000-000068120000}"/>
    <hyperlink ref="B4595" r:id="rId4714" xr:uid="{00000000-0004-0000-0000-000069120000}"/>
    <hyperlink ref="B4596" r:id="rId4715" xr:uid="{00000000-0004-0000-0000-00006A120000}"/>
    <hyperlink ref="B4597" r:id="rId4716" xr:uid="{00000000-0004-0000-0000-00006B120000}"/>
    <hyperlink ref="B4598" r:id="rId4717" xr:uid="{00000000-0004-0000-0000-00006C120000}"/>
    <hyperlink ref="B4599" r:id="rId4718" xr:uid="{00000000-0004-0000-0000-00006D120000}"/>
    <hyperlink ref="B4600" r:id="rId4719" xr:uid="{00000000-0004-0000-0000-00006E120000}"/>
    <hyperlink ref="B4601" r:id="rId4720" xr:uid="{00000000-0004-0000-0000-00006F120000}"/>
    <hyperlink ref="B4602" r:id="rId4721" xr:uid="{00000000-0004-0000-0000-000070120000}"/>
    <hyperlink ref="B4603" r:id="rId4722" xr:uid="{00000000-0004-0000-0000-000071120000}"/>
    <hyperlink ref="B4604" r:id="rId4723" xr:uid="{00000000-0004-0000-0000-000072120000}"/>
    <hyperlink ref="B4605" r:id="rId4724" xr:uid="{00000000-0004-0000-0000-000073120000}"/>
    <hyperlink ref="B4606" r:id="rId4725" xr:uid="{00000000-0004-0000-0000-000074120000}"/>
    <hyperlink ref="B4607" r:id="rId4726" xr:uid="{00000000-0004-0000-0000-000075120000}"/>
    <hyperlink ref="B4608" r:id="rId4727" xr:uid="{00000000-0004-0000-0000-000076120000}"/>
    <hyperlink ref="B4609" r:id="rId4728" xr:uid="{00000000-0004-0000-0000-000077120000}"/>
    <hyperlink ref="B4610" r:id="rId4729" xr:uid="{00000000-0004-0000-0000-000078120000}"/>
    <hyperlink ref="B4611" r:id="rId4730" xr:uid="{00000000-0004-0000-0000-000079120000}"/>
    <hyperlink ref="B4612" r:id="rId4731" xr:uid="{00000000-0004-0000-0000-00007A120000}"/>
    <hyperlink ref="B4613" r:id="rId4732" xr:uid="{00000000-0004-0000-0000-00007B120000}"/>
    <hyperlink ref="B4614" r:id="rId4733" xr:uid="{00000000-0004-0000-0000-00007C120000}"/>
    <hyperlink ref="B4615" r:id="rId4734" xr:uid="{00000000-0004-0000-0000-00007D120000}"/>
    <hyperlink ref="B4616" r:id="rId4735" xr:uid="{00000000-0004-0000-0000-00007E120000}"/>
    <hyperlink ref="B4617" r:id="rId4736" xr:uid="{00000000-0004-0000-0000-00007F120000}"/>
    <hyperlink ref="B4618" r:id="rId4737" xr:uid="{00000000-0004-0000-0000-000080120000}"/>
    <hyperlink ref="B4619" r:id="rId4738" xr:uid="{00000000-0004-0000-0000-000081120000}"/>
    <hyperlink ref="B4620" r:id="rId4739" xr:uid="{00000000-0004-0000-0000-000082120000}"/>
    <hyperlink ref="B4621" r:id="rId4740" xr:uid="{00000000-0004-0000-0000-000083120000}"/>
    <hyperlink ref="B4622" r:id="rId4741" xr:uid="{00000000-0004-0000-0000-000084120000}"/>
    <hyperlink ref="B4623" r:id="rId4742" xr:uid="{00000000-0004-0000-0000-000085120000}"/>
    <hyperlink ref="B4624" r:id="rId4743" xr:uid="{00000000-0004-0000-0000-000086120000}"/>
    <hyperlink ref="B4625" r:id="rId4744" xr:uid="{00000000-0004-0000-0000-000087120000}"/>
    <hyperlink ref="B4626" r:id="rId4745" xr:uid="{00000000-0004-0000-0000-000088120000}"/>
    <hyperlink ref="B4627" r:id="rId4746" xr:uid="{00000000-0004-0000-0000-000089120000}"/>
    <hyperlink ref="B4628" r:id="rId4747" xr:uid="{00000000-0004-0000-0000-00008A120000}"/>
    <hyperlink ref="B4629" r:id="rId4748" xr:uid="{00000000-0004-0000-0000-00008B120000}"/>
    <hyperlink ref="B4630" r:id="rId4749" xr:uid="{00000000-0004-0000-0000-00008C120000}"/>
    <hyperlink ref="B4631" r:id="rId4750" xr:uid="{00000000-0004-0000-0000-00008D120000}"/>
    <hyperlink ref="B4632" r:id="rId4751" xr:uid="{00000000-0004-0000-0000-00008E120000}"/>
    <hyperlink ref="B4633" r:id="rId4752" xr:uid="{00000000-0004-0000-0000-00008F120000}"/>
    <hyperlink ref="B4634" r:id="rId4753" xr:uid="{00000000-0004-0000-0000-000090120000}"/>
    <hyperlink ref="B4635" r:id="rId4754" xr:uid="{00000000-0004-0000-0000-000091120000}"/>
    <hyperlink ref="B4636" r:id="rId4755" xr:uid="{00000000-0004-0000-0000-000092120000}"/>
    <hyperlink ref="B4637" r:id="rId4756" xr:uid="{00000000-0004-0000-0000-000093120000}"/>
    <hyperlink ref="B4638" r:id="rId4757" xr:uid="{00000000-0004-0000-0000-000094120000}"/>
    <hyperlink ref="B4639" r:id="rId4758" xr:uid="{00000000-0004-0000-0000-000095120000}"/>
    <hyperlink ref="B4640" r:id="rId4759" xr:uid="{00000000-0004-0000-0000-000096120000}"/>
    <hyperlink ref="B4641" r:id="rId4760" xr:uid="{00000000-0004-0000-0000-000097120000}"/>
    <hyperlink ref="B4642" r:id="rId4761" xr:uid="{00000000-0004-0000-0000-000098120000}"/>
    <hyperlink ref="B4643" r:id="rId4762" xr:uid="{00000000-0004-0000-0000-000099120000}"/>
    <hyperlink ref="B4644" r:id="rId4763" xr:uid="{00000000-0004-0000-0000-00009A120000}"/>
    <hyperlink ref="B4645" r:id="rId4764" xr:uid="{00000000-0004-0000-0000-00009B120000}"/>
    <hyperlink ref="B4646" r:id="rId4765" xr:uid="{00000000-0004-0000-0000-00009C120000}"/>
    <hyperlink ref="B4647" r:id="rId4766" xr:uid="{00000000-0004-0000-0000-00009D120000}"/>
    <hyperlink ref="B4648" r:id="rId4767" xr:uid="{00000000-0004-0000-0000-00009E120000}"/>
    <hyperlink ref="B4649" r:id="rId4768" xr:uid="{00000000-0004-0000-0000-00009F120000}"/>
    <hyperlink ref="B4650" r:id="rId4769" xr:uid="{00000000-0004-0000-0000-0000A0120000}"/>
    <hyperlink ref="B4651" r:id="rId4770" xr:uid="{00000000-0004-0000-0000-0000A1120000}"/>
    <hyperlink ref="B4652" r:id="rId4771" xr:uid="{00000000-0004-0000-0000-0000A2120000}"/>
    <hyperlink ref="B4653" r:id="rId4772" xr:uid="{00000000-0004-0000-0000-0000A3120000}"/>
    <hyperlink ref="B4654" r:id="rId4773" xr:uid="{00000000-0004-0000-0000-0000A4120000}"/>
    <hyperlink ref="B4655" r:id="rId4774" xr:uid="{00000000-0004-0000-0000-0000A5120000}"/>
    <hyperlink ref="B4656" r:id="rId4775" xr:uid="{00000000-0004-0000-0000-0000A6120000}"/>
    <hyperlink ref="B4657" r:id="rId4776" xr:uid="{00000000-0004-0000-0000-0000A7120000}"/>
    <hyperlink ref="B4658" r:id="rId4777" xr:uid="{00000000-0004-0000-0000-0000A8120000}"/>
    <hyperlink ref="B4659" r:id="rId4778" xr:uid="{00000000-0004-0000-0000-0000A9120000}"/>
    <hyperlink ref="B4660" r:id="rId4779" xr:uid="{00000000-0004-0000-0000-0000AA120000}"/>
    <hyperlink ref="B4661" r:id="rId4780" xr:uid="{00000000-0004-0000-0000-0000AB120000}"/>
    <hyperlink ref="B4662" r:id="rId4781" xr:uid="{00000000-0004-0000-0000-0000AC120000}"/>
    <hyperlink ref="B4663" r:id="rId4782" xr:uid="{00000000-0004-0000-0000-0000AD120000}"/>
    <hyperlink ref="B4664" r:id="rId4783" xr:uid="{00000000-0004-0000-0000-0000AE120000}"/>
    <hyperlink ref="B4665" r:id="rId4784" xr:uid="{00000000-0004-0000-0000-0000AF120000}"/>
    <hyperlink ref="B4666" r:id="rId4785" xr:uid="{00000000-0004-0000-0000-0000B0120000}"/>
    <hyperlink ref="B4667" r:id="rId4786" xr:uid="{00000000-0004-0000-0000-0000B1120000}"/>
    <hyperlink ref="B4668" r:id="rId4787" xr:uid="{00000000-0004-0000-0000-0000B2120000}"/>
    <hyperlink ref="B4669" r:id="rId4788" xr:uid="{00000000-0004-0000-0000-0000B3120000}"/>
    <hyperlink ref="B4670" r:id="rId4789" xr:uid="{00000000-0004-0000-0000-0000B4120000}"/>
    <hyperlink ref="B4671" r:id="rId4790" xr:uid="{00000000-0004-0000-0000-0000B5120000}"/>
    <hyperlink ref="B4672" r:id="rId4791" xr:uid="{00000000-0004-0000-0000-0000B6120000}"/>
    <hyperlink ref="B4673" r:id="rId4792" xr:uid="{00000000-0004-0000-0000-0000B7120000}"/>
    <hyperlink ref="B4674" r:id="rId4793" xr:uid="{00000000-0004-0000-0000-0000B8120000}"/>
    <hyperlink ref="B4675" r:id="rId4794" xr:uid="{00000000-0004-0000-0000-0000B9120000}"/>
    <hyperlink ref="B4676" r:id="rId4795" xr:uid="{00000000-0004-0000-0000-0000BA120000}"/>
    <hyperlink ref="B4677" r:id="rId4796" xr:uid="{00000000-0004-0000-0000-0000BB120000}"/>
    <hyperlink ref="B4678" r:id="rId4797" xr:uid="{00000000-0004-0000-0000-0000BC120000}"/>
    <hyperlink ref="B4679" r:id="rId4798" xr:uid="{00000000-0004-0000-0000-0000BD120000}"/>
    <hyperlink ref="B4680" r:id="rId4799" xr:uid="{00000000-0004-0000-0000-0000BE120000}"/>
    <hyperlink ref="B4681" r:id="rId4800" xr:uid="{00000000-0004-0000-0000-0000BF120000}"/>
    <hyperlink ref="B4682" r:id="rId4801" xr:uid="{00000000-0004-0000-0000-0000C0120000}"/>
    <hyperlink ref="B4683" r:id="rId4802" xr:uid="{00000000-0004-0000-0000-0000C1120000}"/>
    <hyperlink ref="B4684" r:id="rId4803" xr:uid="{00000000-0004-0000-0000-0000C2120000}"/>
    <hyperlink ref="B4685" r:id="rId4804" xr:uid="{00000000-0004-0000-0000-0000C3120000}"/>
    <hyperlink ref="B4686" r:id="rId4805" xr:uid="{00000000-0004-0000-0000-0000C4120000}"/>
    <hyperlink ref="B4687" r:id="rId4806" xr:uid="{00000000-0004-0000-0000-0000C5120000}"/>
    <hyperlink ref="B4688" r:id="rId4807" xr:uid="{00000000-0004-0000-0000-0000C6120000}"/>
    <hyperlink ref="B4689" r:id="rId4808" xr:uid="{00000000-0004-0000-0000-0000C7120000}"/>
    <hyperlink ref="B4690" r:id="rId4809" xr:uid="{00000000-0004-0000-0000-0000C8120000}"/>
    <hyperlink ref="B4691" r:id="rId4810" xr:uid="{00000000-0004-0000-0000-0000C9120000}"/>
    <hyperlink ref="B4692" r:id="rId4811" xr:uid="{00000000-0004-0000-0000-0000CA120000}"/>
    <hyperlink ref="B4693" r:id="rId4812" xr:uid="{00000000-0004-0000-0000-0000CB120000}"/>
    <hyperlink ref="B4694" r:id="rId4813" xr:uid="{00000000-0004-0000-0000-0000CC120000}"/>
    <hyperlink ref="B4695" r:id="rId4814" xr:uid="{00000000-0004-0000-0000-0000CD120000}"/>
    <hyperlink ref="B4696" r:id="rId4815" xr:uid="{00000000-0004-0000-0000-0000CE120000}"/>
    <hyperlink ref="B4697" r:id="rId4816" xr:uid="{00000000-0004-0000-0000-0000CF120000}"/>
    <hyperlink ref="B4698" r:id="rId4817" xr:uid="{00000000-0004-0000-0000-0000D0120000}"/>
    <hyperlink ref="B4699" r:id="rId4818" xr:uid="{00000000-0004-0000-0000-0000D1120000}"/>
    <hyperlink ref="B4700" r:id="rId4819" xr:uid="{00000000-0004-0000-0000-0000D2120000}"/>
    <hyperlink ref="B4701" r:id="rId4820" xr:uid="{00000000-0004-0000-0000-0000D3120000}"/>
    <hyperlink ref="B4702" r:id="rId4821" xr:uid="{00000000-0004-0000-0000-0000D4120000}"/>
    <hyperlink ref="B4703" r:id="rId4822" xr:uid="{00000000-0004-0000-0000-0000D5120000}"/>
    <hyperlink ref="B4704" r:id="rId4823" xr:uid="{00000000-0004-0000-0000-0000D6120000}"/>
    <hyperlink ref="B4705" r:id="rId4824" xr:uid="{00000000-0004-0000-0000-0000D7120000}"/>
    <hyperlink ref="B4706" r:id="rId4825" xr:uid="{00000000-0004-0000-0000-0000D8120000}"/>
    <hyperlink ref="B4707" r:id="rId4826" xr:uid="{00000000-0004-0000-0000-0000D9120000}"/>
    <hyperlink ref="B4708" r:id="rId4827" xr:uid="{00000000-0004-0000-0000-0000DA120000}"/>
    <hyperlink ref="B4709" r:id="rId4828" xr:uid="{00000000-0004-0000-0000-0000DB120000}"/>
    <hyperlink ref="B4710" r:id="rId4829" xr:uid="{00000000-0004-0000-0000-0000DC120000}"/>
    <hyperlink ref="B4711" r:id="rId4830" xr:uid="{00000000-0004-0000-0000-0000DD120000}"/>
    <hyperlink ref="B4712" r:id="rId4831" xr:uid="{00000000-0004-0000-0000-0000DE120000}"/>
    <hyperlink ref="B4713" r:id="rId4832" xr:uid="{00000000-0004-0000-0000-0000DF120000}"/>
    <hyperlink ref="B4714" r:id="rId4833" xr:uid="{00000000-0004-0000-0000-0000E0120000}"/>
    <hyperlink ref="B4715" r:id="rId4834" xr:uid="{00000000-0004-0000-0000-0000E1120000}"/>
    <hyperlink ref="B4716" r:id="rId4835" xr:uid="{00000000-0004-0000-0000-0000E2120000}"/>
    <hyperlink ref="B4717" r:id="rId4836" xr:uid="{00000000-0004-0000-0000-0000E3120000}"/>
    <hyperlink ref="B4718" r:id="rId4837" xr:uid="{00000000-0004-0000-0000-0000E4120000}"/>
    <hyperlink ref="B4719" r:id="rId4838" xr:uid="{00000000-0004-0000-0000-0000E5120000}"/>
    <hyperlink ref="B4720" r:id="rId4839" xr:uid="{00000000-0004-0000-0000-0000E6120000}"/>
    <hyperlink ref="B4721" r:id="rId4840" xr:uid="{00000000-0004-0000-0000-0000E7120000}"/>
    <hyperlink ref="B4722" r:id="rId4841" xr:uid="{00000000-0004-0000-0000-0000E8120000}"/>
    <hyperlink ref="B4723" r:id="rId4842" xr:uid="{00000000-0004-0000-0000-0000E9120000}"/>
    <hyperlink ref="B4724" r:id="rId4843" xr:uid="{00000000-0004-0000-0000-0000EA120000}"/>
    <hyperlink ref="B4725" r:id="rId4844" xr:uid="{00000000-0004-0000-0000-0000EB120000}"/>
    <hyperlink ref="B4726" r:id="rId4845" xr:uid="{00000000-0004-0000-0000-0000EC120000}"/>
    <hyperlink ref="B4727" r:id="rId4846" xr:uid="{00000000-0004-0000-0000-0000ED120000}"/>
    <hyperlink ref="B4728" r:id="rId4847" xr:uid="{00000000-0004-0000-0000-0000EE120000}"/>
    <hyperlink ref="B4729" r:id="rId4848" xr:uid="{00000000-0004-0000-0000-0000EF120000}"/>
    <hyperlink ref="B4730" r:id="rId4849" xr:uid="{00000000-0004-0000-0000-0000F0120000}"/>
    <hyperlink ref="B4731" r:id="rId4850" xr:uid="{00000000-0004-0000-0000-0000F1120000}"/>
    <hyperlink ref="B4732" r:id="rId4851" xr:uid="{00000000-0004-0000-0000-0000F2120000}"/>
    <hyperlink ref="B4733" r:id="rId4852" xr:uid="{00000000-0004-0000-0000-0000F3120000}"/>
    <hyperlink ref="B4734" r:id="rId4853" xr:uid="{00000000-0004-0000-0000-0000F4120000}"/>
    <hyperlink ref="B4735" r:id="rId4854" xr:uid="{00000000-0004-0000-0000-0000F5120000}"/>
    <hyperlink ref="B4736" r:id="rId4855" xr:uid="{00000000-0004-0000-0000-0000F6120000}"/>
    <hyperlink ref="B4737" r:id="rId4856" xr:uid="{00000000-0004-0000-0000-0000F7120000}"/>
    <hyperlink ref="B4738" r:id="rId4857" xr:uid="{00000000-0004-0000-0000-0000F8120000}"/>
    <hyperlink ref="B4739" r:id="rId4858" xr:uid="{00000000-0004-0000-0000-0000F9120000}"/>
    <hyperlink ref="B4740" r:id="rId4859" xr:uid="{00000000-0004-0000-0000-0000FA120000}"/>
    <hyperlink ref="B4741" r:id="rId4860" xr:uid="{00000000-0004-0000-0000-0000FB120000}"/>
    <hyperlink ref="B4742" r:id="rId4861" xr:uid="{00000000-0004-0000-0000-0000FC120000}"/>
    <hyperlink ref="B4743" r:id="rId4862" xr:uid="{00000000-0004-0000-0000-0000FD120000}"/>
    <hyperlink ref="B4744" r:id="rId4863" xr:uid="{00000000-0004-0000-0000-0000FE120000}"/>
    <hyperlink ref="B4745" r:id="rId4864" xr:uid="{00000000-0004-0000-0000-0000FF120000}"/>
    <hyperlink ref="B4746" r:id="rId4865" xr:uid="{00000000-0004-0000-0000-000000130000}"/>
    <hyperlink ref="B4747" r:id="rId4866" xr:uid="{00000000-0004-0000-0000-000001130000}"/>
    <hyperlink ref="B4748" r:id="rId4867" xr:uid="{00000000-0004-0000-0000-000002130000}"/>
    <hyperlink ref="B4749" r:id="rId4868" xr:uid="{00000000-0004-0000-0000-000003130000}"/>
    <hyperlink ref="B4750" r:id="rId4869" xr:uid="{00000000-0004-0000-0000-000004130000}"/>
    <hyperlink ref="B4751" r:id="rId4870" xr:uid="{00000000-0004-0000-0000-000005130000}"/>
    <hyperlink ref="B4752" r:id="rId4871" xr:uid="{00000000-0004-0000-0000-000006130000}"/>
    <hyperlink ref="B4753" r:id="rId4872" xr:uid="{00000000-0004-0000-0000-000007130000}"/>
    <hyperlink ref="B4754" r:id="rId4873" xr:uid="{00000000-0004-0000-0000-000008130000}"/>
    <hyperlink ref="B4755" r:id="rId4874" xr:uid="{00000000-0004-0000-0000-000009130000}"/>
    <hyperlink ref="B4756" r:id="rId4875" xr:uid="{00000000-0004-0000-0000-00000A130000}"/>
    <hyperlink ref="B4757" r:id="rId4876" xr:uid="{00000000-0004-0000-0000-00000B130000}"/>
    <hyperlink ref="B4758" r:id="rId4877" xr:uid="{00000000-0004-0000-0000-00000C130000}"/>
    <hyperlink ref="B4759" r:id="rId4878" xr:uid="{00000000-0004-0000-0000-00000D130000}"/>
    <hyperlink ref="B4760" r:id="rId4879" xr:uid="{00000000-0004-0000-0000-00000E130000}"/>
    <hyperlink ref="B4761" r:id="rId4880" xr:uid="{00000000-0004-0000-0000-00000F130000}"/>
    <hyperlink ref="B4762" r:id="rId4881" xr:uid="{00000000-0004-0000-0000-000010130000}"/>
    <hyperlink ref="B4763" r:id="rId4882" xr:uid="{00000000-0004-0000-0000-000011130000}"/>
    <hyperlink ref="B4764" r:id="rId4883" xr:uid="{00000000-0004-0000-0000-000012130000}"/>
    <hyperlink ref="B4765" r:id="rId4884" xr:uid="{00000000-0004-0000-0000-000013130000}"/>
    <hyperlink ref="B4766" r:id="rId4885" xr:uid="{00000000-0004-0000-0000-000014130000}"/>
    <hyperlink ref="B4767" r:id="rId4886" xr:uid="{00000000-0004-0000-0000-000015130000}"/>
    <hyperlink ref="B4768" r:id="rId4887" xr:uid="{00000000-0004-0000-0000-000016130000}"/>
    <hyperlink ref="B4769" r:id="rId4888" xr:uid="{00000000-0004-0000-0000-000017130000}"/>
    <hyperlink ref="B4770" r:id="rId4889" xr:uid="{00000000-0004-0000-0000-000018130000}"/>
    <hyperlink ref="B4771" r:id="rId4890" xr:uid="{00000000-0004-0000-0000-000019130000}"/>
    <hyperlink ref="B4772" r:id="rId4891" xr:uid="{00000000-0004-0000-0000-00001A130000}"/>
    <hyperlink ref="B4773" r:id="rId4892" xr:uid="{00000000-0004-0000-0000-00001B130000}"/>
    <hyperlink ref="B4774" r:id="rId4893" xr:uid="{00000000-0004-0000-0000-00001C130000}"/>
    <hyperlink ref="B4775" r:id="rId4894" xr:uid="{00000000-0004-0000-0000-00001D130000}"/>
    <hyperlink ref="B4776" r:id="rId4895" xr:uid="{00000000-0004-0000-0000-00001E130000}"/>
    <hyperlink ref="B4777" r:id="rId4896" xr:uid="{00000000-0004-0000-0000-00001F130000}"/>
    <hyperlink ref="B4778" r:id="rId4897" xr:uid="{00000000-0004-0000-0000-000020130000}"/>
    <hyperlink ref="B4779" r:id="rId4898" xr:uid="{00000000-0004-0000-0000-000021130000}"/>
    <hyperlink ref="B4780" r:id="rId4899" xr:uid="{00000000-0004-0000-0000-000022130000}"/>
    <hyperlink ref="B4781" r:id="rId4900" xr:uid="{00000000-0004-0000-0000-000023130000}"/>
    <hyperlink ref="B4782" r:id="rId4901" xr:uid="{00000000-0004-0000-0000-000024130000}"/>
    <hyperlink ref="B4783" r:id="rId4902" xr:uid="{00000000-0004-0000-0000-000025130000}"/>
    <hyperlink ref="B4784" r:id="rId4903" xr:uid="{00000000-0004-0000-0000-000026130000}"/>
    <hyperlink ref="B4785" r:id="rId4904" xr:uid="{00000000-0004-0000-0000-000027130000}"/>
    <hyperlink ref="B4786" r:id="rId4905" xr:uid="{00000000-0004-0000-0000-000028130000}"/>
    <hyperlink ref="B4787" r:id="rId4906" xr:uid="{00000000-0004-0000-0000-000029130000}"/>
    <hyperlink ref="B4788" r:id="rId4907" xr:uid="{00000000-0004-0000-0000-00002A130000}"/>
    <hyperlink ref="B4789" r:id="rId4908" xr:uid="{00000000-0004-0000-0000-00002B130000}"/>
    <hyperlink ref="B4790" r:id="rId4909" xr:uid="{00000000-0004-0000-0000-00002C130000}"/>
    <hyperlink ref="B4791" r:id="rId4910" xr:uid="{00000000-0004-0000-0000-00002D130000}"/>
    <hyperlink ref="B4792" r:id="rId4911" xr:uid="{00000000-0004-0000-0000-00002E130000}"/>
    <hyperlink ref="B4793" r:id="rId4912" xr:uid="{00000000-0004-0000-0000-00002F130000}"/>
    <hyperlink ref="B4794" r:id="rId4913" xr:uid="{00000000-0004-0000-0000-000030130000}"/>
    <hyperlink ref="B4795" r:id="rId4914" xr:uid="{00000000-0004-0000-0000-000031130000}"/>
    <hyperlink ref="B4796" r:id="rId4915" xr:uid="{00000000-0004-0000-0000-000032130000}"/>
    <hyperlink ref="B4797" r:id="rId4916" xr:uid="{00000000-0004-0000-0000-000033130000}"/>
    <hyperlink ref="B4798" r:id="rId4917" xr:uid="{00000000-0004-0000-0000-000034130000}"/>
    <hyperlink ref="B4799" r:id="rId4918" xr:uid="{00000000-0004-0000-0000-000035130000}"/>
    <hyperlink ref="B4800" r:id="rId4919" xr:uid="{00000000-0004-0000-0000-000036130000}"/>
    <hyperlink ref="B4801" r:id="rId4920" xr:uid="{00000000-0004-0000-0000-000037130000}"/>
    <hyperlink ref="B4802" r:id="rId4921" xr:uid="{00000000-0004-0000-0000-000038130000}"/>
    <hyperlink ref="B4803" r:id="rId4922" xr:uid="{00000000-0004-0000-0000-000039130000}"/>
    <hyperlink ref="B4804" r:id="rId4923" xr:uid="{00000000-0004-0000-0000-00003A130000}"/>
    <hyperlink ref="B4805" r:id="rId4924" xr:uid="{00000000-0004-0000-0000-00003B130000}"/>
    <hyperlink ref="B4806" r:id="rId4925" xr:uid="{00000000-0004-0000-0000-00003C130000}"/>
    <hyperlink ref="B4807" r:id="rId4926" xr:uid="{00000000-0004-0000-0000-00003D130000}"/>
    <hyperlink ref="B4808" r:id="rId4927" xr:uid="{00000000-0004-0000-0000-00003E130000}"/>
    <hyperlink ref="B4809" r:id="rId4928" xr:uid="{00000000-0004-0000-0000-00003F130000}"/>
    <hyperlink ref="B4810" r:id="rId4929" xr:uid="{00000000-0004-0000-0000-000040130000}"/>
    <hyperlink ref="B4811" r:id="rId4930" xr:uid="{00000000-0004-0000-0000-000041130000}"/>
    <hyperlink ref="B4812" r:id="rId4931" xr:uid="{00000000-0004-0000-0000-000042130000}"/>
    <hyperlink ref="B4813" r:id="rId4932" xr:uid="{00000000-0004-0000-0000-000043130000}"/>
    <hyperlink ref="B4814" r:id="rId4933" xr:uid="{00000000-0004-0000-0000-000044130000}"/>
    <hyperlink ref="B4815" r:id="rId4934" xr:uid="{00000000-0004-0000-0000-000045130000}"/>
    <hyperlink ref="B4816" r:id="rId4935" xr:uid="{00000000-0004-0000-0000-000046130000}"/>
    <hyperlink ref="B4817" r:id="rId4936" xr:uid="{00000000-0004-0000-0000-000047130000}"/>
    <hyperlink ref="B4818" r:id="rId4937" xr:uid="{00000000-0004-0000-0000-000048130000}"/>
    <hyperlink ref="B4819" r:id="rId4938" xr:uid="{00000000-0004-0000-0000-000049130000}"/>
    <hyperlink ref="B4820" r:id="rId4939" xr:uid="{00000000-0004-0000-0000-00004A130000}"/>
    <hyperlink ref="B4821" r:id="rId4940" xr:uid="{00000000-0004-0000-0000-00004B130000}"/>
    <hyperlink ref="B4822" r:id="rId4941" xr:uid="{00000000-0004-0000-0000-00004C130000}"/>
    <hyperlink ref="B4823" r:id="rId4942" xr:uid="{00000000-0004-0000-0000-00004D130000}"/>
    <hyperlink ref="B4824" r:id="rId4943" xr:uid="{00000000-0004-0000-0000-00004E130000}"/>
    <hyperlink ref="B4825" r:id="rId4944" xr:uid="{00000000-0004-0000-0000-00004F130000}"/>
    <hyperlink ref="B4826" r:id="rId4945" xr:uid="{00000000-0004-0000-0000-000050130000}"/>
    <hyperlink ref="B4827" r:id="rId4946" xr:uid="{00000000-0004-0000-0000-000051130000}"/>
    <hyperlink ref="B4828" r:id="rId4947" xr:uid="{00000000-0004-0000-0000-000052130000}"/>
    <hyperlink ref="B4829" r:id="rId4948" xr:uid="{00000000-0004-0000-0000-000053130000}"/>
    <hyperlink ref="B4830" r:id="rId4949" xr:uid="{00000000-0004-0000-0000-000054130000}"/>
    <hyperlink ref="B4831" r:id="rId4950" xr:uid="{00000000-0004-0000-0000-000055130000}"/>
    <hyperlink ref="B4832" r:id="rId4951" xr:uid="{00000000-0004-0000-0000-000056130000}"/>
    <hyperlink ref="B4833" r:id="rId4952" xr:uid="{00000000-0004-0000-0000-000057130000}"/>
    <hyperlink ref="B4834" r:id="rId4953" xr:uid="{00000000-0004-0000-0000-000058130000}"/>
    <hyperlink ref="B4835" r:id="rId4954" xr:uid="{00000000-0004-0000-0000-000059130000}"/>
    <hyperlink ref="B4836" r:id="rId4955" xr:uid="{00000000-0004-0000-0000-00005A130000}"/>
    <hyperlink ref="B4837" r:id="rId4956" xr:uid="{00000000-0004-0000-0000-00005B130000}"/>
    <hyperlink ref="B4838" r:id="rId4957" xr:uid="{00000000-0004-0000-0000-00005C130000}"/>
    <hyperlink ref="B4839" r:id="rId4958" xr:uid="{00000000-0004-0000-0000-00005D130000}"/>
    <hyperlink ref="B4840" r:id="rId4959" xr:uid="{00000000-0004-0000-0000-00005E130000}"/>
    <hyperlink ref="B4841" r:id="rId4960" xr:uid="{00000000-0004-0000-0000-00005F130000}"/>
    <hyperlink ref="B4842" r:id="rId4961" xr:uid="{00000000-0004-0000-0000-000060130000}"/>
    <hyperlink ref="B4843" r:id="rId4962" xr:uid="{00000000-0004-0000-0000-000061130000}"/>
    <hyperlink ref="B4844" r:id="rId4963" xr:uid="{00000000-0004-0000-0000-000062130000}"/>
    <hyperlink ref="B4845" r:id="rId4964" xr:uid="{00000000-0004-0000-0000-000063130000}"/>
    <hyperlink ref="B4846" r:id="rId4965" xr:uid="{00000000-0004-0000-0000-000064130000}"/>
    <hyperlink ref="B4847" r:id="rId4966" xr:uid="{00000000-0004-0000-0000-000065130000}"/>
    <hyperlink ref="B4848" r:id="rId4967" xr:uid="{00000000-0004-0000-0000-000066130000}"/>
    <hyperlink ref="B4849" r:id="rId4968" xr:uid="{00000000-0004-0000-0000-000067130000}"/>
    <hyperlink ref="B4850" r:id="rId4969" xr:uid="{00000000-0004-0000-0000-000068130000}"/>
    <hyperlink ref="B4851" r:id="rId4970" xr:uid="{00000000-0004-0000-0000-000069130000}"/>
    <hyperlink ref="B4852" r:id="rId4971" xr:uid="{00000000-0004-0000-0000-00006A130000}"/>
    <hyperlink ref="B4853" r:id="rId4972" xr:uid="{00000000-0004-0000-0000-00006B130000}"/>
    <hyperlink ref="B4854" r:id="rId4973" xr:uid="{00000000-0004-0000-0000-00006C130000}"/>
    <hyperlink ref="B4855" r:id="rId4974" xr:uid="{00000000-0004-0000-0000-00006D130000}"/>
    <hyperlink ref="B4856" r:id="rId4975" xr:uid="{00000000-0004-0000-0000-00006E130000}"/>
    <hyperlink ref="B4857" r:id="rId4976" xr:uid="{00000000-0004-0000-0000-00006F130000}"/>
    <hyperlink ref="B4858" r:id="rId4977" xr:uid="{00000000-0004-0000-0000-000070130000}"/>
    <hyperlink ref="B4859" r:id="rId4978" xr:uid="{00000000-0004-0000-0000-000071130000}"/>
    <hyperlink ref="B4860" r:id="rId4979" xr:uid="{00000000-0004-0000-0000-000072130000}"/>
    <hyperlink ref="B4861" r:id="rId4980" xr:uid="{00000000-0004-0000-0000-000073130000}"/>
    <hyperlink ref="B4862" r:id="rId4981" xr:uid="{00000000-0004-0000-0000-000074130000}"/>
    <hyperlink ref="B4863" r:id="rId4982" xr:uid="{00000000-0004-0000-0000-000075130000}"/>
    <hyperlink ref="B4864" r:id="rId4983" xr:uid="{00000000-0004-0000-0000-000076130000}"/>
    <hyperlink ref="B4865" r:id="rId4984" xr:uid="{00000000-0004-0000-0000-000077130000}"/>
    <hyperlink ref="B4866" r:id="rId4985" xr:uid="{00000000-0004-0000-0000-000078130000}"/>
    <hyperlink ref="B4867" r:id="rId4986" xr:uid="{00000000-0004-0000-0000-000079130000}"/>
    <hyperlink ref="B4868" r:id="rId4987" xr:uid="{00000000-0004-0000-0000-00007A130000}"/>
    <hyperlink ref="B4869" r:id="rId4988" xr:uid="{00000000-0004-0000-0000-00007B130000}"/>
    <hyperlink ref="B4870" r:id="rId4989" xr:uid="{00000000-0004-0000-0000-00007C130000}"/>
    <hyperlink ref="B4871" r:id="rId4990" xr:uid="{00000000-0004-0000-0000-00007D130000}"/>
    <hyperlink ref="B4872" r:id="rId4991" xr:uid="{00000000-0004-0000-0000-00007E130000}"/>
    <hyperlink ref="B4873" r:id="rId4992" xr:uid="{00000000-0004-0000-0000-00007F130000}"/>
    <hyperlink ref="B4874" r:id="rId4993" xr:uid="{00000000-0004-0000-0000-000080130000}"/>
    <hyperlink ref="B4875" r:id="rId4994" xr:uid="{00000000-0004-0000-0000-000081130000}"/>
    <hyperlink ref="B4876" r:id="rId4995" xr:uid="{00000000-0004-0000-0000-000082130000}"/>
    <hyperlink ref="B4877" r:id="rId4996" xr:uid="{00000000-0004-0000-0000-000083130000}"/>
    <hyperlink ref="B4878" r:id="rId4997" xr:uid="{00000000-0004-0000-0000-000084130000}"/>
    <hyperlink ref="B4879" r:id="rId4998" xr:uid="{00000000-0004-0000-0000-000085130000}"/>
    <hyperlink ref="B4880" r:id="rId4999" xr:uid="{00000000-0004-0000-0000-000086130000}"/>
    <hyperlink ref="B4881" r:id="rId5000" xr:uid="{00000000-0004-0000-0000-000087130000}"/>
    <hyperlink ref="B4882" r:id="rId5001" xr:uid="{00000000-0004-0000-0000-000088130000}"/>
    <hyperlink ref="B4883" r:id="rId5002" xr:uid="{00000000-0004-0000-0000-000089130000}"/>
    <hyperlink ref="B4884" r:id="rId5003" xr:uid="{00000000-0004-0000-0000-00008A130000}"/>
    <hyperlink ref="B4885" r:id="rId5004" xr:uid="{00000000-0004-0000-0000-00008B130000}"/>
    <hyperlink ref="B4886" r:id="rId5005" xr:uid="{00000000-0004-0000-0000-00008C130000}"/>
    <hyperlink ref="B4887" r:id="rId5006" xr:uid="{00000000-0004-0000-0000-00008D130000}"/>
    <hyperlink ref="B4888" r:id="rId5007" xr:uid="{00000000-0004-0000-0000-00008E130000}"/>
    <hyperlink ref="B4889" r:id="rId5008" xr:uid="{00000000-0004-0000-0000-00008F130000}"/>
    <hyperlink ref="B4890" r:id="rId5009" xr:uid="{00000000-0004-0000-0000-000090130000}"/>
    <hyperlink ref="B4891" r:id="rId5010" xr:uid="{00000000-0004-0000-0000-000091130000}"/>
    <hyperlink ref="B4892" r:id="rId5011" xr:uid="{00000000-0004-0000-0000-000092130000}"/>
    <hyperlink ref="B4893" r:id="rId5012" xr:uid="{00000000-0004-0000-0000-000093130000}"/>
    <hyperlink ref="B4894" r:id="rId5013" xr:uid="{00000000-0004-0000-0000-000094130000}"/>
    <hyperlink ref="B4895" r:id="rId5014" xr:uid="{00000000-0004-0000-0000-000095130000}"/>
    <hyperlink ref="B4896" r:id="rId5015" xr:uid="{00000000-0004-0000-0000-000096130000}"/>
    <hyperlink ref="B4897" r:id="rId5016" xr:uid="{00000000-0004-0000-0000-000097130000}"/>
    <hyperlink ref="B4898" r:id="rId5017" xr:uid="{00000000-0004-0000-0000-000098130000}"/>
    <hyperlink ref="B4899" r:id="rId5018" xr:uid="{00000000-0004-0000-0000-000099130000}"/>
    <hyperlink ref="B4900" r:id="rId5019" xr:uid="{00000000-0004-0000-0000-00009A130000}"/>
    <hyperlink ref="B4901" r:id="rId5020" xr:uid="{00000000-0004-0000-0000-00009B130000}"/>
    <hyperlink ref="B4902" r:id="rId5021" xr:uid="{00000000-0004-0000-0000-00009C130000}"/>
    <hyperlink ref="B4903" r:id="rId5022" xr:uid="{00000000-0004-0000-0000-00009D130000}"/>
    <hyperlink ref="B4904" r:id="rId5023" xr:uid="{00000000-0004-0000-0000-00009E130000}"/>
    <hyperlink ref="B4905" r:id="rId5024" xr:uid="{00000000-0004-0000-0000-00009F130000}"/>
    <hyperlink ref="B4906" r:id="rId5025" xr:uid="{00000000-0004-0000-0000-0000A0130000}"/>
    <hyperlink ref="B4907" r:id="rId5026" xr:uid="{00000000-0004-0000-0000-0000A1130000}"/>
    <hyperlink ref="B4908" r:id="rId5027" xr:uid="{00000000-0004-0000-0000-0000A2130000}"/>
    <hyperlink ref="B4909" r:id="rId5028" xr:uid="{00000000-0004-0000-0000-0000A3130000}"/>
    <hyperlink ref="B4910" r:id="rId5029" xr:uid="{00000000-0004-0000-0000-0000A4130000}"/>
    <hyperlink ref="B4911" r:id="rId5030" xr:uid="{00000000-0004-0000-0000-0000A5130000}"/>
    <hyperlink ref="B4912" r:id="rId5031" xr:uid="{00000000-0004-0000-0000-0000A6130000}"/>
    <hyperlink ref="B4913" r:id="rId5032" xr:uid="{00000000-0004-0000-0000-0000A7130000}"/>
    <hyperlink ref="B4914" r:id="rId5033" xr:uid="{00000000-0004-0000-0000-0000A8130000}"/>
    <hyperlink ref="B4915" r:id="rId5034" xr:uid="{00000000-0004-0000-0000-0000A9130000}"/>
    <hyperlink ref="B4916" r:id="rId5035" xr:uid="{00000000-0004-0000-0000-0000AA130000}"/>
    <hyperlink ref="B4917" r:id="rId5036" xr:uid="{00000000-0004-0000-0000-0000AB130000}"/>
    <hyperlink ref="B4918" r:id="rId5037" xr:uid="{00000000-0004-0000-0000-0000AC130000}"/>
    <hyperlink ref="B4919" r:id="rId5038" xr:uid="{00000000-0004-0000-0000-0000AD130000}"/>
    <hyperlink ref="B4920" r:id="rId5039" xr:uid="{00000000-0004-0000-0000-0000AE130000}"/>
    <hyperlink ref="B4921" r:id="rId5040" xr:uid="{00000000-0004-0000-0000-0000AF130000}"/>
    <hyperlink ref="B4922" r:id="rId5041" xr:uid="{00000000-0004-0000-0000-0000B0130000}"/>
    <hyperlink ref="B4923" r:id="rId5042" xr:uid="{00000000-0004-0000-0000-0000B1130000}"/>
    <hyperlink ref="B4924" r:id="rId5043" xr:uid="{00000000-0004-0000-0000-0000B2130000}"/>
    <hyperlink ref="B4925" r:id="rId5044" xr:uid="{00000000-0004-0000-0000-0000B3130000}"/>
    <hyperlink ref="B4926" r:id="rId5045" xr:uid="{00000000-0004-0000-0000-0000B4130000}"/>
    <hyperlink ref="B4927" r:id="rId5046" xr:uid="{00000000-0004-0000-0000-0000B5130000}"/>
    <hyperlink ref="B4928" r:id="rId5047" xr:uid="{00000000-0004-0000-0000-0000B6130000}"/>
    <hyperlink ref="B4929" r:id="rId5048" xr:uid="{00000000-0004-0000-0000-0000B7130000}"/>
    <hyperlink ref="B4930" r:id="rId5049" xr:uid="{00000000-0004-0000-0000-0000B8130000}"/>
    <hyperlink ref="B4931" r:id="rId5050" xr:uid="{00000000-0004-0000-0000-0000B9130000}"/>
    <hyperlink ref="B4932" r:id="rId5051" xr:uid="{00000000-0004-0000-0000-0000BA130000}"/>
    <hyperlink ref="B4933" r:id="rId5052" xr:uid="{00000000-0004-0000-0000-0000BB130000}"/>
    <hyperlink ref="B4934" r:id="rId5053" xr:uid="{00000000-0004-0000-0000-0000BC130000}"/>
    <hyperlink ref="B4935" r:id="rId5054" xr:uid="{00000000-0004-0000-0000-0000BD130000}"/>
    <hyperlink ref="B4936" r:id="rId5055" xr:uid="{00000000-0004-0000-0000-0000BE130000}"/>
    <hyperlink ref="B4937" r:id="rId5056" xr:uid="{00000000-0004-0000-0000-0000BF130000}"/>
    <hyperlink ref="B4938" r:id="rId5057" xr:uid="{00000000-0004-0000-0000-0000C0130000}"/>
    <hyperlink ref="B4939" r:id="rId5058" xr:uid="{00000000-0004-0000-0000-0000C1130000}"/>
    <hyperlink ref="B4940" r:id="rId5059" xr:uid="{00000000-0004-0000-0000-0000C2130000}"/>
    <hyperlink ref="B4941" r:id="rId5060" xr:uid="{00000000-0004-0000-0000-0000C3130000}"/>
    <hyperlink ref="B4942" r:id="rId5061" xr:uid="{00000000-0004-0000-0000-0000C4130000}"/>
    <hyperlink ref="B4943" r:id="rId5062" xr:uid="{00000000-0004-0000-0000-0000C5130000}"/>
    <hyperlink ref="B4944" r:id="rId5063" xr:uid="{00000000-0004-0000-0000-0000C6130000}"/>
    <hyperlink ref="B4945" r:id="rId5064" xr:uid="{00000000-0004-0000-0000-0000C7130000}"/>
    <hyperlink ref="B4946" r:id="rId5065" xr:uid="{00000000-0004-0000-0000-0000C8130000}"/>
    <hyperlink ref="B4947" r:id="rId5066" xr:uid="{00000000-0004-0000-0000-0000C9130000}"/>
    <hyperlink ref="B4948" r:id="rId5067" xr:uid="{00000000-0004-0000-0000-0000CA130000}"/>
    <hyperlink ref="B4949" r:id="rId5068" xr:uid="{00000000-0004-0000-0000-0000CB130000}"/>
    <hyperlink ref="B4950" r:id="rId5069" xr:uid="{00000000-0004-0000-0000-0000CC130000}"/>
    <hyperlink ref="B4951" r:id="rId5070" xr:uid="{00000000-0004-0000-0000-0000CD130000}"/>
    <hyperlink ref="B4952" r:id="rId5071" xr:uid="{00000000-0004-0000-0000-0000CE130000}"/>
    <hyperlink ref="B4953" r:id="rId5072" xr:uid="{00000000-0004-0000-0000-0000CF130000}"/>
    <hyperlink ref="B4954" r:id="rId5073" xr:uid="{00000000-0004-0000-0000-0000D0130000}"/>
    <hyperlink ref="B4955" r:id="rId5074" xr:uid="{00000000-0004-0000-0000-0000D1130000}"/>
    <hyperlink ref="B4956" r:id="rId5075" xr:uid="{00000000-0004-0000-0000-0000D2130000}"/>
    <hyperlink ref="B4957" r:id="rId5076" xr:uid="{00000000-0004-0000-0000-0000D3130000}"/>
    <hyperlink ref="B4958" r:id="rId5077" xr:uid="{00000000-0004-0000-0000-0000D4130000}"/>
    <hyperlink ref="B4959" r:id="rId5078" xr:uid="{00000000-0004-0000-0000-0000D5130000}"/>
    <hyperlink ref="B4960" r:id="rId5079" xr:uid="{00000000-0004-0000-0000-0000D6130000}"/>
    <hyperlink ref="B4961" r:id="rId5080" xr:uid="{00000000-0004-0000-0000-0000D7130000}"/>
    <hyperlink ref="B4962" r:id="rId5081" xr:uid="{00000000-0004-0000-0000-0000D8130000}"/>
    <hyperlink ref="B4963" r:id="rId5082" xr:uid="{00000000-0004-0000-0000-0000D9130000}"/>
    <hyperlink ref="B4964" r:id="rId5083" xr:uid="{00000000-0004-0000-0000-0000DA130000}"/>
    <hyperlink ref="B4965" r:id="rId5084" xr:uid="{00000000-0004-0000-0000-0000DB130000}"/>
    <hyperlink ref="B4966" r:id="rId5085" xr:uid="{00000000-0004-0000-0000-0000DC130000}"/>
    <hyperlink ref="B4967" r:id="rId5086" xr:uid="{00000000-0004-0000-0000-0000DD130000}"/>
    <hyperlink ref="B4968" r:id="rId5087" xr:uid="{00000000-0004-0000-0000-0000DE130000}"/>
    <hyperlink ref="B4969" r:id="rId5088" xr:uid="{00000000-0004-0000-0000-0000DF130000}"/>
    <hyperlink ref="B4970" r:id="rId5089" xr:uid="{00000000-0004-0000-0000-0000E0130000}"/>
    <hyperlink ref="B4971" r:id="rId5090" xr:uid="{00000000-0004-0000-0000-0000E1130000}"/>
    <hyperlink ref="B4972" r:id="rId5091" xr:uid="{00000000-0004-0000-0000-0000E2130000}"/>
    <hyperlink ref="B4973" r:id="rId5092" xr:uid="{00000000-0004-0000-0000-0000E3130000}"/>
    <hyperlink ref="B4974" r:id="rId5093" xr:uid="{00000000-0004-0000-0000-0000E4130000}"/>
    <hyperlink ref="B4975" r:id="rId5094" xr:uid="{00000000-0004-0000-0000-0000E5130000}"/>
    <hyperlink ref="B4976" r:id="rId5095" xr:uid="{00000000-0004-0000-0000-0000E6130000}"/>
    <hyperlink ref="B4977" r:id="rId5096" xr:uid="{00000000-0004-0000-0000-0000E7130000}"/>
    <hyperlink ref="B4978" r:id="rId5097" xr:uid="{00000000-0004-0000-0000-0000E8130000}"/>
    <hyperlink ref="B4979" r:id="rId5098" xr:uid="{00000000-0004-0000-0000-0000E9130000}"/>
    <hyperlink ref="B4980" r:id="rId5099" xr:uid="{00000000-0004-0000-0000-0000EA130000}"/>
    <hyperlink ref="B4981" r:id="rId5100" xr:uid="{00000000-0004-0000-0000-0000EB130000}"/>
    <hyperlink ref="B4982" r:id="rId5101" xr:uid="{00000000-0004-0000-0000-0000EC130000}"/>
    <hyperlink ref="B4983" r:id="rId5102" xr:uid="{00000000-0004-0000-0000-0000ED130000}"/>
    <hyperlink ref="B4984" r:id="rId5103" xr:uid="{00000000-0004-0000-0000-0000EE130000}"/>
    <hyperlink ref="B4985" r:id="rId5104" xr:uid="{00000000-0004-0000-0000-0000EF130000}"/>
    <hyperlink ref="B4986" r:id="rId5105" xr:uid="{00000000-0004-0000-0000-0000F0130000}"/>
    <hyperlink ref="B4987" r:id="rId5106" xr:uid="{00000000-0004-0000-0000-0000F1130000}"/>
    <hyperlink ref="B4988" r:id="rId5107" xr:uid="{00000000-0004-0000-0000-0000F2130000}"/>
    <hyperlink ref="B4989" r:id="rId5108" xr:uid="{00000000-0004-0000-0000-0000F3130000}"/>
    <hyperlink ref="B4990" r:id="rId5109" xr:uid="{00000000-0004-0000-0000-0000F4130000}"/>
    <hyperlink ref="B4991" r:id="rId5110" xr:uid="{00000000-0004-0000-0000-0000F5130000}"/>
    <hyperlink ref="B4992" r:id="rId5111" xr:uid="{00000000-0004-0000-0000-0000F6130000}"/>
    <hyperlink ref="B4993" r:id="rId5112" xr:uid="{00000000-0004-0000-0000-0000F7130000}"/>
    <hyperlink ref="B4994" r:id="rId5113" xr:uid="{00000000-0004-0000-0000-0000F8130000}"/>
    <hyperlink ref="B4995" r:id="rId5114" xr:uid="{00000000-0004-0000-0000-0000F9130000}"/>
    <hyperlink ref="B4996" r:id="rId5115" xr:uid="{00000000-0004-0000-0000-0000FA130000}"/>
    <hyperlink ref="B4997" r:id="rId5116" xr:uid="{00000000-0004-0000-0000-0000FB130000}"/>
    <hyperlink ref="B4998" r:id="rId5117" xr:uid="{00000000-0004-0000-0000-0000FC130000}"/>
    <hyperlink ref="B4999" r:id="rId5118" xr:uid="{00000000-0004-0000-0000-0000FD130000}"/>
    <hyperlink ref="B5000" r:id="rId5119" xr:uid="{00000000-0004-0000-0000-0000FE130000}"/>
    <hyperlink ref="B5001" r:id="rId5120" xr:uid="{00000000-0004-0000-0000-0000FF130000}"/>
    <hyperlink ref="B5002" r:id="rId5121" xr:uid="{00000000-0004-0000-0000-000000140000}"/>
    <hyperlink ref="B5003" r:id="rId5122" xr:uid="{00000000-0004-0000-0000-000001140000}"/>
    <hyperlink ref="B5004" r:id="rId5123" xr:uid="{00000000-0004-0000-0000-000002140000}"/>
    <hyperlink ref="B5005" r:id="rId5124" xr:uid="{00000000-0004-0000-0000-000003140000}"/>
    <hyperlink ref="B5006" r:id="rId5125" xr:uid="{00000000-0004-0000-0000-000004140000}"/>
    <hyperlink ref="B5007" r:id="rId5126" xr:uid="{00000000-0004-0000-0000-000005140000}"/>
    <hyperlink ref="B5008" r:id="rId5127" xr:uid="{00000000-0004-0000-0000-000006140000}"/>
    <hyperlink ref="B5009" r:id="rId5128" xr:uid="{00000000-0004-0000-0000-000007140000}"/>
    <hyperlink ref="B5010" r:id="rId5129" xr:uid="{00000000-0004-0000-0000-000008140000}"/>
    <hyperlink ref="B5011" r:id="rId5130" xr:uid="{00000000-0004-0000-0000-000009140000}"/>
    <hyperlink ref="B5012" r:id="rId5131" xr:uid="{00000000-0004-0000-0000-00000A140000}"/>
    <hyperlink ref="B5013" r:id="rId5132" xr:uid="{00000000-0004-0000-0000-00000B140000}"/>
    <hyperlink ref="B5014" r:id="rId5133" xr:uid="{00000000-0004-0000-0000-00000C140000}"/>
    <hyperlink ref="B5015" r:id="rId5134" xr:uid="{00000000-0004-0000-0000-00000D140000}"/>
    <hyperlink ref="B5016" r:id="rId5135" xr:uid="{00000000-0004-0000-0000-00000E140000}"/>
    <hyperlink ref="B5017" r:id="rId5136" xr:uid="{00000000-0004-0000-0000-00000F140000}"/>
    <hyperlink ref="B5018" r:id="rId5137" xr:uid="{00000000-0004-0000-0000-000010140000}"/>
    <hyperlink ref="B5019" r:id="rId5138" xr:uid="{00000000-0004-0000-0000-000011140000}"/>
    <hyperlink ref="B5020" r:id="rId5139" xr:uid="{00000000-0004-0000-0000-000012140000}"/>
    <hyperlink ref="B5021" r:id="rId5140" xr:uid="{00000000-0004-0000-0000-000013140000}"/>
    <hyperlink ref="B5022" r:id="rId5141" xr:uid="{00000000-0004-0000-0000-000014140000}"/>
    <hyperlink ref="B5023" r:id="rId5142" xr:uid="{00000000-0004-0000-0000-000015140000}"/>
    <hyperlink ref="B5024" r:id="rId5143" xr:uid="{00000000-0004-0000-0000-000016140000}"/>
    <hyperlink ref="B5025" r:id="rId5144" xr:uid="{00000000-0004-0000-0000-000017140000}"/>
    <hyperlink ref="B5026" r:id="rId5145" xr:uid="{00000000-0004-0000-0000-000018140000}"/>
    <hyperlink ref="B5027" r:id="rId5146" xr:uid="{00000000-0004-0000-0000-000019140000}"/>
    <hyperlink ref="B5028" r:id="rId5147" xr:uid="{00000000-0004-0000-0000-00001A140000}"/>
    <hyperlink ref="B5029" r:id="rId5148" xr:uid="{00000000-0004-0000-0000-00001B140000}"/>
    <hyperlink ref="B5030" r:id="rId5149" xr:uid="{00000000-0004-0000-0000-00001C140000}"/>
    <hyperlink ref="B5031" r:id="rId5150" xr:uid="{00000000-0004-0000-0000-00001D140000}"/>
    <hyperlink ref="B5032" r:id="rId5151" xr:uid="{00000000-0004-0000-0000-00001E140000}"/>
    <hyperlink ref="B5033" r:id="rId5152" xr:uid="{00000000-0004-0000-0000-00001F140000}"/>
    <hyperlink ref="B5034" r:id="rId5153" xr:uid="{00000000-0004-0000-0000-000020140000}"/>
    <hyperlink ref="B5035" r:id="rId5154" xr:uid="{00000000-0004-0000-0000-000021140000}"/>
    <hyperlink ref="B5036" r:id="rId5155" xr:uid="{00000000-0004-0000-0000-000022140000}"/>
    <hyperlink ref="B5037" r:id="rId5156" xr:uid="{00000000-0004-0000-0000-000023140000}"/>
    <hyperlink ref="B5038" r:id="rId5157" xr:uid="{00000000-0004-0000-0000-000024140000}"/>
    <hyperlink ref="B5039" r:id="rId5158" xr:uid="{00000000-0004-0000-0000-000025140000}"/>
    <hyperlink ref="B5040" r:id="rId5159" xr:uid="{00000000-0004-0000-0000-000026140000}"/>
    <hyperlink ref="B5041" r:id="rId5160" xr:uid="{00000000-0004-0000-0000-000027140000}"/>
    <hyperlink ref="B5042" r:id="rId5161" xr:uid="{00000000-0004-0000-0000-000028140000}"/>
    <hyperlink ref="B5043" r:id="rId5162" xr:uid="{00000000-0004-0000-0000-000029140000}"/>
    <hyperlink ref="B5044" r:id="rId5163" xr:uid="{00000000-0004-0000-0000-00002A140000}"/>
    <hyperlink ref="B5045" r:id="rId5164" xr:uid="{00000000-0004-0000-0000-00002B140000}"/>
    <hyperlink ref="B5046" r:id="rId5165" xr:uid="{00000000-0004-0000-0000-00002C140000}"/>
    <hyperlink ref="B5047" r:id="rId5166" xr:uid="{00000000-0004-0000-0000-00002D140000}"/>
    <hyperlink ref="B5048" r:id="rId5167" xr:uid="{00000000-0004-0000-0000-00002E140000}"/>
    <hyperlink ref="B5049" r:id="rId5168" xr:uid="{00000000-0004-0000-0000-00002F140000}"/>
    <hyperlink ref="B5050" r:id="rId5169" xr:uid="{00000000-0004-0000-0000-000030140000}"/>
    <hyperlink ref="B5051" r:id="rId5170" xr:uid="{00000000-0004-0000-0000-000031140000}"/>
    <hyperlink ref="B5052" r:id="rId5171" xr:uid="{00000000-0004-0000-0000-000032140000}"/>
    <hyperlink ref="B5053" r:id="rId5172" xr:uid="{00000000-0004-0000-0000-000033140000}"/>
    <hyperlink ref="B5054" r:id="rId5173" xr:uid="{00000000-0004-0000-0000-000034140000}"/>
    <hyperlink ref="B5055" r:id="rId5174" xr:uid="{00000000-0004-0000-0000-000035140000}"/>
    <hyperlink ref="B5056" r:id="rId5175" xr:uid="{00000000-0004-0000-0000-000036140000}"/>
    <hyperlink ref="B5057" r:id="rId5176" xr:uid="{00000000-0004-0000-0000-000037140000}"/>
    <hyperlink ref="B5058" r:id="rId5177" xr:uid="{00000000-0004-0000-0000-000038140000}"/>
    <hyperlink ref="B5059" r:id="rId5178" xr:uid="{00000000-0004-0000-0000-000039140000}"/>
    <hyperlink ref="B5060" r:id="rId5179" xr:uid="{00000000-0004-0000-0000-00003A140000}"/>
    <hyperlink ref="B5061" r:id="rId5180" xr:uid="{00000000-0004-0000-0000-00003B140000}"/>
    <hyperlink ref="B5062" r:id="rId5181" xr:uid="{00000000-0004-0000-0000-00003C140000}"/>
    <hyperlink ref="B5063" r:id="rId5182" xr:uid="{00000000-0004-0000-0000-00003D140000}"/>
    <hyperlink ref="B5064" r:id="rId5183" xr:uid="{00000000-0004-0000-0000-00003E140000}"/>
    <hyperlink ref="B5065" r:id="rId5184" xr:uid="{00000000-0004-0000-0000-00003F140000}"/>
    <hyperlink ref="B5066" r:id="rId5185" xr:uid="{00000000-0004-0000-0000-000040140000}"/>
    <hyperlink ref="B5067" r:id="rId5186" xr:uid="{00000000-0004-0000-0000-000041140000}"/>
    <hyperlink ref="B5068" r:id="rId5187" xr:uid="{00000000-0004-0000-0000-000042140000}"/>
    <hyperlink ref="B5069" r:id="rId5188" xr:uid="{00000000-0004-0000-0000-000043140000}"/>
    <hyperlink ref="B5070" r:id="rId5189" xr:uid="{00000000-0004-0000-0000-000044140000}"/>
    <hyperlink ref="B5071" r:id="rId5190" xr:uid="{00000000-0004-0000-0000-000045140000}"/>
    <hyperlink ref="B5072" r:id="rId5191" xr:uid="{00000000-0004-0000-0000-000046140000}"/>
    <hyperlink ref="B5073" r:id="rId5192" xr:uid="{00000000-0004-0000-0000-000047140000}"/>
    <hyperlink ref="B5074" r:id="rId5193" xr:uid="{00000000-0004-0000-0000-000048140000}"/>
    <hyperlink ref="B5075" r:id="rId5194" xr:uid="{00000000-0004-0000-0000-000049140000}"/>
    <hyperlink ref="B5076" r:id="rId5195" xr:uid="{00000000-0004-0000-0000-00004A140000}"/>
    <hyperlink ref="B5077" r:id="rId5196" xr:uid="{00000000-0004-0000-0000-00004B140000}"/>
    <hyperlink ref="B5078" r:id="rId5197" xr:uid="{00000000-0004-0000-0000-00004C140000}"/>
    <hyperlink ref="B5079" r:id="rId5198" xr:uid="{00000000-0004-0000-0000-00004D140000}"/>
    <hyperlink ref="B5080" r:id="rId5199" xr:uid="{00000000-0004-0000-0000-00004E140000}"/>
    <hyperlink ref="B5081" r:id="rId5200" xr:uid="{00000000-0004-0000-0000-00004F140000}"/>
    <hyperlink ref="B5082" r:id="rId5201" xr:uid="{00000000-0004-0000-0000-000050140000}"/>
    <hyperlink ref="B5083" r:id="rId5202" xr:uid="{00000000-0004-0000-0000-000051140000}"/>
    <hyperlink ref="B5084" r:id="rId5203" xr:uid="{00000000-0004-0000-0000-000052140000}"/>
    <hyperlink ref="B5085" r:id="rId5204" xr:uid="{00000000-0004-0000-0000-000053140000}"/>
    <hyperlink ref="B5086" r:id="rId5205" xr:uid="{00000000-0004-0000-0000-000054140000}"/>
    <hyperlink ref="B5087" r:id="rId5206" xr:uid="{00000000-0004-0000-0000-000055140000}"/>
    <hyperlink ref="B5088" r:id="rId5207" xr:uid="{00000000-0004-0000-0000-000056140000}"/>
    <hyperlink ref="B5089" r:id="rId5208" xr:uid="{00000000-0004-0000-0000-000057140000}"/>
    <hyperlink ref="B5090" r:id="rId5209" xr:uid="{00000000-0004-0000-0000-000058140000}"/>
    <hyperlink ref="B5091" r:id="rId5210" xr:uid="{00000000-0004-0000-0000-000059140000}"/>
    <hyperlink ref="B5092" r:id="rId5211" xr:uid="{00000000-0004-0000-0000-00005A140000}"/>
    <hyperlink ref="B5093" r:id="rId5212" xr:uid="{00000000-0004-0000-0000-00005B140000}"/>
    <hyperlink ref="B5094" r:id="rId5213" xr:uid="{00000000-0004-0000-0000-00005C140000}"/>
    <hyperlink ref="B5095" r:id="rId5214" xr:uid="{00000000-0004-0000-0000-00005D140000}"/>
    <hyperlink ref="B5096" r:id="rId5215" xr:uid="{00000000-0004-0000-0000-00005E140000}"/>
    <hyperlink ref="B5097" r:id="rId5216" xr:uid="{00000000-0004-0000-0000-00005F140000}"/>
    <hyperlink ref="B5098" r:id="rId5217" xr:uid="{00000000-0004-0000-0000-000060140000}"/>
    <hyperlink ref="B5099" r:id="rId5218" xr:uid="{00000000-0004-0000-0000-000061140000}"/>
    <hyperlink ref="B5100" r:id="rId5219" xr:uid="{00000000-0004-0000-0000-000062140000}"/>
    <hyperlink ref="B5101" r:id="rId5220" xr:uid="{00000000-0004-0000-0000-000063140000}"/>
    <hyperlink ref="B5102" r:id="rId5221" xr:uid="{00000000-0004-0000-0000-000064140000}"/>
    <hyperlink ref="B5103" r:id="rId5222" xr:uid="{00000000-0004-0000-0000-000065140000}"/>
    <hyperlink ref="B5104" r:id="rId5223" xr:uid="{00000000-0004-0000-0000-000066140000}"/>
    <hyperlink ref="B5105" r:id="rId5224" xr:uid="{00000000-0004-0000-0000-000067140000}"/>
    <hyperlink ref="B5106" r:id="rId5225" xr:uid="{00000000-0004-0000-0000-000068140000}"/>
    <hyperlink ref="B5107" r:id="rId5226" xr:uid="{00000000-0004-0000-0000-000069140000}"/>
    <hyperlink ref="B5108" r:id="rId5227" xr:uid="{00000000-0004-0000-0000-00006A140000}"/>
    <hyperlink ref="B5109" r:id="rId5228" xr:uid="{00000000-0004-0000-0000-00006B140000}"/>
    <hyperlink ref="B5110" r:id="rId5229" xr:uid="{00000000-0004-0000-0000-00006C140000}"/>
    <hyperlink ref="B5111" r:id="rId5230" xr:uid="{00000000-0004-0000-0000-00006D140000}"/>
    <hyperlink ref="B5112" r:id="rId5231" xr:uid="{00000000-0004-0000-0000-00006E140000}"/>
    <hyperlink ref="B5113" r:id="rId5232" xr:uid="{00000000-0004-0000-0000-00006F140000}"/>
    <hyperlink ref="B5114" r:id="rId5233" xr:uid="{00000000-0004-0000-0000-000070140000}"/>
    <hyperlink ref="B5115" r:id="rId5234" xr:uid="{00000000-0004-0000-0000-000071140000}"/>
    <hyperlink ref="B5116" r:id="rId5235" xr:uid="{00000000-0004-0000-0000-000072140000}"/>
    <hyperlink ref="B5117" r:id="rId5236" xr:uid="{00000000-0004-0000-0000-000073140000}"/>
    <hyperlink ref="B5118" r:id="rId5237" xr:uid="{00000000-0004-0000-0000-000074140000}"/>
    <hyperlink ref="B5119" r:id="rId5238" xr:uid="{00000000-0004-0000-0000-000075140000}"/>
    <hyperlink ref="B5120" r:id="rId5239" xr:uid="{00000000-0004-0000-0000-000076140000}"/>
    <hyperlink ref="B5121" r:id="rId5240" xr:uid="{00000000-0004-0000-0000-000077140000}"/>
    <hyperlink ref="B5122" r:id="rId5241" xr:uid="{00000000-0004-0000-0000-000078140000}"/>
    <hyperlink ref="B5123" r:id="rId5242" xr:uid="{00000000-0004-0000-0000-000079140000}"/>
    <hyperlink ref="B5124" r:id="rId5243" xr:uid="{00000000-0004-0000-0000-00007A140000}"/>
    <hyperlink ref="B5125" r:id="rId5244" xr:uid="{00000000-0004-0000-0000-00007B140000}"/>
    <hyperlink ref="B5126" r:id="rId5245" xr:uid="{00000000-0004-0000-0000-00007C140000}"/>
    <hyperlink ref="B5127" r:id="rId5246" xr:uid="{00000000-0004-0000-0000-00007D140000}"/>
    <hyperlink ref="B5128" r:id="rId5247" xr:uid="{00000000-0004-0000-0000-00007E140000}"/>
    <hyperlink ref="B5129" r:id="rId5248" xr:uid="{00000000-0004-0000-0000-00007F140000}"/>
    <hyperlink ref="B5130" r:id="rId5249" xr:uid="{00000000-0004-0000-0000-000080140000}"/>
    <hyperlink ref="B5131" r:id="rId5250" xr:uid="{00000000-0004-0000-0000-000081140000}"/>
    <hyperlink ref="B5132" r:id="rId5251" xr:uid="{00000000-0004-0000-0000-000082140000}"/>
    <hyperlink ref="B5133" r:id="rId5252" xr:uid="{00000000-0004-0000-0000-000083140000}"/>
    <hyperlink ref="B5134" r:id="rId5253" xr:uid="{00000000-0004-0000-0000-000084140000}"/>
    <hyperlink ref="B5135" r:id="rId5254" xr:uid="{00000000-0004-0000-0000-000085140000}"/>
    <hyperlink ref="B5136" r:id="rId5255" xr:uid="{00000000-0004-0000-0000-000086140000}"/>
    <hyperlink ref="B5137" r:id="rId5256" xr:uid="{00000000-0004-0000-0000-000087140000}"/>
    <hyperlink ref="B5138" r:id="rId5257" xr:uid="{00000000-0004-0000-0000-000088140000}"/>
    <hyperlink ref="B5139" r:id="rId5258" xr:uid="{00000000-0004-0000-0000-000089140000}"/>
    <hyperlink ref="B5140" r:id="rId5259" xr:uid="{00000000-0004-0000-0000-00008A140000}"/>
    <hyperlink ref="B5141" r:id="rId5260" xr:uid="{00000000-0004-0000-0000-00008B140000}"/>
    <hyperlink ref="B5142" r:id="rId5261" xr:uid="{00000000-0004-0000-0000-00008C140000}"/>
    <hyperlink ref="B5143" r:id="rId5262" xr:uid="{00000000-0004-0000-0000-00008D140000}"/>
    <hyperlink ref="B5144" r:id="rId5263" xr:uid="{00000000-0004-0000-0000-00008E140000}"/>
    <hyperlink ref="B5145" r:id="rId5264" xr:uid="{00000000-0004-0000-0000-00008F140000}"/>
    <hyperlink ref="B5146" r:id="rId5265" xr:uid="{00000000-0004-0000-0000-000090140000}"/>
    <hyperlink ref="B5147" r:id="rId5266" xr:uid="{00000000-0004-0000-0000-000091140000}"/>
    <hyperlink ref="B5148" r:id="rId5267" xr:uid="{00000000-0004-0000-0000-000092140000}"/>
    <hyperlink ref="B5149" r:id="rId5268" xr:uid="{00000000-0004-0000-0000-000093140000}"/>
    <hyperlink ref="B5150" r:id="rId5269" xr:uid="{00000000-0004-0000-0000-000094140000}"/>
    <hyperlink ref="B5151" r:id="rId5270" xr:uid="{00000000-0004-0000-0000-000095140000}"/>
    <hyperlink ref="B5152" r:id="rId5271" xr:uid="{00000000-0004-0000-0000-000096140000}"/>
    <hyperlink ref="B5153" r:id="rId5272" xr:uid="{00000000-0004-0000-0000-000097140000}"/>
    <hyperlink ref="B5154" r:id="rId5273" xr:uid="{00000000-0004-0000-0000-000098140000}"/>
    <hyperlink ref="B5155" r:id="rId5274" xr:uid="{00000000-0004-0000-0000-000099140000}"/>
    <hyperlink ref="B5156" r:id="rId5275" xr:uid="{00000000-0004-0000-0000-00009A140000}"/>
    <hyperlink ref="B5157" r:id="rId5276" xr:uid="{00000000-0004-0000-0000-00009B140000}"/>
    <hyperlink ref="B5158" r:id="rId5277" xr:uid="{00000000-0004-0000-0000-00009C140000}"/>
    <hyperlink ref="B5159" r:id="rId5278" xr:uid="{00000000-0004-0000-0000-00009D140000}"/>
    <hyperlink ref="B5160" r:id="rId5279" xr:uid="{00000000-0004-0000-0000-00009E140000}"/>
    <hyperlink ref="B5161" r:id="rId5280" xr:uid="{00000000-0004-0000-0000-00009F140000}"/>
    <hyperlink ref="B5162" r:id="rId5281" xr:uid="{00000000-0004-0000-0000-0000A0140000}"/>
    <hyperlink ref="B5163" r:id="rId5282" xr:uid="{00000000-0004-0000-0000-0000A1140000}"/>
    <hyperlink ref="B5164" r:id="rId5283" xr:uid="{00000000-0004-0000-0000-0000A2140000}"/>
    <hyperlink ref="B5165" r:id="rId5284" xr:uid="{00000000-0004-0000-0000-0000A3140000}"/>
    <hyperlink ref="B5166" r:id="rId5285" xr:uid="{00000000-0004-0000-0000-0000A4140000}"/>
    <hyperlink ref="B5167" r:id="rId5286" xr:uid="{00000000-0004-0000-0000-0000A5140000}"/>
    <hyperlink ref="B5168" r:id="rId5287" xr:uid="{00000000-0004-0000-0000-0000A6140000}"/>
    <hyperlink ref="B5169" r:id="rId5288" xr:uid="{00000000-0004-0000-0000-0000A7140000}"/>
    <hyperlink ref="B5170" r:id="rId5289" xr:uid="{00000000-0004-0000-0000-0000A8140000}"/>
    <hyperlink ref="B5171" r:id="rId5290" xr:uid="{00000000-0004-0000-0000-0000A9140000}"/>
    <hyperlink ref="B5172" r:id="rId5291" xr:uid="{00000000-0004-0000-0000-0000AA140000}"/>
    <hyperlink ref="B5173" r:id="rId5292" xr:uid="{00000000-0004-0000-0000-0000AB140000}"/>
    <hyperlink ref="B5174" r:id="rId5293" xr:uid="{00000000-0004-0000-0000-0000AC140000}"/>
    <hyperlink ref="B5175" r:id="rId5294" xr:uid="{00000000-0004-0000-0000-0000AD140000}"/>
    <hyperlink ref="B5176" r:id="rId5295" xr:uid="{00000000-0004-0000-0000-0000AE140000}"/>
    <hyperlink ref="B5177" r:id="rId5296" xr:uid="{00000000-0004-0000-0000-0000AF140000}"/>
    <hyperlink ref="B5178" r:id="rId5297" xr:uid="{00000000-0004-0000-0000-0000B0140000}"/>
    <hyperlink ref="B5179" r:id="rId5298" xr:uid="{00000000-0004-0000-0000-0000B1140000}"/>
    <hyperlink ref="B5180" r:id="rId5299" xr:uid="{00000000-0004-0000-0000-0000B2140000}"/>
    <hyperlink ref="B5181" r:id="rId5300" xr:uid="{00000000-0004-0000-0000-0000B3140000}"/>
    <hyperlink ref="B5182" r:id="rId5301" xr:uid="{00000000-0004-0000-0000-0000B4140000}"/>
    <hyperlink ref="B5183" r:id="rId5302" xr:uid="{00000000-0004-0000-0000-0000B5140000}"/>
    <hyperlink ref="B5184" r:id="rId5303" xr:uid="{00000000-0004-0000-0000-0000B6140000}"/>
    <hyperlink ref="B5185" r:id="rId5304" xr:uid="{00000000-0004-0000-0000-0000B7140000}"/>
    <hyperlink ref="B5186" r:id="rId5305" xr:uid="{00000000-0004-0000-0000-0000B8140000}"/>
    <hyperlink ref="B5187" r:id="rId5306" xr:uid="{00000000-0004-0000-0000-0000B9140000}"/>
    <hyperlink ref="B5188" r:id="rId5307" xr:uid="{00000000-0004-0000-0000-0000BA140000}"/>
    <hyperlink ref="B5189" r:id="rId5308" xr:uid="{00000000-0004-0000-0000-0000BB140000}"/>
    <hyperlink ref="B5190" r:id="rId5309" xr:uid="{00000000-0004-0000-0000-0000BC140000}"/>
    <hyperlink ref="B5191" r:id="rId5310" xr:uid="{00000000-0004-0000-0000-0000BD140000}"/>
    <hyperlink ref="B5192" r:id="rId5311" xr:uid="{00000000-0004-0000-0000-0000BE140000}"/>
    <hyperlink ref="B5193" r:id="rId5312" xr:uid="{00000000-0004-0000-0000-0000BF140000}"/>
    <hyperlink ref="B5194" r:id="rId5313" xr:uid="{00000000-0004-0000-0000-0000C0140000}"/>
    <hyperlink ref="B5195" r:id="rId5314" xr:uid="{00000000-0004-0000-0000-0000C1140000}"/>
    <hyperlink ref="B5196" r:id="rId5315" xr:uid="{00000000-0004-0000-0000-0000C2140000}"/>
    <hyperlink ref="B5197" r:id="rId5316" xr:uid="{00000000-0004-0000-0000-0000C3140000}"/>
    <hyperlink ref="B5198" r:id="rId5317" xr:uid="{00000000-0004-0000-0000-0000C4140000}"/>
    <hyperlink ref="B5199" r:id="rId5318" xr:uid="{00000000-0004-0000-0000-0000C5140000}"/>
    <hyperlink ref="B5200" r:id="rId5319" xr:uid="{00000000-0004-0000-0000-0000C6140000}"/>
    <hyperlink ref="B5201" r:id="rId5320" xr:uid="{00000000-0004-0000-0000-0000C7140000}"/>
    <hyperlink ref="B5202" r:id="rId5321" xr:uid="{00000000-0004-0000-0000-0000C8140000}"/>
    <hyperlink ref="B5203" r:id="rId5322" xr:uid="{00000000-0004-0000-0000-0000C9140000}"/>
    <hyperlink ref="B5204" r:id="rId5323" xr:uid="{00000000-0004-0000-0000-0000CA140000}"/>
    <hyperlink ref="B5205" r:id="rId5324" xr:uid="{00000000-0004-0000-0000-0000CB140000}"/>
    <hyperlink ref="B5206" r:id="rId5325" xr:uid="{00000000-0004-0000-0000-0000CC140000}"/>
    <hyperlink ref="B5207" r:id="rId5326" xr:uid="{00000000-0004-0000-0000-0000CD140000}"/>
    <hyperlink ref="B5208" r:id="rId5327" xr:uid="{00000000-0004-0000-0000-0000CE140000}"/>
    <hyperlink ref="B5209" r:id="rId5328" xr:uid="{00000000-0004-0000-0000-0000CF140000}"/>
    <hyperlink ref="B5210" r:id="rId5329" xr:uid="{00000000-0004-0000-0000-0000D0140000}"/>
    <hyperlink ref="B5211" r:id="rId5330" xr:uid="{00000000-0004-0000-0000-0000D1140000}"/>
    <hyperlink ref="B5212" r:id="rId5331" xr:uid="{00000000-0004-0000-0000-0000D2140000}"/>
    <hyperlink ref="B5213" r:id="rId5332" xr:uid="{00000000-0004-0000-0000-0000D3140000}"/>
    <hyperlink ref="B5214" r:id="rId5333" xr:uid="{00000000-0004-0000-0000-0000D4140000}"/>
    <hyperlink ref="B5215" r:id="rId5334" xr:uid="{00000000-0004-0000-0000-0000D5140000}"/>
    <hyperlink ref="B5216" r:id="rId5335" xr:uid="{00000000-0004-0000-0000-0000D6140000}"/>
    <hyperlink ref="B5217" r:id="rId5336" xr:uid="{00000000-0004-0000-0000-0000D7140000}"/>
    <hyperlink ref="B5218" r:id="rId5337" xr:uid="{00000000-0004-0000-0000-0000D8140000}"/>
    <hyperlink ref="B5219" r:id="rId5338" xr:uid="{00000000-0004-0000-0000-0000D9140000}"/>
    <hyperlink ref="B5220" r:id="rId5339" xr:uid="{00000000-0004-0000-0000-0000DA140000}"/>
    <hyperlink ref="B5221" r:id="rId5340" xr:uid="{00000000-0004-0000-0000-0000DB140000}"/>
    <hyperlink ref="B5222" r:id="rId5341" xr:uid="{00000000-0004-0000-0000-0000DC140000}"/>
    <hyperlink ref="B5223" r:id="rId5342" xr:uid="{00000000-0004-0000-0000-0000DD140000}"/>
    <hyperlink ref="B5224" r:id="rId5343" xr:uid="{00000000-0004-0000-0000-0000DE140000}"/>
    <hyperlink ref="B5225" r:id="rId5344" xr:uid="{00000000-0004-0000-0000-0000DF140000}"/>
    <hyperlink ref="B5226" r:id="rId5345" xr:uid="{00000000-0004-0000-0000-0000E0140000}"/>
    <hyperlink ref="B5227" r:id="rId5346" xr:uid="{00000000-0004-0000-0000-0000E1140000}"/>
    <hyperlink ref="B5228" r:id="rId5347" xr:uid="{00000000-0004-0000-0000-0000E2140000}"/>
    <hyperlink ref="B5229" r:id="rId5348" xr:uid="{00000000-0004-0000-0000-0000E3140000}"/>
    <hyperlink ref="B5230" r:id="rId5349" xr:uid="{00000000-0004-0000-0000-0000E4140000}"/>
    <hyperlink ref="B5231" r:id="rId5350" xr:uid="{00000000-0004-0000-0000-0000E5140000}"/>
    <hyperlink ref="B5232" r:id="rId5351" xr:uid="{00000000-0004-0000-0000-0000E6140000}"/>
    <hyperlink ref="B5233" r:id="rId5352" xr:uid="{00000000-0004-0000-0000-0000E7140000}"/>
    <hyperlink ref="B5234" r:id="rId5353" xr:uid="{00000000-0004-0000-0000-0000E8140000}"/>
    <hyperlink ref="B5235" r:id="rId5354" xr:uid="{00000000-0004-0000-0000-0000E9140000}"/>
    <hyperlink ref="B5236" r:id="rId5355" xr:uid="{00000000-0004-0000-0000-0000EA140000}"/>
    <hyperlink ref="B5237" r:id="rId5356" xr:uid="{00000000-0004-0000-0000-0000EB140000}"/>
    <hyperlink ref="B5238" r:id="rId5357" xr:uid="{00000000-0004-0000-0000-0000EC140000}"/>
    <hyperlink ref="B5239" r:id="rId5358" xr:uid="{00000000-0004-0000-0000-0000ED140000}"/>
    <hyperlink ref="B5240" r:id="rId5359" xr:uid="{00000000-0004-0000-0000-0000EE140000}"/>
    <hyperlink ref="B5241" r:id="rId5360" xr:uid="{00000000-0004-0000-0000-0000EF140000}"/>
    <hyperlink ref="B5242" r:id="rId5361" xr:uid="{00000000-0004-0000-0000-0000F0140000}"/>
    <hyperlink ref="B5243" r:id="rId5362" xr:uid="{00000000-0004-0000-0000-0000F1140000}"/>
    <hyperlink ref="B5244" r:id="rId5363" xr:uid="{00000000-0004-0000-0000-0000F2140000}"/>
    <hyperlink ref="B5245" r:id="rId5364" xr:uid="{00000000-0004-0000-0000-0000F3140000}"/>
    <hyperlink ref="B5246" r:id="rId5365" xr:uid="{00000000-0004-0000-0000-0000F4140000}"/>
    <hyperlink ref="B5247" r:id="rId5366" xr:uid="{00000000-0004-0000-0000-0000F5140000}"/>
    <hyperlink ref="B5248" r:id="rId5367" xr:uid="{00000000-0004-0000-0000-0000F6140000}"/>
    <hyperlink ref="B5249" r:id="rId5368" xr:uid="{00000000-0004-0000-0000-0000F7140000}"/>
    <hyperlink ref="B5250" r:id="rId5369" xr:uid="{00000000-0004-0000-0000-0000F8140000}"/>
    <hyperlink ref="B5251" r:id="rId5370" xr:uid="{00000000-0004-0000-0000-0000F9140000}"/>
    <hyperlink ref="B5252" r:id="rId5371" xr:uid="{00000000-0004-0000-0000-0000FA140000}"/>
    <hyperlink ref="B5253" r:id="rId5372" xr:uid="{00000000-0004-0000-0000-0000FB140000}"/>
    <hyperlink ref="B5254" r:id="rId5373" xr:uid="{00000000-0004-0000-0000-0000FC140000}"/>
    <hyperlink ref="B5255" r:id="rId5374" xr:uid="{00000000-0004-0000-0000-0000FD140000}"/>
    <hyperlink ref="B5256" r:id="rId5375" xr:uid="{00000000-0004-0000-0000-0000FE140000}"/>
    <hyperlink ref="B5257" r:id="rId5376" xr:uid="{00000000-0004-0000-0000-0000FF140000}"/>
    <hyperlink ref="B5258" r:id="rId5377" xr:uid="{00000000-0004-0000-0000-000000150000}"/>
    <hyperlink ref="B5259" r:id="rId5378" xr:uid="{00000000-0004-0000-0000-000001150000}"/>
    <hyperlink ref="B5260" r:id="rId5379" xr:uid="{00000000-0004-0000-0000-000002150000}"/>
    <hyperlink ref="B5261" r:id="rId5380" xr:uid="{00000000-0004-0000-0000-000003150000}"/>
    <hyperlink ref="B5262" r:id="rId5381" xr:uid="{00000000-0004-0000-0000-000004150000}"/>
    <hyperlink ref="B5263" r:id="rId5382" xr:uid="{00000000-0004-0000-0000-000005150000}"/>
    <hyperlink ref="B5264" r:id="rId5383" xr:uid="{00000000-0004-0000-0000-000006150000}"/>
    <hyperlink ref="B5265" r:id="rId5384" xr:uid="{00000000-0004-0000-0000-000007150000}"/>
    <hyperlink ref="B5266" r:id="rId5385" xr:uid="{00000000-0004-0000-0000-000008150000}"/>
    <hyperlink ref="B5267" r:id="rId5386" xr:uid="{00000000-0004-0000-0000-000009150000}"/>
    <hyperlink ref="B5268" r:id="rId5387" xr:uid="{00000000-0004-0000-0000-00000A150000}"/>
    <hyperlink ref="B5269" r:id="rId5388" xr:uid="{00000000-0004-0000-0000-00000B150000}"/>
    <hyperlink ref="B5270" r:id="rId5389" xr:uid="{00000000-0004-0000-0000-00000C150000}"/>
    <hyperlink ref="B5271" r:id="rId5390" xr:uid="{00000000-0004-0000-0000-00000D150000}"/>
    <hyperlink ref="B5272" r:id="rId5391" xr:uid="{00000000-0004-0000-0000-00000E150000}"/>
    <hyperlink ref="B5273" r:id="rId5392" xr:uid="{00000000-0004-0000-0000-00000F150000}"/>
    <hyperlink ref="B5274" r:id="rId5393" xr:uid="{00000000-0004-0000-0000-000010150000}"/>
    <hyperlink ref="B5275" r:id="rId5394" xr:uid="{00000000-0004-0000-0000-000011150000}"/>
    <hyperlink ref="B5276" r:id="rId5395" xr:uid="{00000000-0004-0000-0000-000012150000}"/>
    <hyperlink ref="B5277" r:id="rId5396" xr:uid="{00000000-0004-0000-0000-000013150000}"/>
    <hyperlink ref="B5278" r:id="rId5397" xr:uid="{00000000-0004-0000-0000-000014150000}"/>
    <hyperlink ref="B5279" r:id="rId5398" xr:uid="{00000000-0004-0000-0000-000015150000}"/>
    <hyperlink ref="B5280" r:id="rId5399" xr:uid="{00000000-0004-0000-0000-000016150000}"/>
    <hyperlink ref="B5281" r:id="rId5400" xr:uid="{00000000-0004-0000-0000-000017150000}"/>
    <hyperlink ref="B5282" r:id="rId5401" xr:uid="{00000000-0004-0000-0000-000018150000}"/>
    <hyperlink ref="B5283" r:id="rId5402" xr:uid="{00000000-0004-0000-0000-000019150000}"/>
    <hyperlink ref="B5284" r:id="rId5403" xr:uid="{00000000-0004-0000-0000-00001A150000}"/>
    <hyperlink ref="B5285" r:id="rId5404" xr:uid="{00000000-0004-0000-0000-00001B150000}"/>
    <hyperlink ref="B5286" r:id="rId5405" xr:uid="{00000000-0004-0000-0000-00001C150000}"/>
    <hyperlink ref="B5287" r:id="rId5406" xr:uid="{00000000-0004-0000-0000-00001D150000}"/>
    <hyperlink ref="B5288" r:id="rId5407" xr:uid="{00000000-0004-0000-0000-00001E150000}"/>
    <hyperlink ref="B5289" r:id="rId5408" xr:uid="{00000000-0004-0000-0000-00001F150000}"/>
    <hyperlink ref="B5290" r:id="rId5409" xr:uid="{00000000-0004-0000-0000-000020150000}"/>
    <hyperlink ref="B5291" r:id="rId5410" xr:uid="{00000000-0004-0000-0000-000021150000}"/>
    <hyperlink ref="B5292" r:id="rId5411" xr:uid="{00000000-0004-0000-0000-000022150000}"/>
    <hyperlink ref="B5293" r:id="rId5412" xr:uid="{00000000-0004-0000-0000-000023150000}"/>
    <hyperlink ref="B5294" r:id="rId5413" xr:uid="{00000000-0004-0000-0000-000024150000}"/>
    <hyperlink ref="B5295" r:id="rId5414" xr:uid="{00000000-0004-0000-0000-000025150000}"/>
    <hyperlink ref="B5296" r:id="rId5415" xr:uid="{00000000-0004-0000-0000-000026150000}"/>
    <hyperlink ref="B5297" r:id="rId5416" xr:uid="{00000000-0004-0000-0000-000027150000}"/>
    <hyperlink ref="B5298" r:id="rId5417" xr:uid="{00000000-0004-0000-0000-000028150000}"/>
    <hyperlink ref="B5299" r:id="rId5418" xr:uid="{00000000-0004-0000-0000-000029150000}"/>
    <hyperlink ref="B5300" r:id="rId5419" xr:uid="{00000000-0004-0000-0000-00002A150000}"/>
    <hyperlink ref="B5301" r:id="rId5420" xr:uid="{00000000-0004-0000-0000-00002B150000}"/>
    <hyperlink ref="B5302" r:id="rId5421" xr:uid="{00000000-0004-0000-0000-00002C150000}"/>
    <hyperlink ref="B5303" r:id="rId5422" xr:uid="{00000000-0004-0000-0000-00002D150000}"/>
    <hyperlink ref="B5304" r:id="rId5423" xr:uid="{00000000-0004-0000-0000-00002E150000}"/>
    <hyperlink ref="B5305" r:id="rId5424" xr:uid="{00000000-0004-0000-0000-00002F150000}"/>
    <hyperlink ref="B5306" r:id="rId5425" xr:uid="{00000000-0004-0000-0000-000030150000}"/>
    <hyperlink ref="B5307" r:id="rId5426" xr:uid="{00000000-0004-0000-0000-000031150000}"/>
    <hyperlink ref="B5308" r:id="rId5427" xr:uid="{00000000-0004-0000-0000-000032150000}"/>
    <hyperlink ref="B5309" r:id="rId5428" xr:uid="{00000000-0004-0000-0000-000033150000}"/>
    <hyperlink ref="B5310" r:id="rId5429" xr:uid="{00000000-0004-0000-0000-000034150000}"/>
    <hyperlink ref="B5311" r:id="rId5430" xr:uid="{00000000-0004-0000-0000-000035150000}"/>
    <hyperlink ref="B5312" r:id="rId5431" xr:uid="{00000000-0004-0000-0000-000036150000}"/>
    <hyperlink ref="B5313" r:id="rId5432" xr:uid="{00000000-0004-0000-0000-000037150000}"/>
    <hyperlink ref="B5314" r:id="rId5433" xr:uid="{00000000-0004-0000-0000-000038150000}"/>
    <hyperlink ref="B5315" r:id="rId5434" xr:uid="{00000000-0004-0000-0000-000039150000}"/>
    <hyperlink ref="B5316" r:id="rId5435" xr:uid="{00000000-0004-0000-0000-00003A150000}"/>
    <hyperlink ref="B5317" r:id="rId5436" xr:uid="{00000000-0004-0000-0000-00003B150000}"/>
    <hyperlink ref="B5318" r:id="rId5437" xr:uid="{00000000-0004-0000-0000-00003C150000}"/>
    <hyperlink ref="B5319" r:id="rId5438" xr:uid="{00000000-0004-0000-0000-00003D150000}"/>
    <hyperlink ref="B5320" r:id="rId5439" xr:uid="{00000000-0004-0000-0000-00003E150000}"/>
    <hyperlink ref="B5321" r:id="rId5440" xr:uid="{00000000-0004-0000-0000-00003F150000}"/>
    <hyperlink ref="B5322" r:id="rId5441" xr:uid="{00000000-0004-0000-0000-000040150000}"/>
    <hyperlink ref="B5323" r:id="rId5442" xr:uid="{00000000-0004-0000-0000-000041150000}"/>
    <hyperlink ref="B5324" r:id="rId5443" xr:uid="{00000000-0004-0000-0000-000042150000}"/>
    <hyperlink ref="B5325" r:id="rId5444" xr:uid="{00000000-0004-0000-0000-000043150000}"/>
    <hyperlink ref="B5326" r:id="rId5445" xr:uid="{00000000-0004-0000-0000-000044150000}"/>
    <hyperlink ref="B5327" r:id="rId5446" xr:uid="{00000000-0004-0000-0000-000045150000}"/>
    <hyperlink ref="B5328" r:id="rId5447" xr:uid="{00000000-0004-0000-0000-000046150000}"/>
    <hyperlink ref="B5329" r:id="rId5448" xr:uid="{00000000-0004-0000-0000-000047150000}"/>
    <hyperlink ref="B5330" r:id="rId5449" xr:uid="{00000000-0004-0000-0000-000048150000}"/>
    <hyperlink ref="B5331" r:id="rId5450" xr:uid="{00000000-0004-0000-0000-000049150000}"/>
    <hyperlink ref="B5332" r:id="rId5451" xr:uid="{00000000-0004-0000-0000-00004A150000}"/>
    <hyperlink ref="B5333" r:id="rId5452" xr:uid="{00000000-0004-0000-0000-00004B150000}"/>
    <hyperlink ref="B5334" r:id="rId5453" xr:uid="{00000000-0004-0000-0000-00004C150000}"/>
    <hyperlink ref="B5335" r:id="rId5454" xr:uid="{00000000-0004-0000-0000-00004D150000}"/>
    <hyperlink ref="B5336" r:id="rId5455" xr:uid="{00000000-0004-0000-0000-00004E150000}"/>
    <hyperlink ref="B5337" r:id="rId5456" xr:uid="{00000000-0004-0000-0000-00004F150000}"/>
    <hyperlink ref="B5338" r:id="rId5457" xr:uid="{00000000-0004-0000-0000-000050150000}"/>
    <hyperlink ref="B5339" r:id="rId5458" xr:uid="{00000000-0004-0000-0000-000051150000}"/>
    <hyperlink ref="B5340" r:id="rId5459" xr:uid="{00000000-0004-0000-0000-000052150000}"/>
    <hyperlink ref="B5341" r:id="rId5460" xr:uid="{00000000-0004-0000-0000-000053150000}"/>
    <hyperlink ref="B5342" r:id="rId5461" xr:uid="{00000000-0004-0000-0000-000054150000}"/>
    <hyperlink ref="B5343" r:id="rId5462" xr:uid="{00000000-0004-0000-0000-000055150000}"/>
    <hyperlink ref="B5344" r:id="rId5463" xr:uid="{00000000-0004-0000-0000-000056150000}"/>
    <hyperlink ref="B5345" r:id="rId5464" xr:uid="{00000000-0004-0000-0000-000057150000}"/>
    <hyperlink ref="B5346" r:id="rId5465" xr:uid="{00000000-0004-0000-0000-000058150000}"/>
    <hyperlink ref="B5347" r:id="rId5466" xr:uid="{00000000-0004-0000-0000-000059150000}"/>
    <hyperlink ref="B5348" r:id="rId5467" xr:uid="{00000000-0004-0000-0000-00005A150000}"/>
    <hyperlink ref="B5349" r:id="rId5468" xr:uid="{00000000-0004-0000-0000-00005B150000}"/>
    <hyperlink ref="B5350" r:id="rId5469" xr:uid="{00000000-0004-0000-0000-00005C150000}"/>
    <hyperlink ref="B5351" r:id="rId5470" xr:uid="{00000000-0004-0000-0000-00005D150000}"/>
    <hyperlink ref="B5352" r:id="rId5471" xr:uid="{00000000-0004-0000-0000-00005E150000}"/>
    <hyperlink ref="B5353" r:id="rId5472" xr:uid="{00000000-0004-0000-0000-00005F150000}"/>
    <hyperlink ref="B5354" r:id="rId5473" xr:uid="{00000000-0004-0000-0000-000060150000}"/>
    <hyperlink ref="B5355" r:id="rId5474" xr:uid="{00000000-0004-0000-0000-000061150000}"/>
    <hyperlink ref="B5356" r:id="rId5475" xr:uid="{00000000-0004-0000-0000-000062150000}"/>
    <hyperlink ref="B5357" r:id="rId5476" xr:uid="{00000000-0004-0000-0000-000063150000}"/>
    <hyperlink ref="B5358" r:id="rId5477" xr:uid="{00000000-0004-0000-0000-000064150000}"/>
    <hyperlink ref="B5359" r:id="rId5478" xr:uid="{00000000-0004-0000-0000-000065150000}"/>
    <hyperlink ref="B5360" r:id="rId5479" xr:uid="{00000000-0004-0000-0000-000066150000}"/>
    <hyperlink ref="B5361" r:id="rId5480" xr:uid="{00000000-0004-0000-0000-000067150000}"/>
    <hyperlink ref="B5362" r:id="rId5481" xr:uid="{00000000-0004-0000-0000-000068150000}"/>
    <hyperlink ref="B5363" r:id="rId5482" xr:uid="{00000000-0004-0000-0000-000069150000}"/>
    <hyperlink ref="B5364" r:id="rId5483" xr:uid="{00000000-0004-0000-0000-00006A150000}"/>
    <hyperlink ref="B5365" r:id="rId5484" xr:uid="{00000000-0004-0000-0000-00006B150000}"/>
    <hyperlink ref="B5366" r:id="rId5485" xr:uid="{00000000-0004-0000-0000-00006C150000}"/>
    <hyperlink ref="B5367" r:id="rId5486" xr:uid="{00000000-0004-0000-0000-00006D150000}"/>
    <hyperlink ref="B5368" r:id="rId5487" xr:uid="{00000000-0004-0000-0000-00006E150000}"/>
    <hyperlink ref="B5369" r:id="rId5488" xr:uid="{00000000-0004-0000-0000-00006F150000}"/>
    <hyperlink ref="B5370" r:id="rId5489" xr:uid="{00000000-0004-0000-0000-000070150000}"/>
    <hyperlink ref="B5371" r:id="rId5490" xr:uid="{00000000-0004-0000-0000-000071150000}"/>
    <hyperlink ref="B5372" r:id="rId5491" xr:uid="{00000000-0004-0000-0000-000072150000}"/>
    <hyperlink ref="B5373" r:id="rId5492" xr:uid="{00000000-0004-0000-0000-000073150000}"/>
    <hyperlink ref="B5374" r:id="rId5493" xr:uid="{00000000-0004-0000-0000-000074150000}"/>
    <hyperlink ref="B5375" r:id="rId5494" xr:uid="{00000000-0004-0000-0000-000075150000}"/>
    <hyperlink ref="B5376" r:id="rId5495" xr:uid="{00000000-0004-0000-0000-000076150000}"/>
    <hyperlink ref="B5377" r:id="rId5496" xr:uid="{00000000-0004-0000-0000-000077150000}"/>
    <hyperlink ref="B5378" r:id="rId5497" xr:uid="{00000000-0004-0000-0000-000078150000}"/>
    <hyperlink ref="B5379" r:id="rId5498" xr:uid="{00000000-0004-0000-0000-000079150000}"/>
    <hyperlink ref="B5380" r:id="rId5499" xr:uid="{00000000-0004-0000-0000-00007A150000}"/>
    <hyperlink ref="B5381" r:id="rId5500" xr:uid="{00000000-0004-0000-0000-00007B150000}"/>
    <hyperlink ref="B5382" r:id="rId5501" xr:uid="{00000000-0004-0000-0000-00007C150000}"/>
    <hyperlink ref="B5383" r:id="rId5502" xr:uid="{00000000-0004-0000-0000-00007D150000}"/>
    <hyperlink ref="B5384" r:id="rId5503" xr:uid="{00000000-0004-0000-0000-00007E150000}"/>
    <hyperlink ref="B5385" r:id="rId5504" xr:uid="{00000000-0004-0000-0000-00007F150000}"/>
    <hyperlink ref="B5386" r:id="rId5505" xr:uid="{00000000-0004-0000-0000-000080150000}"/>
    <hyperlink ref="B5387" r:id="rId5506" xr:uid="{00000000-0004-0000-0000-000081150000}"/>
    <hyperlink ref="B5388" r:id="rId5507" xr:uid="{00000000-0004-0000-0000-000082150000}"/>
    <hyperlink ref="B5389" r:id="rId5508" xr:uid="{00000000-0004-0000-0000-000083150000}"/>
    <hyperlink ref="B5390" r:id="rId5509" xr:uid="{00000000-0004-0000-0000-000084150000}"/>
    <hyperlink ref="B5391" r:id="rId5510" xr:uid="{00000000-0004-0000-0000-000085150000}"/>
    <hyperlink ref="B5392" r:id="rId5511" xr:uid="{00000000-0004-0000-0000-000086150000}"/>
    <hyperlink ref="B5393" r:id="rId5512" xr:uid="{00000000-0004-0000-0000-000087150000}"/>
    <hyperlink ref="B5394" r:id="rId5513" xr:uid="{00000000-0004-0000-0000-000088150000}"/>
    <hyperlink ref="B5395" r:id="rId5514" xr:uid="{00000000-0004-0000-0000-000089150000}"/>
    <hyperlink ref="B5396" r:id="rId5515" xr:uid="{00000000-0004-0000-0000-00008A150000}"/>
    <hyperlink ref="B5397" r:id="rId5516" xr:uid="{00000000-0004-0000-0000-00008B150000}"/>
    <hyperlink ref="B5398" r:id="rId5517" xr:uid="{00000000-0004-0000-0000-00008C150000}"/>
    <hyperlink ref="B5399" r:id="rId5518" xr:uid="{00000000-0004-0000-0000-00008D150000}"/>
    <hyperlink ref="B5400" r:id="rId5519" xr:uid="{00000000-0004-0000-0000-00008E150000}"/>
    <hyperlink ref="B5401" r:id="rId5520" xr:uid="{00000000-0004-0000-0000-00008F150000}"/>
    <hyperlink ref="B5402" r:id="rId5521" xr:uid="{00000000-0004-0000-0000-000090150000}"/>
    <hyperlink ref="B5403" r:id="rId5522" xr:uid="{00000000-0004-0000-0000-000091150000}"/>
    <hyperlink ref="B5404" r:id="rId5523" xr:uid="{00000000-0004-0000-0000-000092150000}"/>
    <hyperlink ref="B5405" r:id="rId5524" xr:uid="{00000000-0004-0000-0000-000093150000}"/>
    <hyperlink ref="B5406" r:id="rId5525" xr:uid="{00000000-0004-0000-0000-000094150000}"/>
    <hyperlink ref="B5407" r:id="rId5526" xr:uid="{00000000-0004-0000-0000-000095150000}"/>
    <hyperlink ref="B5408" r:id="rId5527" xr:uid="{00000000-0004-0000-0000-000096150000}"/>
    <hyperlink ref="B5409" r:id="rId5528" xr:uid="{00000000-0004-0000-0000-000097150000}"/>
    <hyperlink ref="B5410" r:id="rId5529" xr:uid="{00000000-0004-0000-0000-000098150000}"/>
    <hyperlink ref="B5411" r:id="rId5530" xr:uid="{00000000-0004-0000-0000-000099150000}"/>
    <hyperlink ref="B5412" r:id="rId5531" xr:uid="{00000000-0004-0000-0000-00009A150000}"/>
    <hyperlink ref="B5413" r:id="rId5532" xr:uid="{00000000-0004-0000-0000-00009B150000}"/>
    <hyperlink ref="B5414" r:id="rId5533" xr:uid="{00000000-0004-0000-0000-00009C150000}"/>
    <hyperlink ref="B5415" r:id="rId5534" xr:uid="{00000000-0004-0000-0000-00009D150000}"/>
    <hyperlink ref="B5416" r:id="rId5535" xr:uid="{00000000-0004-0000-0000-00009E150000}"/>
    <hyperlink ref="B5417" r:id="rId5536" xr:uid="{00000000-0004-0000-0000-00009F150000}"/>
    <hyperlink ref="B5418" r:id="rId5537" xr:uid="{00000000-0004-0000-0000-0000A0150000}"/>
    <hyperlink ref="B5419" r:id="rId5538" xr:uid="{00000000-0004-0000-0000-0000A1150000}"/>
    <hyperlink ref="B5420" r:id="rId5539" xr:uid="{00000000-0004-0000-0000-0000A2150000}"/>
    <hyperlink ref="B5421" r:id="rId5540" xr:uid="{00000000-0004-0000-0000-0000A3150000}"/>
    <hyperlink ref="B5422" r:id="rId5541" xr:uid="{00000000-0004-0000-0000-0000A4150000}"/>
    <hyperlink ref="B5423" r:id="rId5542" xr:uid="{00000000-0004-0000-0000-0000A5150000}"/>
    <hyperlink ref="B5424" r:id="rId5543" xr:uid="{00000000-0004-0000-0000-0000A6150000}"/>
    <hyperlink ref="B5425" r:id="rId5544" xr:uid="{00000000-0004-0000-0000-0000A7150000}"/>
    <hyperlink ref="B5426" r:id="rId5545" xr:uid="{00000000-0004-0000-0000-0000A8150000}"/>
    <hyperlink ref="B5427" r:id="rId5546" xr:uid="{00000000-0004-0000-0000-0000A9150000}"/>
    <hyperlink ref="B5428" r:id="rId5547" xr:uid="{00000000-0004-0000-0000-0000AA150000}"/>
    <hyperlink ref="B5429" r:id="rId5548" xr:uid="{00000000-0004-0000-0000-0000AB150000}"/>
    <hyperlink ref="B5430" r:id="rId5549" xr:uid="{00000000-0004-0000-0000-0000AC150000}"/>
    <hyperlink ref="B5431" r:id="rId5550" xr:uid="{00000000-0004-0000-0000-0000AD150000}"/>
    <hyperlink ref="B5432" r:id="rId5551" xr:uid="{00000000-0004-0000-0000-0000AE150000}"/>
    <hyperlink ref="B5433" r:id="rId5552" xr:uid="{00000000-0004-0000-0000-0000AF150000}"/>
    <hyperlink ref="B5434" r:id="rId5553" xr:uid="{00000000-0004-0000-0000-0000B0150000}"/>
    <hyperlink ref="B5435" r:id="rId5554" xr:uid="{00000000-0004-0000-0000-0000B1150000}"/>
    <hyperlink ref="B5436" r:id="rId5555" xr:uid="{00000000-0004-0000-0000-0000B2150000}"/>
    <hyperlink ref="B5437" r:id="rId5556" xr:uid="{00000000-0004-0000-0000-0000B3150000}"/>
    <hyperlink ref="B5438" r:id="rId5557" xr:uid="{00000000-0004-0000-0000-0000B4150000}"/>
    <hyperlink ref="B5439" r:id="rId5558" xr:uid="{00000000-0004-0000-0000-0000B5150000}"/>
    <hyperlink ref="B5440" r:id="rId5559" xr:uid="{00000000-0004-0000-0000-0000B6150000}"/>
    <hyperlink ref="B5441" r:id="rId5560" xr:uid="{00000000-0004-0000-0000-0000B7150000}"/>
    <hyperlink ref="B5442" r:id="rId5561" xr:uid="{00000000-0004-0000-0000-0000B8150000}"/>
    <hyperlink ref="B5443" r:id="rId5562" xr:uid="{00000000-0004-0000-0000-0000B9150000}"/>
    <hyperlink ref="B5444" r:id="rId5563" xr:uid="{00000000-0004-0000-0000-0000BA150000}"/>
    <hyperlink ref="B5445" r:id="rId5564" xr:uid="{00000000-0004-0000-0000-0000BB150000}"/>
    <hyperlink ref="B5446" r:id="rId5565" xr:uid="{00000000-0004-0000-0000-0000BC150000}"/>
    <hyperlink ref="B5447" r:id="rId5566" xr:uid="{00000000-0004-0000-0000-0000BD150000}"/>
    <hyperlink ref="B5448" r:id="rId5567" xr:uid="{00000000-0004-0000-0000-0000BE150000}"/>
    <hyperlink ref="B5449" r:id="rId5568" xr:uid="{00000000-0004-0000-0000-0000BF150000}"/>
    <hyperlink ref="B5450" r:id="rId5569" xr:uid="{00000000-0004-0000-0000-0000C0150000}"/>
    <hyperlink ref="B5451" r:id="rId5570" xr:uid="{00000000-0004-0000-0000-0000C1150000}"/>
    <hyperlink ref="B5452" r:id="rId5571" xr:uid="{00000000-0004-0000-0000-0000C2150000}"/>
    <hyperlink ref="B5453" r:id="rId5572" xr:uid="{00000000-0004-0000-0000-0000C3150000}"/>
    <hyperlink ref="B5454" r:id="rId5573" xr:uid="{00000000-0004-0000-0000-0000C4150000}"/>
    <hyperlink ref="B5455" r:id="rId5574" xr:uid="{00000000-0004-0000-0000-0000C5150000}"/>
    <hyperlink ref="B5456" r:id="rId5575" xr:uid="{00000000-0004-0000-0000-0000C6150000}"/>
    <hyperlink ref="B5457" r:id="rId5576" xr:uid="{00000000-0004-0000-0000-0000C7150000}"/>
    <hyperlink ref="B5458" r:id="rId5577" xr:uid="{00000000-0004-0000-0000-0000C8150000}"/>
    <hyperlink ref="B5459" r:id="rId5578" xr:uid="{00000000-0004-0000-0000-0000C9150000}"/>
    <hyperlink ref="B5460" r:id="rId5579" xr:uid="{00000000-0004-0000-0000-0000CA150000}"/>
    <hyperlink ref="B5461" r:id="rId5580" xr:uid="{00000000-0004-0000-0000-0000CB150000}"/>
    <hyperlink ref="B5462" r:id="rId5581" xr:uid="{00000000-0004-0000-0000-0000CC150000}"/>
    <hyperlink ref="B5463" r:id="rId5582" xr:uid="{00000000-0004-0000-0000-0000CD150000}"/>
    <hyperlink ref="B5464" r:id="rId5583" xr:uid="{00000000-0004-0000-0000-0000CE150000}"/>
    <hyperlink ref="B5465" r:id="rId5584" xr:uid="{00000000-0004-0000-0000-0000CF150000}"/>
    <hyperlink ref="B5466" r:id="rId5585" xr:uid="{00000000-0004-0000-0000-0000D0150000}"/>
    <hyperlink ref="B5467" r:id="rId5586" xr:uid="{00000000-0004-0000-0000-0000D1150000}"/>
    <hyperlink ref="B5468" r:id="rId5587" xr:uid="{00000000-0004-0000-0000-0000D2150000}"/>
    <hyperlink ref="B5469" r:id="rId5588" xr:uid="{00000000-0004-0000-0000-0000D3150000}"/>
    <hyperlink ref="B5470" r:id="rId5589" xr:uid="{00000000-0004-0000-0000-0000D4150000}"/>
    <hyperlink ref="B5471" r:id="rId5590" xr:uid="{00000000-0004-0000-0000-0000D5150000}"/>
    <hyperlink ref="B5472" r:id="rId5591" xr:uid="{00000000-0004-0000-0000-0000D6150000}"/>
    <hyperlink ref="B5473" r:id="rId5592" xr:uid="{00000000-0004-0000-0000-0000D7150000}"/>
    <hyperlink ref="B5474" r:id="rId5593" xr:uid="{00000000-0004-0000-0000-0000D8150000}"/>
    <hyperlink ref="B5475" r:id="rId5594" xr:uid="{00000000-0004-0000-0000-0000D9150000}"/>
    <hyperlink ref="B5476" r:id="rId5595" xr:uid="{00000000-0004-0000-0000-0000DA150000}"/>
    <hyperlink ref="B5477" r:id="rId5596" xr:uid="{00000000-0004-0000-0000-0000DB150000}"/>
    <hyperlink ref="B5478" r:id="rId5597" xr:uid="{00000000-0004-0000-0000-0000DC150000}"/>
    <hyperlink ref="B5479" r:id="rId5598" xr:uid="{00000000-0004-0000-0000-0000DD150000}"/>
    <hyperlink ref="B5480" r:id="rId5599" xr:uid="{00000000-0004-0000-0000-0000DE150000}"/>
    <hyperlink ref="B5481" r:id="rId5600" xr:uid="{00000000-0004-0000-0000-0000DF150000}"/>
    <hyperlink ref="B5482" r:id="rId5601" xr:uid="{00000000-0004-0000-0000-0000E0150000}"/>
    <hyperlink ref="B5483" r:id="rId5602" xr:uid="{00000000-0004-0000-0000-0000E1150000}"/>
    <hyperlink ref="B5484" r:id="rId5603" xr:uid="{00000000-0004-0000-0000-0000E2150000}"/>
    <hyperlink ref="B5485" r:id="rId5604" xr:uid="{00000000-0004-0000-0000-0000E3150000}"/>
    <hyperlink ref="B5486" r:id="rId5605" xr:uid="{00000000-0004-0000-0000-0000E4150000}"/>
    <hyperlink ref="B5487" r:id="rId5606" xr:uid="{00000000-0004-0000-0000-0000E5150000}"/>
    <hyperlink ref="B5488" r:id="rId5607" xr:uid="{00000000-0004-0000-0000-0000E6150000}"/>
    <hyperlink ref="B5489" r:id="rId5608" xr:uid="{00000000-0004-0000-0000-0000E7150000}"/>
    <hyperlink ref="B5490" r:id="rId5609" xr:uid="{00000000-0004-0000-0000-0000E8150000}"/>
    <hyperlink ref="B5491" r:id="rId5610" xr:uid="{00000000-0004-0000-0000-0000E9150000}"/>
    <hyperlink ref="B5492" r:id="rId5611" xr:uid="{00000000-0004-0000-0000-0000EA150000}"/>
    <hyperlink ref="B5493" r:id="rId5612" xr:uid="{00000000-0004-0000-0000-0000EB150000}"/>
    <hyperlink ref="B5494" r:id="rId5613" xr:uid="{00000000-0004-0000-0000-0000EC150000}"/>
    <hyperlink ref="B5495" r:id="rId5614" xr:uid="{00000000-0004-0000-0000-0000ED150000}"/>
    <hyperlink ref="B5496" r:id="rId5615" xr:uid="{00000000-0004-0000-0000-0000EE150000}"/>
    <hyperlink ref="B5497" r:id="rId5616" xr:uid="{00000000-0004-0000-0000-0000EF150000}"/>
    <hyperlink ref="B5498" r:id="rId5617" xr:uid="{00000000-0004-0000-0000-0000F0150000}"/>
    <hyperlink ref="B5499" r:id="rId5618" xr:uid="{00000000-0004-0000-0000-0000F1150000}"/>
    <hyperlink ref="B5500" r:id="rId5619" xr:uid="{00000000-0004-0000-0000-0000F2150000}"/>
    <hyperlink ref="B5501" r:id="rId5620" xr:uid="{00000000-0004-0000-0000-0000F3150000}"/>
    <hyperlink ref="B5502" r:id="rId5621" xr:uid="{00000000-0004-0000-0000-0000F4150000}"/>
    <hyperlink ref="B5503" r:id="rId5622" xr:uid="{00000000-0004-0000-0000-0000F5150000}"/>
    <hyperlink ref="B5504" r:id="rId5623" xr:uid="{00000000-0004-0000-0000-0000F6150000}"/>
    <hyperlink ref="B5505" r:id="rId5624" xr:uid="{00000000-0004-0000-0000-0000F7150000}"/>
    <hyperlink ref="B5506" r:id="rId5625" xr:uid="{00000000-0004-0000-0000-0000F8150000}"/>
    <hyperlink ref="B5507" r:id="rId5626" xr:uid="{00000000-0004-0000-0000-0000F9150000}"/>
    <hyperlink ref="B5508" r:id="rId5627" xr:uid="{00000000-0004-0000-0000-0000FA150000}"/>
    <hyperlink ref="B5509" r:id="rId5628" xr:uid="{00000000-0004-0000-0000-0000FB150000}"/>
    <hyperlink ref="B5510" r:id="rId5629" xr:uid="{00000000-0004-0000-0000-0000FC150000}"/>
    <hyperlink ref="B5511" r:id="rId5630" xr:uid="{00000000-0004-0000-0000-0000FD150000}"/>
    <hyperlink ref="B5512" r:id="rId5631" xr:uid="{00000000-0004-0000-0000-0000FE150000}"/>
    <hyperlink ref="B5513" r:id="rId5632" xr:uid="{00000000-0004-0000-0000-0000FF150000}"/>
    <hyperlink ref="B5514" r:id="rId5633" xr:uid="{00000000-0004-0000-0000-000000160000}"/>
    <hyperlink ref="B5515" r:id="rId5634" xr:uid="{00000000-0004-0000-0000-000001160000}"/>
    <hyperlink ref="B5516" r:id="rId5635" xr:uid="{00000000-0004-0000-0000-000002160000}"/>
    <hyperlink ref="B5517" r:id="rId5636" xr:uid="{00000000-0004-0000-0000-000003160000}"/>
    <hyperlink ref="B5518" r:id="rId5637" xr:uid="{00000000-0004-0000-0000-000004160000}"/>
    <hyperlink ref="B5519" r:id="rId5638" xr:uid="{00000000-0004-0000-0000-000005160000}"/>
    <hyperlink ref="B5520" r:id="rId5639" xr:uid="{00000000-0004-0000-0000-000006160000}"/>
    <hyperlink ref="B5521" r:id="rId5640" xr:uid="{00000000-0004-0000-0000-000007160000}"/>
    <hyperlink ref="B5522" r:id="rId5641" xr:uid="{00000000-0004-0000-0000-000008160000}"/>
    <hyperlink ref="B5523" r:id="rId5642" xr:uid="{00000000-0004-0000-0000-000009160000}"/>
    <hyperlink ref="B5524" r:id="rId5643" xr:uid="{00000000-0004-0000-0000-00000A160000}"/>
    <hyperlink ref="B5525" r:id="rId5644" xr:uid="{00000000-0004-0000-0000-00000B160000}"/>
    <hyperlink ref="B5526" r:id="rId5645" xr:uid="{00000000-0004-0000-0000-00000C160000}"/>
    <hyperlink ref="B5527" r:id="rId5646" xr:uid="{00000000-0004-0000-0000-00000D160000}"/>
    <hyperlink ref="B5528" r:id="rId5647" xr:uid="{00000000-0004-0000-0000-00000E160000}"/>
    <hyperlink ref="B5529" r:id="rId5648" xr:uid="{00000000-0004-0000-0000-00000F160000}"/>
    <hyperlink ref="B5530" r:id="rId5649" xr:uid="{00000000-0004-0000-0000-000010160000}"/>
    <hyperlink ref="B5531" r:id="rId5650" xr:uid="{00000000-0004-0000-0000-000011160000}"/>
    <hyperlink ref="B5532" r:id="rId5651" xr:uid="{00000000-0004-0000-0000-000012160000}"/>
    <hyperlink ref="B5533" r:id="rId5652" xr:uid="{00000000-0004-0000-0000-000013160000}"/>
    <hyperlink ref="B5534" r:id="rId5653" xr:uid="{00000000-0004-0000-0000-000014160000}"/>
    <hyperlink ref="B5535" r:id="rId5654" xr:uid="{00000000-0004-0000-0000-000015160000}"/>
    <hyperlink ref="B5536" r:id="rId5655" xr:uid="{00000000-0004-0000-0000-000016160000}"/>
    <hyperlink ref="B5537" r:id="rId5656" xr:uid="{00000000-0004-0000-0000-000017160000}"/>
    <hyperlink ref="B5538" r:id="rId5657" xr:uid="{00000000-0004-0000-0000-000018160000}"/>
    <hyperlink ref="B5539" r:id="rId5658" xr:uid="{00000000-0004-0000-0000-000019160000}"/>
    <hyperlink ref="B5540" r:id="rId5659" xr:uid="{00000000-0004-0000-0000-00001A160000}"/>
    <hyperlink ref="B5541" r:id="rId5660" xr:uid="{00000000-0004-0000-0000-00001B160000}"/>
    <hyperlink ref="B5542" r:id="rId5661" xr:uid="{00000000-0004-0000-0000-00001C160000}"/>
    <hyperlink ref="B5543" r:id="rId5662" xr:uid="{00000000-0004-0000-0000-00001D160000}"/>
    <hyperlink ref="B5544" r:id="rId5663" xr:uid="{00000000-0004-0000-0000-00001E160000}"/>
    <hyperlink ref="B5545" r:id="rId5664" xr:uid="{00000000-0004-0000-0000-00001F160000}"/>
    <hyperlink ref="B5546" r:id="rId5665" xr:uid="{00000000-0004-0000-0000-000020160000}"/>
    <hyperlink ref="B5547" r:id="rId5666" xr:uid="{00000000-0004-0000-0000-000021160000}"/>
    <hyperlink ref="B5548" r:id="rId5667" xr:uid="{00000000-0004-0000-0000-000022160000}"/>
    <hyperlink ref="B5549" r:id="rId5668" xr:uid="{00000000-0004-0000-0000-000023160000}"/>
    <hyperlink ref="B5550" r:id="rId5669" xr:uid="{00000000-0004-0000-0000-000024160000}"/>
    <hyperlink ref="B5551" r:id="rId5670" xr:uid="{00000000-0004-0000-0000-000025160000}"/>
    <hyperlink ref="B5552" r:id="rId5671" xr:uid="{00000000-0004-0000-0000-000026160000}"/>
    <hyperlink ref="B5553" r:id="rId5672" xr:uid="{00000000-0004-0000-0000-000027160000}"/>
    <hyperlink ref="B5554" r:id="rId5673" xr:uid="{00000000-0004-0000-0000-000028160000}"/>
    <hyperlink ref="B5555" r:id="rId5674" xr:uid="{00000000-0004-0000-0000-000029160000}"/>
    <hyperlink ref="B5556" r:id="rId5675" xr:uid="{00000000-0004-0000-0000-00002A160000}"/>
    <hyperlink ref="B5557" r:id="rId5676" xr:uid="{00000000-0004-0000-0000-00002B160000}"/>
    <hyperlink ref="B5558" r:id="rId5677" xr:uid="{00000000-0004-0000-0000-00002C160000}"/>
    <hyperlink ref="B5559" r:id="rId5678" xr:uid="{00000000-0004-0000-0000-00002D160000}"/>
    <hyperlink ref="B5560" r:id="rId5679" xr:uid="{00000000-0004-0000-0000-00002E160000}"/>
    <hyperlink ref="B5561" r:id="rId5680" xr:uid="{00000000-0004-0000-0000-00002F160000}"/>
    <hyperlink ref="B5562" r:id="rId5681" xr:uid="{00000000-0004-0000-0000-000030160000}"/>
    <hyperlink ref="B5563" r:id="rId5682" xr:uid="{00000000-0004-0000-0000-000031160000}"/>
    <hyperlink ref="B5564" r:id="rId5683" xr:uid="{00000000-0004-0000-0000-000032160000}"/>
    <hyperlink ref="B5565" r:id="rId5684" xr:uid="{00000000-0004-0000-0000-000033160000}"/>
    <hyperlink ref="B5566" r:id="rId5685" xr:uid="{00000000-0004-0000-0000-000034160000}"/>
    <hyperlink ref="B5567" r:id="rId5686" xr:uid="{00000000-0004-0000-0000-000035160000}"/>
    <hyperlink ref="B5568" r:id="rId5687" xr:uid="{00000000-0004-0000-0000-000036160000}"/>
    <hyperlink ref="B5569" r:id="rId5688" xr:uid="{00000000-0004-0000-0000-000037160000}"/>
    <hyperlink ref="B5570" r:id="rId5689" xr:uid="{00000000-0004-0000-0000-000038160000}"/>
    <hyperlink ref="B5571" r:id="rId5690" xr:uid="{00000000-0004-0000-0000-000039160000}"/>
    <hyperlink ref="B5572" r:id="rId5691" xr:uid="{00000000-0004-0000-0000-00003A160000}"/>
    <hyperlink ref="B5573" r:id="rId5692" xr:uid="{00000000-0004-0000-0000-00003B160000}"/>
    <hyperlink ref="B5574" r:id="rId5693" xr:uid="{00000000-0004-0000-0000-00003C160000}"/>
    <hyperlink ref="B5575" r:id="rId5694" xr:uid="{00000000-0004-0000-0000-00003D160000}"/>
    <hyperlink ref="B5576" r:id="rId5695" xr:uid="{00000000-0004-0000-0000-00003E160000}"/>
    <hyperlink ref="B5577" r:id="rId5696" xr:uid="{00000000-0004-0000-0000-00003F160000}"/>
    <hyperlink ref="B5578" r:id="rId5697" xr:uid="{00000000-0004-0000-0000-000040160000}"/>
    <hyperlink ref="B5579" r:id="rId5698" xr:uid="{00000000-0004-0000-0000-000041160000}"/>
    <hyperlink ref="B5580" r:id="rId5699" xr:uid="{00000000-0004-0000-0000-000042160000}"/>
    <hyperlink ref="B5581" r:id="rId5700" xr:uid="{00000000-0004-0000-0000-000043160000}"/>
    <hyperlink ref="B5582" r:id="rId5701" xr:uid="{00000000-0004-0000-0000-000044160000}"/>
    <hyperlink ref="B5583" r:id="rId5702" xr:uid="{00000000-0004-0000-0000-000045160000}"/>
    <hyperlink ref="B5584" r:id="rId5703" xr:uid="{00000000-0004-0000-0000-000046160000}"/>
    <hyperlink ref="B5585" r:id="rId5704" xr:uid="{00000000-0004-0000-0000-000047160000}"/>
    <hyperlink ref="B5586" r:id="rId5705" xr:uid="{00000000-0004-0000-0000-000048160000}"/>
    <hyperlink ref="B5587" r:id="rId5706" xr:uid="{00000000-0004-0000-0000-000049160000}"/>
    <hyperlink ref="B5588" r:id="rId5707" xr:uid="{00000000-0004-0000-0000-00004A160000}"/>
    <hyperlink ref="B5589" r:id="rId5708" xr:uid="{00000000-0004-0000-0000-00004B160000}"/>
    <hyperlink ref="B5590" r:id="rId5709" xr:uid="{00000000-0004-0000-0000-00004C160000}"/>
    <hyperlink ref="B5591" r:id="rId5710" xr:uid="{00000000-0004-0000-0000-00004D160000}"/>
    <hyperlink ref="B5592" r:id="rId5711" xr:uid="{00000000-0004-0000-0000-00004E160000}"/>
    <hyperlink ref="B5593" r:id="rId5712" xr:uid="{00000000-0004-0000-0000-00004F160000}"/>
    <hyperlink ref="B5594" r:id="rId5713" xr:uid="{00000000-0004-0000-0000-000050160000}"/>
    <hyperlink ref="B5595" r:id="rId5714" xr:uid="{00000000-0004-0000-0000-000051160000}"/>
    <hyperlink ref="B5596" r:id="rId5715" xr:uid="{00000000-0004-0000-0000-000052160000}"/>
    <hyperlink ref="B5597" r:id="rId5716" xr:uid="{00000000-0004-0000-0000-000053160000}"/>
    <hyperlink ref="B5598" r:id="rId5717" xr:uid="{00000000-0004-0000-0000-000054160000}"/>
    <hyperlink ref="B5599" r:id="rId5718" xr:uid="{00000000-0004-0000-0000-000055160000}"/>
    <hyperlink ref="B5600" r:id="rId5719" xr:uid="{00000000-0004-0000-0000-000056160000}"/>
    <hyperlink ref="B5601" r:id="rId5720" xr:uid="{00000000-0004-0000-0000-000057160000}"/>
    <hyperlink ref="B5602" r:id="rId5721" xr:uid="{00000000-0004-0000-0000-000058160000}"/>
    <hyperlink ref="B5603" r:id="rId5722" xr:uid="{00000000-0004-0000-0000-000059160000}"/>
    <hyperlink ref="B5604" r:id="rId5723" xr:uid="{00000000-0004-0000-0000-00005A160000}"/>
    <hyperlink ref="B5605" r:id="rId5724" xr:uid="{00000000-0004-0000-0000-00005B160000}"/>
    <hyperlink ref="B5606" r:id="rId5725" xr:uid="{00000000-0004-0000-0000-00005C160000}"/>
    <hyperlink ref="B5607" r:id="rId5726" xr:uid="{00000000-0004-0000-0000-00005D160000}"/>
    <hyperlink ref="B5608" r:id="rId5727" xr:uid="{00000000-0004-0000-0000-00005E160000}"/>
    <hyperlink ref="B5609" r:id="rId5728" xr:uid="{00000000-0004-0000-0000-00005F160000}"/>
    <hyperlink ref="B5610" r:id="rId5729" xr:uid="{00000000-0004-0000-0000-000060160000}"/>
    <hyperlink ref="B5611" r:id="rId5730" xr:uid="{00000000-0004-0000-0000-000061160000}"/>
    <hyperlink ref="B5612" r:id="rId5731" xr:uid="{00000000-0004-0000-0000-000062160000}"/>
    <hyperlink ref="B5613" r:id="rId5732" xr:uid="{00000000-0004-0000-0000-000063160000}"/>
    <hyperlink ref="B5614" r:id="rId5733" xr:uid="{00000000-0004-0000-0000-000064160000}"/>
    <hyperlink ref="B5615" r:id="rId5734" xr:uid="{00000000-0004-0000-0000-000065160000}"/>
    <hyperlink ref="B5616" r:id="rId5735" xr:uid="{00000000-0004-0000-0000-000066160000}"/>
    <hyperlink ref="B5617" r:id="rId5736" xr:uid="{00000000-0004-0000-0000-000067160000}"/>
    <hyperlink ref="B5618" r:id="rId5737" xr:uid="{00000000-0004-0000-0000-000068160000}"/>
    <hyperlink ref="B5619" r:id="rId5738" xr:uid="{00000000-0004-0000-0000-000069160000}"/>
    <hyperlink ref="B5620" r:id="rId5739" xr:uid="{00000000-0004-0000-0000-00006A160000}"/>
    <hyperlink ref="B5621" r:id="rId5740" xr:uid="{00000000-0004-0000-0000-00006B160000}"/>
    <hyperlink ref="B5622" r:id="rId5741" xr:uid="{00000000-0004-0000-0000-00006C160000}"/>
    <hyperlink ref="B5623" r:id="rId5742" xr:uid="{00000000-0004-0000-0000-00006D160000}"/>
    <hyperlink ref="B5624" r:id="rId5743" xr:uid="{00000000-0004-0000-0000-00006E160000}"/>
    <hyperlink ref="B5625" r:id="rId5744" xr:uid="{00000000-0004-0000-0000-00006F160000}"/>
    <hyperlink ref="B5626" r:id="rId5745" xr:uid="{00000000-0004-0000-0000-000070160000}"/>
    <hyperlink ref="B5627" r:id="rId5746" xr:uid="{00000000-0004-0000-0000-000071160000}"/>
    <hyperlink ref="B5628" r:id="rId5747" xr:uid="{00000000-0004-0000-0000-000072160000}"/>
    <hyperlink ref="B5629" r:id="rId5748" xr:uid="{00000000-0004-0000-0000-000073160000}"/>
    <hyperlink ref="B5630" r:id="rId5749" xr:uid="{00000000-0004-0000-0000-000074160000}"/>
    <hyperlink ref="B5631" r:id="rId5750" xr:uid="{00000000-0004-0000-0000-000075160000}"/>
    <hyperlink ref="B5632" r:id="rId5751" xr:uid="{00000000-0004-0000-0000-000076160000}"/>
    <hyperlink ref="B5633" r:id="rId5752" xr:uid="{00000000-0004-0000-0000-000077160000}"/>
    <hyperlink ref="B5634" r:id="rId5753" xr:uid="{00000000-0004-0000-0000-000078160000}"/>
    <hyperlink ref="B5635" r:id="rId5754" xr:uid="{00000000-0004-0000-0000-000079160000}"/>
    <hyperlink ref="B5636" r:id="rId5755" xr:uid="{00000000-0004-0000-0000-00007A160000}"/>
    <hyperlink ref="B5637" r:id="rId5756" xr:uid="{00000000-0004-0000-0000-00007B160000}"/>
    <hyperlink ref="B5638" r:id="rId5757" xr:uid="{00000000-0004-0000-0000-00007C160000}"/>
    <hyperlink ref="B5639" r:id="rId5758" xr:uid="{00000000-0004-0000-0000-00007D160000}"/>
    <hyperlink ref="B5640" r:id="rId5759" xr:uid="{00000000-0004-0000-0000-00007E160000}"/>
    <hyperlink ref="B5641" r:id="rId5760" xr:uid="{00000000-0004-0000-0000-00007F160000}"/>
    <hyperlink ref="B5642" r:id="rId5761" xr:uid="{00000000-0004-0000-0000-000080160000}"/>
    <hyperlink ref="B5643" r:id="rId5762" xr:uid="{00000000-0004-0000-0000-000081160000}"/>
    <hyperlink ref="B5644" r:id="rId5763" xr:uid="{00000000-0004-0000-0000-000082160000}"/>
    <hyperlink ref="B5645" r:id="rId5764" xr:uid="{00000000-0004-0000-0000-000083160000}"/>
    <hyperlink ref="B5646" r:id="rId5765" xr:uid="{00000000-0004-0000-0000-000084160000}"/>
    <hyperlink ref="B5647" r:id="rId5766" xr:uid="{00000000-0004-0000-0000-000085160000}"/>
    <hyperlink ref="B5648" r:id="rId5767" xr:uid="{00000000-0004-0000-0000-000086160000}"/>
    <hyperlink ref="B5649" r:id="rId5768" xr:uid="{00000000-0004-0000-0000-000087160000}"/>
    <hyperlink ref="B5650" r:id="rId5769" xr:uid="{00000000-0004-0000-0000-000088160000}"/>
    <hyperlink ref="B5651" r:id="rId5770" xr:uid="{00000000-0004-0000-0000-000089160000}"/>
    <hyperlink ref="B5652" r:id="rId5771" xr:uid="{00000000-0004-0000-0000-00008A160000}"/>
    <hyperlink ref="B5653" r:id="rId5772" xr:uid="{00000000-0004-0000-0000-00008B160000}"/>
    <hyperlink ref="B5654" r:id="rId5773" xr:uid="{00000000-0004-0000-0000-00008C160000}"/>
    <hyperlink ref="B5655" r:id="rId5774" xr:uid="{00000000-0004-0000-0000-00008D160000}"/>
    <hyperlink ref="B5656" r:id="rId5775" xr:uid="{00000000-0004-0000-0000-00008E160000}"/>
    <hyperlink ref="B5657" r:id="rId5776" xr:uid="{00000000-0004-0000-0000-00008F160000}"/>
    <hyperlink ref="B5658" r:id="rId5777" xr:uid="{00000000-0004-0000-0000-000090160000}"/>
    <hyperlink ref="B5659" r:id="rId5778" xr:uid="{00000000-0004-0000-0000-000091160000}"/>
    <hyperlink ref="B5660" r:id="rId5779" xr:uid="{00000000-0004-0000-0000-000092160000}"/>
    <hyperlink ref="B5661" r:id="rId5780" xr:uid="{00000000-0004-0000-0000-000093160000}"/>
    <hyperlink ref="B5662" r:id="rId5781" xr:uid="{00000000-0004-0000-0000-000094160000}"/>
    <hyperlink ref="B5663" r:id="rId5782" xr:uid="{00000000-0004-0000-0000-000095160000}"/>
    <hyperlink ref="B5664" r:id="rId5783" xr:uid="{00000000-0004-0000-0000-000096160000}"/>
    <hyperlink ref="B5665" r:id="rId5784" xr:uid="{00000000-0004-0000-0000-000097160000}"/>
    <hyperlink ref="B5666" r:id="rId5785" xr:uid="{00000000-0004-0000-0000-000098160000}"/>
    <hyperlink ref="B5667" r:id="rId5786" xr:uid="{00000000-0004-0000-0000-000099160000}"/>
    <hyperlink ref="B5668" r:id="rId5787" xr:uid="{00000000-0004-0000-0000-00009A160000}"/>
    <hyperlink ref="B5669" r:id="rId5788" xr:uid="{00000000-0004-0000-0000-00009B160000}"/>
    <hyperlink ref="B5670" r:id="rId5789" xr:uid="{00000000-0004-0000-0000-00009C160000}"/>
    <hyperlink ref="B5671" r:id="rId5790" xr:uid="{00000000-0004-0000-0000-00009D160000}"/>
    <hyperlink ref="B5672" r:id="rId5791" xr:uid="{00000000-0004-0000-0000-00009E160000}"/>
    <hyperlink ref="B5673" r:id="rId5792" xr:uid="{00000000-0004-0000-0000-00009F160000}"/>
    <hyperlink ref="B5674" r:id="rId5793" xr:uid="{00000000-0004-0000-0000-0000A0160000}"/>
    <hyperlink ref="B5675" r:id="rId5794" xr:uid="{00000000-0004-0000-0000-0000A1160000}"/>
    <hyperlink ref="B5676" r:id="rId5795" xr:uid="{00000000-0004-0000-0000-0000A2160000}"/>
    <hyperlink ref="B5677" r:id="rId5796" xr:uid="{00000000-0004-0000-0000-0000A3160000}"/>
    <hyperlink ref="B5678" r:id="rId5797" xr:uid="{00000000-0004-0000-0000-0000A4160000}"/>
    <hyperlink ref="B5679" r:id="rId5798" xr:uid="{00000000-0004-0000-0000-0000A5160000}"/>
    <hyperlink ref="B5680" r:id="rId5799" xr:uid="{00000000-0004-0000-0000-0000A6160000}"/>
    <hyperlink ref="B5681" r:id="rId5800" xr:uid="{00000000-0004-0000-0000-0000A7160000}"/>
    <hyperlink ref="B5682" r:id="rId5801" xr:uid="{00000000-0004-0000-0000-0000A8160000}"/>
    <hyperlink ref="B5683" r:id="rId5802" xr:uid="{00000000-0004-0000-0000-0000A9160000}"/>
    <hyperlink ref="B5684" r:id="rId5803" xr:uid="{00000000-0004-0000-0000-0000AA160000}"/>
    <hyperlink ref="B5685" r:id="rId5804" xr:uid="{00000000-0004-0000-0000-0000AB160000}"/>
    <hyperlink ref="B5686" r:id="rId5805" xr:uid="{00000000-0004-0000-0000-0000AC160000}"/>
    <hyperlink ref="B5687" r:id="rId5806" xr:uid="{00000000-0004-0000-0000-0000AD160000}"/>
    <hyperlink ref="B5688" r:id="rId5807" xr:uid="{00000000-0004-0000-0000-0000AE160000}"/>
    <hyperlink ref="B5689" r:id="rId5808" xr:uid="{00000000-0004-0000-0000-0000AF160000}"/>
    <hyperlink ref="B5690" r:id="rId5809" xr:uid="{00000000-0004-0000-0000-0000B0160000}"/>
    <hyperlink ref="B5691" r:id="rId5810" xr:uid="{00000000-0004-0000-0000-0000B1160000}"/>
    <hyperlink ref="B5692" r:id="rId5811" xr:uid="{00000000-0004-0000-0000-0000B2160000}"/>
    <hyperlink ref="B5693" r:id="rId5812" xr:uid="{00000000-0004-0000-0000-0000B3160000}"/>
    <hyperlink ref="B5694" r:id="rId5813" xr:uid="{00000000-0004-0000-0000-0000B4160000}"/>
    <hyperlink ref="B5695" r:id="rId5814" xr:uid="{00000000-0004-0000-0000-0000B5160000}"/>
    <hyperlink ref="B5696" r:id="rId5815" xr:uid="{00000000-0004-0000-0000-0000B6160000}"/>
    <hyperlink ref="B5697" r:id="rId5816" xr:uid="{00000000-0004-0000-0000-0000B7160000}"/>
    <hyperlink ref="B5698" r:id="rId5817" xr:uid="{00000000-0004-0000-0000-0000B8160000}"/>
    <hyperlink ref="B5699" r:id="rId5818" xr:uid="{00000000-0004-0000-0000-0000B9160000}"/>
    <hyperlink ref="B5700" r:id="rId5819" xr:uid="{00000000-0004-0000-0000-0000BA160000}"/>
    <hyperlink ref="B5701" r:id="rId5820" xr:uid="{00000000-0004-0000-0000-0000BB160000}"/>
    <hyperlink ref="B5702" r:id="rId5821" xr:uid="{00000000-0004-0000-0000-0000BC160000}"/>
    <hyperlink ref="B5703" r:id="rId5822" xr:uid="{00000000-0004-0000-0000-0000BD160000}"/>
    <hyperlink ref="B5704" r:id="rId5823" xr:uid="{00000000-0004-0000-0000-0000BE160000}"/>
    <hyperlink ref="B5705" r:id="rId5824" xr:uid="{00000000-0004-0000-0000-0000BF160000}"/>
    <hyperlink ref="B5706" r:id="rId5825" xr:uid="{00000000-0004-0000-0000-0000C0160000}"/>
    <hyperlink ref="B5707" r:id="rId5826" xr:uid="{00000000-0004-0000-0000-0000C1160000}"/>
    <hyperlink ref="B5708" r:id="rId5827" xr:uid="{00000000-0004-0000-0000-0000C2160000}"/>
    <hyperlink ref="B5709" r:id="rId5828" xr:uid="{00000000-0004-0000-0000-0000C3160000}"/>
    <hyperlink ref="B5710" r:id="rId5829" xr:uid="{00000000-0004-0000-0000-0000C4160000}"/>
    <hyperlink ref="B5711" r:id="rId5830" xr:uid="{00000000-0004-0000-0000-0000C5160000}"/>
    <hyperlink ref="B5712" r:id="rId5831" xr:uid="{00000000-0004-0000-0000-0000C6160000}"/>
    <hyperlink ref="B5713" r:id="rId5832" xr:uid="{00000000-0004-0000-0000-0000C7160000}"/>
    <hyperlink ref="B5714" r:id="rId5833" xr:uid="{00000000-0004-0000-0000-0000C8160000}"/>
    <hyperlink ref="B5715" r:id="rId5834" xr:uid="{00000000-0004-0000-0000-0000C9160000}"/>
    <hyperlink ref="B5716" r:id="rId5835" xr:uid="{00000000-0004-0000-0000-0000CA160000}"/>
    <hyperlink ref="B5717" r:id="rId5836" xr:uid="{00000000-0004-0000-0000-0000CB160000}"/>
    <hyperlink ref="B5718" r:id="rId5837" xr:uid="{00000000-0004-0000-0000-0000CC160000}"/>
    <hyperlink ref="B5719" r:id="rId5838" xr:uid="{00000000-0004-0000-0000-0000CD160000}"/>
    <hyperlink ref="B5720" r:id="rId5839" xr:uid="{00000000-0004-0000-0000-0000CE160000}"/>
    <hyperlink ref="B5721" r:id="rId5840" xr:uid="{00000000-0004-0000-0000-0000CF160000}"/>
    <hyperlink ref="B5722" r:id="rId5841" xr:uid="{00000000-0004-0000-0000-0000D0160000}"/>
    <hyperlink ref="B5723" r:id="rId5842" xr:uid="{00000000-0004-0000-0000-0000D1160000}"/>
    <hyperlink ref="B5724" r:id="rId5843" xr:uid="{00000000-0004-0000-0000-0000D2160000}"/>
    <hyperlink ref="B5725" r:id="rId5844" xr:uid="{00000000-0004-0000-0000-0000D3160000}"/>
    <hyperlink ref="B5726" r:id="rId5845" xr:uid="{00000000-0004-0000-0000-0000D4160000}"/>
    <hyperlink ref="B5727" r:id="rId5846" xr:uid="{00000000-0004-0000-0000-0000D5160000}"/>
    <hyperlink ref="B5728" r:id="rId5847" xr:uid="{00000000-0004-0000-0000-0000D6160000}"/>
    <hyperlink ref="B5729" r:id="rId5848" xr:uid="{00000000-0004-0000-0000-0000D7160000}"/>
    <hyperlink ref="B5730" r:id="rId5849" xr:uid="{00000000-0004-0000-0000-0000D8160000}"/>
    <hyperlink ref="B5731" r:id="rId5850" xr:uid="{00000000-0004-0000-0000-0000D9160000}"/>
    <hyperlink ref="B5732" r:id="rId5851" xr:uid="{00000000-0004-0000-0000-0000DA160000}"/>
    <hyperlink ref="B5733" r:id="rId5852" xr:uid="{00000000-0004-0000-0000-0000DB160000}"/>
    <hyperlink ref="B5734" r:id="rId5853" xr:uid="{00000000-0004-0000-0000-0000DC160000}"/>
    <hyperlink ref="B5735" r:id="rId5854" xr:uid="{00000000-0004-0000-0000-0000DD160000}"/>
    <hyperlink ref="B5736" r:id="rId5855" xr:uid="{00000000-0004-0000-0000-0000DE160000}"/>
    <hyperlink ref="B5737" r:id="rId5856" xr:uid="{00000000-0004-0000-0000-0000DF160000}"/>
    <hyperlink ref="B5738" r:id="rId5857" xr:uid="{00000000-0004-0000-0000-0000E0160000}"/>
    <hyperlink ref="B5739" r:id="rId5858" xr:uid="{00000000-0004-0000-0000-0000E1160000}"/>
    <hyperlink ref="B5740" r:id="rId5859" xr:uid="{00000000-0004-0000-0000-0000E2160000}"/>
    <hyperlink ref="B5741" r:id="rId5860" xr:uid="{00000000-0004-0000-0000-0000E3160000}"/>
    <hyperlink ref="B5742" r:id="rId5861" xr:uid="{00000000-0004-0000-0000-0000E4160000}"/>
    <hyperlink ref="B5743" r:id="rId5862" xr:uid="{00000000-0004-0000-0000-0000E5160000}"/>
    <hyperlink ref="B5744" r:id="rId5863" xr:uid="{00000000-0004-0000-0000-0000E6160000}"/>
    <hyperlink ref="B5745" r:id="rId5864" xr:uid="{00000000-0004-0000-0000-0000E7160000}"/>
    <hyperlink ref="B5746" r:id="rId5865" xr:uid="{00000000-0004-0000-0000-0000E8160000}"/>
    <hyperlink ref="B5747" r:id="rId5866" xr:uid="{00000000-0004-0000-0000-0000E9160000}"/>
    <hyperlink ref="B5748" r:id="rId5867" xr:uid="{00000000-0004-0000-0000-0000EA160000}"/>
    <hyperlink ref="B5749" r:id="rId5868" xr:uid="{00000000-0004-0000-0000-0000EB160000}"/>
    <hyperlink ref="B5750" r:id="rId5869" xr:uid="{00000000-0004-0000-0000-0000EC160000}"/>
    <hyperlink ref="B5751" r:id="rId5870" xr:uid="{00000000-0004-0000-0000-0000ED160000}"/>
    <hyperlink ref="B5752" r:id="rId5871" xr:uid="{00000000-0004-0000-0000-0000EE160000}"/>
    <hyperlink ref="B5753" r:id="rId5872" xr:uid="{00000000-0004-0000-0000-0000EF160000}"/>
    <hyperlink ref="B5754" r:id="rId5873" xr:uid="{00000000-0004-0000-0000-0000F0160000}"/>
    <hyperlink ref="B5755" r:id="rId5874" xr:uid="{00000000-0004-0000-0000-0000F1160000}"/>
    <hyperlink ref="B5756" r:id="rId5875" xr:uid="{00000000-0004-0000-0000-0000F2160000}"/>
    <hyperlink ref="B5757" r:id="rId5876" xr:uid="{00000000-0004-0000-0000-0000F3160000}"/>
    <hyperlink ref="B5758" r:id="rId5877" xr:uid="{00000000-0004-0000-0000-0000F4160000}"/>
    <hyperlink ref="B5759" r:id="rId5878" xr:uid="{00000000-0004-0000-0000-0000F5160000}"/>
    <hyperlink ref="B5760" r:id="rId5879" xr:uid="{00000000-0004-0000-0000-0000F6160000}"/>
    <hyperlink ref="B5761" r:id="rId5880" xr:uid="{00000000-0004-0000-0000-0000F7160000}"/>
    <hyperlink ref="B5762" r:id="rId5881" xr:uid="{00000000-0004-0000-0000-0000F8160000}"/>
    <hyperlink ref="B5763" r:id="rId5882" xr:uid="{00000000-0004-0000-0000-0000F9160000}"/>
    <hyperlink ref="B5764" r:id="rId5883" xr:uid="{00000000-0004-0000-0000-0000FA160000}"/>
    <hyperlink ref="B5765" r:id="rId5884" xr:uid="{00000000-0004-0000-0000-0000FB160000}"/>
    <hyperlink ref="B5766" r:id="rId5885" xr:uid="{00000000-0004-0000-0000-0000FC160000}"/>
    <hyperlink ref="B5767" r:id="rId5886" xr:uid="{00000000-0004-0000-0000-0000FD160000}"/>
    <hyperlink ref="B5768" r:id="rId5887" xr:uid="{00000000-0004-0000-0000-0000FE160000}"/>
    <hyperlink ref="B5769" r:id="rId5888" xr:uid="{00000000-0004-0000-0000-0000FF160000}"/>
    <hyperlink ref="B5770" r:id="rId5889" xr:uid="{00000000-0004-0000-0000-000000170000}"/>
    <hyperlink ref="B5771" r:id="rId5890" xr:uid="{00000000-0004-0000-0000-000001170000}"/>
    <hyperlink ref="B5772" r:id="rId5891" xr:uid="{00000000-0004-0000-0000-000002170000}"/>
    <hyperlink ref="B5773" r:id="rId5892" xr:uid="{00000000-0004-0000-0000-000003170000}"/>
    <hyperlink ref="B5774" r:id="rId5893" xr:uid="{00000000-0004-0000-0000-000004170000}"/>
    <hyperlink ref="B5775" r:id="rId5894" xr:uid="{00000000-0004-0000-0000-000005170000}"/>
    <hyperlink ref="B5776" r:id="rId5895" xr:uid="{00000000-0004-0000-0000-000006170000}"/>
    <hyperlink ref="B5777" r:id="rId5896" xr:uid="{00000000-0004-0000-0000-000007170000}"/>
    <hyperlink ref="B5778" r:id="rId5897" xr:uid="{00000000-0004-0000-0000-000008170000}"/>
    <hyperlink ref="B5779" r:id="rId5898" xr:uid="{00000000-0004-0000-0000-000009170000}"/>
    <hyperlink ref="B5780" r:id="rId5899" xr:uid="{00000000-0004-0000-0000-00000A170000}"/>
    <hyperlink ref="B5781" r:id="rId5900" xr:uid="{00000000-0004-0000-0000-00000B170000}"/>
    <hyperlink ref="B5782" r:id="rId5901" xr:uid="{00000000-0004-0000-0000-00000C170000}"/>
    <hyperlink ref="B5783" r:id="rId5902" xr:uid="{00000000-0004-0000-0000-00000D170000}"/>
    <hyperlink ref="B5784" r:id="rId5903" xr:uid="{00000000-0004-0000-0000-00000E170000}"/>
    <hyperlink ref="B5785" r:id="rId5904" xr:uid="{00000000-0004-0000-0000-00000F170000}"/>
    <hyperlink ref="B5786" r:id="rId5905" xr:uid="{00000000-0004-0000-0000-000010170000}"/>
    <hyperlink ref="B5787" r:id="rId5906" xr:uid="{00000000-0004-0000-0000-000011170000}"/>
    <hyperlink ref="B5788" r:id="rId5907" xr:uid="{00000000-0004-0000-0000-000012170000}"/>
    <hyperlink ref="B5789" r:id="rId5908" xr:uid="{00000000-0004-0000-0000-000013170000}"/>
    <hyperlink ref="B5790" r:id="rId5909" xr:uid="{00000000-0004-0000-0000-000014170000}"/>
    <hyperlink ref="B5791" r:id="rId5910" xr:uid="{00000000-0004-0000-0000-000015170000}"/>
    <hyperlink ref="B5792" r:id="rId5911" xr:uid="{00000000-0004-0000-0000-000016170000}"/>
    <hyperlink ref="B5793" r:id="rId5912" xr:uid="{00000000-0004-0000-0000-000017170000}"/>
    <hyperlink ref="B5794" r:id="rId5913" xr:uid="{00000000-0004-0000-0000-000018170000}"/>
    <hyperlink ref="B5795" r:id="rId5914" xr:uid="{00000000-0004-0000-0000-000019170000}"/>
    <hyperlink ref="B5796" r:id="rId5915" xr:uid="{00000000-0004-0000-0000-00001A170000}"/>
    <hyperlink ref="B5797" r:id="rId5916" xr:uid="{00000000-0004-0000-0000-00001B170000}"/>
    <hyperlink ref="B5798" r:id="rId5917" xr:uid="{00000000-0004-0000-0000-00001C170000}"/>
    <hyperlink ref="B5799" r:id="rId5918" xr:uid="{00000000-0004-0000-0000-00001D170000}"/>
    <hyperlink ref="B5800" r:id="rId5919" xr:uid="{00000000-0004-0000-0000-00001E170000}"/>
    <hyperlink ref="B5801" r:id="rId5920" xr:uid="{00000000-0004-0000-0000-00001F170000}"/>
    <hyperlink ref="B5802" r:id="rId5921" xr:uid="{00000000-0004-0000-0000-000020170000}"/>
    <hyperlink ref="B5803" r:id="rId5922" xr:uid="{00000000-0004-0000-0000-000021170000}"/>
    <hyperlink ref="B5804" r:id="rId5923" xr:uid="{00000000-0004-0000-0000-000022170000}"/>
    <hyperlink ref="B5805" r:id="rId5924" xr:uid="{00000000-0004-0000-0000-000023170000}"/>
    <hyperlink ref="B5806" r:id="rId5925" xr:uid="{00000000-0004-0000-0000-000024170000}"/>
    <hyperlink ref="B5807" r:id="rId5926" xr:uid="{00000000-0004-0000-0000-000025170000}"/>
    <hyperlink ref="B5808" r:id="rId5927" xr:uid="{00000000-0004-0000-0000-000026170000}"/>
    <hyperlink ref="B5809" r:id="rId5928" xr:uid="{00000000-0004-0000-0000-000027170000}"/>
    <hyperlink ref="B5810" r:id="rId5929" xr:uid="{00000000-0004-0000-0000-000028170000}"/>
    <hyperlink ref="B5811" r:id="rId5930" xr:uid="{00000000-0004-0000-0000-000029170000}"/>
    <hyperlink ref="B5812" r:id="rId5931" xr:uid="{00000000-0004-0000-0000-00002A170000}"/>
    <hyperlink ref="B5813" r:id="rId5932" xr:uid="{00000000-0004-0000-0000-00002B170000}"/>
    <hyperlink ref="B5814" r:id="rId5933" xr:uid="{00000000-0004-0000-0000-00002C170000}"/>
    <hyperlink ref="B5815" r:id="rId5934" xr:uid="{00000000-0004-0000-0000-00002D170000}"/>
    <hyperlink ref="B5816" r:id="rId5935" xr:uid="{00000000-0004-0000-0000-00002E170000}"/>
    <hyperlink ref="B5817" r:id="rId5936" xr:uid="{00000000-0004-0000-0000-00002F170000}"/>
    <hyperlink ref="B5818" r:id="rId5937" xr:uid="{00000000-0004-0000-0000-000030170000}"/>
    <hyperlink ref="B5819" r:id="rId5938" xr:uid="{00000000-0004-0000-0000-000031170000}"/>
    <hyperlink ref="B5820" r:id="rId5939" xr:uid="{00000000-0004-0000-0000-000032170000}"/>
    <hyperlink ref="B5821" r:id="rId5940" xr:uid="{00000000-0004-0000-0000-000033170000}"/>
    <hyperlink ref="B5822" r:id="rId5941" xr:uid="{00000000-0004-0000-0000-000034170000}"/>
    <hyperlink ref="B5823" r:id="rId5942" xr:uid="{00000000-0004-0000-0000-000035170000}"/>
    <hyperlink ref="B5824" r:id="rId5943" xr:uid="{00000000-0004-0000-0000-000036170000}"/>
    <hyperlink ref="B5825" r:id="rId5944" xr:uid="{00000000-0004-0000-0000-000037170000}"/>
    <hyperlink ref="B5826" r:id="rId5945" xr:uid="{00000000-0004-0000-0000-000038170000}"/>
    <hyperlink ref="B5827" r:id="rId5946" xr:uid="{00000000-0004-0000-0000-000039170000}"/>
    <hyperlink ref="B5828" r:id="rId5947" xr:uid="{00000000-0004-0000-0000-00003A170000}"/>
    <hyperlink ref="B5829" r:id="rId5948" xr:uid="{00000000-0004-0000-0000-00003B170000}"/>
    <hyperlink ref="B5830" r:id="rId5949" xr:uid="{00000000-0004-0000-0000-00003C170000}"/>
    <hyperlink ref="B5831" r:id="rId5950" xr:uid="{00000000-0004-0000-0000-00003D170000}"/>
    <hyperlink ref="B5832" r:id="rId5951" xr:uid="{00000000-0004-0000-0000-00003E170000}"/>
    <hyperlink ref="B5833" r:id="rId5952" xr:uid="{00000000-0004-0000-0000-00003F170000}"/>
    <hyperlink ref="B5834" r:id="rId5953" xr:uid="{00000000-0004-0000-0000-000040170000}"/>
    <hyperlink ref="B5835" r:id="rId5954" xr:uid="{00000000-0004-0000-0000-000041170000}"/>
    <hyperlink ref="B5836" r:id="rId5955" xr:uid="{00000000-0004-0000-0000-000042170000}"/>
    <hyperlink ref="B5837" r:id="rId5956" xr:uid="{00000000-0004-0000-0000-000043170000}"/>
    <hyperlink ref="B5838" r:id="rId5957" xr:uid="{00000000-0004-0000-0000-000044170000}"/>
    <hyperlink ref="B5839" r:id="rId5958" xr:uid="{00000000-0004-0000-0000-000045170000}"/>
    <hyperlink ref="B5840" r:id="rId5959" xr:uid="{00000000-0004-0000-0000-000046170000}"/>
    <hyperlink ref="B5841" r:id="rId5960" xr:uid="{00000000-0004-0000-0000-000047170000}"/>
    <hyperlink ref="B5842" r:id="rId5961" xr:uid="{00000000-0004-0000-0000-000048170000}"/>
    <hyperlink ref="B5843" r:id="rId5962" xr:uid="{00000000-0004-0000-0000-000049170000}"/>
    <hyperlink ref="B5844" r:id="rId5963" xr:uid="{00000000-0004-0000-0000-00004A170000}"/>
    <hyperlink ref="B5845" r:id="rId5964" xr:uid="{00000000-0004-0000-0000-00004B170000}"/>
    <hyperlink ref="B5846" r:id="rId5965" xr:uid="{00000000-0004-0000-0000-00004C170000}"/>
    <hyperlink ref="B5847" r:id="rId5966" xr:uid="{00000000-0004-0000-0000-00004D170000}"/>
    <hyperlink ref="B5848" r:id="rId5967" xr:uid="{00000000-0004-0000-0000-00004E170000}"/>
    <hyperlink ref="B5849" r:id="rId5968" xr:uid="{00000000-0004-0000-0000-00004F170000}"/>
    <hyperlink ref="B5850" r:id="rId5969" xr:uid="{00000000-0004-0000-0000-000050170000}"/>
    <hyperlink ref="B5851" r:id="rId5970" xr:uid="{00000000-0004-0000-0000-000051170000}"/>
    <hyperlink ref="B5852" r:id="rId5971" xr:uid="{00000000-0004-0000-0000-000052170000}"/>
    <hyperlink ref="B5853" r:id="rId5972" xr:uid="{00000000-0004-0000-0000-000053170000}"/>
    <hyperlink ref="B5854" r:id="rId5973" xr:uid="{00000000-0004-0000-0000-000054170000}"/>
    <hyperlink ref="B5855" r:id="rId5974" xr:uid="{00000000-0004-0000-0000-000055170000}"/>
    <hyperlink ref="B5856" r:id="rId5975" xr:uid="{00000000-0004-0000-0000-000056170000}"/>
    <hyperlink ref="B5857" r:id="rId5976" xr:uid="{00000000-0004-0000-0000-000057170000}"/>
    <hyperlink ref="B5858" r:id="rId5977" xr:uid="{00000000-0004-0000-0000-000058170000}"/>
    <hyperlink ref="B5859" r:id="rId5978" xr:uid="{00000000-0004-0000-0000-000059170000}"/>
    <hyperlink ref="B5860" r:id="rId5979" xr:uid="{00000000-0004-0000-0000-00005A170000}"/>
    <hyperlink ref="B5861" r:id="rId5980" xr:uid="{00000000-0004-0000-0000-00005B170000}"/>
    <hyperlink ref="B5862" r:id="rId5981" xr:uid="{00000000-0004-0000-0000-00005C170000}"/>
    <hyperlink ref="B5863" r:id="rId5982" xr:uid="{00000000-0004-0000-0000-00005D170000}"/>
    <hyperlink ref="B5864" r:id="rId5983" xr:uid="{00000000-0004-0000-0000-00005E170000}"/>
    <hyperlink ref="B5865" r:id="rId5984" xr:uid="{00000000-0004-0000-0000-00005F170000}"/>
    <hyperlink ref="B5866" r:id="rId5985" xr:uid="{00000000-0004-0000-0000-000060170000}"/>
    <hyperlink ref="B5867" r:id="rId5986" xr:uid="{00000000-0004-0000-0000-000061170000}"/>
    <hyperlink ref="B5868" r:id="rId5987" xr:uid="{00000000-0004-0000-0000-000062170000}"/>
    <hyperlink ref="B5869" r:id="rId5988" xr:uid="{00000000-0004-0000-0000-000063170000}"/>
    <hyperlink ref="B5870" r:id="rId5989" xr:uid="{00000000-0004-0000-0000-000064170000}"/>
    <hyperlink ref="B5871" r:id="rId5990" xr:uid="{00000000-0004-0000-0000-000065170000}"/>
    <hyperlink ref="B5872" r:id="rId5991" xr:uid="{00000000-0004-0000-0000-000066170000}"/>
    <hyperlink ref="B5873" r:id="rId5992" xr:uid="{00000000-0004-0000-0000-000067170000}"/>
    <hyperlink ref="B5874" r:id="rId5993" xr:uid="{00000000-0004-0000-0000-000068170000}"/>
    <hyperlink ref="B5875" r:id="rId5994" xr:uid="{00000000-0004-0000-0000-000069170000}"/>
    <hyperlink ref="B5876" r:id="rId5995" xr:uid="{00000000-0004-0000-0000-00006A170000}"/>
    <hyperlink ref="B5877" r:id="rId5996" xr:uid="{00000000-0004-0000-0000-00006B170000}"/>
    <hyperlink ref="B5878" r:id="rId5997" xr:uid="{00000000-0004-0000-0000-00006C170000}"/>
    <hyperlink ref="B5879" r:id="rId5998" xr:uid="{00000000-0004-0000-0000-00006D170000}"/>
    <hyperlink ref="B5880" r:id="rId5999" xr:uid="{00000000-0004-0000-0000-00006E170000}"/>
    <hyperlink ref="B5881" r:id="rId6000" xr:uid="{00000000-0004-0000-0000-00006F170000}"/>
    <hyperlink ref="B5882" r:id="rId6001" xr:uid="{00000000-0004-0000-0000-000070170000}"/>
    <hyperlink ref="B5883" r:id="rId6002" xr:uid="{00000000-0004-0000-0000-000071170000}"/>
    <hyperlink ref="B5884" r:id="rId6003" xr:uid="{00000000-0004-0000-0000-000072170000}"/>
    <hyperlink ref="B5885" r:id="rId6004" xr:uid="{00000000-0004-0000-0000-000073170000}"/>
    <hyperlink ref="B5886" r:id="rId6005" xr:uid="{00000000-0004-0000-0000-000074170000}"/>
    <hyperlink ref="B5887" r:id="rId6006" xr:uid="{00000000-0004-0000-0000-000075170000}"/>
    <hyperlink ref="B5888" r:id="rId6007" xr:uid="{00000000-0004-0000-0000-000076170000}"/>
    <hyperlink ref="B5889" r:id="rId6008" xr:uid="{00000000-0004-0000-0000-000077170000}"/>
    <hyperlink ref="B5890" r:id="rId6009" xr:uid="{00000000-0004-0000-0000-000078170000}"/>
    <hyperlink ref="B5891" r:id="rId6010" xr:uid="{00000000-0004-0000-0000-000079170000}"/>
    <hyperlink ref="B5892" r:id="rId6011" xr:uid="{00000000-0004-0000-0000-00007A170000}"/>
    <hyperlink ref="B5893" r:id="rId6012" xr:uid="{00000000-0004-0000-0000-00007B170000}"/>
    <hyperlink ref="B5894" r:id="rId6013" xr:uid="{00000000-0004-0000-0000-00007C170000}"/>
    <hyperlink ref="B5895" r:id="rId6014" xr:uid="{00000000-0004-0000-0000-00007D170000}"/>
    <hyperlink ref="B5896" r:id="rId6015" xr:uid="{00000000-0004-0000-0000-00007E170000}"/>
    <hyperlink ref="B5897" r:id="rId6016" xr:uid="{00000000-0004-0000-0000-00007F170000}"/>
    <hyperlink ref="B5898" r:id="rId6017" xr:uid="{00000000-0004-0000-0000-000080170000}"/>
    <hyperlink ref="B5899" r:id="rId6018" xr:uid="{00000000-0004-0000-0000-000081170000}"/>
    <hyperlink ref="B5900" r:id="rId6019" xr:uid="{00000000-0004-0000-0000-000082170000}"/>
    <hyperlink ref="B5901" r:id="rId6020" xr:uid="{00000000-0004-0000-0000-000083170000}"/>
    <hyperlink ref="B5902" r:id="rId6021" xr:uid="{00000000-0004-0000-0000-000084170000}"/>
    <hyperlink ref="B5903" r:id="rId6022" xr:uid="{00000000-0004-0000-0000-000085170000}"/>
    <hyperlink ref="B5904" r:id="rId6023" xr:uid="{00000000-0004-0000-0000-000086170000}"/>
    <hyperlink ref="B5905" r:id="rId6024" xr:uid="{00000000-0004-0000-0000-000087170000}"/>
    <hyperlink ref="B5906" r:id="rId6025" xr:uid="{00000000-0004-0000-0000-000088170000}"/>
    <hyperlink ref="B5907" r:id="rId6026" xr:uid="{00000000-0004-0000-0000-000089170000}"/>
    <hyperlink ref="B5908" r:id="rId6027" xr:uid="{00000000-0004-0000-0000-00008A170000}"/>
    <hyperlink ref="B5909" r:id="rId6028" xr:uid="{00000000-0004-0000-0000-00008B170000}"/>
    <hyperlink ref="B5910" r:id="rId6029" xr:uid="{00000000-0004-0000-0000-00008C170000}"/>
    <hyperlink ref="B5911" r:id="rId6030" xr:uid="{00000000-0004-0000-0000-00008D170000}"/>
    <hyperlink ref="B5912" r:id="rId6031" xr:uid="{00000000-0004-0000-0000-00008E170000}"/>
    <hyperlink ref="B5913" r:id="rId6032" xr:uid="{00000000-0004-0000-0000-00008F170000}"/>
    <hyperlink ref="B5914" r:id="rId6033" xr:uid="{00000000-0004-0000-0000-000090170000}"/>
    <hyperlink ref="B5915" r:id="rId6034" xr:uid="{00000000-0004-0000-0000-000091170000}"/>
    <hyperlink ref="B5916" r:id="rId6035" xr:uid="{00000000-0004-0000-0000-000092170000}"/>
    <hyperlink ref="B5917" r:id="rId6036" xr:uid="{00000000-0004-0000-0000-000093170000}"/>
    <hyperlink ref="B5918" r:id="rId6037" xr:uid="{00000000-0004-0000-0000-000094170000}"/>
    <hyperlink ref="B5919" r:id="rId6038" xr:uid="{00000000-0004-0000-0000-000095170000}"/>
    <hyperlink ref="B5920" r:id="rId6039" xr:uid="{00000000-0004-0000-0000-000096170000}"/>
    <hyperlink ref="B5921" r:id="rId6040" xr:uid="{00000000-0004-0000-0000-000097170000}"/>
    <hyperlink ref="B5922" r:id="rId6041" xr:uid="{00000000-0004-0000-0000-000098170000}"/>
    <hyperlink ref="B5923" r:id="rId6042" xr:uid="{00000000-0004-0000-0000-000099170000}"/>
    <hyperlink ref="B5924" r:id="rId6043" xr:uid="{00000000-0004-0000-0000-00009A170000}"/>
    <hyperlink ref="B5925" r:id="rId6044" xr:uid="{00000000-0004-0000-0000-00009B170000}"/>
    <hyperlink ref="B5926" r:id="rId6045" xr:uid="{00000000-0004-0000-0000-00009C170000}"/>
    <hyperlink ref="B5927" r:id="rId6046" xr:uid="{00000000-0004-0000-0000-00009D170000}"/>
    <hyperlink ref="B5928" r:id="rId6047" xr:uid="{00000000-0004-0000-0000-00009E170000}"/>
    <hyperlink ref="B5929" r:id="rId6048" xr:uid="{00000000-0004-0000-0000-00009F170000}"/>
    <hyperlink ref="B5930" r:id="rId6049" xr:uid="{00000000-0004-0000-0000-0000A0170000}"/>
    <hyperlink ref="B5931" r:id="rId6050" xr:uid="{00000000-0004-0000-0000-0000A1170000}"/>
    <hyperlink ref="B5932" r:id="rId6051" xr:uid="{00000000-0004-0000-0000-0000A2170000}"/>
    <hyperlink ref="B5933" r:id="rId6052" xr:uid="{00000000-0004-0000-0000-0000A3170000}"/>
    <hyperlink ref="B5934" r:id="rId6053" xr:uid="{00000000-0004-0000-0000-0000A4170000}"/>
    <hyperlink ref="B5935" r:id="rId6054" xr:uid="{00000000-0004-0000-0000-0000A5170000}"/>
    <hyperlink ref="B5936" r:id="rId6055" xr:uid="{00000000-0004-0000-0000-0000A6170000}"/>
    <hyperlink ref="B5937" r:id="rId6056" xr:uid="{00000000-0004-0000-0000-0000A7170000}"/>
    <hyperlink ref="B5938" r:id="rId6057" xr:uid="{00000000-0004-0000-0000-0000A8170000}"/>
    <hyperlink ref="B5939" r:id="rId6058" xr:uid="{00000000-0004-0000-0000-0000A9170000}"/>
    <hyperlink ref="B5940" r:id="rId6059" xr:uid="{00000000-0004-0000-0000-0000AA170000}"/>
    <hyperlink ref="B5941" r:id="rId6060" xr:uid="{00000000-0004-0000-0000-0000AB170000}"/>
    <hyperlink ref="B5942" r:id="rId6061" xr:uid="{00000000-0004-0000-0000-0000AC170000}"/>
    <hyperlink ref="B5943" r:id="rId6062" xr:uid="{00000000-0004-0000-0000-0000AD170000}"/>
    <hyperlink ref="B5944" r:id="rId6063" xr:uid="{00000000-0004-0000-0000-0000AE170000}"/>
    <hyperlink ref="B5945" r:id="rId6064" xr:uid="{00000000-0004-0000-0000-0000AF170000}"/>
    <hyperlink ref="B5946" r:id="rId6065" xr:uid="{00000000-0004-0000-0000-0000B0170000}"/>
    <hyperlink ref="B5947" r:id="rId6066" xr:uid="{00000000-0004-0000-0000-0000B1170000}"/>
    <hyperlink ref="B5948" r:id="rId6067" xr:uid="{00000000-0004-0000-0000-0000B2170000}"/>
    <hyperlink ref="B5949" r:id="rId6068" xr:uid="{00000000-0004-0000-0000-0000B3170000}"/>
    <hyperlink ref="B5950" r:id="rId6069" xr:uid="{00000000-0004-0000-0000-0000B4170000}"/>
    <hyperlink ref="B5951" r:id="rId6070" xr:uid="{00000000-0004-0000-0000-0000B5170000}"/>
    <hyperlink ref="B5952" r:id="rId6071" xr:uid="{00000000-0004-0000-0000-0000B6170000}"/>
    <hyperlink ref="B5953" r:id="rId6072" xr:uid="{00000000-0004-0000-0000-0000B7170000}"/>
    <hyperlink ref="B5954" r:id="rId6073" xr:uid="{00000000-0004-0000-0000-0000B8170000}"/>
    <hyperlink ref="B5955" r:id="rId6074" xr:uid="{00000000-0004-0000-0000-0000B9170000}"/>
    <hyperlink ref="B5956" r:id="rId6075" xr:uid="{00000000-0004-0000-0000-0000BA170000}"/>
    <hyperlink ref="B5957" r:id="rId6076" xr:uid="{00000000-0004-0000-0000-0000BB170000}"/>
    <hyperlink ref="B5958" r:id="rId6077" xr:uid="{00000000-0004-0000-0000-0000BC170000}"/>
    <hyperlink ref="B5959" r:id="rId6078" xr:uid="{00000000-0004-0000-0000-0000BD170000}"/>
    <hyperlink ref="B5960" r:id="rId6079" xr:uid="{00000000-0004-0000-0000-0000BE170000}"/>
    <hyperlink ref="B5961" r:id="rId6080" xr:uid="{00000000-0004-0000-0000-0000BF170000}"/>
    <hyperlink ref="B5962" r:id="rId6081" xr:uid="{00000000-0004-0000-0000-0000C0170000}"/>
    <hyperlink ref="B5963" r:id="rId6082" xr:uid="{00000000-0004-0000-0000-0000C1170000}"/>
    <hyperlink ref="B5964" r:id="rId6083" xr:uid="{00000000-0004-0000-0000-0000C2170000}"/>
    <hyperlink ref="B5965" r:id="rId6084" xr:uid="{00000000-0004-0000-0000-0000C3170000}"/>
    <hyperlink ref="B5966" r:id="rId6085" xr:uid="{00000000-0004-0000-0000-0000C4170000}"/>
    <hyperlink ref="B5967" r:id="rId6086" xr:uid="{00000000-0004-0000-0000-0000C5170000}"/>
    <hyperlink ref="B5968" r:id="rId6087" xr:uid="{00000000-0004-0000-0000-0000C6170000}"/>
    <hyperlink ref="B5969" r:id="rId6088" xr:uid="{00000000-0004-0000-0000-0000C7170000}"/>
    <hyperlink ref="B5970" r:id="rId6089" xr:uid="{00000000-0004-0000-0000-0000C8170000}"/>
    <hyperlink ref="B5971" r:id="rId6090" xr:uid="{00000000-0004-0000-0000-0000C9170000}"/>
    <hyperlink ref="B5972" r:id="rId6091" xr:uid="{00000000-0004-0000-0000-0000CA170000}"/>
    <hyperlink ref="B5973" r:id="rId6092" xr:uid="{00000000-0004-0000-0000-0000CB170000}"/>
    <hyperlink ref="B5974" r:id="rId6093" xr:uid="{00000000-0004-0000-0000-0000CC170000}"/>
    <hyperlink ref="B5975" r:id="rId6094" xr:uid="{00000000-0004-0000-0000-0000CD170000}"/>
    <hyperlink ref="B5976" r:id="rId6095" xr:uid="{00000000-0004-0000-0000-0000CE170000}"/>
    <hyperlink ref="B5977" r:id="rId6096" xr:uid="{00000000-0004-0000-0000-0000CF170000}"/>
    <hyperlink ref="B5978" r:id="rId6097" xr:uid="{00000000-0004-0000-0000-0000D0170000}"/>
    <hyperlink ref="B5979" r:id="rId6098" xr:uid="{00000000-0004-0000-0000-0000D1170000}"/>
    <hyperlink ref="B5980" r:id="rId6099" xr:uid="{00000000-0004-0000-0000-0000D2170000}"/>
    <hyperlink ref="B5981" r:id="rId6100" xr:uid="{00000000-0004-0000-0000-0000D3170000}"/>
    <hyperlink ref="B5982" r:id="rId6101" xr:uid="{00000000-0004-0000-0000-0000D4170000}"/>
    <hyperlink ref="B5983" r:id="rId6102" xr:uid="{00000000-0004-0000-0000-0000D5170000}"/>
    <hyperlink ref="B5984" r:id="rId6103" xr:uid="{00000000-0004-0000-0000-0000D6170000}"/>
    <hyperlink ref="B5985" r:id="rId6104" xr:uid="{00000000-0004-0000-0000-0000D7170000}"/>
    <hyperlink ref="B5986" r:id="rId6105" xr:uid="{00000000-0004-0000-0000-0000D8170000}"/>
    <hyperlink ref="B5987" r:id="rId6106" xr:uid="{00000000-0004-0000-0000-0000D9170000}"/>
    <hyperlink ref="B5988" r:id="rId6107" xr:uid="{00000000-0004-0000-0000-0000DA170000}"/>
    <hyperlink ref="B5989" r:id="rId6108" xr:uid="{00000000-0004-0000-0000-0000DB170000}"/>
    <hyperlink ref="B5990" r:id="rId6109" xr:uid="{00000000-0004-0000-0000-0000DC170000}"/>
    <hyperlink ref="B5991" r:id="rId6110" xr:uid="{00000000-0004-0000-0000-0000DD170000}"/>
    <hyperlink ref="B5992" r:id="rId6111" xr:uid="{00000000-0004-0000-0000-0000DE170000}"/>
    <hyperlink ref="B5993" r:id="rId6112" xr:uid="{00000000-0004-0000-0000-0000DF170000}"/>
    <hyperlink ref="B5994" r:id="rId6113" xr:uid="{00000000-0004-0000-0000-0000E0170000}"/>
    <hyperlink ref="B5995" r:id="rId6114" xr:uid="{00000000-0004-0000-0000-0000E1170000}"/>
    <hyperlink ref="B5996" r:id="rId6115" xr:uid="{00000000-0004-0000-0000-0000E2170000}"/>
    <hyperlink ref="B5997" r:id="rId6116" xr:uid="{00000000-0004-0000-0000-0000E3170000}"/>
    <hyperlink ref="B5998" r:id="rId6117" xr:uid="{00000000-0004-0000-0000-0000E4170000}"/>
    <hyperlink ref="B5999" r:id="rId6118" xr:uid="{00000000-0004-0000-0000-0000E5170000}"/>
    <hyperlink ref="B6000" r:id="rId6119" xr:uid="{00000000-0004-0000-0000-0000E6170000}"/>
    <hyperlink ref="B6001" r:id="rId6120" xr:uid="{00000000-0004-0000-0000-0000E7170000}"/>
    <hyperlink ref="B6002" r:id="rId6121" xr:uid="{00000000-0004-0000-0000-0000E8170000}"/>
    <hyperlink ref="B6003" r:id="rId6122" xr:uid="{00000000-0004-0000-0000-0000E9170000}"/>
    <hyperlink ref="B6004" r:id="rId6123" xr:uid="{00000000-0004-0000-0000-0000EA170000}"/>
    <hyperlink ref="B6005" r:id="rId6124" xr:uid="{00000000-0004-0000-0000-0000EB170000}"/>
    <hyperlink ref="B6006" r:id="rId6125" xr:uid="{00000000-0004-0000-0000-0000EC170000}"/>
    <hyperlink ref="B6007" r:id="rId6126" xr:uid="{00000000-0004-0000-0000-0000ED170000}"/>
    <hyperlink ref="B6008" r:id="rId6127" xr:uid="{00000000-0004-0000-0000-0000EE170000}"/>
    <hyperlink ref="B6009" r:id="rId6128" xr:uid="{00000000-0004-0000-0000-0000EF170000}"/>
    <hyperlink ref="B6010" r:id="rId6129" xr:uid="{00000000-0004-0000-0000-0000F0170000}"/>
    <hyperlink ref="B6011" r:id="rId6130" xr:uid="{00000000-0004-0000-0000-0000F1170000}"/>
    <hyperlink ref="B6012" r:id="rId6131" xr:uid="{00000000-0004-0000-0000-0000F2170000}"/>
    <hyperlink ref="B6013" r:id="rId6132" xr:uid="{00000000-0004-0000-0000-0000F3170000}"/>
    <hyperlink ref="B6014" r:id="rId6133" xr:uid="{00000000-0004-0000-0000-0000F4170000}"/>
    <hyperlink ref="B6015" r:id="rId6134" xr:uid="{00000000-0004-0000-0000-0000F5170000}"/>
    <hyperlink ref="B6016" r:id="rId6135" xr:uid="{00000000-0004-0000-0000-0000F6170000}"/>
    <hyperlink ref="B6017" r:id="rId6136" xr:uid="{00000000-0004-0000-0000-0000F7170000}"/>
    <hyperlink ref="B6018" r:id="rId6137" xr:uid="{00000000-0004-0000-0000-0000F8170000}"/>
    <hyperlink ref="B6019" r:id="rId6138" xr:uid="{00000000-0004-0000-0000-0000F9170000}"/>
    <hyperlink ref="B6020" r:id="rId6139" xr:uid="{00000000-0004-0000-0000-0000FA170000}"/>
    <hyperlink ref="B6021" r:id="rId6140" xr:uid="{00000000-0004-0000-0000-0000FB170000}"/>
    <hyperlink ref="B6022" r:id="rId6141" xr:uid="{00000000-0004-0000-0000-0000FC170000}"/>
    <hyperlink ref="B6023" r:id="rId6142" xr:uid="{00000000-0004-0000-0000-0000FD170000}"/>
    <hyperlink ref="B6024" r:id="rId6143" xr:uid="{00000000-0004-0000-0000-0000FE170000}"/>
    <hyperlink ref="B6025" r:id="rId6144" xr:uid="{00000000-0004-0000-0000-0000FF170000}"/>
    <hyperlink ref="B6026" r:id="rId6145" xr:uid="{00000000-0004-0000-0000-000000180000}"/>
    <hyperlink ref="B6027" r:id="rId6146" xr:uid="{00000000-0004-0000-0000-000001180000}"/>
    <hyperlink ref="B6028" r:id="rId6147" xr:uid="{00000000-0004-0000-0000-000002180000}"/>
    <hyperlink ref="B6029" r:id="rId6148" xr:uid="{00000000-0004-0000-0000-000003180000}"/>
    <hyperlink ref="B6030" r:id="rId6149" xr:uid="{00000000-0004-0000-0000-000004180000}"/>
    <hyperlink ref="B6031" r:id="rId6150" xr:uid="{00000000-0004-0000-0000-000005180000}"/>
    <hyperlink ref="B6032" r:id="rId6151" xr:uid="{00000000-0004-0000-0000-000006180000}"/>
    <hyperlink ref="B6033" r:id="rId6152" xr:uid="{00000000-0004-0000-0000-000007180000}"/>
    <hyperlink ref="B6034" r:id="rId6153" xr:uid="{00000000-0004-0000-0000-000008180000}"/>
    <hyperlink ref="B6035" r:id="rId6154" xr:uid="{00000000-0004-0000-0000-000009180000}"/>
    <hyperlink ref="B6036" r:id="rId6155" xr:uid="{00000000-0004-0000-0000-00000A180000}"/>
    <hyperlink ref="B6037" r:id="rId6156" xr:uid="{00000000-0004-0000-0000-00000B180000}"/>
    <hyperlink ref="B6038" r:id="rId6157" xr:uid="{00000000-0004-0000-0000-00000C180000}"/>
    <hyperlink ref="B6039" r:id="rId6158" xr:uid="{00000000-0004-0000-0000-00000D180000}"/>
    <hyperlink ref="B6040" r:id="rId6159" xr:uid="{00000000-0004-0000-0000-00000E180000}"/>
    <hyperlink ref="B6041" r:id="rId6160" xr:uid="{00000000-0004-0000-0000-00000F180000}"/>
    <hyperlink ref="B6042" r:id="rId6161" xr:uid="{00000000-0004-0000-0000-000010180000}"/>
    <hyperlink ref="B6043" r:id="rId6162" xr:uid="{00000000-0004-0000-0000-000011180000}"/>
    <hyperlink ref="B6044" r:id="rId6163" xr:uid="{00000000-0004-0000-0000-000012180000}"/>
    <hyperlink ref="B6045" r:id="rId6164" xr:uid="{00000000-0004-0000-0000-000013180000}"/>
    <hyperlink ref="B6046" r:id="rId6165" xr:uid="{00000000-0004-0000-0000-000014180000}"/>
    <hyperlink ref="B6047" r:id="rId6166" xr:uid="{00000000-0004-0000-0000-000015180000}"/>
    <hyperlink ref="B6048" r:id="rId6167" xr:uid="{00000000-0004-0000-0000-000016180000}"/>
    <hyperlink ref="B6049" r:id="rId6168" xr:uid="{00000000-0004-0000-0000-000017180000}"/>
    <hyperlink ref="B6050" r:id="rId6169" xr:uid="{00000000-0004-0000-0000-000018180000}"/>
    <hyperlink ref="B6051" r:id="rId6170" xr:uid="{00000000-0004-0000-0000-000019180000}"/>
    <hyperlink ref="B6052" r:id="rId6171" xr:uid="{00000000-0004-0000-0000-00001A180000}"/>
    <hyperlink ref="B6053" r:id="rId6172" xr:uid="{00000000-0004-0000-0000-00001B180000}"/>
    <hyperlink ref="B6054" r:id="rId6173" xr:uid="{00000000-0004-0000-0000-00001C180000}"/>
    <hyperlink ref="B6055" r:id="rId6174" xr:uid="{00000000-0004-0000-0000-00001D180000}"/>
    <hyperlink ref="B6056" r:id="rId6175" xr:uid="{00000000-0004-0000-0000-00001E180000}"/>
    <hyperlink ref="B6057" r:id="rId6176" xr:uid="{00000000-0004-0000-0000-00001F180000}"/>
    <hyperlink ref="B6058" r:id="rId6177" xr:uid="{00000000-0004-0000-0000-000020180000}"/>
    <hyperlink ref="B6059" r:id="rId6178" xr:uid="{00000000-0004-0000-0000-000021180000}"/>
    <hyperlink ref="B6060" r:id="rId6179" xr:uid="{00000000-0004-0000-0000-000022180000}"/>
    <hyperlink ref="B6061" r:id="rId6180" xr:uid="{00000000-0004-0000-0000-000023180000}"/>
    <hyperlink ref="B6062" r:id="rId6181" xr:uid="{00000000-0004-0000-0000-000024180000}"/>
    <hyperlink ref="B6063" r:id="rId6182" xr:uid="{00000000-0004-0000-0000-000025180000}"/>
    <hyperlink ref="B6064" r:id="rId6183" xr:uid="{00000000-0004-0000-0000-000026180000}"/>
    <hyperlink ref="B6065" r:id="rId6184" xr:uid="{00000000-0004-0000-0000-000027180000}"/>
    <hyperlink ref="B6066" r:id="rId6185" xr:uid="{00000000-0004-0000-0000-000028180000}"/>
    <hyperlink ref="B6067" r:id="rId6186" xr:uid="{00000000-0004-0000-0000-000029180000}"/>
    <hyperlink ref="B6068" r:id="rId6187" xr:uid="{00000000-0004-0000-0000-00002A180000}"/>
    <hyperlink ref="B6069" r:id="rId6188" xr:uid="{00000000-0004-0000-0000-00002B180000}"/>
    <hyperlink ref="B6070" r:id="rId6189" xr:uid="{00000000-0004-0000-0000-00002C180000}"/>
    <hyperlink ref="B6071" r:id="rId6190" xr:uid="{00000000-0004-0000-0000-00002D180000}"/>
    <hyperlink ref="B6072" r:id="rId6191" xr:uid="{00000000-0004-0000-0000-00002E180000}"/>
    <hyperlink ref="B6073" r:id="rId6192" xr:uid="{00000000-0004-0000-0000-00002F180000}"/>
    <hyperlink ref="B6074" r:id="rId6193" xr:uid="{00000000-0004-0000-0000-000030180000}"/>
    <hyperlink ref="B6075" r:id="rId6194" xr:uid="{00000000-0004-0000-0000-000031180000}"/>
    <hyperlink ref="B6076" r:id="rId6195" xr:uid="{00000000-0004-0000-0000-000032180000}"/>
    <hyperlink ref="B6077" r:id="rId6196" xr:uid="{00000000-0004-0000-0000-000033180000}"/>
    <hyperlink ref="B6078" r:id="rId6197" xr:uid="{00000000-0004-0000-0000-000034180000}"/>
    <hyperlink ref="B6079" r:id="rId6198" xr:uid="{00000000-0004-0000-0000-000035180000}"/>
    <hyperlink ref="B6080" r:id="rId6199" xr:uid="{00000000-0004-0000-0000-000036180000}"/>
    <hyperlink ref="B6081" r:id="rId6200" xr:uid="{00000000-0004-0000-0000-000037180000}"/>
    <hyperlink ref="B6082" r:id="rId6201" xr:uid="{00000000-0004-0000-0000-000038180000}"/>
    <hyperlink ref="B6083" r:id="rId6202" xr:uid="{00000000-0004-0000-0000-000039180000}"/>
    <hyperlink ref="B6084" r:id="rId6203" xr:uid="{00000000-0004-0000-0000-00003A180000}"/>
    <hyperlink ref="B6085" r:id="rId6204" xr:uid="{00000000-0004-0000-0000-00003B180000}"/>
    <hyperlink ref="B6086" r:id="rId6205" xr:uid="{00000000-0004-0000-0000-00003C180000}"/>
    <hyperlink ref="B6087" r:id="rId6206" xr:uid="{00000000-0004-0000-0000-00003D180000}"/>
    <hyperlink ref="B6088" r:id="rId6207" xr:uid="{00000000-0004-0000-0000-00003E180000}"/>
    <hyperlink ref="B6089" r:id="rId6208" xr:uid="{00000000-0004-0000-0000-00003F180000}"/>
    <hyperlink ref="B6090" r:id="rId6209" xr:uid="{00000000-0004-0000-0000-000040180000}"/>
    <hyperlink ref="B6091" r:id="rId6210" xr:uid="{00000000-0004-0000-0000-000041180000}"/>
    <hyperlink ref="B6092" r:id="rId6211" xr:uid="{00000000-0004-0000-0000-000042180000}"/>
    <hyperlink ref="B6093" r:id="rId6212" xr:uid="{00000000-0004-0000-0000-000043180000}"/>
    <hyperlink ref="B6094" r:id="rId6213" xr:uid="{00000000-0004-0000-0000-000044180000}"/>
    <hyperlink ref="B6095" r:id="rId6214" xr:uid="{00000000-0004-0000-0000-000045180000}"/>
    <hyperlink ref="B6096" r:id="rId6215" xr:uid="{00000000-0004-0000-0000-000046180000}"/>
    <hyperlink ref="B6097" r:id="rId6216" xr:uid="{00000000-0004-0000-0000-000047180000}"/>
    <hyperlink ref="B6098" r:id="rId6217" xr:uid="{00000000-0004-0000-0000-000048180000}"/>
    <hyperlink ref="B6099" r:id="rId6218" xr:uid="{00000000-0004-0000-0000-000049180000}"/>
    <hyperlink ref="B6100" r:id="rId6219" xr:uid="{00000000-0004-0000-0000-00004A180000}"/>
    <hyperlink ref="B6101" r:id="rId6220" xr:uid="{00000000-0004-0000-0000-00004B180000}"/>
    <hyperlink ref="B6102" r:id="rId6221" xr:uid="{00000000-0004-0000-0000-00004C180000}"/>
    <hyperlink ref="B6103" r:id="rId6222" xr:uid="{00000000-0004-0000-0000-00004D180000}"/>
    <hyperlink ref="B6104" r:id="rId6223" xr:uid="{00000000-0004-0000-0000-00004E180000}"/>
    <hyperlink ref="B6105" r:id="rId6224" xr:uid="{00000000-0004-0000-0000-00004F180000}"/>
    <hyperlink ref="B6106" r:id="rId6225" xr:uid="{00000000-0004-0000-0000-000050180000}"/>
    <hyperlink ref="B6107" r:id="rId6226" xr:uid="{00000000-0004-0000-0000-000051180000}"/>
    <hyperlink ref="B6108" r:id="rId6227" xr:uid="{00000000-0004-0000-0000-000052180000}"/>
    <hyperlink ref="B6109" r:id="rId6228" xr:uid="{00000000-0004-0000-0000-000053180000}"/>
    <hyperlink ref="B6110" r:id="rId6229" xr:uid="{00000000-0004-0000-0000-000054180000}"/>
    <hyperlink ref="B6111" r:id="rId6230" xr:uid="{00000000-0004-0000-0000-000055180000}"/>
    <hyperlink ref="B6112" r:id="rId6231" xr:uid="{00000000-0004-0000-0000-000056180000}"/>
    <hyperlink ref="B6113" r:id="rId6232" xr:uid="{00000000-0004-0000-0000-000057180000}"/>
    <hyperlink ref="B6114" r:id="rId6233" xr:uid="{00000000-0004-0000-0000-000058180000}"/>
    <hyperlink ref="B6115" r:id="rId6234" xr:uid="{00000000-0004-0000-0000-000059180000}"/>
    <hyperlink ref="B6116" r:id="rId6235" xr:uid="{00000000-0004-0000-0000-00005A180000}"/>
    <hyperlink ref="B6117" r:id="rId6236" xr:uid="{00000000-0004-0000-0000-00005B180000}"/>
    <hyperlink ref="B6118" r:id="rId6237" xr:uid="{00000000-0004-0000-0000-00005C180000}"/>
    <hyperlink ref="B6119" r:id="rId6238" xr:uid="{00000000-0004-0000-0000-00005D180000}"/>
    <hyperlink ref="B6120" r:id="rId6239" xr:uid="{00000000-0004-0000-0000-00005E180000}"/>
    <hyperlink ref="B6121" r:id="rId6240" xr:uid="{00000000-0004-0000-0000-00005F180000}"/>
    <hyperlink ref="B6122" r:id="rId6241" xr:uid="{00000000-0004-0000-0000-000060180000}"/>
    <hyperlink ref="B6123" r:id="rId6242" xr:uid="{00000000-0004-0000-0000-000061180000}"/>
    <hyperlink ref="B6124" r:id="rId6243" xr:uid="{00000000-0004-0000-0000-000062180000}"/>
    <hyperlink ref="B6125" r:id="rId6244" xr:uid="{00000000-0004-0000-0000-000063180000}"/>
    <hyperlink ref="B6126" r:id="rId6245" xr:uid="{00000000-0004-0000-0000-000064180000}"/>
    <hyperlink ref="B6127" r:id="rId6246" xr:uid="{00000000-0004-0000-0000-000065180000}"/>
    <hyperlink ref="B6128" r:id="rId6247" xr:uid="{00000000-0004-0000-0000-000066180000}"/>
    <hyperlink ref="B6129" r:id="rId6248" xr:uid="{00000000-0004-0000-0000-000067180000}"/>
    <hyperlink ref="B6130" r:id="rId6249" xr:uid="{00000000-0004-0000-0000-000068180000}"/>
    <hyperlink ref="B6131" r:id="rId6250" xr:uid="{00000000-0004-0000-0000-000069180000}"/>
    <hyperlink ref="B6132" r:id="rId6251" xr:uid="{00000000-0004-0000-0000-00006A180000}"/>
    <hyperlink ref="B6133" r:id="rId6252" xr:uid="{00000000-0004-0000-0000-00006B180000}"/>
    <hyperlink ref="B6134" r:id="rId6253" xr:uid="{00000000-0004-0000-0000-00006C180000}"/>
    <hyperlink ref="B6135" r:id="rId6254" xr:uid="{00000000-0004-0000-0000-00006D180000}"/>
    <hyperlink ref="B6136" r:id="rId6255" xr:uid="{00000000-0004-0000-0000-00006E180000}"/>
    <hyperlink ref="B6137" r:id="rId6256" xr:uid="{00000000-0004-0000-0000-00006F180000}"/>
    <hyperlink ref="B6138" r:id="rId6257" xr:uid="{00000000-0004-0000-0000-000070180000}"/>
    <hyperlink ref="B6139" r:id="rId6258" xr:uid="{00000000-0004-0000-0000-000071180000}"/>
    <hyperlink ref="B6140" r:id="rId6259" xr:uid="{00000000-0004-0000-0000-000072180000}"/>
    <hyperlink ref="B6141" r:id="rId6260" xr:uid="{00000000-0004-0000-0000-000073180000}"/>
    <hyperlink ref="B6142" r:id="rId6261" xr:uid="{00000000-0004-0000-0000-000074180000}"/>
    <hyperlink ref="B6143" r:id="rId6262" xr:uid="{00000000-0004-0000-0000-000075180000}"/>
    <hyperlink ref="B6144" r:id="rId6263" xr:uid="{00000000-0004-0000-0000-000076180000}"/>
    <hyperlink ref="B6145" r:id="rId6264" xr:uid="{00000000-0004-0000-0000-000077180000}"/>
    <hyperlink ref="B6146" r:id="rId6265" xr:uid="{00000000-0004-0000-0000-000078180000}"/>
    <hyperlink ref="B6147" r:id="rId6266" xr:uid="{00000000-0004-0000-0000-000079180000}"/>
    <hyperlink ref="B6148" r:id="rId6267" xr:uid="{00000000-0004-0000-0000-00007A180000}"/>
    <hyperlink ref="B6149" r:id="rId6268" xr:uid="{00000000-0004-0000-0000-00007B180000}"/>
    <hyperlink ref="B6150" r:id="rId6269" xr:uid="{00000000-0004-0000-0000-00007C180000}"/>
    <hyperlink ref="B6151" r:id="rId6270" xr:uid="{00000000-0004-0000-0000-00007D180000}"/>
    <hyperlink ref="B6152" r:id="rId6271" xr:uid="{00000000-0004-0000-0000-00007E180000}"/>
    <hyperlink ref="B6153" r:id="rId6272" xr:uid="{00000000-0004-0000-0000-00007F180000}"/>
    <hyperlink ref="B6154" r:id="rId6273" xr:uid="{00000000-0004-0000-0000-000080180000}"/>
    <hyperlink ref="B6155" r:id="rId6274" xr:uid="{00000000-0004-0000-0000-000081180000}"/>
    <hyperlink ref="B6156" r:id="rId6275" xr:uid="{00000000-0004-0000-0000-000082180000}"/>
    <hyperlink ref="B6157" r:id="rId6276" xr:uid="{00000000-0004-0000-0000-000083180000}"/>
    <hyperlink ref="B6158" r:id="rId6277" xr:uid="{00000000-0004-0000-0000-000084180000}"/>
    <hyperlink ref="B6159" r:id="rId6278" xr:uid="{00000000-0004-0000-0000-000085180000}"/>
    <hyperlink ref="B6160" r:id="rId6279" xr:uid="{00000000-0004-0000-0000-000086180000}"/>
    <hyperlink ref="B6161" r:id="rId6280" xr:uid="{00000000-0004-0000-0000-000087180000}"/>
    <hyperlink ref="B6162" r:id="rId6281" xr:uid="{00000000-0004-0000-0000-000088180000}"/>
    <hyperlink ref="B6163" r:id="rId6282" xr:uid="{00000000-0004-0000-0000-000089180000}"/>
    <hyperlink ref="B6164" r:id="rId6283" xr:uid="{00000000-0004-0000-0000-00008A180000}"/>
    <hyperlink ref="B6165" r:id="rId6284" xr:uid="{00000000-0004-0000-0000-00008B180000}"/>
    <hyperlink ref="B6166" r:id="rId6285" xr:uid="{00000000-0004-0000-0000-00008C180000}"/>
    <hyperlink ref="B6167" r:id="rId6286" xr:uid="{00000000-0004-0000-0000-00008D180000}"/>
    <hyperlink ref="B6168" r:id="rId6287" xr:uid="{00000000-0004-0000-0000-00008E180000}"/>
    <hyperlink ref="B6169" r:id="rId6288" xr:uid="{00000000-0004-0000-0000-00008F180000}"/>
    <hyperlink ref="B6170" r:id="rId6289" xr:uid="{00000000-0004-0000-0000-000090180000}"/>
    <hyperlink ref="B6171" r:id="rId6290" xr:uid="{00000000-0004-0000-0000-000091180000}"/>
    <hyperlink ref="B6172" r:id="rId6291" xr:uid="{00000000-0004-0000-0000-000092180000}"/>
    <hyperlink ref="B6173" r:id="rId6292" xr:uid="{00000000-0004-0000-0000-000093180000}"/>
    <hyperlink ref="B6174" r:id="rId6293" xr:uid="{00000000-0004-0000-0000-000094180000}"/>
    <hyperlink ref="B6175" r:id="rId6294" xr:uid="{00000000-0004-0000-0000-000095180000}"/>
    <hyperlink ref="B6176" r:id="rId6295" xr:uid="{00000000-0004-0000-0000-000096180000}"/>
    <hyperlink ref="B6177" r:id="rId6296" xr:uid="{00000000-0004-0000-0000-000097180000}"/>
    <hyperlink ref="B6178" r:id="rId6297" xr:uid="{00000000-0004-0000-0000-000098180000}"/>
    <hyperlink ref="B6179" r:id="rId6298" xr:uid="{00000000-0004-0000-0000-000099180000}"/>
    <hyperlink ref="B6180" r:id="rId6299" xr:uid="{00000000-0004-0000-0000-00009A180000}"/>
    <hyperlink ref="B6181" r:id="rId6300" xr:uid="{00000000-0004-0000-0000-00009B180000}"/>
    <hyperlink ref="B6182" r:id="rId6301" xr:uid="{00000000-0004-0000-0000-00009C180000}"/>
    <hyperlink ref="B6183" r:id="rId6302" xr:uid="{00000000-0004-0000-0000-00009D180000}"/>
    <hyperlink ref="B6184" r:id="rId6303" xr:uid="{00000000-0004-0000-0000-00009E180000}"/>
    <hyperlink ref="B6185" r:id="rId6304" xr:uid="{00000000-0004-0000-0000-00009F180000}"/>
    <hyperlink ref="B6186" r:id="rId6305" xr:uid="{00000000-0004-0000-0000-0000A0180000}"/>
    <hyperlink ref="B6187" r:id="rId6306" xr:uid="{00000000-0004-0000-0000-0000A1180000}"/>
    <hyperlink ref="B6188" r:id="rId6307" xr:uid="{00000000-0004-0000-0000-0000A2180000}"/>
    <hyperlink ref="B6189" r:id="rId6308" xr:uid="{00000000-0004-0000-0000-0000A3180000}"/>
    <hyperlink ref="B6190" r:id="rId6309" xr:uid="{00000000-0004-0000-0000-0000A4180000}"/>
    <hyperlink ref="B6191" r:id="rId6310" xr:uid="{00000000-0004-0000-0000-0000A5180000}"/>
    <hyperlink ref="B6192" r:id="rId6311" xr:uid="{00000000-0004-0000-0000-0000A6180000}"/>
    <hyperlink ref="B6193" r:id="rId6312" xr:uid="{00000000-0004-0000-0000-0000A7180000}"/>
    <hyperlink ref="B6194" r:id="rId6313" xr:uid="{00000000-0004-0000-0000-0000A8180000}"/>
    <hyperlink ref="B6195" r:id="rId6314" xr:uid="{00000000-0004-0000-0000-0000A9180000}"/>
    <hyperlink ref="B6196" r:id="rId6315" xr:uid="{00000000-0004-0000-0000-0000AA180000}"/>
    <hyperlink ref="B6197" r:id="rId6316" xr:uid="{00000000-0004-0000-0000-0000AB180000}"/>
    <hyperlink ref="B6198" r:id="rId6317" xr:uid="{00000000-0004-0000-0000-0000AC180000}"/>
    <hyperlink ref="B6199" r:id="rId6318" xr:uid="{00000000-0004-0000-0000-0000AD180000}"/>
    <hyperlink ref="B6200" r:id="rId6319" xr:uid="{00000000-0004-0000-0000-0000AE180000}"/>
    <hyperlink ref="B6201" r:id="rId6320" xr:uid="{00000000-0004-0000-0000-0000AF180000}"/>
    <hyperlink ref="B6202" r:id="rId6321" xr:uid="{00000000-0004-0000-0000-0000B0180000}"/>
    <hyperlink ref="B6203" r:id="rId6322" xr:uid="{00000000-0004-0000-0000-0000B1180000}"/>
    <hyperlink ref="B6204" r:id="rId6323" xr:uid="{00000000-0004-0000-0000-0000B2180000}"/>
    <hyperlink ref="B6205" r:id="rId6324" xr:uid="{00000000-0004-0000-0000-0000B3180000}"/>
    <hyperlink ref="B6206" r:id="rId6325" xr:uid="{00000000-0004-0000-0000-0000B4180000}"/>
    <hyperlink ref="B6207" r:id="rId6326" xr:uid="{00000000-0004-0000-0000-0000B5180000}"/>
    <hyperlink ref="B6208" r:id="rId6327" xr:uid="{00000000-0004-0000-0000-0000B6180000}"/>
    <hyperlink ref="B6209" r:id="rId6328" xr:uid="{00000000-0004-0000-0000-0000B7180000}"/>
    <hyperlink ref="B6210" r:id="rId6329" xr:uid="{00000000-0004-0000-0000-0000B8180000}"/>
    <hyperlink ref="B6211" r:id="rId6330" xr:uid="{00000000-0004-0000-0000-0000B9180000}"/>
    <hyperlink ref="B6212" r:id="rId6331" xr:uid="{00000000-0004-0000-0000-0000BA180000}"/>
    <hyperlink ref="B6213" r:id="rId6332" xr:uid="{00000000-0004-0000-0000-0000BB180000}"/>
    <hyperlink ref="B6214" r:id="rId6333" xr:uid="{00000000-0004-0000-0000-0000BC180000}"/>
    <hyperlink ref="B6215" r:id="rId6334" xr:uid="{00000000-0004-0000-0000-0000BD180000}"/>
    <hyperlink ref="B6216" r:id="rId6335" xr:uid="{00000000-0004-0000-0000-0000BE180000}"/>
    <hyperlink ref="B6217" r:id="rId6336" xr:uid="{00000000-0004-0000-0000-0000BF180000}"/>
    <hyperlink ref="B6218" r:id="rId6337" xr:uid="{00000000-0004-0000-0000-0000C0180000}"/>
    <hyperlink ref="B6219" r:id="rId6338" xr:uid="{00000000-0004-0000-0000-0000C1180000}"/>
    <hyperlink ref="B6220" r:id="rId6339" xr:uid="{00000000-0004-0000-0000-0000C2180000}"/>
    <hyperlink ref="B6221" r:id="rId6340" xr:uid="{00000000-0004-0000-0000-0000C3180000}"/>
    <hyperlink ref="B6222" r:id="rId6341" xr:uid="{00000000-0004-0000-0000-0000C4180000}"/>
    <hyperlink ref="B6223" r:id="rId6342" xr:uid="{00000000-0004-0000-0000-0000C5180000}"/>
    <hyperlink ref="B6224" r:id="rId6343" xr:uid="{00000000-0004-0000-0000-0000C6180000}"/>
    <hyperlink ref="B6225" r:id="rId6344" xr:uid="{00000000-0004-0000-0000-0000C7180000}"/>
    <hyperlink ref="B6226" r:id="rId6345" xr:uid="{00000000-0004-0000-0000-0000C8180000}"/>
    <hyperlink ref="B6227" r:id="rId6346" xr:uid="{00000000-0004-0000-0000-0000C9180000}"/>
    <hyperlink ref="B6228" r:id="rId6347" xr:uid="{00000000-0004-0000-0000-0000CA180000}"/>
    <hyperlink ref="B6229" r:id="rId6348" xr:uid="{00000000-0004-0000-0000-0000CB180000}"/>
    <hyperlink ref="B6230" r:id="rId6349" xr:uid="{00000000-0004-0000-0000-0000CC180000}"/>
    <hyperlink ref="B6231" r:id="rId6350" xr:uid="{00000000-0004-0000-0000-0000CD180000}"/>
    <hyperlink ref="B6232" r:id="rId6351" xr:uid="{00000000-0004-0000-0000-0000CE180000}"/>
    <hyperlink ref="B6233" r:id="rId6352" xr:uid="{00000000-0004-0000-0000-0000CF180000}"/>
    <hyperlink ref="B6234" r:id="rId6353" xr:uid="{00000000-0004-0000-0000-0000D0180000}"/>
    <hyperlink ref="B6235" r:id="rId6354" xr:uid="{00000000-0004-0000-0000-0000D1180000}"/>
    <hyperlink ref="B6236" r:id="rId6355" xr:uid="{00000000-0004-0000-0000-0000D2180000}"/>
    <hyperlink ref="B6237" r:id="rId6356" xr:uid="{00000000-0004-0000-0000-0000D3180000}"/>
    <hyperlink ref="B6238" r:id="rId6357" xr:uid="{00000000-0004-0000-0000-0000D4180000}"/>
    <hyperlink ref="B6239" r:id="rId6358" xr:uid="{00000000-0004-0000-0000-0000D5180000}"/>
    <hyperlink ref="B6240" r:id="rId6359" xr:uid="{00000000-0004-0000-0000-0000D6180000}"/>
    <hyperlink ref="B6241" r:id="rId6360" xr:uid="{00000000-0004-0000-0000-0000D7180000}"/>
    <hyperlink ref="B6242" r:id="rId6361" xr:uid="{00000000-0004-0000-0000-0000D8180000}"/>
    <hyperlink ref="B6243" r:id="rId6362" xr:uid="{00000000-0004-0000-0000-0000D9180000}"/>
    <hyperlink ref="B6244" r:id="rId6363" xr:uid="{00000000-0004-0000-0000-0000DA180000}"/>
    <hyperlink ref="B6245" r:id="rId6364" xr:uid="{00000000-0004-0000-0000-0000DB180000}"/>
    <hyperlink ref="B6246" r:id="rId6365" xr:uid="{00000000-0004-0000-0000-0000DC180000}"/>
    <hyperlink ref="B6247" r:id="rId6366" xr:uid="{00000000-0004-0000-0000-0000DD180000}"/>
    <hyperlink ref="B6248" r:id="rId6367" xr:uid="{00000000-0004-0000-0000-0000DE180000}"/>
    <hyperlink ref="B6249" r:id="rId6368" xr:uid="{00000000-0004-0000-0000-0000DF180000}"/>
    <hyperlink ref="B6250" r:id="rId6369" xr:uid="{00000000-0004-0000-0000-0000E0180000}"/>
    <hyperlink ref="B6251" r:id="rId6370" xr:uid="{00000000-0004-0000-0000-0000E1180000}"/>
    <hyperlink ref="B6252" r:id="rId6371" xr:uid="{00000000-0004-0000-0000-0000E2180000}"/>
    <hyperlink ref="B6253" r:id="rId6372" xr:uid="{00000000-0004-0000-0000-0000E3180000}"/>
    <hyperlink ref="B6254" r:id="rId6373" xr:uid="{00000000-0004-0000-0000-0000E4180000}"/>
    <hyperlink ref="B6255" r:id="rId6374" xr:uid="{00000000-0004-0000-0000-0000E5180000}"/>
    <hyperlink ref="B6256" r:id="rId6375" xr:uid="{00000000-0004-0000-0000-0000E6180000}"/>
    <hyperlink ref="B6257" r:id="rId6376" xr:uid="{00000000-0004-0000-0000-0000E7180000}"/>
    <hyperlink ref="B6258" r:id="rId6377" xr:uid="{00000000-0004-0000-0000-0000E8180000}"/>
    <hyperlink ref="B6259" r:id="rId6378" xr:uid="{00000000-0004-0000-0000-0000E9180000}"/>
    <hyperlink ref="B6260" r:id="rId6379" xr:uid="{00000000-0004-0000-0000-0000EA180000}"/>
    <hyperlink ref="B6261" r:id="rId6380" xr:uid="{00000000-0004-0000-0000-0000EB180000}"/>
    <hyperlink ref="B6262" r:id="rId6381" xr:uid="{00000000-0004-0000-0000-0000EC180000}"/>
    <hyperlink ref="B6263" r:id="rId6382" xr:uid="{00000000-0004-0000-0000-0000ED180000}"/>
    <hyperlink ref="B6264" r:id="rId6383" xr:uid="{00000000-0004-0000-0000-0000EE180000}"/>
    <hyperlink ref="B6265" r:id="rId6384" xr:uid="{00000000-0004-0000-0000-0000EF180000}"/>
    <hyperlink ref="B6266" r:id="rId6385" xr:uid="{00000000-0004-0000-0000-0000F0180000}"/>
    <hyperlink ref="B6267" r:id="rId6386" xr:uid="{00000000-0004-0000-0000-0000F1180000}"/>
    <hyperlink ref="B6268" r:id="rId6387" xr:uid="{00000000-0004-0000-0000-0000F2180000}"/>
    <hyperlink ref="B6269" r:id="rId6388" xr:uid="{00000000-0004-0000-0000-0000F3180000}"/>
    <hyperlink ref="B6270" r:id="rId6389" xr:uid="{00000000-0004-0000-0000-0000F4180000}"/>
    <hyperlink ref="B6271" r:id="rId6390" xr:uid="{00000000-0004-0000-0000-0000F5180000}"/>
    <hyperlink ref="B6272" r:id="rId6391" xr:uid="{00000000-0004-0000-0000-0000F6180000}"/>
    <hyperlink ref="B6273" r:id="rId6392" xr:uid="{00000000-0004-0000-0000-0000F7180000}"/>
    <hyperlink ref="B6274" r:id="rId6393" xr:uid="{00000000-0004-0000-0000-0000F8180000}"/>
    <hyperlink ref="B6275" r:id="rId6394" xr:uid="{00000000-0004-0000-0000-0000F9180000}"/>
    <hyperlink ref="B6276" r:id="rId6395" xr:uid="{00000000-0004-0000-0000-0000FA180000}"/>
    <hyperlink ref="B6277" r:id="rId6396" xr:uid="{00000000-0004-0000-0000-0000FB180000}"/>
    <hyperlink ref="B6278" r:id="rId6397" xr:uid="{00000000-0004-0000-0000-0000FC180000}"/>
    <hyperlink ref="B6279" r:id="rId6398" xr:uid="{00000000-0004-0000-0000-0000FD180000}"/>
    <hyperlink ref="B6280" r:id="rId6399" xr:uid="{00000000-0004-0000-0000-0000FE180000}"/>
    <hyperlink ref="B6281" r:id="rId6400" xr:uid="{00000000-0004-0000-0000-0000FF180000}"/>
    <hyperlink ref="B6282" r:id="rId6401" xr:uid="{00000000-0004-0000-0000-000000190000}"/>
    <hyperlink ref="B6283" r:id="rId6402" xr:uid="{00000000-0004-0000-0000-000001190000}"/>
    <hyperlink ref="B6284" r:id="rId6403" xr:uid="{00000000-0004-0000-0000-000002190000}"/>
    <hyperlink ref="B6285" r:id="rId6404" xr:uid="{00000000-0004-0000-0000-000003190000}"/>
    <hyperlink ref="B6286" r:id="rId6405" xr:uid="{00000000-0004-0000-0000-000004190000}"/>
    <hyperlink ref="B6287" r:id="rId6406" xr:uid="{00000000-0004-0000-0000-000005190000}"/>
    <hyperlink ref="B6288" r:id="rId6407" xr:uid="{00000000-0004-0000-0000-000006190000}"/>
    <hyperlink ref="B6289" r:id="rId6408" xr:uid="{00000000-0004-0000-0000-000007190000}"/>
    <hyperlink ref="B6290" r:id="rId6409" xr:uid="{00000000-0004-0000-0000-000008190000}"/>
    <hyperlink ref="B6291" r:id="rId6410" xr:uid="{00000000-0004-0000-0000-000009190000}"/>
    <hyperlink ref="B6292" r:id="rId6411" xr:uid="{00000000-0004-0000-0000-00000A190000}"/>
    <hyperlink ref="B6293" r:id="rId6412" xr:uid="{00000000-0004-0000-0000-00000B190000}"/>
    <hyperlink ref="B6294" r:id="rId6413" xr:uid="{00000000-0004-0000-0000-00000C190000}"/>
    <hyperlink ref="B6295" r:id="rId6414" xr:uid="{00000000-0004-0000-0000-00000D190000}"/>
    <hyperlink ref="B6296" r:id="rId6415" xr:uid="{00000000-0004-0000-0000-00000E190000}"/>
    <hyperlink ref="B6297" r:id="rId6416" xr:uid="{00000000-0004-0000-0000-00000F190000}"/>
    <hyperlink ref="B6298" r:id="rId6417" xr:uid="{00000000-0004-0000-0000-000010190000}"/>
    <hyperlink ref="B6299" r:id="rId6418" xr:uid="{00000000-0004-0000-0000-000011190000}"/>
    <hyperlink ref="B6300" r:id="rId6419" xr:uid="{00000000-0004-0000-0000-000012190000}"/>
    <hyperlink ref="B6301" r:id="rId6420" xr:uid="{00000000-0004-0000-0000-000013190000}"/>
    <hyperlink ref="B6302" r:id="rId6421" xr:uid="{00000000-0004-0000-0000-000014190000}"/>
    <hyperlink ref="B6303" r:id="rId6422" xr:uid="{00000000-0004-0000-0000-000015190000}"/>
    <hyperlink ref="B6304" r:id="rId6423" xr:uid="{00000000-0004-0000-0000-000016190000}"/>
    <hyperlink ref="B6305" r:id="rId6424" xr:uid="{00000000-0004-0000-0000-000017190000}"/>
    <hyperlink ref="B6306" r:id="rId6425" xr:uid="{00000000-0004-0000-0000-000018190000}"/>
    <hyperlink ref="B6307" r:id="rId6426" xr:uid="{00000000-0004-0000-0000-000019190000}"/>
    <hyperlink ref="B6308" r:id="rId6427" xr:uid="{00000000-0004-0000-0000-00001A190000}"/>
    <hyperlink ref="B6309" r:id="rId6428" xr:uid="{00000000-0004-0000-0000-00001B190000}"/>
    <hyperlink ref="B6310" r:id="rId6429" xr:uid="{00000000-0004-0000-0000-00001C190000}"/>
    <hyperlink ref="B6311" r:id="rId6430" xr:uid="{00000000-0004-0000-0000-00001D190000}"/>
    <hyperlink ref="B6312" r:id="rId6431" xr:uid="{00000000-0004-0000-0000-00001E190000}"/>
    <hyperlink ref="B6313" r:id="rId6432" xr:uid="{00000000-0004-0000-0000-00001F190000}"/>
    <hyperlink ref="B6314" r:id="rId6433" xr:uid="{00000000-0004-0000-0000-000020190000}"/>
    <hyperlink ref="B6315" r:id="rId6434" xr:uid="{00000000-0004-0000-0000-000021190000}"/>
    <hyperlink ref="B6316" r:id="rId6435" xr:uid="{00000000-0004-0000-0000-000022190000}"/>
    <hyperlink ref="B6317" r:id="rId6436" xr:uid="{00000000-0004-0000-0000-000023190000}"/>
    <hyperlink ref="B6318" r:id="rId6437" xr:uid="{00000000-0004-0000-0000-000024190000}"/>
    <hyperlink ref="B6319" r:id="rId6438" xr:uid="{00000000-0004-0000-0000-000025190000}"/>
    <hyperlink ref="B6320" r:id="rId6439" xr:uid="{00000000-0004-0000-0000-000026190000}"/>
    <hyperlink ref="B6321" r:id="rId6440" xr:uid="{00000000-0004-0000-0000-000027190000}"/>
    <hyperlink ref="B6322" r:id="rId6441" xr:uid="{00000000-0004-0000-0000-000028190000}"/>
    <hyperlink ref="B6323" r:id="rId6442" xr:uid="{00000000-0004-0000-0000-000029190000}"/>
    <hyperlink ref="B6324" r:id="rId6443" xr:uid="{00000000-0004-0000-0000-00002A190000}"/>
    <hyperlink ref="B6325" r:id="rId6444" xr:uid="{00000000-0004-0000-0000-00002B190000}"/>
    <hyperlink ref="B6326" r:id="rId6445" xr:uid="{00000000-0004-0000-0000-00002C190000}"/>
    <hyperlink ref="B6327" r:id="rId6446" xr:uid="{00000000-0004-0000-0000-00002D190000}"/>
    <hyperlink ref="B6328" r:id="rId6447" xr:uid="{00000000-0004-0000-0000-00002E190000}"/>
    <hyperlink ref="B6329" r:id="rId6448" xr:uid="{00000000-0004-0000-0000-00002F190000}"/>
    <hyperlink ref="B6330" r:id="rId6449" xr:uid="{00000000-0004-0000-0000-000030190000}"/>
    <hyperlink ref="B6331" r:id="rId6450" xr:uid="{00000000-0004-0000-0000-000031190000}"/>
    <hyperlink ref="B6332" r:id="rId6451" xr:uid="{00000000-0004-0000-0000-000032190000}"/>
    <hyperlink ref="B6333" r:id="rId6452" xr:uid="{00000000-0004-0000-0000-000033190000}"/>
    <hyperlink ref="B6334" r:id="rId6453" xr:uid="{00000000-0004-0000-0000-000034190000}"/>
    <hyperlink ref="B6335" r:id="rId6454" xr:uid="{00000000-0004-0000-0000-000035190000}"/>
    <hyperlink ref="B6336" r:id="rId6455" xr:uid="{00000000-0004-0000-0000-000036190000}"/>
    <hyperlink ref="B6337" r:id="rId6456" xr:uid="{00000000-0004-0000-0000-000037190000}"/>
    <hyperlink ref="B6338" r:id="rId6457" xr:uid="{00000000-0004-0000-0000-000038190000}"/>
    <hyperlink ref="B6339" r:id="rId6458" xr:uid="{00000000-0004-0000-0000-000039190000}"/>
    <hyperlink ref="B6340" r:id="rId6459" xr:uid="{00000000-0004-0000-0000-00003A190000}"/>
    <hyperlink ref="B6341" r:id="rId6460" xr:uid="{00000000-0004-0000-0000-00003B190000}"/>
    <hyperlink ref="B6342" r:id="rId6461" xr:uid="{00000000-0004-0000-0000-00003C190000}"/>
    <hyperlink ref="B6343" r:id="rId6462" xr:uid="{00000000-0004-0000-0000-00003D190000}"/>
    <hyperlink ref="B6344" r:id="rId6463" xr:uid="{00000000-0004-0000-0000-00003E190000}"/>
    <hyperlink ref="B6345" r:id="rId6464" xr:uid="{00000000-0004-0000-0000-00003F190000}"/>
    <hyperlink ref="B6346" r:id="rId6465" xr:uid="{00000000-0004-0000-0000-000040190000}"/>
    <hyperlink ref="B6347" r:id="rId6466" xr:uid="{00000000-0004-0000-0000-000041190000}"/>
    <hyperlink ref="B6348" r:id="rId6467" xr:uid="{00000000-0004-0000-0000-000042190000}"/>
    <hyperlink ref="B6349" r:id="rId6468" xr:uid="{00000000-0004-0000-0000-000043190000}"/>
    <hyperlink ref="B6350" r:id="rId6469" xr:uid="{00000000-0004-0000-0000-000044190000}"/>
    <hyperlink ref="B6351" r:id="rId6470" xr:uid="{00000000-0004-0000-0000-000045190000}"/>
    <hyperlink ref="B6352" r:id="rId6471" xr:uid="{00000000-0004-0000-0000-000046190000}"/>
    <hyperlink ref="B6353" r:id="rId6472" xr:uid="{00000000-0004-0000-0000-000047190000}"/>
    <hyperlink ref="B6354" r:id="rId6473" xr:uid="{00000000-0004-0000-0000-000048190000}"/>
    <hyperlink ref="B6355" r:id="rId6474" xr:uid="{00000000-0004-0000-0000-000049190000}"/>
    <hyperlink ref="B6356" r:id="rId6475" xr:uid="{00000000-0004-0000-0000-00004A190000}"/>
    <hyperlink ref="B6357" r:id="rId6476" xr:uid="{00000000-0004-0000-0000-00004B190000}"/>
    <hyperlink ref="B6358" r:id="rId6477" xr:uid="{00000000-0004-0000-0000-00004C190000}"/>
    <hyperlink ref="B6359" r:id="rId6478" xr:uid="{00000000-0004-0000-0000-00004D190000}"/>
    <hyperlink ref="B6360" r:id="rId6479" xr:uid="{00000000-0004-0000-0000-00004E190000}"/>
    <hyperlink ref="B6361" r:id="rId6480" xr:uid="{00000000-0004-0000-0000-00004F190000}"/>
    <hyperlink ref="B6362" r:id="rId6481" xr:uid="{00000000-0004-0000-0000-000050190000}"/>
    <hyperlink ref="B6363" r:id="rId6482" xr:uid="{00000000-0004-0000-0000-000051190000}"/>
    <hyperlink ref="B6364" r:id="rId6483" xr:uid="{00000000-0004-0000-0000-000052190000}"/>
    <hyperlink ref="B6365" r:id="rId6484" xr:uid="{00000000-0004-0000-0000-000053190000}"/>
    <hyperlink ref="B6366" r:id="rId6485" xr:uid="{00000000-0004-0000-0000-000054190000}"/>
    <hyperlink ref="B6367" r:id="rId6486" xr:uid="{00000000-0004-0000-0000-000055190000}"/>
    <hyperlink ref="B6368" r:id="rId6487" xr:uid="{00000000-0004-0000-0000-000056190000}"/>
    <hyperlink ref="B6369" r:id="rId6488" xr:uid="{00000000-0004-0000-0000-000057190000}"/>
    <hyperlink ref="B6370" r:id="rId6489" xr:uid="{00000000-0004-0000-0000-000058190000}"/>
    <hyperlink ref="B6371" r:id="rId6490" xr:uid="{00000000-0004-0000-0000-000059190000}"/>
    <hyperlink ref="B6372" r:id="rId6491" xr:uid="{00000000-0004-0000-0000-00005A190000}"/>
    <hyperlink ref="B6373" r:id="rId6492" xr:uid="{00000000-0004-0000-0000-00005B190000}"/>
    <hyperlink ref="B6374" r:id="rId6493" xr:uid="{00000000-0004-0000-0000-00005C190000}"/>
    <hyperlink ref="B6375" r:id="rId6494" xr:uid="{00000000-0004-0000-0000-00005D190000}"/>
    <hyperlink ref="B6376" r:id="rId6495" xr:uid="{00000000-0004-0000-0000-00005E190000}"/>
    <hyperlink ref="B6377" r:id="rId6496" xr:uid="{00000000-0004-0000-0000-00005F190000}"/>
    <hyperlink ref="B6378" r:id="rId6497" xr:uid="{00000000-0004-0000-0000-000060190000}"/>
    <hyperlink ref="B6379" r:id="rId6498" xr:uid="{00000000-0004-0000-0000-000061190000}"/>
    <hyperlink ref="B6380" r:id="rId6499" xr:uid="{00000000-0004-0000-0000-000062190000}"/>
    <hyperlink ref="B6381" r:id="rId6500" xr:uid="{00000000-0004-0000-0000-000063190000}"/>
    <hyperlink ref="B6382" r:id="rId6501" xr:uid="{00000000-0004-0000-0000-000064190000}"/>
    <hyperlink ref="B6383" r:id="rId6502" xr:uid="{00000000-0004-0000-0000-000065190000}"/>
    <hyperlink ref="B6384" r:id="rId6503" xr:uid="{00000000-0004-0000-0000-000066190000}"/>
    <hyperlink ref="B6385" r:id="rId6504" xr:uid="{00000000-0004-0000-0000-000067190000}"/>
    <hyperlink ref="B6386" r:id="rId6505" xr:uid="{00000000-0004-0000-0000-000068190000}"/>
    <hyperlink ref="B6387" r:id="rId6506" xr:uid="{00000000-0004-0000-0000-000069190000}"/>
    <hyperlink ref="B6388" r:id="rId6507" xr:uid="{00000000-0004-0000-0000-00006A190000}"/>
    <hyperlink ref="B6389" r:id="rId6508" xr:uid="{00000000-0004-0000-0000-00006B190000}"/>
    <hyperlink ref="B6390" r:id="rId6509" xr:uid="{00000000-0004-0000-0000-00006C190000}"/>
    <hyperlink ref="B6391" r:id="rId6510" xr:uid="{00000000-0004-0000-0000-00006D190000}"/>
    <hyperlink ref="B6392" r:id="rId6511" xr:uid="{00000000-0004-0000-0000-00006E190000}"/>
    <hyperlink ref="B6393" r:id="rId6512" xr:uid="{00000000-0004-0000-0000-00006F190000}"/>
    <hyperlink ref="B6394" r:id="rId6513" xr:uid="{00000000-0004-0000-0000-000070190000}"/>
    <hyperlink ref="B6395" r:id="rId6514" xr:uid="{00000000-0004-0000-0000-000071190000}"/>
    <hyperlink ref="B6396" r:id="rId6515" xr:uid="{00000000-0004-0000-0000-000072190000}"/>
    <hyperlink ref="B6397" r:id="rId6516" xr:uid="{00000000-0004-0000-0000-000073190000}"/>
    <hyperlink ref="B6398" r:id="rId6517" xr:uid="{00000000-0004-0000-0000-000074190000}"/>
    <hyperlink ref="B6399" r:id="rId6518" xr:uid="{00000000-0004-0000-0000-000075190000}"/>
    <hyperlink ref="B6400" r:id="rId6519" xr:uid="{00000000-0004-0000-0000-000076190000}"/>
    <hyperlink ref="B6401" r:id="rId6520" xr:uid="{00000000-0004-0000-0000-000077190000}"/>
    <hyperlink ref="B6402" r:id="rId6521" xr:uid="{00000000-0004-0000-0000-000078190000}"/>
    <hyperlink ref="B6403" r:id="rId6522" xr:uid="{00000000-0004-0000-0000-000079190000}"/>
    <hyperlink ref="B6404" r:id="rId6523" xr:uid="{00000000-0004-0000-0000-00007A190000}"/>
    <hyperlink ref="B6405" r:id="rId6524" xr:uid="{00000000-0004-0000-0000-00007B190000}"/>
    <hyperlink ref="B6406" r:id="rId6525" xr:uid="{00000000-0004-0000-0000-00007C190000}"/>
    <hyperlink ref="B6407" r:id="rId6526" xr:uid="{00000000-0004-0000-0000-00007D190000}"/>
    <hyperlink ref="B6408" r:id="rId6527" xr:uid="{00000000-0004-0000-0000-00007E190000}"/>
    <hyperlink ref="B6409" r:id="rId6528" xr:uid="{00000000-0004-0000-0000-00007F190000}"/>
    <hyperlink ref="B6410" r:id="rId6529" xr:uid="{00000000-0004-0000-0000-000080190000}"/>
    <hyperlink ref="B6411" r:id="rId6530" xr:uid="{00000000-0004-0000-0000-000081190000}"/>
    <hyperlink ref="B6412" r:id="rId6531" xr:uid="{00000000-0004-0000-0000-000082190000}"/>
    <hyperlink ref="B6413" r:id="rId6532" xr:uid="{00000000-0004-0000-0000-000083190000}"/>
    <hyperlink ref="B6414" r:id="rId6533" xr:uid="{00000000-0004-0000-0000-000084190000}"/>
    <hyperlink ref="B6415" r:id="rId6534" xr:uid="{00000000-0004-0000-0000-000085190000}"/>
    <hyperlink ref="B6416" r:id="rId6535" xr:uid="{00000000-0004-0000-0000-000086190000}"/>
    <hyperlink ref="B6417" r:id="rId6536" xr:uid="{00000000-0004-0000-0000-000087190000}"/>
    <hyperlink ref="B6418" r:id="rId6537" xr:uid="{00000000-0004-0000-0000-000088190000}"/>
    <hyperlink ref="B6419" r:id="rId6538" xr:uid="{00000000-0004-0000-0000-000089190000}"/>
    <hyperlink ref="B6420" r:id="rId6539" xr:uid="{00000000-0004-0000-0000-00008A190000}"/>
    <hyperlink ref="B6421" r:id="rId6540" xr:uid="{00000000-0004-0000-0000-00008B190000}"/>
    <hyperlink ref="B6422" r:id="rId6541" xr:uid="{00000000-0004-0000-0000-00008C190000}"/>
    <hyperlink ref="B6423" r:id="rId6542" xr:uid="{00000000-0004-0000-0000-00008D190000}"/>
    <hyperlink ref="B6424" r:id="rId6543" xr:uid="{00000000-0004-0000-0000-00008E190000}"/>
    <hyperlink ref="B6425" r:id="rId6544" xr:uid="{00000000-0004-0000-0000-00008F190000}"/>
    <hyperlink ref="B6426" r:id="rId6545" xr:uid="{00000000-0004-0000-0000-000090190000}"/>
    <hyperlink ref="B6427" r:id="rId6546" xr:uid="{00000000-0004-0000-0000-000091190000}"/>
    <hyperlink ref="B6428" r:id="rId6547" xr:uid="{00000000-0004-0000-0000-000092190000}"/>
    <hyperlink ref="B6429" r:id="rId6548" xr:uid="{00000000-0004-0000-0000-000093190000}"/>
    <hyperlink ref="B6430" r:id="rId6549" xr:uid="{00000000-0004-0000-0000-000094190000}"/>
    <hyperlink ref="B6431" r:id="rId6550" xr:uid="{00000000-0004-0000-0000-000095190000}"/>
    <hyperlink ref="B6432" r:id="rId6551" xr:uid="{00000000-0004-0000-0000-000096190000}"/>
    <hyperlink ref="B6433" r:id="rId6552" xr:uid="{00000000-0004-0000-0000-000097190000}"/>
    <hyperlink ref="B6434" r:id="rId6553" xr:uid="{00000000-0004-0000-0000-000098190000}"/>
    <hyperlink ref="B6435" r:id="rId6554" xr:uid="{00000000-0004-0000-0000-000099190000}"/>
    <hyperlink ref="B6436" r:id="rId6555" xr:uid="{00000000-0004-0000-0000-00009A190000}"/>
    <hyperlink ref="B6437" r:id="rId6556" xr:uid="{00000000-0004-0000-0000-00009B190000}"/>
    <hyperlink ref="B6438" r:id="rId6557" xr:uid="{00000000-0004-0000-0000-00009C190000}"/>
    <hyperlink ref="B6439" r:id="rId6558" xr:uid="{00000000-0004-0000-0000-00009D190000}"/>
    <hyperlink ref="B6440" r:id="rId6559" xr:uid="{00000000-0004-0000-0000-00009E190000}"/>
    <hyperlink ref="B6441" r:id="rId6560" xr:uid="{00000000-0004-0000-0000-00009F190000}"/>
    <hyperlink ref="B6442" r:id="rId6561" xr:uid="{00000000-0004-0000-0000-0000A0190000}"/>
    <hyperlink ref="B6443" r:id="rId6562" xr:uid="{00000000-0004-0000-0000-0000A1190000}"/>
    <hyperlink ref="B6444" r:id="rId6563" xr:uid="{00000000-0004-0000-0000-0000A2190000}"/>
    <hyperlink ref="B6445" r:id="rId6564" xr:uid="{00000000-0004-0000-0000-0000A3190000}"/>
    <hyperlink ref="B6446" r:id="rId6565" xr:uid="{00000000-0004-0000-0000-0000A4190000}"/>
    <hyperlink ref="B6447" r:id="rId6566" xr:uid="{00000000-0004-0000-0000-0000A5190000}"/>
    <hyperlink ref="B6448" r:id="rId6567" xr:uid="{00000000-0004-0000-0000-0000A6190000}"/>
    <hyperlink ref="B6449" r:id="rId6568" xr:uid="{00000000-0004-0000-0000-0000A7190000}"/>
    <hyperlink ref="B6450" r:id="rId6569" xr:uid="{00000000-0004-0000-0000-0000A8190000}"/>
    <hyperlink ref="B6451" r:id="rId6570" xr:uid="{00000000-0004-0000-0000-0000A9190000}"/>
    <hyperlink ref="B6452" r:id="rId6571" xr:uid="{00000000-0004-0000-0000-0000AA190000}"/>
    <hyperlink ref="B6453" r:id="rId6572" xr:uid="{00000000-0004-0000-0000-0000AB190000}"/>
    <hyperlink ref="B6454" r:id="rId6573" xr:uid="{00000000-0004-0000-0000-0000AC190000}"/>
    <hyperlink ref="B6455" r:id="rId6574" xr:uid="{00000000-0004-0000-0000-0000AD190000}"/>
    <hyperlink ref="B6456" r:id="rId6575" xr:uid="{00000000-0004-0000-0000-0000AE190000}"/>
    <hyperlink ref="B6457" r:id="rId6576" xr:uid="{00000000-0004-0000-0000-0000AF190000}"/>
    <hyperlink ref="B6458" r:id="rId6577" xr:uid="{00000000-0004-0000-0000-0000B0190000}"/>
    <hyperlink ref="B6459" r:id="rId6578" xr:uid="{00000000-0004-0000-0000-0000B1190000}"/>
    <hyperlink ref="B6460" r:id="rId6579" xr:uid="{00000000-0004-0000-0000-0000B2190000}"/>
    <hyperlink ref="B6461" r:id="rId6580" xr:uid="{00000000-0004-0000-0000-0000B3190000}"/>
    <hyperlink ref="B6462" r:id="rId6581" xr:uid="{00000000-0004-0000-0000-0000B4190000}"/>
    <hyperlink ref="B6463" r:id="rId6582" xr:uid="{00000000-0004-0000-0000-0000B5190000}"/>
    <hyperlink ref="B6464" r:id="rId6583" xr:uid="{00000000-0004-0000-0000-0000B6190000}"/>
    <hyperlink ref="B6465" r:id="rId6584" xr:uid="{00000000-0004-0000-0000-0000B7190000}"/>
    <hyperlink ref="B6466" r:id="rId6585" xr:uid="{00000000-0004-0000-0000-0000B8190000}"/>
    <hyperlink ref="B6467" r:id="rId6586" xr:uid="{00000000-0004-0000-0000-0000B9190000}"/>
    <hyperlink ref="B6468" r:id="rId6587" xr:uid="{00000000-0004-0000-0000-0000BA190000}"/>
    <hyperlink ref="B6469" r:id="rId6588" xr:uid="{00000000-0004-0000-0000-0000BB190000}"/>
    <hyperlink ref="B6470" r:id="rId6589" xr:uid="{00000000-0004-0000-0000-0000BC190000}"/>
    <hyperlink ref="B6471" r:id="rId6590" xr:uid="{00000000-0004-0000-0000-0000BD190000}"/>
    <hyperlink ref="B6472" r:id="rId6591" xr:uid="{00000000-0004-0000-0000-0000BE190000}"/>
    <hyperlink ref="B6473" r:id="rId6592" xr:uid="{00000000-0004-0000-0000-0000BF190000}"/>
    <hyperlink ref="B6474" r:id="rId6593" xr:uid="{00000000-0004-0000-0000-0000C0190000}"/>
    <hyperlink ref="B6475" r:id="rId6594" xr:uid="{00000000-0004-0000-0000-0000C1190000}"/>
    <hyperlink ref="B6476" r:id="rId6595" xr:uid="{00000000-0004-0000-0000-0000C2190000}"/>
    <hyperlink ref="B6477" r:id="rId6596" xr:uid="{00000000-0004-0000-0000-0000C3190000}"/>
    <hyperlink ref="B6478" r:id="rId6597" xr:uid="{00000000-0004-0000-0000-0000C4190000}"/>
    <hyperlink ref="B6479" r:id="rId6598" xr:uid="{00000000-0004-0000-0000-0000C5190000}"/>
    <hyperlink ref="B6480" r:id="rId6599" xr:uid="{00000000-0004-0000-0000-0000C6190000}"/>
    <hyperlink ref="B6481" r:id="rId6600" xr:uid="{00000000-0004-0000-0000-0000C7190000}"/>
    <hyperlink ref="B6482" r:id="rId6601" xr:uid="{00000000-0004-0000-0000-0000C8190000}"/>
    <hyperlink ref="B6483" r:id="rId6602" xr:uid="{00000000-0004-0000-0000-0000C9190000}"/>
    <hyperlink ref="B6484" r:id="rId6603" xr:uid="{00000000-0004-0000-0000-0000CA190000}"/>
    <hyperlink ref="B6485" r:id="rId6604" xr:uid="{00000000-0004-0000-0000-0000CB190000}"/>
    <hyperlink ref="B6486" r:id="rId6605" xr:uid="{00000000-0004-0000-0000-0000CC190000}"/>
    <hyperlink ref="B6487" r:id="rId6606" xr:uid="{00000000-0004-0000-0000-0000CD190000}"/>
    <hyperlink ref="B6488" r:id="rId6607" xr:uid="{00000000-0004-0000-0000-0000CE190000}"/>
    <hyperlink ref="B6489" r:id="rId6608" xr:uid="{00000000-0004-0000-0000-0000CF190000}"/>
    <hyperlink ref="B6490" r:id="rId6609" xr:uid="{00000000-0004-0000-0000-0000D0190000}"/>
    <hyperlink ref="B6491" r:id="rId6610" xr:uid="{00000000-0004-0000-0000-0000D1190000}"/>
    <hyperlink ref="B6492" r:id="rId6611" xr:uid="{00000000-0004-0000-0000-0000D2190000}"/>
    <hyperlink ref="B6493" r:id="rId6612" xr:uid="{00000000-0004-0000-0000-0000D3190000}"/>
    <hyperlink ref="B6494" r:id="rId6613" xr:uid="{00000000-0004-0000-0000-0000D4190000}"/>
    <hyperlink ref="B6495" r:id="rId6614" xr:uid="{00000000-0004-0000-0000-0000D5190000}"/>
    <hyperlink ref="B6496" r:id="rId6615" xr:uid="{00000000-0004-0000-0000-0000D6190000}"/>
    <hyperlink ref="B6497" r:id="rId6616" xr:uid="{00000000-0004-0000-0000-0000D7190000}"/>
    <hyperlink ref="B6498" r:id="rId6617" xr:uid="{00000000-0004-0000-0000-0000D8190000}"/>
    <hyperlink ref="B6499" r:id="rId6618" xr:uid="{00000000-0004-0000-0000-0000D9190000}"/>
    <hyperlink ref="B6500" r:id="rId6619" xr:uid="{00000000-0004-0000-0000-0000DA190000}"/>
    <hyperlink ref="B6501" r:id="rId6620" xr:uid="{00000000-0004-0000-0000-0000DB190000}"/>
    <hyperlink ref="B6502" r:id="rId6621" xr:uid="{00000000-0004-0000-0000-0000DC190000}"/>
    <hyperlink ref="B6503" r:id="rId6622" xr:uid="{00000000-0004-0000-0000-0000DD190000}"/>
    <hyperlink ref="B6504" r:id="rId6623" xr:uid="{00000000-0004-0000-0000-0000DE190000}"/>
    <hyperlink ref="B6505" r:id="rId6624" xr:uid="{00000000-0004-0000-0000-0000DF190000}"/>
    <hyperlink ref="B6506" r:id="rId6625" xr:uid="{00000000-0004-0000-0000-0000E0190000}"/>
    <hyperlink ref="B6507" r:id="rId6626" xr:uid="{00000000-0004-0000-0000-0000E1190000}"/>
    <hyperlink ref="B6508" r:id="rId6627" xr:uid="{00000000-0004-0000-0000-0000E2190000}"/>
    <hyperlink ref="B6509" r:id="rId6628" xr:uid="{00000000-0004-0000-0000-0000E3190000}"/>
    <hyperlink ref="B6510" r:id="rId6629" xr:uid="{00000000-0004-0000-0000-0000E4190000}"/>
    <hyperlink ref="B6511" r:id="rId6630" xr:uid="{00000000-0004-0000-0000-0000E5190000}"/>
    <hyperlink ref="B6512" r:id="rId6631" xr:uid="{00000000-0004-0000-0000-0000E6190000}"/>
    <hyperlink ref="B6513" r:id="rId6632" xr:uid="{00000000-0004-0000-0000-0000E7190000}"/>
    <hyperlink ref="B6514" r:id="rId6633" xr:uid="{00000000-0004-0000-0000-0000E8190000}"/>
    <hyperlink ref="B6515" r:id="rId6634" xr:uid="{00000000-0004-0000-0000-0000E9190000}"/>
    <hyperlink ref="B6516" r:id="rId6635" xr:uid="{00000000-0004-0000-0000-0000EA190000}"/>
    <hyperlink ref="B6517" r:id="rId6636" xr:uid="{00000000-0004-0000-0000-0000EB190000}"/>
    <hyperlink ref="B6518" r:id="rId6637" xr:uid="{00000000-0004-0000-0000-0000EC190000}"/>
    <hyperlink ref="B6519" r:id="rId6638" xr:uid="{00000000-0004-0000-0000-0000ED190000}"/>
    <hyperlink ref="B6520" r:id="rId6639" xr:uid="{00000000-0004-0000-0000-0000EE190000}"/>
    <hyperlink ref="B6521" r:id="rId6640" xr:uid="{00000000-0004-0000-0000-0000EF190000}"/>
    <hyperlink ref="B6522" r:id="rId6641" xr:uid="{00000000-0004-0000-0000-0000F0190000}"/>
    <hyperlink ref="B6523" r:id="rId6642" xr:uid="{00000000-0004-0000-0000-0000F1190000}"/>
    <hyperlink ref="B6524" r:id="rId6643" xr:uid="{00000000-0004-0000-0000-0000F2190000}"/>
    <hyperlink ref="B6525" r:id="rId6644" xr:uid="{00000000-0004-0000-0000-0000F3190000}"/>
    <hyperlink ref="B6526" r:id="rId6645" xr:uid="{00000000-0004-0000-0000-0000F4190000}"/>
    <hyperlink ref="B6527" r:id="rId6646" xr:uid="{00000000-0004-0000-0000-0000F5190000}"/>
    <hyperlink ref="B6528" r:id="rId6647" xr:uid="{00000000-0004-0000-0000-0000F6190000}"/>
    <hyperlink ref="B6529" r:id="rId6648" xr:uid="{00000000-0004-0000-0000-0000F7190000}"/>
    <hyperlink ref="B6530" r:id="rId6649" xr:uid="{00000000-0004-0000-0000-0000F8190000}"/>
    <hyperlink ref="B6531" r:id="rId6650" xr:uid="{00000000-0004-0000-0000-0000F9190000}"/>
    <hyperlink ref="B6532" r:id="rId6651" xr:uid="{00000000-0004-0000-0000-0000FA190000}"/>
    <hyperlink ref="B6533" r:id="rId6652" xr:uid="{00000000-0004-0000-0000-0000FB190000}"/>
    <hyperlink ref="B6534" r:id="rId6653" xr:uid="{00000000-0004-0000-0000-0000FC190000}"/>
    <hyperlink ref="B6535" r:id="rId6654" xr:uid="{00000000-0004-0000-0000-0000FD190000}"/>
    <hyperlink ref="B6536" r:id="rId6655" xr:uid="{00000000-0004-0000-0000-0000FE190000}"/>
    <hyperlink ref="B6537" r:id="rId6656" xr:uid="{00000000-0004-0000-0000-0000FF190000}"/>
    <hyperlink ref="B6538" r:id="rId6657" xr:uid="{00000000-0004-0000-0000-0000001A0000}"/>
    <hyperlink ref="B6539" r:id="rId6658" xr:uid="{00000000-0004-0000-0000-0000011A0000}"/>
    <hyperlink ref="B6540" r:id="rId6659" xr:uid="{00000000-0004-0000-0000-0000021A0000}"/>
    <hyperlink ref="B6541" r:id="rId6660" xr:uid="{00000000-0004-0000-0000-0000031A0000}"/>
    <hyperlink ref="B6542" r:id="rId6661" xr:uid="{00000000-0004-0000-0000-0000041A0000}"/>
    <hyperlink ref="B6543" r:id="rId6662" xr:uid="{00000000-0004-0000-0000-0000051A0000}"/>
    <hyperlink ref="B6544" r:id="rId6663" xr:uid="{00000000-0004-0000-0000-0000061A0000}"/>
    <hyperlink ref="B6545" r:id="rId6664" xr:uid="{00000000-0004-0000-0000-0000071A0000}"/>
    <hyperlink ref="B6546" r:id="rId6665" xr:uid="{00000000-0004-0000-0000-0000081A0000}"/>
    <hyperlink ref="B6547" r:id="rId6666" xr:uid="{00000000-0004-0000-0000-0000091A0000}"/>
    <hyperlink ref="B6548" r:id="rId6667" xr:uid="{00000000-0004-0000-0000-00000A1A0000}"/>
    <hyperlink ref="B6549" r:id="rId6668" xr:uid="{00000000-0004-0000-0000-00000B1A0000}"/>
    <hyperlink ref="B6550" r:id="rId6669" xr:uid="{00000000-0004-0000-0000-00000C1A0000}"/>
    <hyperlink ref="B6551" r:id="rId6670" xr:uid="{00000000-0004-0000-0000-00000D1A0000}"/>
    <hyperlink ref="B6552" r:id="rId6671" xr:uid="{00000000-0004-0000-0000-00000E1A0000}"/>
    <hyperlink ref="B6553" r:id="rId6672" xr:uid="{00000000-0004-0000-0000-00000F1A0000}"/>
    <hyperlink ref="B6554" r:id="rId6673" xr:uid="{00000000-0004-0000-0000-0000101A0000}"/>
    <hyperlink ref="B6555" r:id="rId6674" xr:uid="{00000000-0004-0000-0000-0000111A0000}"/>
    <hyperlink ref="B6556" r:id="rId6675" xr:uid="{00000000-0004-0000-0000-0000121A0000}"/>
    <hyperlink ref="B6557" r:id="rId6676" xr:uid="{00000000-0004-0000-0000-0000131A0000}"/>
    <hyperlink ref="B6558" r:id="rId6677" xr:uid="{00000000-0004-0000-0000-0000141A0000}"/>
    <hyperlink ref="B6559" r:id="rId6678" xr:uid="{00000000-0004-0000-0000-0000151A0000}"/>
    <hyperlink ref="B6560" r:id="rId6679" xr:uid="{00000000-0004-0000-0000-0000161A0000}"/>
    <hyperlink ref="B6561" r:id="rId6680" xr:uid="{00000000-0004-0000-0000-0000171A0000}"/>
    <hyperlink ref="B6562" r:id="rId6681" xr:uid="{00000000-0004-0000-0000-0000181A0000}"/>
    <hyperlink ref="B6563" r:id="rId6682" xr:uid="{00000000-0004-0000-0000-0000191A0000}"/>
    <hyperlink ref="B6564" r:id="rId6683" xr:uid="{00000000-0004-0000-0000-00001A1A0000}"/>
    <hyperlink ref="B6565" r:id="rId6684" xr:uid="{00000000-0004-0000-0000-00001B1A0000}"/>
    <hyperlink ref="B6566" r:id="rId6685" xr:uid="{00000000-0004-0000-0000-00001C1A0000}"/>
    <hyperlink ref="B6567" r:id="rId6686" xr:uid="{00000000-0004-0000-0000-00001D1A0000}"/>
    <hyperlink ref="B6568" r:id="rId6687" xr:uid="{00000000-0004-0000-0000-00001E1A0000}"/>
    <hyperlink ref="B6569" r:id="rId6688" xr:uid="{00000000-0004-0000-0000-00001F1A0000}"/>
    <hyperlink ref="B6570" r:id="rId6689" xr:uid="{00000000-0004-0000-0000-0000201A0000}"/>
    <hyperlink ref="B6571" r:id="rId6690" xr:uid="{00000000-0004-0000-0000-0000211A0000}"/>
    <hyperlink ref="B6572" r:id="rId6691" xr:uid="{00000000-0004-0000-0000-0000221A0000}"/>
    <hyperlink ref="B6573" r:id="rId6692" xr:uid="{00000000-0004-0000-0000-0000231A0000}"/>
    <hyperlink ref="B6574" r:id="rId6693" xr:uid="{00000000-0004-0000-0000-0000241A0000}"/>
    <hyperlink ref="B6575" r:id="rId6694" xr:uid="{00000000-0004-0000-0000-0000251A0000}"/>
    <hyperlink ref="B6576" r:id="rId6695" xr:uid="{00000000-0004-0000-0000-0000261A0000}"/>
    <hyperlink ref="B6577" r:id="rId6696" xr:uid="{00000000-0004-0000-0000-0000271A0000}"/>
    <hyperlink ref="B6578" r:id="rId6697" xr:uid="{00000000-0004-0000-0000-0000281A0000}"/>
    <hyperlink ref="B6579" r:id="rId6698" xr:uid="{00000000-0004-0000-0000-0000291A0000}"/>
    <hyperlink ref="B6580" r:id="rId6699" xr:uid="{00000000-0004-0000-0000-00002A1A0000}"/>
    <hyperlink ref="B6581" r:id="rId6700" xr:uid="{00000000-0004-0000-0000-00002B1A0000}"/>
    <hyperlink ref="B6582" r:id="rId6701" xr:uid="{00000000-0004-0000-0000-00002C1A0000}"/>
    <hyperlink ref="B6583" r:id="rId6702" xr:uid="{00000000-0004-0000-0000-00002D1A0000}"/>
    <hyperlink ref="B6584" r:id="rId6703" xr:uid="{00000000-0004-0000-0000-00002E1A0000}"/>
    <hyperlink ref="B6585" r:id="rId6704" xr:uid="{00000000-0004-0000-0000-00002F1A0000}"/>
    <hyperlink ref="B6586" r:id="rId6705" xr:uid="{00000000-0004-0000-0000-0000301A0000}"/>
    <hyperlink ref="B6587" r:id="rId6706" xr:uid="{00000000-0004-0000-0000-0000311A0000}"/>
    <hyperlink ref="B6588" r:id="rId6707" xr:uid="{00000000-0004-0000-0000-0000321A0000}"/>
    <hyperlink ref="B6589" r:id="rId6708" xr:uid="{00000000-0004-0000-0000-0000331A0000}"/>
    <hyperlink ref="B6590" r:id="rId6709" xr:uid="{00000000-0004-0000-0000-0000341A0000}"/>
    <hyperlink ref="B6591" r:id="rId6710" xr:uid="{00000000-0004-0000-0000-0000351A0000}"/>
    <hyperlink ref="B6592" r:id="rId6711" xr:uid="{00000000-0004-0000-0000-0000361A0000}"/>
    <hyperlink ref="B6593" r:id="rId6712" xr:uid="{00000000-0004-0000-0000-0000371A0000}"/>
    <hyperlink ref="B6594" r:id="rId6713" xr:uid="{00000000-0004-0000-0000-0000381A0000}"/>
    <hyperlink ref="B6595" r:id="rId6714" xr:uid="{00000000-0004-0000-0000-0000391A0000}"/>
    <hyperlink ref="B6596" r:id="rId6715" xr:uid="{00000000-0004-0000-0000-00003A1A0000}"/>
    <hyperlink ref="B6597" r:id="rId6716" xr:uid="{00000000-0004-0000-0000-00003B1A0000}"/>
    <hyperlink ref="B6598" r:id="rId6717" xr:uid="{00000000-0004-0000-0000-00003C1A0000}"/>
    <hyperlink ref="B6599" r:id="rId6718" xr:uid="{00000000-0004-0000-0000-00003D1A0000}"/>
    <hyperlink ref="B6600" r:id="rId6719" xr:uid="{00000000-0004-0000-0000-00003E1A0000}"/>
    <hyperlink ref="B6601" r:id="rId6720" xr:uid="{00000000-0004-0000-0000-00003F1A0000}"/>
    <hyperlink ref="B6602" r:id="rId6721" xr:uid="{00000000-0004-0000-0000-0000401A0000}"/>
    <hyperlink ref="B6603" r:id="rId6722" xr:uid="{00000000-0004-0000-0000-0000411A0000}"/>
    <hyperlink ref="B6604" r:id="rId6723" xr:uid="{00000000-0004-0000-0000-0000421A0000}"/>
    <hyperlink ref="B6605" r:id="rId6724" xr:uid="{00000000-0004-0000-0000-0000431A0000}"/>
    <hyperlink ref="B6606" r:id="rId6725" xr:uid="{00000000-0004-0000-0000-0000441A0000}"/>
    <hyperlink ref="B6607" r:id="rId6726" xr:uid="{00000000-0004-0000-0000-0000451A0000}"/>
    <hyperlink ref="B6608" r:id="rId6727" xr:uid="{00000000-0004-0000-0000-0000461A0000}"/>
    <hyperlink ref="B6609" r:id="rId6728" xr:uid="{00000000-0004-0000-0000-0000471A0000}"/>
    <hyperlink ref="B6610" r:id="rId6729" xr:uid="{00000000-0004-0000-0000-0000481A0000}"/>
    <hyperlink ref="B6611" r:id="rId6730" xr:uid="{00000000-0004-0000-0000-0000491A0000}"/>
    <hyperlink ref="B6612" r:id="rId6731" xr:uid="{00000000-0004-0000-0000-00004A1A0000}"/>
    <hyperlink ref="B6613" r:id="rId6732" xr:uid="{00000000-0004-0000-0000-00004B1A0000}"/>
    <hyperlink ref="B6614" r:id="rId6733" xr:uid="{00000000-0004-0000-0000-00004C1A0000}"/>
    <hyperlink ref="B6615" r:id="rId6734" xr:uid="{00000000-0004-0000-0000-00004D1A0000}"/>
    <hyperlink ref="B6616" r:id="rId6735" xr:uid="{00000000-0004-0000-0000-00004E1A0000}"/>
    <hyperlink ref="B6617" r:id="rId6736" xr:uid="{00000000-0004-0000-0000-00004F1A0000}"/>
    <hyperlink ref="B6618" r:id="rId6737" xr:uid="{00000000-0004-0000-0000-0000501A0000}"/>
    <hyperlink ref="B6619" r:id="rId6738" xr:uid="{00000000-0004-0000-0000-0000511A0000}"/>
    <hyperlink ref="B6620" r:id="rId6739" xr:uid="{00000000-0004-0000-0000-0000521A0000}"/>
    <hyperlink ref="B6621" r:id="rId6740" xr:uid="{00000000-0004-0000-0000-0000531A0000}"/>
    <hyperlink ref="B6622" r:id="rId6741" xr:uid="{00000000-0004-0000-0000-0000541A0000}"/>
    <hyperlink ref="B6623" r:id="rId6742" xr:uid="{00000000-0004-0000-0000-0000551A0000}"/>
    <hyperlink ref="B6624" r:id="rId6743" xr:uid="{00000000-0004-0000-0000-0000561A0000}"/>
    <hyperlink ref="B6625" r:id="rId6744" xr:uid="{00000000-0004-0000-0000-0000571A0000}"/>
    <hyperlink ref="B6626" r:id="rId6745" xr:uid="{00000000-0004-0000-0000-0000581A0000}"/>
    <hyperlink ref="B6627" r:id="rId6746" xr:uid="{00000000-0004-0000-0000-0000591A0000}"/>
    <hyperlink ref="B6628" r:id="rId6747" xr:uid="{00000000-0004-0000-0000-00005A1A0000}"/>
    <hyperlink ref="B6629" r:id="rId6748" xr:uid="{00000000-0004-0000-0000-00005B1A0000}"/>
    <hyperlink ref="B6630" r:id="rId6749" xr:uid="{00000000-0004-0000-0000-00005C1A0000}"/>
    <hyperlink ref="B6631" r:id="rId6750" xr:uid="{00000000-0004-0000-0000-00005D1A0000}"/>
    <hyperlink ref="B6632" r:id="rId6751" xr:uid="{00000000-0004-0000-0000-00005E1A0000}"/>
    <hyperlink ref="B6633" r:id="rId6752" xr:uid="{00000000-0004-0000-0000-00005F1A0000}"/>
    <hyperlink ref="B6634" r:id="rId6753" xr:uid="{00000000-0004-0000-0000-0000601A0000}"/>
    <hyperlink ref="B6635" r:id="rId6754" xr:uid="{00000000-0004-0000-0000-0000611A0000}"/>
    <hyperlink ref="B6636" r:id="rId6755" xr:uid="{00000000-0004-0000-0000-0000621A0000}"/>
    <hyperlink ref="B6637" r:id="rId6756" xr:uid="{00000000-0004-0000-0000-0000631A0000}"/>
    <hyperlink ref="B6638" r:id="rId6757" xr:uid="{00000000-0004-0000-0000-0000641A0000}"/>
    <hyperlink ref="B6639" r:id="rId6758" xr:uid="{00000000-0004-0000-0000-0000651A0000}"/>
    <hyperlink ref="B6640" r:id="rId6759" xr:uid="{00000000-0004-0000-0000-0000661A0000}"/>
    <hyperlink ref="B6641" r:id="rId6760" xr:uid="{00000000-0004-0000-0000-0000671A0000}"/>
    <hyperlink ref="B6642" r:id="rId6761" xr:uid="{00000000-0004-0000-0000-0000681A0000}"/>
    <hyperlink ref="B6643" r:id="rId6762" xr:uid="{00000000-0004-0000-0000-0000691A0000}"/>
    <hyperlink ref="B6644" r:id="rId6763" xr:uid="{00000000-0004-0000-0000-00006A1A0000}"/>
    <hyperlink ref="B6645" r:id="rId6764" xr:uid="{00000000-0004-0000-0000-00006B1A0000}"/>
    <hyperlink ref="B6646" r:id="rId6765" xr:uid="{00000000-0004-0000-0000-00006C1A0000}"/>
    <hyperlink ref="B6647" r:id="rId6766" xr:uid="{00000000-0004-0000-0000-00006D1A0000}"/>
    <hyperlink ref="B6648" r:id="rId6767" xr:uid="{00000000-0004-0000-0000-00006E1A0000}"/>
    <hyperlink ref="B6649" r:id="rId6768" xr:uid="{00000000-0004-0000-0000-00006F1A0000}"/>
    <hyperlink ref="B6650" r:id="rId6769" xr:uid="{00000000-0004-0000-0000-0000701A0000}"/>
    <hyperlink ref="B6651" r:id="rId6770" xr:uid="{00000000-0004-0000-0000-0000711A0000}"/>
    <hyperlink ref="B6652" r:id="rId6771" xr:uid="{00000000-0004-0000-0000-0000721A0000}"/>
    <hyperlink ref="B6653" r:id="rId6772" xr:uid="{00000000-0004-0000-0000-0000731A0000}"/>
    <hyperlink ref="B6654" r:id="rId6773" xr:uid="{00000000-0004-0000-0000-0000741A0000}"/>
    <hyperlink ref="B6655" r:id="rId6774" xr:uid="{00000000-0004-0000-0000-0000751A0000}"/>
    <hyperlink ref="B6656" r:id="rId6775" xr:uid="{00000000-0004-0000-0000-0000761A0000}"/>
    <hyperlink ref="B6657" r:id="rId6776" xr:uid="{00000000-0004-0000-0000-0000771A0000}"/>
    <hyperlink ref="B6658" r:id="rId6777" xr:uid="{00000000-0004-0000-0000-0000781A0000}"/>
    <hyperlink ref="B6659" r:id="rId6778" xr:uid="{00000000-0004-0000-0000-0000791A0000}"/>
    <hyperlink ref="B6660" r:id="rId6779" xr:uid="{00000000-0004-0000-0000-00007A1A0000}"/>
    <hyperlink ref="B6661" r:id="rId6780" xr:uid="{00000000-0004-0000-0000-00007B1A0000}"/>
    <hyperlink ref="B6662" r:id="rId6781" xr:uid="{00000000-0004-0000-0000-00007C1A0000}"/>
    <hyperlink ref="B6663" r:id="rId6782" xr:uid="{00000000-0004-0000-0000-00007D1A0000}"/>
    <hyperlink ref="B6664" r:id="rId6783" xr:uid="{00000000-0004-0000-0000-00007E1A0000}"/>
    <hyperlink ref="B6665" r:id="rId6784" xr:uid="{00000000-0004-0000-0000-00007F1A0000}"/>
    <hyperlink ref="B6666" r:id="rId6785" xr:uid="{00000000-0004-0000-0000-0000801A0000}"/>
    <hyperlink ref="B6667" r:id="rId6786" xr:uid="{00000000-0004-0000-0000-0000811A0000}"/>
    <hyperlink ref="B6668" r:id="rId6787" xr:uid="{00000000-0004-0000-0000-0000821A0000}"/>
    <hyperlink ref="B6669" r:id="rId6788" xr:uid="{00000000-0004-0000-0000-0000831A0000}"/>
    <hyperlink ref="B6670" r:id="rId6789" xr:uid="{00000000-0004-0000-0000-0000841A0000}"/>
    <hyperlink ref="B6671" r:id="rId6790" xr:uid="{00000000-0004-0000-0000-0000851A0000}"/>
    <hyperlink ref="B6672" r:id="rId6791" xr:uid="{00000000-0004-0000-0000-0000861A0000}"/>
    <hyperlink ref="B6673" r:id="rId6792" xr:uid="{00000000-0004-0000-0000-0000871A0000}"/>
    <hyperlink ref="B6674" r:id="rId6793" xr:uid="{00000000-0004-0000-0000-0000881A0000}"/>
    <hyperlink ref="B6675" r:id="rId6794" xr:uid="{00000000-0004-0000-0000-0000891A0000}"/>
    <hyperlink ref="B6676" r:id="rId6795" xr:uid="{00000000-0004-0000-0000-00008A1A0000}"/>
    <hyperlink ref="B6677" r:id="rId6796" xr:uid="{00000000-0004-0000-0000-00008B1A0000}"/>
    <hyperlink ref="B6678" r:id="rId6797" xr:uid="{00000000-0004-0000-0000-00008C1A0000}"/>
    <hyperlink ref="B6679" r:id="rId6798" xr:uid="{00000000-0004-0000-0000-00008D1A0000}"/>
    <hyperlink ref="B6680" r:id="rId6799" xr:uid="{00000000-0004-0000-0000-00008E1A0000}"/>
    <hyperlink ref="B6681" r:id="rId6800" xr:uid="{00000000-0004-0000-0000-00008F1A0000}"/>
    <hyperlink ref="B6682" r:id="rId6801" xr:uid="{00000000-0004-0000-0000-0000901A0000}"/>
    <hyperlink ref="B6683" r:id="rId6802" xr:uid="{00000000-0004-0000-0000-0000911A0000}"/>
    <hyperlink ref="B6684" r:id="rId6803" xr:uid="{00000000-0004-0000-0000-0000921A0000}"/>
    <hyperlink ref="B6685" r:id="rId6804" xr:uid="{00000000-0004-0000-0000-0000931A0000}"/>
    <hyperlink ref="B6686" r:id="rId6805" xr:uid="{00000000-0004-0000-0000-0000941A0000}"/>
    <hyperlink ref="B6687" r:id="rId6806" xr:uid="{00000000-0004-0000-0000-0000951A0000}"/>
    <hyperlink ref="B6688" r:id="rId6807" xr:uid="{00000000-0004-0000-0000-0000961A0000}"/>
    <hyperlink ref="B6689" r:id="rId6808" xr:uid="{00000000-0004-0000-0000-0000971A0000}"/>
    <hyperlink ref="B6690" r:id="rId6809" xr:uid="{00000000-0004-0000-0000-0000981A0000}"/>
    <hyperlink ref="B6691" r:id="rId6810" xr:uid="{00000000-0004-0000-0000-0000991A0000}"/>
    <hyperlink ref="B6692" r:id="rId6811" xr:uid="{00000000-0004-0000-0000-00009A1A0000}"/>
    <hyperlink ref="B6693" r:id="rId6812" xr:uid="{00000000-0004-0000-0000-00009B1A0000}"/>
    <hyperlink ref="B6694" r:id="rId6813" xr:uid="{00000000-0004-0000-0000-00009C1A0000}"/>
    <hyperlink ref="B6695" r:id="rId6814" xr:uid="{00000000-0004-0000-0000-00009D1A0000}"/>
    <hyperlink ref="B6696" r:id="rId6815" xr:uid="{00000000-0004-0000-0000-00009E1A0000}"/>
    <hyperlink ref="B6697" r:id="rId6816" xr:uid="{00000000-0004-0000-0000-00009F1A0000}"/>
    <hyperlink ref="B6698" r:id="rId6817" xr:uid="{00000000-0004-0000-0000-0000A01A0000}"/>
    <hyperlink ref="B6699" r:id="rId6818" xr:uid="{00000000-0004-0000-0000-0000A11A0000}"/>
    <hyperlink ref="B6700" r:id="rId6819" xr:uid="{00000000-0004-0000-0000-0000A21A0000}"/>
    <hyperlink ref="B6701" r:id="rId6820" xr:uid="{00000000-0004-0000-0000-0000A31A0000}"/>
    <hyperlink ref="B6702" r:id="rId6821" xr:uid="{00000000-0004-0000-0000-0000A41A0000}"/>
    <hyperlink ref="B6703" r:id="rId6822" xr:uid="{00000000-0004-0000-0000-0000A51A0000}"/>
    <hyperlink ref="B6704" r:id="rId6823" xr:uid="{00000000-0004-0000-0000-0000A61A0000}"/>
    <hyperlink ref="B6705" r:id="rId6824" xr:uid="{00000000-0004-0000-0000-0000A71A0000}"/>
    <hyperlink ref="B6706" r:id="rId6825" xr:uid="{00000000-0004-0000-0000-0000A81A0000}"/>
    <hyperlink ref="B6707" r:id="rId6826" xr:uid="{00000000-0004-0000-0000-0000A91A0000}"/>
    <hyperlink ref="B6708" r:id="rId6827" xr:uid="{00000000-0004-0000-0000-0000AA1A0000}"/>
    <hyperlink ref="B6709" r:id="rId6828" xr:uid="{00000000-0004-0000-0000-0000AB1A0000}"/>
    <hyperlink ref="B6710" r:id="rId6829" xr:uid="{00000000-0004-0000-0000-0000AC1A0000}"/>
    <hyperlink ref="B6711" r:id="rId6830" xr:uid="{00000000-0004-0000-0000-0000AD1A0000}"/>
    <hyperlink ref="B6712" r:id="rId6831" xr:uid="{00000000-0004-0000-0000-0000AE1A0000}"/>
    <hyperlink ref="B6713" r:id="rId6832" xr:uid="{00000000-0004-0000-0000-0000AF1A0000}"/>
    <hyperlink ref="B6714" r:id="rId6833" xr:uid="{00000000-0004-0000-0000-0000B01A0000}"/>
    <hyperlink ref="B6715" r:id="rId6834" xr:uid="{00000000-0004-0000-0000-0000B11A0000}"/>
    <hyperlink ref="B6716" r:id="rId6835" xr:uid="{00000000-0004-0000-0000-0000B21A0000}"/>
    <hyperlink ref="B6717" r:id="rId6836" xr:uid="{00000000-0004-0000-0000-0000B31A0000}"/>
    <hyperlink ref="B6718" r:id="rId6837" xr:uid="{00000000-0004-0000-0000-0000B41A0000}"/>
    <hyperlink ref="B6719" r:id="rId6838" xr:uid="{00000000-0004-0000-0000-0000B51A0000}"/>
    <hyperlink ref="B6720" r:id="rId6839" xr:uid="{00000000-0004-0000-0000-0000B61A0000}"/>
    <hyperlink ref="B6721" r:id="rId6840" xr:uid="{00000000-0004-0000-0000-0000B71A0000}"/>
    <hyperlink ref="B6722" r:id="rId6841" xr:uid="{00000000-0004-0000-0000-0000B81A0000}"/>
    <hyperlink ref="B6723" r:id="rId6842" xr:uid="{00000000-0004-0000-0000-0000B91A0000}"/>
    <hyperlink ref="B6724" r:id="rId6843" xr:uid="{00000000-0004-0000-0000-0000BA1A0000}"/>
    <hyperlink ref="B6725" r:id="rId6844" xr:uid="{00000000-0004-0000-0000-0000BB1A0000}"/>
    <hyperlink ref="B6726" r:id="rId6845" xr:uid="{00000000-0004-0000-0000-0000BC1A0000}"/>
    <hyperlink ref="B6727" r:id="rId6846" xr:uid="{00000000-0004-0000-0000-0000BD1A0000}"/>
    <hyperlink ref="B6728" r:id="rId6847" xr:uid="{00000000-0004-0000-0000-0000BE1A0000}"/>
    <hyperlink ref="B6729" r:id="rId6848" xr:uid="{00000000-0004-0000-0000-0000BF1A0000}"/>
    <hyperlink ref="B6730" r:id="rId6849" xr:uid="{00000000-0004-0000-0000-0000C01A0000}"/>
    <hyperlink ref="B6731" r:id="rId6850" xr:uid="{00000000-0004-0000-0000-0000C11A0000}"/>
    <hyperlink ref="B6732" r:id="rId6851" xr:uid="{00000000-0004-0000-0000-0000C21A0000}"/>
    <hyperlink ref="B6733" r:id="rId6852" xr:uid="{00000000-0004-0000-0000-0000C31A0000}"/>
    <hyperlink ref="B6734" r:id="rId6853" xr:uid="{00000000-0004-0000-0000-0000C41A0000}"/>
    <hyperlink ref="B6735" r:id="rId6854" xr:uid="{00000000-0004-0000-0000-0000C51A0000}"/>
    <hyperlink ref="B6736" r:id="rId6855" xr:uid="{00000000-0004-0000-0000-0000C61A0000}"/>
    <hyperlink ref="B6737" r:id="rId6856" xr:uid="{00000000-0004-0000-0000-0000C71A0000}"/>
    <hyperlink ref="B6738" r:id="rId6857" xr:uid="{00000000-0004-0000-0000-0000C81A0000}"/>
    <hyperlink ref="B6739" r:id="rId6858" xr:uid="{00000000-0004-0000-0000-0000C91A0000}"/>
    <hyperlink ref="B6740" r:id="rId6859" xr:uid="{00000000-0004-0000-0000-0000CA1A0000}"/>
    <hyperlink ref="B6741" r:id="rId6860" xr:uid="{00000000-0004-0000-0000-0000CB1A0000}"/>
    <hyperlink ref="B6742" r:id="rId6861" xr:uid="{00000000-0004-0000-0000-0000CC1A0000}"/>
    <hyperlink ref="B6743" r:id="rId6862" xr:uid="{00000000-0004-0000-0000-0000CD1A0000}"/>
    <hyperlink ref="B6744" r:id="rId6863" xr:uid="{00000000-0004-0000-0000-0000CE1A0000}"/>
    <hyperlink ref="B6745" r:id="rId6864" xr:uid="{00000000-0004-0000-0000-0000CF1A0000}"/>
    <hyperlink ref="B6746" r:id="rId6865" xr:uid="{00000000-0004-0000-0000-0000D01A0000}"/>
    <hyperlink ref="B6747" r:id="rId6866" xr:uid="{00000000-0004-0000-0000-0000D11A0000}"/>
    <hyperlink ref="B6748" r:id="rId6867" xr:uid="{00000000-0004-0000-0000-0000D21A0000}"/>
    <hyperlink ref="B6749" r:id="rId6868" xr:uid="{00000000-0004-0000-0000-0000D31A0000}"/>
    <hyperlink ref="B6750" r:id="rId6869" xr:uid="{00000000-0004-0000-0000-0000D41A0000}"/>
    <hyperlink ref="B6751" r:id="rId6870" xr:uid="{00000000-0004-0000-0000-0000D51A0000}"/>
    <hyperlink ref="B6752" r:id="rId6871" xr:uid="{00000000-0004-0000-0000-0000D61A0000}"/>
    <hyperlink ref="B6753" r:id="rId6872" xr:uid="{00000000-0004-0000-0000-0000D71A0000}"/>
    <hyperlink ref="B6754" r:id="rId6873" xr:uid="{00000000-0004-0000-0000-0000D81A0000}"/>
    <hyperlink ref="B6755" r:id="rId6874" xr:uid="{00000000-0004-0000-0000-0000D91A0000}"/>
    <hyperlink ref="B6756" r:id="rId6875" xr:uid="{00000000-0004-0000-0000-0000DA1A0000}"/>
    <hyperlink ref="B6757" r:id="rId6876" xr:uid="{00000000-0004-0000-0000-0000DB1A0000}"/>
    <hyperlink ref="B6758" r:id="rId6877" xr:uid="{00000000-0004-0000-0000-0000DC1A0000}"/>
    <hyperlink ref="B6759" r:id="rId6878" xr:uid="{00000000-0004-0000-0000-0000DD1A0000}"/>
    <hyperlink ref="B6760" r:id="rId6879" xr:uid="{00000000-0004-0000-0000-0000DE1A0000}"/>
    <hyperlink ref="B6761" r:id="rId6880" xr:uid="{00000000-0004-0000-0000-0000DF1A0000}"/>
    <hyperlink ref="B6762" r:id="rId6881" xr:uid="{00000000-0004-0000-0000-0000E01A0000}"/>
    <hyperlink ref="B6763" r:id="rId6882" xr:uid="{00000000-0004-0000-0000-0000E11A0000}"/>
    <hyperlink ref="B6764" r:id="rId6883" xr:uid="{00000000-0004-0000-0000-0000E21A0000}"/>
    <hyperlink ref="B6765" r:id="rId6884" xr:uid="{00000000-0004-0000-0000-0000E31A0000}"/>
    <hyperlink ref="B6766" r:id="rId6885" xr:uid="{00000000-0004-0000-0000-0000E41A0000}"/>
    <hyperlink ref="B6767" r:id="rId6886" xr:uid="{00000000-0004-0000-0000-0000E51A0000}"/>
    <hyperlink ref="B6768" r:id="rId6887" xr:uid="{00000000-0004-0000-0000-0000E61A0000}"/>
    <hyperlink ref="B6769" r:id="rId6888" xr:uid="{00000000-0004-0000-0000-0000E71A0000}"/>
    <hyperlink ref="B6770" r:id="rId6889" xr:uid="{00000000-0004-0000-0000-0000E81A0000}"/>
    <hyperlink ref="B6771" r:id="rId6890" xr:uid="{00000000-0004-0000-0000-0000E91A0000}"/>
    <hyperlink ref="B6772" r:id="rId6891" xr:uid="{00000000-0004-0000-0000-0000EA1A0000}"/>
    <hyperlink ref="B6773" r:id="rId6892" xr:uid="{00000000-0004-0000-0000-0000EB1A0000}"/>
    <hyperlink ref="B6774" r:id="rId6893" xr:uid="{00000000-0004-0000-0000-0000EC1A0000}"/>
    <hyperlink ref="B6775" r:id="rId6894" xr:uid="{00000000-0004-0000-0000-0000ED1A0000}"/>
    <hyperlink ref="B6776" r:id="rId6895" xr:uid="{00000000-0004-0000-0000-0000EE1A0000}"/>
    <hyperlink ref="B6777" r:id="rId6896" xr:uid="{00000000-0004-0000-0000-0000EF1A0000}"/>
    <hyperlink ref="B6778" r:id="rId6897" xr:uid="{00000000-0004-0000-0000-0000F01A0000}"/>
    <hyperlink ref="B6779" r:id="rId6898" xr:uid="{00000000-0004-0000-0000-0000F11A0000}"/>
    <hyperlink ref="B6780" r:id="rId6899" xr:uid="{00000000-0004-0000-0000-0000F21A0000}"/>
    <hyperlink ref="B6781" r:id="rId6900" xr:uid="{00000000-0004-0000-0000-0000F31A0000}"/>
    <hyperlink ref="B6782" r:id="rId6901" xr:uid="{00000000-0004-0000-0000-0000F41A0000}"/>
    <hyperlink ref="B6783" r:id="rId6902" xr:uid="{00000000-0004-0000-0000-0000F51A0000}"/>
    <hyperlink ref="B6784" r:id="rId6903" xr:uid="{00000000-0004-0000-0000-0000F61A0000}"/>
    <hyperlink ref="B6785" r:id="rId6904" xr:uid="{00000000-0004-0000-0000-0000F71A0000}"/>
    <hyperlink ref="B6786" r:id="rId6905" xr:uid="{00000000-0004-0000-0000-0000F81A0000}"/>
    <hyperlink ref="B6787" r:id="rId6906" xr:uid="{00000000-0004-0000-0000-0000F91A0000}"/>
    <hyperlink ref="B6788" r:id="rId6907" xr:uid="{00000000-0004-0000-0000-0000FA1A0000}"/>
    <hyperlink ref="B6789" r:id="rId6908" xr:uid="{00000000-0004-0000-0000-0000FB1A0000}"/>
    <hyperlink ref="B6790" r:id="rId6909" xr:uid="{00000000-0004-0000-0000-0000FC1A0000}"/>
    <hyperlink ref="B6791" r:id="rId6910" xr:uid="{00000000-0004-0000-0000-0000FD1A0000}"/>
    <hyperlink ref="B6792" r:id="rId6911" xr:uid="{00000000-0004-0000-0000-0000FE1A0000}"/>
    <hyperlink ref="B6793" r:id="rId6912" xr:uid="{00000000-0004-0000-0000-0000FF1A0000}"/>
    <hyperlink ref="B6794" r:id="rId6913" xr:uid="{00000000-0004-0000-0000-0000001B0000}"/>
    <hyperlink ref="B6795" r:id="rId6914" xr:uid="{00000000-0004-0000-0000-0000011B0000}"/>
    <hyperlink ref="B6796" r:id="rId6915" xr:uid="{00000000-0004-0000-0000-0000021B0000}"/>
    <hyperlink ref="B6797" r:id="rId6916" xr:uid="{00000000-0004-0000-0000-0000031B0000}"/>
    <hyperlink ref="B6798" r:id="rId6917" xr:uid="{00000000-0004-0000-0000-0000041B0000}"/>
    <hyperlink ref="B6799" r:id="rId6918" xr:uid="{00000000-0004-0000-0000-0000051B0000}"/>
    <hyperlink ref="B6800" r:id="rId6919" xr:uid="{00000000-0004-0000-0000-0000061B0000}"/>
    <hyperlink ref="B6801" r:id="rId6920" xr:uid="{00000000-0004-0000-0000-0000071B0000}"/>
    <hyperlink ref="B6802" r:id="rId6921" xr:uid="{00000000-0004-0000-0000-0000081B0000}"/>
    <hyperlink ref="B6803" r:id="rId6922" xr:uid="{00000000-0004-0000-0000-0000091B0000}"/>
    <hyperlink ref="B6804" r:id="rId6923" xr:uid="{00000000-0004-0000-0000-00000A1B0000}"/>
    <hyperlink ref="B6805" r:id="rId6924" xr:uid="{00000000-0004-0000-0000-00000B1B0000}"/>
    <hyperlink ref="B6806" r:id="rId6925" xr:uid="{00000000-0004-0000-0000-00000C1B0000}"/>
    <hyperlink ref="B6807" r:id="rId6926" xr:uid="{00000000-0004-0000-0000-00000D1B0000}"/>
    <hyperlink ref="B6808" r:id="rId6927" xr:uid="{00000000-0004-0000-0000-00000E1B0000}"/>
    <hyperlink ref="B6809" r:id="rId6928" xr:uid="{00000000-0004-0000-0000-00000F1B0000}"/>
    <hyperlink ref="B6810" r:id="rId6929" xr:uid="{00000000-0004-0000-0000-0000101B0000}"/>
    <hyperlink ref="B6811" r:id="rId6930" xr:uid="{00000000-0004-0000-0000-0000111B0000}"/>
    <hyperlink ref="B6812" r:id="rId6931" xr:uid="{00000000-0004-0000-0000-0000121B0000}"/>
    <hyperlink ref="B6813" r:id="rId6932" xr:uid="{00000000-0004-0000-0000-0000131B0000}"/>
    <hyperlink ref="B6814" r:id="rId6933" xr:uid="{00000000-0004-0000-0000-0000141B0000}"/>
    <hyperlink ref="B6815" r:id="rId6934" xr:uid="{00000000-0004-0000-0000-0000151B0000}"/>
    <hyperlink ref="B6816" r:id="rId6935" xr:uid="{00000000-0004-0000-0000-0000161B0000}"/>
    <hyperlink ref="B6817" r:id="rId6936" xr:uid="{00000000-0004-0000-0000-0000171B0000}"/>
    <hyperlink ref="B6818" r:id="rId6937" xr:uid="{00000000-0004-0000-0000-0000181B0000}"/>
    <hyperlink ref="B6819" r:id="rId6938" xr:uid="{00000000-0004-0000-0000-0000191B0000}"/>
    <hyperlink ref="B6820" r:id="rId6939" xr:uid="{00000000-0004-0000-0000-00001A1B0000}"/>
    <hyperlink ref="B6821" r:id="rId6940" xr:uid="{00000000-0004-0000-0000-00001B1B0000}"/>
    <hyperlink ref="B6822" r:id="rId6941" xr:uid="{00000000-0004-0000-0000-00001C1B0000}"/>
    <hyperlink ref="B6823" r:id="rId6942" xr:uid="{00000000-0004-0000-0000-00001D1B0000}"/>
    <hyperlink ref="B6824" r:id="rId6943" xr:uid="{00000000-0004-0000-0000-00001E1B0000}"/>
    <hyperlink ref="B6825" r:id="rId6944" xr:uid="{00000000-0004-0000-0000-00001F1B0000}"/>
    <hyperlink ref="B6826" r:id="rId6945" xr:uid="{00000000-0004-0000-0000-0000201B0000}"/>
    <hyperlink ref="B6827" r:id="rId6946" xr:uid="{00000000-0004-0000-0000-0000211B0000}"/>
    <hyperlink ref="B6828" r:id="rId6947" xr:uid="{00000000-0004-0000-0000-0000221B0000}"/>
    <hyperlink ref="B6829" r:id="rId6948" xr:uid="{00000000-0004-0000-0000-0000231B0000}"/>
    <hyperlink ref="B6830" r:id="rId6949" xr:uid="{00000000-0004-0000-0000-0000241B0000}"/>
    <hyperlink ref="B6831" r:id="rId6950" xr:uid="{00000000-0004-0000-0000-0000251B0000}"/>
    <hyperlink ref="B6832" r:id="rId6951" xr:uid="{00000000-0004-0000-0000-0000261B0000}"/>
    <hyperlink ref="B6833" r:id="rId6952" xr:uid="{00000000-0004-0000-0000-0000271B0000}"/>
    <hyperlink ref="B6834" r:id="rId6953" xr:uid="{00000000-0004-0000-0000-0000281B0000}"/>
    <hyperlink ref="B6835" r:id="rId6954" xr:uid="{00000000-0004-0000-0000-0000291B0000}"/>
    <hyperlink ref="B6836" r:id="rId6955" xr:uid="{00000000-0004-0000-0000-00002A1B0000}"/>
    <hyperlink ref="B6837" r:id="rId6956" xr:uid="{00000000-0004-0000-0000-00002B1B0000}"/>
    <hyperlink ref="B6838" r:id="rId6957" xr:uid="{00000000-0004-0000-0000-00002C1B0000}"/>
    <hyperlink ref="B6839" r:id="rId6958" xr:uid="{00000000-0004-0000-0000-00002D1B0000}"/>
    <hyperlink ref="B6840" r:id="rId6959" xr:uid="{00000000-0004-0000-0000-00002E1B0000}"/>
    <hyperlink ref="B6841" r:id="rId6960" xr:uid="{00000000-0004-0000-0000-00002F1B0000}"/>
    <hyperlink ref="B6842" r:id="rId6961" xr:uid="{00000000-0004-0000-0000-0000301B0000}"/>
    <hyperlink ref="B6843" r:id="rId6962" xr:uid="{00000000-0004-0000-0000-0000311B0000}"/>
    <hyperlink ref="B6844" r:id="rId6963" xr:uid="{00000000-0004-0000-0000-0000321B0000}"/>
    <hyperlink ref="B6845" r:id="rId6964" xr:uid="{00000000-0004-0000-0000-0000331B0000}"/>
    <hyperlink ref="B6846" r:id="rId6965" xr:uid="{00000000-0004-0000-0000-0000341B0000}"/>
    <hyperlink ref="B6847" r:id="rId6966" xr:uid="{00000000-0004-0000-0000-0000351B0000}"/>
    <hyperlink ref="B6848" r:id="rId6967" xr:uid="{00000000-0004-0000-0000-0000361B0000}"/>
    <hyperlink ref="B6849" r:id="rId6968" xr:uid="{00000000-0004-0000-0000-0000371B0000}"/>
    <hyperlink ref="B6850" r:id="rId6969" xr:uid="{00000000-0004-0000-0000-0000381B0000}"/>
    <hyperlink ref="B6851" r:id="rId6970" xr:uid="{00000000-0004-0000-0000-0000391B0000}"/>
    <hyperlink ref="B6852" r:id="rId6971" xr:uid="{00000000-0004-0000-0000-00003A1B0000}"/>
    <hyperlink ref="B6853" r:id="rId6972" xr:uid="{00000000-0004-0000-0000-00003B1B0000}"/>
    <hyperlink ref="B6854" r:id="rId6973" xr:uid="{00000000-0004-0000-0000-00003C1B0000}"/>
    <hyperlink ref="B6855" r:id="rId6974" xr:uid="{00000000-0004-0000-0000-00003D1B0000}"/>
    <hyperlink ref="B6856" r:id="rId6975" xr:uid="{00000000-0004-0000-0000-00003E1B0000}"/>
    <hyperlink ref="B6857" r:id="rId6976" xr:uid="{00000000-0004-0000-0000-00003F1B0000}"/>
    <hyperlink ref="B6858" r:id="rId6977" xr:uid="{00000000-0004-0000-0000-0000401B0000}"/>
    <hyperlink ref="B6859" r:id="rId6978" xr:uid="{00000000-0004-0000-0000-0000411B0000}"/>
    <hyperlink ref="B6860" r:id="rId6979" xr:uid="{00000000-0004-0000-0000-0000421B0000}"/>
    <hyperlink ref="B6861" r:id="rId6980" xr:uid="{00000000-0004-0000-0000-0000431B0000}"/>
    <hyperlink ref="B6862" r:id="rId6981" xr:uid="{00000000-0004-0000-0000-0000441B0000}"/>
    <hyperlink ref="B6863" r:id="rId6982" xr:uid="{00000000-0004-0000-0000-0000451B0000}"/>
    <hyperlink ref="B6864" r:id="rId6983" xr:uid="{00000000-0004-0000-0000-0000461B0000}"/>
    <hyperlink ref="B6865" r:id="rId6984" xr:uid="{00000000-0004-0000-0000-0000471B0000}"/>
    <hyperlink ref="B6866" r:id="rId6985" xr:uid="{00000000-0004-0000-0000-0000481B0000}"/>
    <hyperlink ref="B6867" r:id="rId6986" xr:uid="{00000000-0004-0000-0000-0000491B0000}"/>
    <hyperlink ref="B6868" r:id="rId6987" xr:uid="{00000000-0004-0000-0000-00004A1B0000}"/>
    <hyperlink ref="B6869" r:id="rId6988" xr:uid="{00000000-0004-0000-0000-00004B1B0000}"/>
    <hyperlink ref="B6870" r:id="rId6989" xr:uid="{00000000-0004-0000-0000-00004C1B0000}"/>
    <hyperlink ref="B6871" r:id="rId6990" xr:uid="{00000000-0004-0000-0000-00004D1B0000}"/>
    <hyperlink ref="B6872" r:id="rId6991" xr:uid="{00000000-0004-0000-0000-00004E1B0000}"/>
    <hyperlink ref="B6873" r:id="rId6992" xr:uid="{00000000-0004-0000-0000-00004F1B0000}"/>
    <hyperlink ref="B6874" r:id="rId6993" xr:uid="{00000000-0004-0000-0000-0000501B0000}"/>
    <hyperlink ref="B6875" r:id="rId6994" xr:uid="{00000000-0004-0000-0000-0000511B0000}"/>
    <hyperlink ref="B6876" r:id="rId6995" xr:uid="{00000000-0004-0000-0000-0000521B0000}"/>
    <hyperlink ref="B6877" r:id="rId6996" xr:uid="{00000000-0004-0000-0000-0000531B0000}"/>
    <hyperlink ref="B6878" r:id="rId6997" xr:uid="{00000000-0004-0000-0000-0000541B0000}"/>
    <hyperlink ref="B6879" r:id="rId6998" xr:uid="{00000000-0004-0000-0000-0000551B0000}"/>
    <hyperlink ref="B6880" r:id="rId6999" xr:uid="{00000000-0004-0000-0000-0000561B0000}"/>
    <hyperlink ref="B6881" r:id="rId7000" xr:uid="{00000000-0004-0000-0000-0000571B0000}"/>
    <hyperlink ref="B6882" r:id="rId7001" xr:uid="{00000000-0004-0000-0000-0000581B0000}"/>
    <hyperlink ref="B6883" r:id="rId7002" xr:uid="{00000000-0004-0000-0000-0000591B0000}"/>
    <hyperlink ref="B6884" r:id="rId7003" xr:uid="{00000000-0004-0000-0000-00005A1B0000}"/>
    <hyperlink ref="B6885" r:id="rId7004" xr:uid="{00000000-0004-0000-0000-00005B1B0000}"/>
    <hyperlink ref="B6886" r:id="rId7005" xr:uid="{00000000-0004-0000-0000-00005C1B0000}"/>
    <hyperlink ref="B6887" r:id="rId7006" xr:uid="{00000000-0004-0000-0000-00005D1B0000}"/>
    <hyperlink ref="B6888" r:id="rId7007" xr:uid="{00000000-0004-0000-0000-00005E1B0000}"/>
    <hyperlink ref="B6889" r:id="rId7008" xr:uid="{00000000-0004-0000-0000-00005F1B0000}"/>
    <hyperlink ref="B6890" r:id="rId7009" xr:uid="{00000000-0004-0000-0000-0000601B0000}"/>
    <hyperlink ref="B6891" r:id="rId7010" xr:uid="{00000000-0004-0000-0000-0000611B0000}"/>
    <hyperlink ref="B6892" r:id="rId7011" xr:uid="{00000000-0004-0000-0000-0000621B0000}"/>
    <hyperlink ref="B6893" r:id="rId7012" xr:uid="{00000000-0004-0000-0000-0000631B0000}"/>
    <hyperlink ref="B6894" r:id="rId7013" xr:uid="{00000000-0004-0000-0000-0000641B0000}"/>
    <hyperlink ref="B6895" r:id="rId7014" xr:uid="{00000000-0004-0000-0000-0000651B0000}"/>
    <hyperlink ref="B6896" r:id="rId7015" xr:uid="{00000000-0004-0000-0000-0000661B0000}"/>
    <hyperlink ref="B6897" r:id="rId7016" xr:uid="{00000000-0004-0000-0000-0000671B0000}"/>
    <hyperlink ref="B6898" r:id="rId7017" xr:uid="{00000000-0004-0000-0000-0000681B0000}"/>
    <hyperlink ref="B6899" r:id="rId7018" xr:uid="{00000000-0004-0000-0000-0000691B0000}"/>
    <hyperlink ref="B6900" r:id="rId7019" xr:uid="{00000000-0004-0000-0000-00006A1B0000}"/>
    <hyperlink ref="B6901" r:id="rId7020" xr:uid="{00000000-0004-0000-0000-00006B1B0000}"/>
    <hyperlink ref="B6902" r:id="rId7021" xr:uid="{00000000-0004-0000-0000-00006C1B0000}"/>
    <hyperlink ref="B6903" r:id="rId7022" xr:uid="{00000000-0004-0000-0000-00006D1B0000}"/>
    <hyperlink ref="B6904" r:id="rId7023" xr:uid="{00000000-0004-0000-0000-00006E1B0000}"/>
    <hyperlink ref="B6905" r:id="rId7024" xr:uid="{00000000-0004-0000-0000-00006F1B0000}"/>
    <hyperlink ref="B6906" r:id="rId7025" xr:uid="{00000000-0004-0000-0000-0000701B0000}"/>
    <hyperlink ref="B6907" r:id="rId7026" xr:uid="{00000000-0004-0000-0000-0000711B0000}"/>
    <hyperlink ref="B6908" r:id="rId7027" xr:uid="{00000000-0004-0000-0000-0000721B0000}"/>
    <hyperlink ref="B6909" r:id="rId7028" xr:uid="{00000000-0004-0000-0000-0000731B0000}"/>
    <hyperlink ref="B6910" r:id="rId7029" xr:uid="{00000000-0004-0000-0000-0000741B0000}"/>
    <hyperlink ref="B6911" r:id="rId7030" xr:uid="{00000000-0004-0000-0000-0000751B0000}"/>
    <hyperlink ref="B6912" r:id="rId7031" xr:uid="{00000000-0004-0000-0000-0000761B0000}"/>
    <hyperlink ref="B6913" r:id="rId7032" xr:uid="{00000000-0004-0000-0000-0000771B0000}"/>
    <hyperlink ref="B6914" r:id="rId7033" xr:uid="{00000000-0004-0000-0000-0000781B0000}"/>
    <hyperlink ref="B6915" r:id="rId7034" xr:uid="{00000000-0004-0000-0000-0000791B0000}"/>
    <hyperlink ref="B6916" r:id="rId7035" xr:uid="{00000000-0004-0000-0000-00007A1B0000}"/>
    <hyperlink ref="B6917" r:id="rId7036" xr:uid="{00000000-0004-0000-0000-00007B1B0000}"/>
    <hyperlink ref="B6918" r:id="rId7037" xr:uid="{00000000-0004-0000-0000-00007C1B0000}"/>
    <hyperlink ref="B6919" r:id="rId7038" xr:uid="{00000000-0004-0000-0000-00007D1B0000}"/>
    <hyperlink ref="B6920" r:id="rId7039" xr:uid="{00000000-0004-0000-0000-00007E1B0000}"/>
    <hyperlink ref="B6921" r:id="rId7040" xr:uid="{00000000-0004-0000-0000-00007F1B0000}"/>
    <hyperlink ref="B6922" r:id="rId7041" xr:uid="{00000000-0004-0000-0000-0000801B0000}"/>
    <hyperlink ref="B6923" r:id="rId7042" xr:uid="{00000000-0004-0000-0000-0000811B0000}"/>
    <hyperlink ref="B6924" r:id="rId7043" xr:uid="{00000000-0004-0000-0000-0000821B0000}"/>
    <hyperlink ref="B6925" r:id="rId7044" xr:uid="{00000000-0004-0000-0000-0000831B0000}"/>
    <hyperlink ref="B6926" r:id="rId7045" xr:uid="{00000000-0004-0000-0000-0000841B0000}"/>
    <hyperlink ref="B6927" r:id="rId7046" xr:uid="{00000000-0004-0000-0000-0000851B0000}"/>
    <hyperlink ref="B6928" r:id="rId7047" xr:uid="{00000000-0004-0000-0000-0000861B0000}"/>
    <hyperlink ref="B6929" r:id="rId7048" xr:uid="{00000000-0004-0000-0000-0000871B0000}"/>
    <hyperlink ref="B6930" r:id="rId7049" xr:uid="{00000000-0004-0000-0000-0000881B0000}"/>
    <hyperlink ref="B6931" r:id="rId7050" xr:uid="{00000000-0004-0000-0000-0000891B0000}"/>
    <hyperlink ref="B6932" r:id="rId7051" xr:uid="{00000000-0004-0000-0000-00008A1B0000}"/>
    <hyperlink ref="B6933" r:id="rId7052" xr:uid="{00000000-0004-0000-0000-00008B1B0000}"/>
    <hyperlink ref="B6934" r:id="rId7053" xr:uid="{00000000-0004-0000-0000-00008C1B0000}"/>
    <hyperlink ref="B6935" r:id="rId7054" xr:uid="{00000000-0004-0000-0000-00008D1B0000}"/>
    <hyperlink ref="B6936" r:id="rId7055" xr:uid="{00000000-0004-0000-0000-00008E1B0000}"/>
    <hyperlink ref="B6937" r:id="rId7056" xr:uid="{00000000-0004-0000-0000-00008F1B0000}"/>
    <hyperlink ref="B6938" r:id="rId7057" xr:uid="{00000000-0004-0000-0000-0000901B0000}"/>
    <hyperlink ref="B6939" r:id="rId7058" xr:uid="{00000000-0004-0000-0000-0000911B0000}"/>
    <hyperlink ref="B6940" r:id="rId7059" xr:uid="{00000000-0004-0000-0000-0000921B0000}"/>
    <hyperlink ref="B6941" r:id="rId7060" xr:uid="{00000000-0004-0000-0000-0000931B0000}"/>
    <hyperlink ref="B6942" r:id="rId7061" xr:uid="{00000000-0004-0000-0000-0000941B0000}"/>
    <hyperlink ref="B6943" r:id="rId7062" xr:uid="{00000000-0004-0000-0000-0000951B0000}"/>
    <hyperlink ref="B6944" r:id="rId7063" xr:uid="{00000000-0004-0000-0000-0000961B0000}"/>
    <hyperlink ref="B6945" r:id="rId7064" xr:uid="{00000000-0004-0000-0000-0000971B0000}"/>
    <hyperlink ref="B6946" r:id="rId7065" xr:uid="{00000000-0004-0000-0000-0000981B0000}"/>
    <hyperlink ref="B6947" r:id="rId7066" xr:uid="{00000000-0004-0000-0000-0000991B0000}"/>
    <hyperlink ref="B6948" r:id="rId7067" xr:uid="{00000000-0004-0000-0000-00009A1B0000}"/>
    <hyperlink ref="B6949" r:id="rId7068" xr:uid="{00000000-0004-0000-0000-00009B1B0000}"/>
    <hyperlink ref="B6950" r:id="rId7069" xr:uid="{00000000-0004-0000-0000-00009C1B0000}"/>
    <hyperlink ref="B6951" r:id="rId7070" xr:uid="{00000000-0004-0000-0000-00009D1B0000}"/>
    <hyperlink ref="B6952" r:id="rId7071" xr:uid="{00000000-0004-0000-0000-00009E1B0000}"/>
    <hyperlink ref="B6953" r:id="rId7072" xr:uid="{00000000-0004-0000-0000-00009F1B0000}"/>
    <hyperlink ref="B6954" r:id="rId7073" xr:uid="{00000000-0004-0000-0000-0000A01B0000}"/>
    <hyperlink ref="B6955" r:id="rId7074" xr:uid="{00000000-0004-0000-0000-0000A11B0000}"/>
    <hyperlink ref="B6956" r:id="rId7075" xr:uid="{00000000-0004-0000-0000-0000A21B0000}"/>
    <hyperlink ref="B6957" r:id="rId7076" xr:uid="{00000000-0004-0000-0000-0000A31B0000}"/>
    <hyperlink ref="B6958" r:id="rId7077" xr:uid="{00000000-0004-0000-0000-0000A41B0000}"/>
    <hyperlink ref="B6959" r:id="rId7078" xr:uid="{00000000-0004-0000-0000-0000A51B0000}"/>
    <hyperlink ref="B6960" r:id="rId7079" xr:uid="{00000000-0004-0000-0000-0000A61B0000}"/>
    <hyperlink ref="B6961" r:id="rId7080" xr:uid="{00000000-0004-0000-0000-0000A71B0000}"/>
    <hyperlink ref="B6962" r:id="rId7081" xr:uid="{00000000-0004-0000-0000-0000A81B0000}"/>
    <hyperlink ref="B6963" r:id="rId7082" xr:uid="{00000000-0004-0000-0000-0000A91B0000}"/>
    <hyperlink ref="B6964" r:id="rId7083" xr:uid="{00000000-0004-0000-0000-0000AA1B0000}"/>
    <hyperlink ref="B6965" r:id="rId7084" xr:uid="{00000000-0004-0000-0000-0000AB1B0000}"/>
    <hyperlink ref="B6966" r:id="rId7085" xr:uid="{00000000-0004-0000-0000-0000AC1B0000}"/>
    <hyperlink ref="B6967" r:id="rId7086" xr:uid="{00000000-0004-0000-0000-0000AD1B0000}"/>
    <hyperlink ref="B6968" r:id="rId7087" xr:uid="{00000000-0004-0000-0000-0000AE1B0000}"/>
    <hyperlink ref="B6969" r:id="rId7088" xr:uid="{00000000-0004-0000-0000-0000AF1B0000}"/>
    <hyperlink ref="B6970" r:id="rId7089" xr:uid="{00000000-0004-0000-0000-0000B01B0000}"/>
    <hyperlink ref="B6971" r:id="rId7090" xr:uid="{00000000-0004-0000-0000-0000B11B0000}"/>
    <hyperlink ref="B6972" r:id="rId7091" xr:uid="{00000000-0004-0000-0000-0000B21B0000}"/>
    <hyperlink ref="B6973" r:id="rId7092" xr:uid="{00000000-0004-0000-0000-0000B31B0000}"/>
    <hyperlink ref="B6974" r:id="rId7093" xr:uid="{00000000-0004-0000-0000-0000B41B0000}"/>
    <hyperlink ref="B6975" r:id="rId7094" xr:uid="{00000000-0004-0000-0000-0000B51B0000}"/>
    <hyperlink ref="B6976" r:id="rId7095" xr:uid="{00000000-0004-0000-0000-0000B61B0000}"/>
    <hyperlink ref="B6977" r:id="rId7096" xr:uid="{00000000-0004-0000-0000-0000B71B0000}"/>
    <hyperlink ref="B6978" r:id="rId7097" xr:uid="{00000000-0004-0000-0000-0000B81B0000}"/>
    <hyperlink ref="B6979" r:id="rId7098" xr:uid="{00000000-0004-0000-0000-0000B91B0000}"/>
    <hyperlink ref="B6980" r:id="rId7099" xr:uid="{00000000-0004-0000-0000-0000BA1B0000}"/>
    <hyperlink ref="B6981" r:id="rId7100" xr:uid="{00000000-0004-0000-0000-0000BB1B0000}"/>
    <hyperlink ref="B6982" r:id="rId7101" xr:uid="{00000000-0004-0000-0000-0000BC1B0000}"/>
    <hyperlink ref="B6983" r:id="rId7102" xr:uid="{00000000-0004-0000-0000-0000BD1B0000}"/>
    <hyperlink ref="B6984" r:id="rId7103" xr:uid="{00000000-0004-0000-0000-0000BE1B0000}"/>
    <hyperlink ref="B6985" r:id="rId7104" xr:uid="{00000000-0004-0000-0000-0000BF1B0000}"/>
    <hyperlink ref="B6986" r:id="rId7105" xr:uid="{00000000-0004-0000-0000-0000C01B0000}"/>
    <hyperlink ref="B6987" r:id="rId7106" xr:uid="{00000000-0004-0000-0000-0000C11B0000}"/>
    <hyperlink ref="B6988" r:id="rId7107" xr:uid="{00000000-0004-0000-0000-0000C21B0000}"/>
    <hyperlink ref="B6989" r:id="rId7108" xr:uid="{00000000-0004-0000-0000-0000C31B0000}"/>
    <hyperlink ref="B6990" r:id="rId7109" xr:uid="{00000000-0004-0000-0000-0000C41B0000}"/>
    <hyperlink ref="B6991" r:id="rId7110" xr:uid="{00000000-0004-0000-0000-0000C51B0000}"/>
    <hyperlink ref="B6992" r:id="rId7111" xr:uid="{00000000-0004-0000-0000-0000C61B0000}"/>
    <hyperlink ref="B6993" r:id="rId7112" xr:uid="{00000000-0004-0000-0000-0000C71B0000}"/>
    <hyperlink ref="B6994" r:id="rId7113" xr:uid="{00000000-0004-0000-0000-0000C81B0000}"/>
    <hyperlink ref="B6995" r:id="rId7114" xr:uid="{00000000-0004-0000-0000-0000C91B0000}"/>
    <hyperlink ref="B6996" r:id="rId7115" xr:uid="{00000000-0004-0000-0000-0000CA1B0000}"/>
    <hyperlink ref="B6997" r:id="rId7116" xr:uid="{00000000-0004-0000-0000-0000CB1B0000}"/>
    <hyperlink ref="B6998" r:id="rId7117" xr:uid="{00000000-0004-0000-0000-0000CC1B0000}"/>
    <hyperlink ref="B6999" r:id="rId7118" xr:uid="{00000000-0004-0000-0000-0000CD1B0000}"/>
    <hyperlink ref="B7000" r:id="rId7119" xr:uid="{00000000-0004-0000-0000-0000CE1B0000}"/>
    <hyperlink ref="B7001" r:id="rId7120" xr:uid="{00000000-0004-0000-0000-0000CF1B0000}"/>
    <hyperlink ref="B7002" r:id="rId7121" xr:uid="{00000000-0004-0000-0000-0000D01B0000}"/>
    <hyperlink ref="B7003" r:id="rId7122" xr:uid="{00000000-0004-0000-0000-0000D11B0000}"/>
    <hyperlink ref="B7004" r:id="rId7123" xr:uid="{00000000-0004-0000-0000-0000D21B0000}"/>
    <hyperlink ref="B7005" r:id="rId7124" xr:uid="{00000000-0004-0000-0000-0000D31B0000}"/>
    <hyperlink ref="B7006" r:id="rId7125" xr:uid="{00000000-0004-0000-0000-0000D41B0000}"/>
    <hyperlink ref="B7007" r:id="rId7126" xr:uid="{00000000-0004-0000-0000-0000D51B0000}"/>
    <hyperlink ref="B7008" r:id="rId7127" xr:uid="{00000000-0004-0000-0000-0000D61B0000}"/>
    <hyperlink ref="B7009" r:id="rId7128" xr:uid="{00000000-0004-0000-0000-0000D71B0000}"/>
    <hyperlink ref="B7010" r:id="rId7129" xr:uid="{00000000-0004-0000-0000-0000D81B0000}"/>
    <hyperlink ref="B7011" r:id="rId7130" xr:uid="{00000000-0004-0000-0000-0000D91B0000}"/>
    <hyperlink ref="B7012" r:id="rId7131" xr:uid="{00000000-0004-0000-0000-0000DA1B0000}"/>
    <hyperlink ref="B7013" r:id="rId7132" xr:uid="{00000000-0004-0000-0000-0000DB1B0000}"/>
    <hyperlink ref="B7014" r:id="rId7133" xr:uid="{00000000-0004-0000-0000-0000DC1B0000}"/>
    <hyperlink ref="B7015" r:id="rId7134" xr:uid="{00000000-0004-0000-0000-0000DD1B0000}"/>
    <hyperlink ref="B7016" r:id="rId7135" xr:uid="{00000000-0004-0000-0000-0000DE1B0000}"/>
    <hyperlink ref="B7017" r:id="rId7136" xr:uid="{00000000-0004-0000-0000-0000DF1B0000}"/>
    <hyperlink ref="B7018" r:id="rId7137" xr:uid="{00000000-0004-0000-0000-0000E01B0000}"/>
    <hyperlink ref="B7019" r:id="rId7138" xr:uid="{00000000-0004-0000-0000-0000E11B0000}"/>
    <hyperlink ref="B7020" r:id="rId7139" xr:uid="{00000000-0004-0000-0000-0000E21B0000}"/>
    <hyperlink ref="B7021" r:id="rId7140" xr:uid="{00000000-0004-0000-0000-0000E31B0000}"/>
    <hyperlink ref="B7022" r:id="rId7141" xr:uid="{00000000-0004-0000-0000-0000E41B0000}"/>
    <hyperlink ref="B7023" r:id="rId7142" xr:uid="{00000000-0004-0000-0000-0000E51B0000}"/>
    <hyperlink ref="B7024" r:id="rId7143" xr:uid="{00000000-0004-0000-0000-0000E61B0000}"/>
    <hyperlink ref="B7025" r:id="rId7144" xr:uid="{00000000-0004-0000-0000-0000E71B0000}"/>
    <hyperlink ref="B7026" r:id="rId7145" xr:uid="{00000000-0004-0000-0000-0000E81B0000}"/>
    <hyperlink ref="B7027" r:id="rId7146" xr:uid="{00000000-0004-0000-0000-0000E91B0000}"/>
    <hyperlink ref="B7028" r:id="rId7147" xr:uid="{00000000-0004-0000-0000-0000EA1B0000}"/>
    <hyperlink ref="B7029" r:id="rId7148" xr:uid="{00000000-0004-0000-0000-0000EB1B0000}"/>
    <hyperlink ref="B7030" r:id="rId7149" xr:uid="{00000000-0004-0000-0000-0000EC1B0000}"/>
    <hyperlink ref="B7031" r:id="rId7150" xr:uid="{00000000-0004-0000-0000-0000ED1B0000}"/>
    <hyperlink ref="B7032" r:id="rId7151" xr:uid="{00000000-0004-0000-0000-0000EE1B0000}"/>
    <hyperlink ref="B7033" r:id="rId7152" xr:uid="{00000000-0004-0000-0000-0000EF1B0000}"/>
    <hyperlink ref="B7034" r:id="rId7153" xr:uid="{00000000-0004-0000-0000-0000F01B0000}"/>
    <hyperlink ref="B7035" r:id="rId7154" xr:uid="{00000000-0004-0000-0000-0000F11B0000}"/>
    <hyperlink ref="B7036" r:id="rId7155" xr:uid="{00000000-0004-0000-0000-0000F21B0000}"/>
    <hyperlink ref="B7037" r:id="rId7156" xr:uid="{00000000-0004-0000-0000-0000F31B0000}"/>
    <hyperlink ref="B7038" r:id="rId7157" xr:uid="{00000000-0004-0000-0000-0000F41B0000}"/>
    <hyperlink ref="B7039" r:id="rId7158" xr:uid="{00000000-0004-0000-0000-0000F51B0000}"/>
    <hyperlink ref="B7040" r:id="rId7159" xr:uid="{00000000-0004-0000-0000-0000F61B0000}"/>
    <hyperlink ref="B7041" r:id="rId7160" xr:uid="{00000000-0004-0000-0000-0000F71B0000}"/>
    <hyperlink ref="B7042" r:id="rId7161" xr:uid="{00000000-0004-0000-0000-0000F81B0000}"/>
    <hyperlink ref="B7043" r:id="rId7162" xr:uid="{00000000-0004-0000-0000-0000F91B0000}"/>
    <hyperlink ref="B7044" r:id="rId7163" xr:uid="{00000000-0004-0000-0000-0000FA1B0000}"/>
    <hyperlink ref="B7045" r:id="rId7164" xr:uid="{00000000-0004-0000-0000-0000FB1B0000}"/>
    <hyperlink ref="B7046" r:id="rId7165" xr:uid="{00000000-0004-0000-0000-0000FC1B0000}"/>
    <hyperlink ref="B7047" r:id="rId7166" xr:uid="{00000000-0004-0000-0000-0000FD1B0000}"/>
    <hyperlink ref="B7048" r:id="rId7167" xr:uid="{00000000-0004-0000-0000-0000FE1B0000}"/>
    <hyperlink ref="B7049" r:id="rId7168" xr:uid="{00000000-0004-0000-0000-0000FF1B0000}"/>
    <hyperlink ref="B7050" r:id="rId7169" xr:uid="{00000000-0004-0000-0000-0000001C0000}"/>
    <hyperlink ref="B7051" r:id="rId7170" xr:uid="{00000000-0004-0000-0000-0000011C0000}"/>
    <hyperlink ref="B7052" r:id="rId7171" xr:uid="{00000000-0004-0000-0000-0000021C0000}"/>
    <hyperlink ref="B7053" r:id="rId7172" xr:uid="{00000000-0004-0000-0000-0000031C0000}"/>
    <hyperlink ref="B7054" r:id="rId7173" xr:uid="{00000000-0004-0000-0000-0000041C0000}"/>
    <hyperlink ref="B7055" r:id="rId7174" xr:uid="{00000000-0004-0000-0000-0000051C0000}"/>
    <hyperlink ref="B7056" r:id="rId7175" xr:uid="{00000000-0004-0000-0000-0000061C0000}"/>
    <hyperlink ref="B7057" r:id="rId7176" xr:uid="{00000000-0004-0000-0000-0000071C0000}"/>
    <hyperlink ref="B7058" r:id="rId7177" xr:uid="{00000000-0004-0000-0000-0000081C0000}"/>
    <hyperlink ref="B7059" r:id="rId7178" xr:uid="{00000000-0004-0000-0000-0000091C0000}"/>
    <hyperlink ref="B7060" r:id="rId7179" xr:uid="{00000000-0004-0000-0000-00000A1C0000}"/>
    <hyperlink ref="B7061" r:id="rId7180" xr:uid="{00000000-0004-0000-0000-00000B1C0000}"/>
    <hyperlink ref="B7062" r:id="rId7181" xr:uid="{00000000-0004-0000-0000-00000C1C0000}"/>
    <hyperlink ref="B7063" r:id="rId7182" xr:uid="{00000000-0004-0000-0000-00000D1C0000}"/>
    <hyperlink ref="B7064" r:id="rId7183" xr:uid="{00000000-0004-0000-0000-00000E1C0000}"/>
    <hyperlink ref="B7065" r:id="rId7184" xr:uid="{00000000-0004-0000-0000-00000F1C0000}"/>
    <hyperlink ref="B7066" r:id="rId7185" xr:uid="{00000000-0004-0000-0000-0000101C0000}"/>
    <hyperlink ref="B7067" r:id="rId7186" xr:uid="{00000000-0004-0000-0000-0000111C0000}"/>
    <hyperlink ref="B7068" r:id="rId7187" xr:uid="{00000000-0004-0000-0000-0000121C0000}"/>
    <hyperlink ref="B7069" r:id="rId7188" xr:uid="{00000000-0004-0000-0000-0000131C0000}"/>
    <hyperlink ref="B7070" r:id="rId7189" xr:uid="{00000000-0004-0000-0000-0000141C0000}"/>
    <hyperlink ref="B7071" r:id="rId7190" xr:uid="{00000000-0004-0000-0000-0000151C0000}"/>
    <hyperlink ref="B7072" r:id="rId7191" xr:uid="{00000000-0004-0000-0000-0000161C0000}"/>
    <hyperlink ref="B7073" r:id="rId7192" xr:uid="{00000000-0004-0000-0000-0000171C0000}"/>
    <hyperlink ref="B7074" r:id="rId7193" xr:uid="{00000000-0004-0000-0000-0000181C0000}"/>
    <hyperlink ref="B7075" r:id="rId7194" xr:uid="{00000000-0004-0000-0000-0000191C0000}"/>
    <hyperlink ref="B7076" r:id="rId7195" xr:uid="{00000000-0004-0000-0000-00001A1C0000}"/>
    <hyperlink ref="B7077" r:id="rId7196" xr:uid="{00000000-0004-0000-0000-00001B1C0000}"/>
    <hyperlink ref="B7078" r:id="rId7197" xr:uid="{00000000-0004-0000-0000-00001C1C0000}"/>
    <hyperlink ref="B7079" r:id="rId7198" xr:uid="{00000000-0004-0000-0000-00001D1C0000}"/>
    <hyperlink ref="B7080" r:id="rId7199" xr:uid="{00000000-0004-0000-0000-00001E1C0000}"/>
    <hyperlink ref="B7081" r:id="rId7200" xr:uid="{00000000-0004-0000-0000-00001F1C0000}"/>
    <hyperlink ref="B7082" r:id="rId7201" xr:uid="{00000000-0004-0000-0000-0000201C0000}"/>
    <hyperlink ref="B7083" r:id="rId7202" xr:uid="{00000000-0004-0000-0000-0000211C0000}"/>
    <hyperlink ref="B7084" r:id="rId7203" xr:uid="{00000000-0004-0000-0000-0000221C0000}"/>
    <hyperlink ref="B7085" r:id="rId7204" xr:uid="{00000000-0004-0000-0000-0000231C0000}"/>
    <hyperlink ref="B7086" r:id="rId7205" xr:uid="{00000000-0004-0000-0000-0000241C0000}"/>
    <hyperlink ref="B7087" r:id="rId7206" xr:uid="{00000000-0004-0000-0000-0000251C0000}"/>
    <hyperlink ref="B7088" r:id="rId7207" xr:uid="{00000000-0004-0000-0000-0000261C0000}"/>
    <hyperlink ref="B7089" r:id="rId7208" xr:uid="{00000000-0004-0000-0000-0000271C0000}"/>
    <hyperlink ref="B7090" r:id="rId7209" xr:uid="{00000000-0004-0000-0000-0000281C0000}"/>
    <hyperlink ref="B7091" r:id="rId7210" xr:uid="{00000000-0004-0000-0000-0000291C0000}"/>
    <hyperlink ref="B7092" r:id="rId7211" xr:uid="{00000000-0004-0000-0000-00002A1C0000}"/>
    <hyperlink ref="B7093" r:id="rId7212" xr:uid="{00000000-0004-0000-0000-00002B1C0000}"/>
    <hyperlink ref="B7094" r:id="rId7213" xr:uid="{00000000-0004-0000-0000-00002C1C0000}"/>
    <hyperlink ref="B7095" r:id="rId7214" xr:uid="{00000000-0004-0000-0000-00002D1C0000}"/>
    <hyperlink ref="B7096" r:id="rId7215" xr:uid="{00000000-0004-0000-0000-00002E1C0000}"/>
    <hyperlink ref="B7097" r:id="rId7216" xr:uid="{00000000-0004-0000-0000-00002F1C0000}"/>
    <hyperlink ref="B7098" r:id="rId7217" xr:uid="{00000000-0004-0000-0000-0000301C0000}"/>
    <hyperlink ref="B7099" r:id="rId7218" xr:uid="{00000000-0004-0000-0000-0000311C0000}"/>
    <hyperlink ref="B7100" r:id="rId7219" xr:uid="{00000000-0004-0000-0000-0000321C0000}"/>
    <hyperlink ref="B7101" r:id="rId7220" xr:uid="{00000000-0004-0000-0000-0000331C0000}"/>
    <hyperlink ref="B7102" r:id="rId7221" xr:uid="{00000000-0004-0000-0000-0000341C0000}"/>
    <hyperlink ref="B7103" r:id="rId7222" xr:uid="{00000000-0004-0000-0000-0000351C0000}"/>
    <hyperlink ref="B7104" r:id="rId7223" xr:uid="{00000000-0004-0000-0000-0000361C0000}"/>
    <hyperlink ref="B7105" r:id="rId7224" xr:uid="{00000000-0004-0000-0000-0000371C0000}"/>
    <hyperlink ref="B7106" r:id="rId7225" xr:uid="{00000000-0004-0000-0000-0000381C0000}"/>
    <hyperlink ref="B7107" r:id="rId7226" xr:uid="{00000000-0004-0000-0000-0000391C0000}"/>
    <hyperlink ref="B7108" r:id="rId7227" xr:uid="{00000000-0004-0000-0000-00003A1C0000}"/>
    <hyperlink ref="B7109" r:id="rId7228" xr:uid="{00000000-0004-0000-0000-00003B1C0000}"/>
    <hyperlink ref="B7110" r:id="rId7229" xr:uid="{00000000-0004-0000-0000-00003C1C0000}"/>
    <hyperlink ref="B7111" r:id="rId7230" xr:uid="{00000000-0004-0000-0000-00003D1C0000}"/>
    <hyperlink ref="B7112" r:id="rId7231" xr:uid="{00000000-0004-0000-0000-00003E1C0000}"/>
    <hyperlink ref="B7113" r:id="rId7232" xr:uid="{00000000-0004-0000-0000-00003F1C0000}"/>
    <hyperlink ref="B7114" r:id="rId7233" xr:uid="{00000000-0004-0000-0000-0000401C0000}"/>
    <hyperlink ref="B7115" r:id="rId7234" xr:uid="{00000000-0004-0000-0000-0000411C0000}"/>
    <hyperlink ref="B7116" r:id="rId7235" xr:uid="{00000000-0004-0000-0000-0000421C0000}"/>
    <hyperlink ref="B7117" r:id="rId7236" xr:uid="{00000000-0004-0000-0000-0000431C0000}"/>
    <hyperlink ref="B7118" r:id="rId7237" xr:uid="{00000000-0004-0000-0000-0000441C0000}"/>
    <hyperlink ref="B7119" r:id="rId7238" xr:uid="{00000000-0004-0000-0000-0000451C0000}"/>
    <hyperlink ref="B7120" r:id="rId7239" xr:uid="{00000000-0004-0000-0000-0000461C0000}"/>
    <hyperlink ref="B7121" r:id="rId7240" xr:uid="{00000000-0004-0000-0000-0000471C0000}"/>
    <hyperlink ref="B7122" r:id="rId7241" xr:uid="{00000000-0004-0000-0000-0000481C0000}"/>
    <hyperlink ref="B7123" r:id="rId7242" xr:uid="{00000000-0004-0000-0000-0000491C0000}"/>
    <hyperlink ref="B7124" r:id="rId7243" xr:uid="{00000000-0004-0000-0000-00004A1C0000}"/>
    <hyperlink ref="B7125" r:id="rId7244" xr:uid="{00000000-0004-0000-0000-00004B1C0000}"/>
    <hyperlink ref="B7126" r:id="rId7245" xr:uid="{00000000-0004-0000-0000-00004C1C0000}"/>
    <hyperlink ref="B7127" r:id="rId7246" xr:uid="{00000000-0004-0000-0000-00004D1C0000}"/>
    <hyperlink ref="B7128" r:id="rId7247" xr:uid="{00000000-0004-0000-0000-00004E1C0000}"/>
    <hyperlink ref="B7129" r:id="rId7248" xr:uid="{00000000-0004-0000-0000-00004F1C0000}"/>
    <hyperlink ref="B7130" r:id="rId7249" xr:uid="{00000000-0004-0000-0000-0000501C0000}"/>
    <hyperlink ref="B7131" r:id="rId7250" xr:uid="{00000000-0004-0000-0000-0000511C0000}"/>
    <hyperlink ref="B7132" r:id="rId7251" xr:uid="{00000000-0004-0000-0000-0000521C0000}"/>
    <hyperlink ref="B7133" r:id="rId7252" xr:uid="{00000000-0004-0000-0000-0000531C0000}"/>
    <hyperlink ref="B7134" r:id="rId7253" xr:uid="{00000000-0004-0000-0000-0000541C0000}"/>
    <hyperlink ref="B7135" r:id="rId7254" xr:uid="{00000000-0004-0000-0000-0000551C0000}"/>
    <hyperlink ref="B7136" r:id="rId7255" xr:uid="{00000000-0004-0000-0000-0000561C0000}"/>
    <hyperlink ref="B7137" r:id="rId7256" xr:uid="{00000000-0004-0000-0000-0000571C0000}"/>
    <hyperlink ref="B7138" r:id="rId7257" xr:uid="{00000000-0004-0000-0000-0000581C0000}"/>
    <hyperlink ref="B7139" r:id="rId7258" xr:uid="{00000000-0004-0000-0000-0000591C0000}"/>
    <hyperlink ref="B7140" r:id="rId7259" xr:uid="{00000000-0004-0000-0000-00005A1C0000}"/>
    <hyperlink ref="B7141" r:id="rId7260" xr:uid="{00000000-0004-0000-0000-00005B1C0000}"/>
    <hyperlink ref="B7142" r:id="rId7261" xr:uid="{00000000-0004-0000-0000-00005C1C0000}"/>
    <hyperlink ref="B7143" r:id="rId7262" xr:uid="{00000000-0004-0000-0000-00005D1C0000}"/>
    <hyperlink ref="B7144" r:id="rId7263" xr:uid="{00000000-0004-0000-0000-00005E1C0000}"/>
    <hyperlink ref="B7145" r:id="rId7264" xr:uid="{00000000-0004-0000-0000-00005F1C0000}"/>
    <hyperlink ref="B7146" r:id="rId7265" xr:uid="{00000000-0004-0000-0000-0000601C0000}"/>
    <hyperlink ref="B7147" r:id="rId7266" xr:uid="{00000000-0004-0000-0000-0000611C0000}"/>
    <hyperlink ref="B7148" r:id="rId7267" xr:uid="{00000000-0004-0000-0000-0000621C0000}"/>
    <hyperlink ref="B7149" r:id="rId7268" xr:uid="{00000000-0004-0000-0000-0000631C0000}"/>
    <hyperlink ref="B7150" r:id="rId7269" xr:uid="{00000000-0004-0000-0000-0000641C0000}"/>
    <hyperlink ref="B7151" r:id="rId7270" xr:uid="{00000000-0004-0000-0000-0000651C0000}"/>
    <hyperlink ref="B7152" r:id="rId7271" xr:uid="{00000000-0004-0000-0000-0000661C0000}"/>
    <hyperlink ref="B7153" r:id="rId7272" xr:uid="{00000000-0004-0000-0000-0000671C0000}"/>
    <hyperlink ref="B7154" r:id="rId7273" xr:uid="{00000000-0004-0000-0000-0000681C0000}"/>
    <hyperlink ref="B7155" r:id="rId7274" xr:uid="{00000000-0004-0000-0000-0000691C0000}"/>
    <hyperlink ref="B7156" r:id="rId7275" xr:uid="{00000000-0004-0000-0000-00006A1C0000}"/>
    <hyperlink ref="B7157" r:id="rId7276" xr:uid="{00000000-0004-0000-0000-00006B1C0000}"/>
    <hyperlink ref="B7158" r:id="rId7277" xr:uid="{00000000-0004-0000-0000-00006C1C0000}"/>
    <hyperlink ref="B7159" r:id="rId7278" xr:uid="{00000000-0004-0000-0000-00006D1C0000}"/>
    <hyperlink ref="B7160" r:id="rId7279" xr:uid="{00000000-0004-0000-0000-00006E1C0000}"/>
    <hyperlink ref="B7161" r:id="rId7280" xr:uid="{00000000-0004-0000-0000-00006F1C0000}"/>
    <hyperlink ref="B7162" r:id="rId7281" xr:uid="{00000000-0004-0000-0000-0000701C0000}"/>
    <hyperlink ref="B7163" r:id="rId7282" xr:uid="{00000000-0004-0000-0000-0000711C0000}"/>
    <hyperlink ref="B7164" r:id="rId7283" xr:uid="{00000000-0004-0000-0000-0000721C0000}"/>
    <hyperlink ref="B7165" r:id="rId7284" xr:uid="{00000000-0004-0000-0000-0000731C0000}"/>
    <hyperlink ref="B7166" r:id="rId7285" xr:uid="{00000000-0004-0000-0000-0000741C0000}"/>
    <hyperlink ref="B7167" r:id="rId7286" xr:uid="{00000000-0004-0000-0000-0000751C0000}"/>
    <hyperlink ref="B7168" r:id="rId7287" xr:uid="{00000000-0004-0000-0000-0000761C0000}"/>
    <hyperlink ref="B7169" r:id="rId7288" xr:uid="{00000000-0004-0000-0000-0000771C0000}"/>
    <hyperlink ref="B7170" r:id="rId7289" xr:uid="{00000000-0004-0000-0000-0000781C0000}"/>
    <hyperlink ref="B7171" r:id="rId7290" xr:uid="{00000000-0004-0000-0000-0000791C0000}"/>
    <hyperlink ref="B7172" r:id="rId7291" xr:uid="{00000000-0004-0000-0000-00007A1C0000}"/>
    <hyperlink ref="B7173" r:id="rId7292" xr:uid="{00000000-0004-0000-0000-00007B1C0000}"/>
    <hyperlink ref="B7174" r:id="rId7293" xr:uid="{00000000-0004-0000-0000-00007C1C0000}"/>
    <hyperlink ref="B7175" r:id="rId7294" xr:uid="{00000000-0004-0000-0000-00007D1C0000}"/>
    <hyperlink ref="B7176" r:id="rId7295" xr:uid="{00000000-0004-0000-0000-00007E1C0000}"/>
    <hyperlink ref="B7177" r:id="rId7296" xr:uid="{00000000-0004-0000-0000-00007F1C0000}"/>
    <hyperlink ref="B7178" r:id="rId7297" xr:uid="{00000000-0004-0000-0000-0000801C0000}"/>
    <hyperlink ref="B7179" r:id="rId7298" xr:uid="{00000000-0004-0000-0000-0000811C0000}"/>
    <hyperlink ref="B7180" r:id="rId7299" xr:uid="{00000000-0004-0000-0000-0000821C0000}"/>
    <hyperlink ref="B7181" r:id="rId7300" xr:uid="{00000000-0004-0000-0000-0000831C0000}"/>
    <hyperlink ref="B7182" r:id="rId7301" xr:uid="{00000000-0004-0000-0000-0000841C0000}"/>
    <hyperlink ref="B7183" r:id="rId7302" xr:uid="{00000000-0004-0000-0000-0000851C0000}"/>
    <hyperlink ref="B7184" r:id="rId7303" xr:uid="{00000000-0004-0000-0000-0000861C0000}"/>
    <hyperlink ref="B7185" r:id="rId7304" xr:uid="{00000000-0004-0000-0000-0000871C0000}"/>
    <hyperlink ref="B7186" r:id="rId7305" xr:uid="{00000000-0004-0000-0000-0000881C0000}"/>
    <hyperlink ref="B7187" r:id="rId7306" xr:uid="{00000000-0004-0000-0000-0000891C0000}"/>
    <hyperlink ref="B7188" r:id="rId7307" xr:uid="{00000000-0004-0000-0000-00008A1C0000}"/>
    <hyperlink ref="B7189" r:id="rId7308" xr:uid="{00000000-0004-0000-0000-00008B1C0000}"/>
    <hyperlink ref="B7190" r:id="rId7309" xr:uid="{00000000-0004-0000-0000-00008C1C0000}"/>
    <hyperlink ref="B7191" r:id="rId7310" xr:uid="{00000000-0004-0000-0000-00008D1C0000}"/>
    <hyperlink ref="B7192" r:id="rId7311" xr:uid="{00000000-0004-0000-0000-00008E1C0000}"/>
    <hyperlink ref="B7193" r:id="rId7312" xr:uid="{00000000-0004-0000-0000-00008F1C0000}"/>
    <hyperlink ref="B7194" r:id="rId7313" xr:uid="{00000000-0004-0000-0000-0000901C0000}"/>
    <hyperlink ref="B7195" r:id="rId7314" xr:uid="{00000000-0004-0000-0000-0000911C0000}"/>
    <hyperlink ref="B7196" r:id="rId7315" xr:uid="{00000000-0004-0000-0000-0000921C0000}"/>
    <hyperlink ref="B7197" r:id="rId7316" xr:uid="{00000000-0004-0000-0000-0000931C0000}"/>
    <hyperlink ref="B7198" r:id="rId7317" xr:uid="{00000000-0004-0000-0000-0000941C0000}"/>
    <hyperlink ref="B7199" r:id="rId7318" xr:uid="{00000000-0004-0000-0000-0000951C0000}"/>
    <hyperlink ref="B7200" r:id="rId7319" xr:uid="{00000000-0004-0000-0000-0000961C0000}"/>
    <hyperlink ref="B7201" r:id="rId7320" xr:uid="{00000000-0004-0000-0000-0000971C0000}"/>
    <hyperlink ref="B7202" r:id="rId7321" xr:uid="{00000000-0004-0000-0000-0000981C0000}"/>
    <hyperlink ref="B7203" r:id="rId7322" xr:uid="{00000000-0004-0000-0000-0000991C0000}"/>
    <hyperlink ref="B7204" r:id="rId7323" xr:uid="{00000000-0004-0000-0000-00009A1C0000}"/>
    <hyperlink ref="B7205" r:id="rId7324" xr:uid="{00000000-0004-0000-0000-00009B1C0000}"/>
    <hyperlink ref="B7206" r:id="rId7325" xr:uid="{00000000-0004-0000-0000-00009C1C0000}"/>
    <hyperlink ref="B7207" r:id="rId7326" xr:uid="{00000000-0004-0000-0000-00009D1C0000}"/>
    <hyperlink ref="B7208" r:id="rId7327" xr:uid="{00000000-0004-0000-0000-00009E1C0000}"/>
    <hyperlink ref="B7209" r:id="rId7328" xr:uid="{00000000-0004-0000-0000-00009F1C0000}"/>
    <hyperlink ref="B7210" r:id="rId7329" xr:uid="{00000000-0004-0000-0000-0000A01C0000}"/>
    <hyperlink ref="B7211" r:id="rId7330" xr:uid="{00000000-0004-0000-0000-0000A11C0000}"/>
    <hyperlink ref="B7212" r:id="rId7331" xr:uid="{00000000-0004-0000-0000-0000A21C0000}"/>
    <hyperlink ref="B7213" r:id="rId7332" xr:uid="{00000000-0004-0000-0000-0000A31C0000}"/>
    <hyperlink ref="B7214" r:id="rId7333" xr:uid="{00000000-0004-0000-0000-0000A41C0000}"/>
    <hyperlink ref="B7215" r:id="rId7334" xr:uid="{00000000-0004-0000-0000-0000A51C0000}"/>
    <hyperlink ref="B7216" r:id="rId7335" xr:uid="{00000000-0004-0000-0000-0000A61C0000}"/>
    <hyperlink ref="B7217" r:id="rId7336" xr:uid="{00000000-0004-0000-0000-0000A71C0000}"/>
    <hyperlink ref="B7218" r:id="rId7337" xr:uid="{00000000-0004-0000-0000-0000A81C0000}"/>
    <hyperlink ref="B7219" r:id="rId7338" xr:uid="{00000000-0004-0000-0000-0000A91C0000}"/>
    <hyperlink ref="B7220" r:id="rId7339" xr:uid="{00000000-0004-0000-0000-0000AA1C0000}"/>
    <hyperlink ref="B7221" r:id="rId7340" xr:uid="{00000000-0004-0000-0000-0000AB1C0000}"/>
    <hyperlink ref="B7222" r:id="rId7341" xr:uid="{00000000-0004-0000-0000-0000AC1C0000}"/>
    <hyperlink ref="B7223" r:id="rId7342" xr:uid="{00000000-0004-0000-0000-0000AD1C0000}"/>
    <hyperlink ref="B7224" r:id="rId7343" xr:uid="{00000000-0004-0000-0000-0000AE1C0000}"/>
    <hyperlink ref="B7225" r:id="rId7344" xr:uid="{00000000-0004-0000-0000-0000AF1C0000}"/>
    <hyperlink ref="B7226" r:id="rId7345" xr:uid="{00000000-0004-0000-0000-0000B01C0000}"/>
    <hyperlink ref="B7227" r:id="rId7346" xr:uid="{00000000-0004-0000-0000-0000B11C0000}"/>
    <hyperlink ref="B7228" r:id="rId7347" xr:uid="{00000000-0004-0000-0000-0000B21C0000}"/>
    <hyperlink ref="B7229" r:id="rId7348" xr:uid="{00000000-0004-0000-0000-0000B31C0000}"/>
    <hyperlink ref="B7230" r:id="rId7349" xr:uid="{00000000-0004-0000-0000-0000B41C0000}"/>
    <hyperlink ref="B7231" r:id="rId7350" xr:uid="{00000000-0004-0000-0000-0000B51C0000}"/>
    <hyperlink ref="B7232" r:id="rId7351" xr:uid="{00000000-0004-0000-0000-0000B61C0000}"/>
    <hyperlink ref="B7233" r:id="rId7352" xr:uid="{00000000-0004-0000-0000-0000B71C0000}"/>
    <hyperlink ref="B7234" r:id="rId7353" xr:uid="{00000000-0004-0000-0000-0000B81C0000}"/>
    <hyperlink ref="B7235" r:id="rId7354" xr:uid="{00000000-0004-0000-0000-0000B91C0000}"/>
    <hyperlink ref="B7236" r:id="rId7355" xr:uid="{00000000-0004-0000-0000-0000BA1C0000}"/>
    <hyperlink ref="B7237" r:id="rId7356" xr:uid="{00000000-0004-0000-0000-0000BB1C0000}"/>
    <hyperlink ref="B7238" r:id="rId7357" xr:uid="{00000000-0004-0000-0000-0000BC1C0000}"/>
    <hyperlink ref="B7239" r:id="rId7358" xr:uid="{00000000-0004-0000-0000-0000BD1C0000}"/>
    <hyperlink ref="B7240" r:id="rId7359" xr:uid="{00000000-0004-0000-0000-0000BE1C0000}"/>
    <hyperlink ref="B7241" r:id="rId7360" xr:uid="{00000000-0004-0000-0000-0000BF1C0000}"/>
    <hyperlink ref="B7242" r:id="rId7361" xr:uid="{00000000-0004-0000-0000-0000C01C0000}"/>
    <hyperlink ref="B7243" r:id="rId7362" xr:uid="{00000000-0004-0000-0000-0000C11C0000}"/>
    <hyperlink ref="B7244" r:id="rId7363" xr:uid="{00000000-0004-0000-0000-0000C21C0000}"/>
    <hyperlink ref="B7245" r:id="rId7364" xr:uid="{00000000-0004-0000-0000-0000C31C0000}"/>
    <hyperlink ref="B7246" r:id="rId7365" xr:uid="{00000000-0004-0000-0000-0000C41C0000}"/>
    <hyperlink ref="B7247" r:id="rId7366" xr:uid="{00000000-0004-0000-0000-0000C51C0000}"/>
    <hyperlink ref="B7248" r:id="rId7367" xr:uid="{00000000-0004-0000-0000-0000C61C0000}"/>
    <hyperlink ref="B7249" r:id="rId7368" xr:uid="{00000000-0004-0000-0000-0000C71C0000}"/>
    <hyperlink ref="B7250" r:id="rId7369" xr:uid="{00000000-0004-0000-0000-0000C81C0000}"/>
    <hyperlink ref="B7251" r:id="rId7370" xr:uid="{00000000-0004-0000-0000-0000C91C0000}"/>
    <hyperlink ref="B7252" r:id="rId7371" xr:uid="{00000000-0004-0000-0000-0000CA1C0000}"/>
    <hyperlink ref="B7253" r:id="rId7372" xr:uid="{00000000-0004-0000-0000-0000CB1C0000}"/>
    <hyperlink ref="B7254" r:id="rId7373" xr:uid="{00000000-0004-0000-0000-0000CC1C0000}"/>
    <hyperlink ref="B7255" r:id="rId7374" xr:uid="{00000000-0004-0000-0000-0000CD1C0000}"/>
    <hyperlink ref="B7256" r:id="rId7375" xr:uid="{00000000-0004-0000-0000-0000CE1C0000}"/>
    <hyperlink ref="B7257" r:id="rId7376" xr:uid="{00000000-0004-0000-0000-0000CF1C0000}"/>
    <hyperlink ref="B7258" r:id="rId7377" xr:uid="{00000000-0004-0000-0000-0000D01C0000}"/>
    <hyperlink ref="B7259" r:id="rId7378" xr:uid="{00000000-0004-0000-0000-0000D11C0000}"/>
    <hyperlink ref="B7260" r:id="rId7379" xr:uid="{00000000-0004-0000-0000-0000D21C0000}"/>
    <hyperlink ref="B7261" r:id="rId7380" xr:uid="{00000000-0004-0000-0000-0000D31C0000}"/>
    <hyperlink ref="B7262" r:id="rId7381" xr:uid="{00000000-0004-0000-0000-0000D41C0000}"/>
    <hyperlink ref="B7263" r:id="rId7382" xr:uid="{00000000-0004-0000-0000-0000D51C0000}"/>
    <hyperlink ref="B7264" r:id="rId7383" xr:uid="{00000000-0004-0000-0000-0000D61C0000}"/>
    <hyperlink ref="B7265" r:id="rId7384" xr:uid="{00000000-0004-0000-0000-0000D71C0000}"/>
    <hyperlink ref="B7266" r:id="rId7385" xr:uid="{00000000-0004-0000-0000-0000D81C0000}"/>
    <hyperlink ref="B7267" r:id="rId7386" xr:uid="{00000000-0004-0000-0000-0000D91C0000}"/>
    <hyperlink ref="B7268" r:id="rId7387" xr:uid="{00000000-0004-0000-0000-0000DA1C0000}"/>
    <hyperlink ref="B7269" r:id="rId7388" xr:uid="{00000000-0004-0000-0000-0000DB1C0000}"/>
    <hyperlink ref="B7270" r:id="rId7389" xr:uid="{00000000-0004-0000-0000-0000DC1C0000}"/>
    <hyperlink ref="B7271" r:id="rId7390" xr:uid="{00000000-0004-0000-0000-0000DD1C0000}"/>
    <hyperlink ref="B7272" r:id="rId7391" xr:uid="{00000000-0004-0000-0000-0000DE1C0000}"/>
    <hyperlink ref="B7273" r:id="rId7392" xr:uid="{00000000-0004-0000-0000-0000DF1C0000}"/>
    <hyperlink ref="B7274" r:id="rId7393" xr:uid="{00000000-0004-0000-0000-0000E01C0000}"/>
    <hyperlink ref="B7275" r:id="rId7394" xr:uid="{00000000-0004-0000-0000-0000E11C0000}"/>
    <hyperlink ref="B7276" r:id="rId7395" xr:uid="{00000000-0004-0000-0000-0000E21C0000}"/>
    <hyperlink ref="B7277" r:id="rId7396" xr:uid="{00000000-0004-0000-0000-0000E31C0000}"/>
    <hyperlink ref="B7278" r:id="rId7397" xr:uid="{00000000-0004-0000-0000-0000E41C0000}"/>
    <hyperlink ref="B7279" r:id="rId7398" xr:uid="{00000000-0004-0000-0000-0000E51C0000}"/>
    <hyperlink ref="B7280" r:id="rId7399" xr:uid="{00000000-0004-0000-0000-0000E61C0000}"/>
    <hyperlink ref="B7281" r:id="rId7400" xr:uid="{00000000-0004-0000-0000-0000E71C0000}"/>
    <hyperlink ref="B7282" r:id="rId7401" xr:uid="{00000000-0004-0000-0000-0000E81C0000}"/>
    <hyperlink ref="B7283" r:id="rId7402" xr:uid="{00000000-0004-0000-0000-0000E91C0000}"/>
    <hyperlink ref="B7284" r:id="rId7403" xr:uid="{00000000-0004-0000-0000-0000EA1C0000}"/>
    <hyperlink ref="B7285" r:id="rId7404" xr:uid="{00000000-0004-0000-0000-0000EB1C0000}"/>
    <hyperlink ref="B7286" r:id="rId7405" xr:uid="{00000000-0004-0000-0000-0000EC1C0000}"/>
    <hyperlink ref="B7287" r:id="rId7406" xr:uid="{00000000-0004-0000-0000-0000ED1C0000}"/>
    <hyperlink ref="B7288" r:id="rId7407" xr:uid="{00000000-0004-0000-0000-0000EE1C0000}"/>
    <hyperlink ref="B7289" r:id="rId7408" xr:uid="{00000000-0004-0000-0000-0000EF1C0000}"/>
    <hyperlink ref="B7290" r:id="rId7409" xr:uid="{00000000-0004-0000-0000-0000F01C0000}"/>
    <hyperlink ref="B7291" r:id="rId7410" xr:uid="{00000000-0004-0000-0000-0000F11C0000}"/>
    <hyperlink ref="B7292" r:id="rId7411" xr:uid="{00000000-0004-0000-0000-0000F21C0000}"/>
    <hyperlink ref="B7293" r:id="rId7412" xr:uid="{00000000-0004-0000-0000-0000F31C0000}"/>
    <hyperlink ref="B7294" r:id="rId7413" xr:uid="{00000000-0004-0000-0000-0000F41C0000}"/>
    <hyperlink ref="B7295" r:id="rId7414" xr:uid="{00000000-0004-0000-0000-0000F51C0000}"/>
    <hyperlink ref="B7296" r:id="rId7415" xr:uid="{00000000-0004-0000-0000-0000F61C0000}"/>
    <hyperlink ref="B7297" r:id="rId7416" xr:uid="{00000000-0004-0000-0000-0000F71C0000}"/>
    <hyperlink ref="B7298" r:id="rId7417" xr:uid="{00000000-0004-0000-0000-0000F81C0000}"/>
    <hyperlink ref="B7299" r:id="rId7418" xr:uid="{00000000-0004-0000-0000-0000F91C0000}"/>
    <hyperlink ref="B7300" r:id="rId7419" xr:uid="{00000000-0004-0000-0000-0000FA1C0000}"/>
    <hyperlink ref="B7301" r:id="rId7420" xr:uid="{00000000-0004-0000-0000-0000FB1C0000}"/>
    <hyperlink ref="B7302" r:id="rId7421" xr:uid="{00000000-0004-0000-0000-0000FC1C0000}"/>
    <hyperlink ref="B7303" r:id="rId7422" xr:uid="{00000000-0004-0000-0000-0000FD1C0000}"/>
    <hyperlink ref="B7304" r:id="rId7423" xr:uid="{00000000-0004-0000-0000-0000FE1C0000}"/>
    <hyperlink ref="B7305" r:id="rId7424" xr:uid="{00000000-0004-0000-0000-0000FF1C0000}"/>
    <hyperlink ref="B7306" r:id="rId7425" xr:uid="{00000000-0004-0000-0000-0000001D0000}"/>
    <hyperlink ref="B7307" r:id="rId7426" xr:uid="{00000000-0004-0000-0000-0000011D0000}"/>
    <hyperlink ref="B7308" r:id="rId7427" xr:uid="{00000000-0004-0000-0000-0000021D0000}"/>
    <hyperlink ref="B7309" r:id="rId7428" xr:uid="{00000000-0004-0000-0000-0000031D0000}"/>
    <hyperlink ref="B7310" r:id="rId7429" xr:uid="{00000000-0004-0000-0000-0000041D0000}"/>
    <hyperlink ref="B7311" r:id="rId7430" xr:uid="{00000000-0004-0000-0000-0000051D0000}"/>
    <hyperlink ref="B7312" r:id="rId7431" xr:uid="{00000000-0004-0000-0000-0000061D0000}"/>
    <hyperlink ref="B7313" r:id="rId7432" xr:uid="{00000000-0004-0000-0000-0000071D0000}"/>
    <hyperlink ref="B7314" r:id="rId7433" xr:uid="{00000000-0004-0000-0000-0000081D0000}"/>
    <hyperlink ref="B7315" r:id="rId7434" xr:uid="{00000000-0004-0000-0000-0000091D0000}"/>
    <hyperlink ref="B7316" r:id="rId7435" xr:uid="{00000000-0004-0000-0000-00000A1D0000}"/>
    <hyperlink ref="B7317" r:id="rId7436" xr:uid="{00000000-0004-0000-0000-00000B1D0000}"/>
    <hyperlink ref="B7318" r:id="rId7437" xr:uid="{00000000-0004-0000-0000-00000C1D0000}"/>
    <hyperlink ref="B7319" r:id="rId7438" xr:uid="{00000000-0004-0000-0000-00000D1D0000}"/>
    <hyperlink ref="B7320" r:id="rId7439" xr:uid="{00000000-0004-0000-0000-00000E1D0000}"/>
    <hyperlink ref="B7321" r:id="rId7440" xr:uid="{00000000-0004-0000-0000-00000F1D0000}"/>
    <hyperlink ref="B7322" r:id="rId7441" xr:uid="{00000000-0004-0000-0000-0000101D0000}"/>
    <hyperlink ref="B7323" r:id="rId7442" xr:uid="{00000000-0004-0000-0000-0000111D0000}"/>
    <hyperlink ref="B7324" r:id="rId7443" xr:uid="{00000000-0004-0000-0000-0000121D0000}"/>
    <hyperlink ref="B7325" r:id="rId7444" xr:uid="{00000000-0004-0000-0000-0000131D0000}"/>
    <hyperlink ref="B7326" r:id="rId7445" xr:uid="{00000000-0004-0000-0000-0000141D0000}"/>
    <hyperlink ref="B7327" r:id="rId7446" xr:uid="{00000000-0004-0000-0000-0000151D0000}"/>
    <hyperlink ref="B7328" r:id="rId7447" xr:uid="{00000000-0004-0000-0000-0000161D0000}"/>
    <hyperlink ref="B7329" r:id="rId7448" xr:uid="{00000000-0004-0000-0000-0000171D0000}"/>
    <hyperlink ref="B7330" r:id="rId7449" xr:uid="{00000000-0004-0000-0000-0000181D0000}"/>
    <hyperlink ref="B7331" r:id="rId7450" xr:uid="{00000000-0004-0000-0000-0000191D0000}"/>
    <hyperlink ref="B7332" r:id="rId7451" xr:uid="{00000000-0004-0000-0000-00001A1D0000}"/>
    <hyperlink ref="B7333" r:id="rId7452" xr:uid="{00000000-0004-0000-0000-00001B1D0000}"/>
    <hyperlink ref="B7334" r:id="rId7453" xr:uid="{00000000-0004-0000-0000-00001C1D0000}"/>
    <hyperlink ref="B7335" r:id="rId7454" xr:uid="{00000000-0004-0000-0000-00001D1D0000}"/>
    <hyperlink ref="B7336" r:id="rId7455" xr:uid="{00000000-0004-0000-0000-00001E1D0000}"/>
    <hyperlink ref="B7337" r:id="rId7456" xr:uid="{00000000-0004-0000-0000-00001F1D0000}"/>
    <hyperlink ref="B7338" r:id="rId7457" xr:uid="{00000000-0004-0000-0000-0000201D0000}"/>
    <hyperlink ref="B7339" r:id="rId7458" xr:uid="{00000000-0004-0000-0000-0000211D0000}"/>
    <hyperlink ref="B7340" r:id="rId7459" xr:uid="{00000000-0004-0000-0000-0000221D0000}"/>
    <hyperlink ref="B7341" r:id="rId7460" xr:uid="{00000000-0004-0000-0000-0000231D0000}"/>
    <hyperlink ref="B7342" r:id="rId7461" xr:uid="{00000000-0004-0000-0000-0000241D0000}"/>
    <hyperlink ref="B7343" r:id="rId7462" xr:uid="{00000000-0004-0000-0000-0000251D0000}"/>
    <hyperlink ref="B7344" r:id="rId7463" xr:uid="{00000000-0004-0000-0000-0000261D0000}"/>
    <hyperlink ref="B7345" r:id="rId7464" xr:uid="{00000000-0004-0000-0000-0000271D0000}"/>
    <hyperlink ref="B7346" r:id="rId7465" xr:uid="{00000000-0004-0000-0000-0000281D0000}"/>
    <hyperlink ref="B7347" r:id="rId7466" xr:uid="{00000000-0004-0000-0000-0000291D0000}"/>
    <hyperlink ref="B7348" r:id="rId7467" xr:uid="{00000000-0004-0000-0000-00002A1D0000}"/>
    <hyperlink ref="B7349" r:id="rId7468" xr:uid="{00000000-0004-0000-0000-00002B1D0000}"/>
    <hyperlink ref="B7350" r:id="rId7469" xr:uid="{00000000-0004-0000-0000-00002C1D0000}"/>
    <hyperlink ref="B7351" r:id="rId7470" xr:uid="{00000000-0004-0000-0000-00002D1D0000}"/>
    <hyperlink ref="B7352" r:id="rId7471" xr:uid="{00000000-0004-0000-0000-00002E1D0000}"/>
    <hyperlink ref="B7353" r:id="rId7472" xr:uid="{00000000-0004-0000-0000-00002F1D0000}"/>
    <hyperlink ref="B7354" r:id="rId7473" xr:uid="{00000000-0004-0000-0000-0000301D0000}"/>
    <hyperlink ref="B7355" r:id="rId7474" xr:uid="{00000000-0004-0000-0000-0000311D0000}"/>
    <hyperlink ref="B7356" r:id="rId7475" xr:uid="{00000000-0004-0000-0000-0000321D0000}"/>
    <hyperlink ref="B7357" r:id="rId7476" xr:uid="{00000000-0004-0000-0000-0000331D0000}"/>
    <hyperlink ref="B7358" r:id="rId7477" xr:uid="{00000000-0004-0000-0000-0000341D0000}"/>
    <hyperlink ref="B7359" r:id="rId7478" xr:uid="{00000000-0004-0000-0000-0000351D0000}"/>
    <hyperlink ref="B7360" r:id="rId7479" xr:uid="{00000000-0004-0000-0000-0000361D0000}"/>
    <hyperlink ref="B7361" r:id="rId7480" xr:uid="{00000000-0004-0000-0000-0000371D0000}"/>
    <hyperlink ref="B7362" r:id="rId7481" xr:uid="{00000000-0004-0000-0000-0000381D0000}"/>
    <hyperlink ref="B7363" r:id="rId7482" xr:uid="{00000000-0004-0000-0000-0000391D0000}"/>
    <hyperlink ref="B7364" r:id="rId7483" xr:uid="{00000000-0004-0000-0000-00003A1D0000}"/>
    <hyperlink ref="B7365" r:id="rId7484" xr:uid="{00000000-0004-0000-0000-00003B1D0000}"/>
    <hyperlink ref="B7366" r:id="rId7485" xr:uid="{00000000-0004-0000-0000-00003C1D0000}"/>
    <hyperlink ref="B7367" r:id="rId7486" xr:uid="{00000000-0004-0000-0000-00003D1D0000}"/>
    <hyperlink ref="B7368" r:id="rId7487" xr:uid="{00000000-0004-0000-0000-00003E1D0000}"/>
    <hyperlink ref="B7369" r:id="rId7488" xr:uid="{00000000-0004-0000-0000-00003F1D0000}"/>
    <hyperlink ref="B7370" r:id="rId7489" xr:uid="{00000000-0004-0000-0000-0000401D0000}"/>
    <hyperlink ref="B7371" r:id="rId7490" xr:uid="{00000000-0004-0000-0000-0000411D0000}"/>
    <hyperlink ref="B7372" r:id="rId7491" xr:uid="{00000000-0004-0000-0000-0000421D0000}"/>
    <hyperlink ref="B7373" r:id="rId7492" xr:uid="{00000000-0004-0000-0000-0000431D0000}"/>
    <hyperlink ref="B7374" r:id="rId7493" xr:uid="{00000000-0004-0000-0000-0000441D0000}"/>
    <hyperlink ref="B7375" r:id="rId7494" xr:uid="{00000000-0004-0000-0000-0000451D0000}"/>
    <hyperlink ref="B7376" r:id="rId7495" xr:uid="{00000000-0004-0000-0000-0000461D0000}"/>
    <hyperlink ref="B7377" r:id="rId7496" xr:uid="{00000000-0004-0000-0000-0000471D0000}"/>
    <hyperlink ref="B7378" r:id="rId7497" xr:uid="{00000000-0004-0000-0000-0000481D0000}"/>
    <hyperlink ref="B7379" r:id="rId7498" xr:uid="{00000000-0004-0000-0000-0000491D0000}"/>
    <hyperlink ref="B7380" r:id="rId7499" xr:uid="{00000000-0004-0000-0000-00004A1D0000}"/>
    <hyperlink ref="B7381" r:id="rId7500" xr:uid="{00000000-0004-0000-0000-00004B1D0000}"/>
    <hyperlink ref="B7382" r:id="rId7501" xr:uid="{00000000-0004-0000-0000-00004C1D0000}"/>
    <hyperlink ref="B7383" r:id="rId7502" xr:uid="{00000000-0004-0000-0000-00004D1D0000}"/>
    <hyperlink ref="B7384" r:id="rId7503" xr:uid="{00000000-0004-0000-0000-00004E1D0000}"/>
    <hyperlink ref="B7385" r:id="rId7504" xr:uid="{00000000-0004-0000-0000-00004F1D0000}"/>
    <hyperlink ref="B7386" r:id="rId7505" xr:uid="{00000000-0004-0000-0000-0000501D0000}"/>
    <hyperlink ref="B7387" r:id="rId7506" xr:uid="{00000000-0004-0000-0000-0000511D0000}"/>
    <hyperlink ref="B7388" r:id="rId7507" xr:uid="{00000000-0004-0000-0000-0000521D0000}"/>
    <hyperlink ref="B7389" r:id="rId7508" xr:uid="{00000000-0004-0000-0000-0000531D0000}"/>
    <hyperlink ref="B7390" r:id="rId7509" xr:uid="{00000000-0004-0000-0000-0000541D0000}"/>
    <hyperlink ref="B7391" r:id="rId7510" xr:uid="{00000000-0004-0000-0000-0000551D0000}"/>
    <hyperlink ref="B7392" r:id="rId7511" xr:uid="{00000000-0004-0000-0000-0000561D0000}"/>
    <hyperlink ref="B7393" r:id="rId7512" xr:uid="{00000000-0004-0000-0000-0000571D0000}"/>
    <hyperlink ref="B7394" r:id="rId7513" xr:uid="{00000000-0004-0000-0000-0000581D0000}"/>
    <hyperlink ref="B7395" r:id="rId7514" xr:uid="{00000000-0004-0000-0000-0000591D0000}"/>
    <hyperlink ref="B7396" r:id="rId7515" xr:uid="{00000000-0004-0000-0000-00005A1D0000}"/>
    <hyperlink ref="B7397" r:id="rId7516" xr:uid="{00000000-0004-0000-0000-00005B1D0000}"/>
    <hyperlink ref="B7398" r:id="rId7517" xr:uid="{00000000-0004-0000-0000-00005C1D0000}"/>
    <hyperlink ref="B7399" r:id="rId7518" xr:uid="{00000000-0004-0000-0000-00005D1D0000}"/>
    <hyperlink ref="B7400" r:id="rId7519" xr:uid="{00000000-0004-0000-0000-00005E1D0000}"/>
    <hyperlink ref="B7401" r:id="rId7520" xr:uid="{00000000-0004-0000-0000-00005F1D0000}"/>
    <hyperlink ref="B7402" r:id="rId7521" xr:uid="{00000000-0004-0000-0000-0000601D0000}"/>
    <hyperlink ref="B7403" r:id="rId7522" xr:uid="{00000000-0004-0000-0000-0000611D0000}"/>
    <hyperlink ref="B7404" r:id="rId7523" xr:uid="{00000000-0004-0000-0000-0000621D0000}"/>
    <hyperlink ref="B7405" r:id="rId7524" xr:uid="{00000000-0004-0000-0000-0000631D0000}"/>
    <hyperlink ref="B7406" r:id="rId7525" xr:uid="{00000000-0004-0000-0000-0000641D0000}"/>
    <hyperlink ref="B7407" r:id="rId7526" xr:uid="{00000000-0004-0000-0000-0000651D0000}"/>
    <hyperlink ref="B7408" r:id="rId7527" xr:uid="{00000000-0004-0000-0000-0000661D0000}"/>
    <hyperlink ref="B7409" r:id="rId7528" xr:uid="{00000000-0004-0000-0000-0000671D0000}"/>
    <hyperlink ref="B7410" r:id="rId7529" xr:uid="{00000000-0004-0000-0000-0000681D0000}"/>
    <hyperlink ref="B7411" r:id="rId7530" xr:uid="{00000000-0004-0000-0000-0000691D0000}"/>
    <hyperlink ref="B7412" r:id="rId7531" xr:uid="{00000000-0004-0000-0000-00006A1D0000}"/>
    <hyperlink ref="B7413" r:id="rId7532" xr:uid="{00000000-0004-0000-0000-00006B1D0000}"/>
    <hyperlink ref="B7414" r:id="rId7533" xr:uid="{00000000-0004-0000-0000-00006C1D0000}"/>
    <hyperlink ref="B7415" r:id="rId7534" xr:uid="{00000000-0004-0000-0000-00006D1D0000}"/>
    <hyperlink ref="B7416" r:id="rId7535" xr:uid="{00000000-0004-0000-0000-00006E1D0000}"/>
    <hyperlink ref="B7417" r:id="rId7536" xr:uid="{00000000-0004-0000-0000-00006F1D0000}"/>
    <hyperlink ref="B7418" r:id="rId7537" xr:uid="{00000000-0004-0000-0000-0000701D0000}"/>
    <hyperlink ref="B7419" r:id="rId7538" xr:uid="{00000000-0004-0000-0000-0000711D0000}"/>
    <hyperlink ref="B7420" r:id="rId7539" xr:uid="{00000000-0004-0000-0000-0000721D0000}"/>
    <hyperlink ref="B7421" r:id="rId7540" xr:uid="{00000000-0004-0000-0000-0000731D0000}"/>
    <hyperlink ref="B7422" r:id="rId7541" xr:uid="{00000000-0004-0000-0000-0000741D0000}"/>
    <hyperlink ref="B7423" r:id="rId7542" xr:uid="{00000000-0004-0000-0000-0000751D0000}"/>
    <hyperlink ref="B7424" r:id="rId7543" xr:uid="{00000000-0004-0000-0000-0000761D0000}"/>
    <hyperlink ref="B7425" r:id="rId7544" xr:uid="{00000000-0004-0000-0000-0000771D0000}"/>
    <hyperlink ref="B7426" r:id="rId7545" xr:uid="{00000000-0004-0000-0000-0000781D0000}"/>
    <hyperlink ref="B7427" r:id="rId7546" xr:uid="{00000000-0004-0000-0000-0000791D0000}"/>
    <hyperlink ref="B7428" r:id="rId7547" xr:uid="{00000000-0004-0000-0000-00007A1D0000}"/>
    <hyperlink ref="B7429" r:id="rId7548" xr:uid="{00000000-0004-0000-0000-00007B1D0000}"/>
    <hyperlink ref="B7430" r:id="rId7549" xr:uid="{00000000-0004-0000-0000-00007C1D0000}"/>
    <hyperlink ref="B7431" r:id="rId7550" xr:uid="{00000000-0004-0000-0000-00007D1D0000}"/>
    <hyperlink ref="B7432" r:id="rId7551" xr:uid="{00000000-0004-0000-0000-00007E1D0000}"/>
    <hyperlink ref="B7433" r:id="rId7552" xr:uid="{00000000-0004-0000-0000-00007F1D0000}"/>
    <hyperlink ref="B7434" r:id="rId7553" xr:uid="{00000000-0004-0000-0000-0000801D0000}"/>
    <hyperlink ref="B7435" r:id="rId7554" xr:uid="{00000000-0004-0000-0000-0000811D0000}"/>
    <hyperlink ref="B7436" r:id="rId7555" xr:uid="{00000000-0004-0000-0000-0000821D0000}"/>
    <hyperlink ref="B7437" r:id="rId7556" xr:uid="{00000000-0004-0000-0000-0000831D0000}"/>
    <hyperlink ref="B7438" r:id="rId7557" xr:uid="{00000000-0004-0000-0000-0000841D0000}"/>
    <hyperlink ref="B7439" r:id="rId7558" xr:uid="{00000000-0004-0000-0000-0000851D0000}"/>
    <hyperlink ref="B7440" r:id="rId7559" xr:uid="{00000000-0004-0000-0000-0000861D0000}"/>
    <hyperlink ref="B7441" r:id="rId7560" xr:uid="{00000000-0004-0000-0000-0000871D0000}"/>
    <hyperlink ref="B7442" r:id="rId7561" xr:uid="{00000000-0004-0000-0000-0000881D0000}"/>
    <hyperlink ref="B7443" r:id="rId7562" xr:uid="{00000000-0004-0000-0000-0000891D0000}"/>
    <hyperlink ref="B7444" r:id="rId7563" xr:uid="{00000000-0004-0000-0000-00008A1D0000}"/>
    <hyperlink ref="B7445" r:id="rId7564" xr:uid="{00000000-0004-0000-0000-00008B1D0000}"/>
    <hyperlink ref="B7446" r:id="rId7565" xr:uid="{00000000-0004-0000-0000-00008C1D0000}"/>
    <hyperlink ref="B7447" r:id="rId7566" xr:uid="{00000000-0004-0000-0000-00008D1D0000}"/>
    <hyperlink ref="B7448" r:id="rId7567" xr:uid="{00000000-0004-0000-0000-00008E1D0000}"/>
    <hyperlink ref="B7449" r:id="rId7568" xr:uid="{00000000-0004-0000-0000-00008F1D0000}"/>
    <hyperlink ref="B7450" r:id="rId7569" xr:uid="{00000000-0004-0000-0000-0000901D0000}"/>
    <hyperlink ref="B7451" r:id="rId7570" xr:uid="{00000000-0004-0000-0000-0000911D0000}"/>
    <hyperlink ref="B7452" r:id="rId7571" xr:uid="{00000000-0004-0000-0000-0000921D0000}"/>
    <hyperlink ref="B7453" r:id="rId7572" xr:uid="{00000000-0004-0000-0000-0000931D0000}"/>
    <hyperlink ref="B7454" r:id="rId7573" xr:uid="{00000000-0004-0000-0000-0000941D0000}"/>
    <hyperlink ref="B7455" r:id="rId7574" xr:uid="{00000000-0004-0000-0000-0000951D0000}"/>
    <hyperlink ref="B7456" r:id="rId7575" xr:uid="{00000000-0004-0000-0000-0000961D0000}"/>
    <hyperlink ref="B7457" r:id="rId7576" xr:uid="{00000000-0004-0000-0000-0000971D0000}"/>
    <hyperlink ref="B7458" r:id="rId7577" xr:uid="{00000000-0004-0000-0000-0000981D0000}"/>
    <hyperlink ref="B7459" r:id="rId7578" xr:uid="{00000000-0004-0000-0000-0000991D0000}"/>
    <hyperlink ref="B7460" r:id="rId7579" xr:uid="{00000000-0004-0000-0000-00009A1D0000}"/>
    <hyperlink ref="B7461" r:id="rId7580" xr:uid="{00000000-0004-0000-0000-00009B1D0000}"/>
    <hyperlink ref="B7462" r:id="rId7581" xr:uid="{00000000-0004-0000-0000-00009C1D0000}"/>
    <hyperlink ref="B7463" r:id="rId7582" xr:uid="{00000000-0004-0000-0000-00009D1D0000}"/>
    <hyperlink ref="B7464" r:id="rId7583" xr:uid="{00000000-0004-0000-0000-00009E1D0000}"/>
    <hyperlink ref="B7465" r:id="rId7584" xr:uid="{00000000-0004-0000-0000-00009F1D0000}"/>
    <hyperlink ref="B7466" r:id="rId7585" xr:uid="{00000000-0004-0000-0000-0000A01D0000}"/>
    <hyperlink ref="B7467" r:id="rId7586" xr:uid="{00000000-0004-0000-0000-0000A11D0000}"/>
    <hyperlink ref="B7468" r:id="rId7587" xr:uid="{00000000-0004-0000-0000-0000A21D0000}"/>
    <hyperlink ref="B7469" r:id="rId7588" xr:uid="{00000000-0004-0000-0000-0000A31D0000}"/>
    <hyperlink ref="B7470" r:id="rId7589" xr:uid="{00000000-0004-0000-0000-0000A41D0000}"/>
    <hyperlink ref="B7471" r:id="rId7590" xr:uid="{00000000-0004-0000-0000-0000A51D0000}"/>
    <hyperlink ref="B7472" r:id="rId7591" xr:uid="{00000000-0004-0000-0000-0000A61D0000}"/>
    <hyperlink ref="B7473" r:id="rId7592" xr:uid="{00000000-0004-0000-0000-0000A71D0000}"/>
    <hyperlink ref="B7474" r:id="rId7593" xr:uid="{00000000-0004-0000-0000-0000A81D0000}"/>
    <hyperlink ref="B7475" r:id="rId7594" xr:uid="{00000000-0004-0000-0000-0000A91D0000}"/>
    <hyperlink ref="B7476" r:id="rId7595" xr:uid="{00000000-0004-0000-0000-0000AA1D0000}"/>
    <hyperlink ref="B7477" r:id="rId7596" xr:uid="{00000000-0004-0000-0000-0000AB1D0000}"/>
    <hyperlink ref="B7478" r:id="rId7597" xr:uid="{00000000-0004-0000-0000-0000AC1D0000}"/>
    <hyperlink ref="B7479" r:id="rId7598" xr:uid="{00000000-0004-0000-0000-0000AD1D0000}"/>
    <hyperlink ref="B7480" r:id="rId7599" xr:uid="{00000000-0004-0000-0000-0000AE1D0000}"/>
    <hyperlink ref="B7481" r:id="rId7600" xr:uid="{00000000-0004-0000-0000-0000AF1D0000}"/>
    <hyperlink ref="B7482" r:id="rId7601" xr:uid="{00000000-0004-0000-0000-0000B01D0000}"/>
    <hyperlink ref="B7483" r:id="rId7602" xr:uid="{00000000-0004-0000-0000-0000B11D0000}"/>
    <hyperlink ref="B7484" r:id="rId7603" xr:uid="{00000000-0004-0000-0000-0000B21D0000}"/>
    <hyperlink ref="B7485" r:id="rId7604" xr:uid="{00000000-0004-0000-0000-0000B31D0000}"/>
    <hyperlink ref="B7486" r:id="rId7605" xr:uid="{00000000-0004-0000-0000-0000B41D0000}"/>
    <hyperlink ref="B7487" r:id="rId7606" xr:uid="{00000000-0004-0000-0000-0000B51D0000}"/>
    <hyperlink ref="B7488" r:id="rId7607" xr:uid="{00000000-0004-0000-0000-0000B61D0000}"/>
    <hyperlink ref="B7489" r:id="rId7608" xr:uid="{00000000-0004-0000-0000-0000B71D0000}"/>
    <hyperlink ref="B7490" r:id="rId7609" xr:uid="{00000000-0004-0000-0000-0000B81D0000}"/>
    <hyperlink ref="B7491" r:id="rId7610" xr:uid="{00000000-0004-0000-0000-0000B91D0000}"/>
    <hyperlink ref="B7492" r:id="rId7611" xr:uid="{00000000-0004-0000-0000-0000BA1D0000}"/>
    <hyperlink ref="B7493" r:id="rId7612" xr:uid="{00000000-0004-0000-0000-0000BB1D0000}"/>
    <hyperlink ref="B7494" r:id="rId7613" xr:uid="{00000000-0004-0000-0000-0000BC1D0000}"/>
    <hyperlink ref="B7495" r:id="rId7614" xr:uid="{00000000-0004-0000-0000-0000BD1D0000}"/>
    <hyperlink ref="B7496" r:id="rId7615" xr:uid="{00000000-0004-0000-0000-0000BE1D0000}"/>
    <hyperlink ref="B7497" r:id="rId7616" xr:uid="{00000000-0004-0000-0000-0000BF1D0000}"/>
    <hyperlink ref="B7498" r:id="rId7617" xr:uid="{00000000-0004-0000-0000-0000C01D0000}"/>
    <hyperlink ref="B7499" r:id="rId7618" xr:uid="{00000000-0004-0000-0000-0000C11D0000}"/>
    <hyperlink ref="B7500" r:id="rId7619" xr:uid="{00000000-0004-0000-0000-0000C21D0000}"/>
    <hyperlink ref="B7501" r:id="rId7620" xr:uid="{00000000-0004-0000-0000-0000C31D0000}"/>
    <hyperlink ref="B7502" r:id="rId7621" xr:uid="{00000000-0004-0000-0000-0000C41D0000}"/>
    <hyperlink ref="B7503" r:id="rId7622" xr:uid="{00000000-0004-0000-0000-0000C51D0000}"/>
    <hyperlink ref="B7504" r:id="rId7623" xr:uid="{00000000-0004-0000-0000-0000C61D0000}"/>
    <hyperlink ref="B7505" r:id="rId7624" xr:uid="{00000000-0004-0000-0000-0000C71D0000}"/>
    <hyperlink ref="B7506" r:id="rId7625" xr:uid="{00000000-0004-0000-0000-0000C81D0000}"/>
    <hyperlink ref="B7507" r:id="rId7626" xr:uid="{00000000-0004-0000-0000-0000C91D0000}"/>
    <hyperlink ref="B7508" r:id="rId7627" xr:uid="{00000000-0004-0000-0000-0000CA1D0000}"/>
    <hyperlink ref="B7509" r:id="rId7628" xr:uid="{00000000-0004-0000-0000-0000CB1D0000}"/>
    <hyperlink ref="B7510" r:id="rId7629" xr:uid="{00000000-0004-0000-0000-0000CC1D0000}"/>
    <hyperlink ref="B7511" r:id="rId7630" xr:uid="{00000000-0004-0000-0000-0000CD1D0000}"/>
    <hyperlink ref="B7512" r:id="rId7631" xr:uid="{00000000-0004-0000-0000-0000CE1D0000}"/>
    <hyperlink ref="B7513" r:id="rId7632" xr:uid="{00000000-0004-0000-0000-0000CF1D0000}"/>
    <hyperlink ref="B7514" r:id="rId7633" xr:uid="{00000000-0004-0000-0000-0000D01D0000}"/>
    <hyperlink ref="B7515" r:id="rId7634" xr:uid="{00000000-0004-0000-0000-0000D11D0000}"/>
    <hyperlink ref="B7516" r:id="rId7635" xr:uid="{00000000-0004-0000-0000-0000D21D0000}"/>
    <hyperlink ref="B7517" r:id="rId7636" xr:uid="{00000000-0004-0000-0000-0000D31D0000}"/>
    <hyperlink ref="B7518" r:id="rId7637" xr:uid="{00000000-0004-0000-0000-0000D41D0000}"/>
    <hyperlink ref="B7519" r:id="rId7638" xr:uid="{00000000-0004-0000-0000-0000D51D0000}"/>
    <hyperlink ref="B7520" r:id="rId7639" xr:uid="{00000000-0004-0000-0000-0000D61D0000}"/>
    <hyperlink ref="B7521" r:id="rId7640" xr:uid="{00000000-0004-0000-0000-0000D71D0000}"/>
    <hyperlink ref="B7522" r:id="rId7641" xr:uid="{00000000-0004-0000-0000-0000D81D0000}"/>
    <hyperlink ref="B7523" r:id="rId7642" xr:uid="{00000000-0004-0000-0000-0000D91D0000}"/>
    <hyperlink ref="B7524" r:id="rId7643" xr:uid="{00000000-0004-0000-0000-0000DA1D0000}"/>
    <hyperlink ref="B7525" r:id="rId7644" xr:uid="{00000000-0004-0000-0000-0000DB1D0000}"/>
    <hyperlink ref="B7526" r:id="rId7645" xr:uid="{00000000-0004-0000-0000-0000DC1D0000}"/>
    <hyperlink ref="B7527" r:id="rId7646" xr:uid="{00000000-0004-0000-0000-0000DD1D0000}"/>
    <hyperlink ref="B7528" r:id="rId7647" xr:uid="{00000000-0004-0000-0000-0000DE1D0000}"/>
    <hyperlink ref="B7529" r:id="rId7648" xr:uid="{00000000-0004-0000-0000-0000DF1D0000}"/>
    <hyperlink ref="B7530" r:id="rId7649" xr:uid="{00000000-0004-0000-0000-0000E01D0000}"/>
    <hyperlink ref="B7531" r:id="rId7650" xr:uid="{00000000-0004-0000-0000-0000E11D0000}"/>
    <hyperlink ref="B7532" r:id="rId7651" xr:uid="{00000000-0004-0000-0000-0000E21D0000}"/>
    <hyperlink ref="B7533" r:id="rId7652" xr:uid="{00000000-0004-0000-0000-0000E31D0000}"/>
    <hyperlink ref="B7534" r:id="rId7653" xr:uid="{00000000-0004-0000-0000-0000E41D0000}"/>
    <hyperlink ref="B7535" r:id="rId7654" xr:uid="{00000000-0004-0000-0000-0000E51D0000}"/>
    <hyperlink ref="B7536" r:id="rId7655" xr:uid="{00000000-0004-0000-0000-0000E61D0000}"/>
    <hyperlink ref="B7537" r:id="rId7656" xr:uid="{00000000-0004-0000-0000-0000E71D0000}"/>
    <hyperlink ref="B7538" r:id="rId7657" xr:uid="{00000000-0004-0000-0000-0000E81D0000}"/>
    <hyperlink ref="B7539" r:id="rId7658" xr:uid="{00000000-0004-0000-0000-0000E91D0000}"/>
    <hyperlink ref="B7540" r:id="rId7659" xr:uid="{00000000-0004-0000-0000-0000EA1D0000}"/>
    <hyperlink ref="B7541" r:id="rId7660" xr:uid="{00000000-0004-0000-0000-0000EB1D0000}"/>
    <hyperlink ref="B7542" r:id="rId7661" xr:uid="{00000000-0004-0000-0000-0000EC1D0000}"/>
    <hyperlink ref="B7543" r:id="rId7662" xr:uid="{00000000-0004-0000-0000-0000ED1D0000}"/>
    <hyperlink ref="B7544" r:id="rId7663" xr:uid="{00000000-0004-0000-0000-0000EE1D0000}"/>
    <hyperlink ref="B7545" r:id="rId7664" xr:uid="{00000000-0004-0000-0000-0000EF1D0000}"/>
    <hyperlink ref="B7546" r:id="rId7665" xr:uid="{00000000-0004-0000-0000-0000F01D0000}"/>
    <hyperlink ref="B7547" r:id="rId7666" xr:uid="{00000000-0004-0000-0000-0000F11D0000}"/>
    <hyperlink ref="B7548" r:id="rId7667" xr:uid="{00000000-0004-0000-0000-0000F21D0000}"/>
    <hyperlink ref="B7549" r:id="rId7668" xr:uid="{00000000-0004-0000-0000-0000F31D0000}"/>
    <hyperlink ref="B7550" r:id="rId7669" xr:uid="{00000000-0004-0000-0000-0000F41D0000}"/>
    <hyperlink ref="B7551" r:id="rId7670" xr:uid="{00000000-0004-0000-0000-0000F51D0000}"/>
    <hyperlink ref="B7552" r:id="rId7671" xr:uid="{00000000-0004-0000-0000-0000F61D0000}"/>
    <hyperlink ref="B7553" r:id="rId7672" xr:uid="{00000000-0004-0000-0000-0000F71D0000}"/>
    <hyperlink ref="B7554" r:id="rId7673" xr:uid="{00000000-0004-0000-0000-0000F81D0000}"/>
    <hyperlink ref="B7555" r:id="rId7674" xr:uid="{00000000-0004-0000-0000-0000F91D0000}"/>
    <hyperlink ref="B7556" r:id="rId7675" xr:uid="{00000000-0004-0000-0000-0000FA1D0000}"/>
    <hyperlink ref="B7557" r:id="rId7676" xr:uid="{00000000-0004-0000-0000-0000FB1D0000}"/>
    <hyperlink ref="B7558" r:id="rId7677" xr:uid="{00000000-0004-0000-0000-0000FC1D0000}"/>
    <hyperlink ref="B7559" r:id="rId7678" xr:uid="{00000000-0004-0000-0000-0000FD1D0000}"/>
    <hyperlink ref="B7560" r:id="rId7679" xr:uid="{00000000-0004-0000-0000-0000FE1D0000}"/>
    <hyperlink ref="B7561" r:id="rId7680" xr:uid="{00000000-0004-0000-0000-0000FF1D0000}"/>
    <hyperlink ref="B7562" r:id="rId7681" xr:uid="{00000000-0004-0000-0000-0000001E0000}"/>
    <hyperlink ref="B7563" r:id="rId7682" xr:uid="{00000000-0004-0000-0000-0000011E0000}"/>
    <hyperlink ref="B7564" r:id="rId7683" xr:uid="{00000000-0004-0000-0000-0000021E0000}"/>
    <hyperlink ref="B7565" r:id="rId7684" xr:uid="{00000000-0004-0000-0000-0000031E0000}"/>
    <hyperlink ref="B7566" r:id="rId7685" xr:uid="{00000000-0004-0000-0000-0000041E0000}"/>
    <hyperlink ref="B7567" r:id="rId7686" xr:uid="{00000000-0004-0000-0000-0000051E0000}"/>
    <hyperlink ref="B7568" r:id="rId7687" xr:uid="{00000000-0004-0000-0000-0000061E0000}"/>
    <hyperlink ref="B7569" r:id="rId7688" xr:uid="{00000000-0004-0000-0000-0000071E0000}"/>
    <hyperlink ref="B7570" r:id="rId7689" xr:uid="{00000000-0004-0000-0000-0000081E0000}"/>
    <hyperlink ref="B7571" r:id="rId7690" xr:uid="{00000000-0004-0000-0000-0000091E0000}"/>
    <hyperlink ref="B7572" r:id="rId7691" xr:uid="{00000000-0004-0000-0000-00000A1E0000}"/>
    <hyperlink ref="B7573" r:id="rId7692" xr:uid="{00000000-0004-0000-0000-00000B1E0000}"/>
    <hyperlink ref="B7574" r:id="rId7693" xr:uid="{00000000-0004-0000-0000-00000C1E0000}"/>
    <hyperlink ref="B7575" r:id="rId7694" xr:uid="{00000000-0004-0000-0000-00000D1E0000}"/>
    <hyperlink ref="B7576" r:id="rId7695" xr:uid="{00000000-0004-0000-0000-00000E1E0000}"/>
    <hyperlink ref="B7577" r:id="rId7696" xr:uid="{00000000-0004-0000-0000-00000F1E0000}"/>
    <hyperlink ref="B7578" r:id="rId7697" xr:uid="{00000000-0004-0000-0000-0000101E0000}"/>
    <hyperlink ref="B7579" r:id="rId7698" xr:uid="{00000000-0004-0000-0000-0000111E0000}"/>
    <hyperlink ref="B7580" r:id="rId7699" xr:uid="{00000000-0004-0000-0000-0000121E0000}"/>
    <hyperlink ref="B7581" r:id="rId7700" xr:uid="{00000000-0004-0000-0000-0000131E0000}"/>
    <hyperlink ref="B7582" r:id="rId7701" xr:uid="{00000000-0004-0000-0000-0000141E0000}"/>
    <hyperlink ref="B7583" r:id="rId7702" xr:uid="{00000000-0004-0000-0000-0000151E0000}"/>
    <hyperlink ref="B7584" r:id="rId7703" xr:uid="{00000000-0004-0000-0000-0000161E0000}"/>
    <hyperlink ref="B7585" r:id="rId7704" xr:uid="{00000000-0004-0000-0000-0000171E0000}"/>
    <hyperlink ref="B7586" r:id="rId7705" xr:uid="{00000000-0004-0000-0000-0000181E0000}"/>
    <hyperlink ref="B7587" r:id="rId7706" xr:uid="{00000000-0004-0000-0000-0000191E0000}"/>
    <hyperlink ref="B7588" r:id="rId7707" xr:uid="{00000000-0004-0000-0000-00001A1E0000}"/>
    <hyperlink ref="B7589" r:id="rId7708" xr:uid="{00000000-0004-0000-0000-00001B1E0000}"/>
    <hyperlink ref="B7590" r:id="rId7709" xr:uid="{00000000-0004-0000-0000-00001C1E0000}"/>
    <hyperlink ref="B7591" r:id="rId7710" xr:uid="{00000000-0004-0000-0000-00001D1E0000}"/>
    <hyperlink ref="B7592" r:id="rId7711" xr:uid="{00000000-0004-0000-0000-00001E1E0000}"/>
    <hyperlink ref="B7593" r:id="rId7712" xr:uid="{00000000-0004-0000-0000-00001F1E0000}"/>
    <hyperlink ref="B7594" r:id="rId7713" xr:uid="{00000000-0004-0000-0000-0000201E0000}"/>
    <hyperlink ref="B7595" r:id="rId7714" xr:uid="{00000000-0004-0000-0000-0000211E0000}"/>
    <hyperlink ref="B7596" r:id="rId7715" xr:uid="{00000000-0004-0000-0000-0000221E0000}"/>
    <hyperlink ref="B7597" r:id="rId7716" xr:uid="{00000000-0004-0000-0000-0000231E0000}"/>
    <hyperlink ref="B7598" r:id="rId7717" xr:uid="{00000000-0004-0000-0000-0000241E0000}"/>
    <hyperlink ref="B7599" r:id="rId7718" xr:uid="{00000000-0004-0000-0000-0000251E0000}"/>
    <hyperlink ref="B7600" r:id="rId7719" xr:uid="{00000000-0004-0000-0000-0000261E0000}"/>
    <hyperlink ref="B7601" r:id="rId7720" xr:uid="{00000000-0004-0000-0000-0000271E0000}"/>
    <hyperlink ref="B7602" r:id="rId7721" xr:uid="{00000000-0004-0000-0000-0000281E0000}"/>
    <hyperlink ref="B7603" r:id="rId7722" xr:uid="{00000000-0004-0000-0000-0000291E0000}"/>
    <hyperlink ref="B7604" r:id="rId7723" xr:uid="{00000000-0004-0000-0000-00002A1E0000}"/>
    <hyperlink ref="B7605" r:id="rId7724" xr:uid="{00000000-0004-0000-0000-00002B1E0000}"/>
    <hyperlink ref="B7606" r:id="rId7725" xr:uid="{00000000-0004-0000-0000-00002C1E0000}"/>
    <hyperlink ref="B7607" r:id="rId7726" xr:uid="{00000000-0004-0000-0000-00002D1E0000}"/>
    <hyperlink ref="B7608" r:id="rId7727" xr:uid="{00000000-0004-0000-0000-00002E1E0000}"/>
    <hyperlink ref="B7609" r:id="rId7728" xr:uid="{00000000-0004-0000-0000-00002F1E0000}"/>
    <hyperlink ref="B7610" r:id="rId7729" xr:uid="{00000000-0004-0000-0000-0000301E0000}"/>
    <hyperlink ref="B7611" r:id="rId7730" xr:uid="{00000000-0004-0000-0000-0000311E0000}"/>
    <hyperlink ref="B7612" r:id="rId7731" xr:uid="{00000000-0004-0000-0000-0000321E0000}"/>
    <hyperlink ref="B7613" r:id="rId7732" xr:uid="{00000000-0004-0000-0000-0000331E0000}"/>
    <hyperlink ref="B7614" r:id="rId7733" xr:uid="{00000000-0004-0000-0000-0000341E0000}"/>
    <hyperlink ref="B7615" r:id="rId7734" xr:uid="{00000000-0004-0000-0000-0000351E0000}"/>
    <hyperlink ref="B7616" r:id="rId7735" xr:uid="{00000000-0004-0000-0000-0000361E0000}"/>
    <hyperlink ref="B7617" r:id="rId7736" xr:uid="{00000000-0004-0000-0000-0000371E0000}"/>
    <hyperlink ref="B7618" r:id="rId7737" xr:uid="{00000000-0004-0000-0000-0000381E0000}"/>
    <hyperlink ref="B7619" r:id="rId7738" xr:uid="{00000000-0004-0000-0000-0000391E0000}"/>
    <hyperlink ref="B7620" r:id="rId7739" xr:uid="{00000000-0004-0000-0000-00003A1E0000}"/>
    <hyperlink ref="B7621" r:id="rId7740" xr:uid="{00000000-0004-0000-0000-00003B1E0000}"/>
    <hyperlink ref="B7622" r:id="rId7741" xr:uid="{00000000-0004-0000-0000-00003C1E0000}"/>
    <hyperlink ref="B7623" r:id="rId7742" xr:uid="{00000000-0004-0000-0000-00003D1E0000}"/>
    <hyperlink ref="B7624" r:id="rId7743" xr:uid="{00000000-0004-0000-0000-00003E1E0000}"/>
    <hyperlink ref="B7625" r:id="rId7744" xr:uid="{00000000-0004-0000-0000-00003F1E0000}"/>
    <hyperlink ref="B7626" r:id="rId7745" xr:uid="{00000000-0004-0000-0000-0000401E0000}"/>
    <hyperlink ref="B7627" r:id="rId7746" xr:uid="{00000000-0004-0000-0000-0000411E0000}"/>
    <hyperlink ref="B7628" r:id="rId7747" xr:uid="{00000000-0004-0000-0000-0000421E0000}"/>
    <hyperlink ref="B7629" r:id="rId7748" xr:uid="{00000000-0004-0000-0000-0000431E0000}"/>
    <hyperlink ref="B7630" r:id="rId7749" xr:uid="{00000000-0004-0000-0000-0000441E0000}"/>
    <hyperlink ref="B7631" r:id="rId7750" xr:uid="{00000000-0004-0000-0000-0000451E0000}"/>
    <hyperlink ref="B7632" r:id="rId7751" xr:uid="{00000000-0004-0000-0000-0000461E0000}"/>
    <hyperlink ref="B7633" r:id="rId7752" xr:uid="{00000000-0004-0000-0000-0000471E0000}"/>
    <hyperlink ref="B7634" r:id="rId7753" xr:uid="{00000000-0004-0000-0000-0000481E0000}"/>
    <hyperlink ref="B7635" r:id="rId7754" xr:uid="{00000000-0004-0000-0000-0000491E0000}"/>
    <hyperlink ref="B7636" r:id="rId7755" xr:uid="{00000000-0004-0000-0000-00004A1E0000}"/>
    <hyperlink ref="B7637" r:id="rId7756" xr:uid="{00000000-0004-0000-0000-00004B1E0000}"/>
    <hyperlink ref="B7638" r:id="rId7757" xr:uid="{00000000-0004-0000-0000-00004C1E0000}"/>
    <hyperlink ref="B7639" r:id="rId7758" xr:uid="{00000000-0004-0000-0000-00004D1E0000}"/>
    <hyperlink ref="B7640" r:id="rId7759" xr:uid="{00000000-0004-0000-0000-00004E1E0000}"/>
    <hyperlink ref="B7641" r:id="rId7760" xr:uid="{00000000-0004-0000-0000-00004F1E0000}"/>
    <hyperlink ref="B7642" r:id="rId7761" xr:uid="{00000000-0004-0000-0000-0000501E0000}"/>
    <hyperlink ref="B7643" r:id="rId7762" xr:uid="{00000000-0004-0000-0000-0000511E0000}"/>
    <hyperlink ref="B7644" r:id="rId7763" xr:uid="{00000000-0004-0000-0000-0000521E0000}"/>
    <hyperlink ref="B7645" r:id="rId7764" xr:uid="{00000000-0004-0000-0000-0000531E0000}"/>
    <hyperlink ref="B7646" r:id="rId7765" xr:uid="{00000000-0004-0000-0000-0000541E0000}"/>
    <hyperlink ref="B7647" r:id="rId7766" xr:uid="{00000000-0004-0000-0000-0000551E0000}"/>
    <hyperlink ref="B7648" r:id="rId7767" xr:uid="{00000000-0004-0000-0000-0000561E0000}"/>
    <hyperlink ref="B7649" r:id="rId7768" xr:uid="{00000000-0004-0000-0000-0000571E0000}"/>
    <hyperlink ref="B7650" r:id="rId7769" xr:uid="{00000000-0004-0000-0000-0000581E0000}"/>
    <hyperlink ref="B7651" r:id="rId7770" xr:uid="{00000000-0004-0000-0000-0000591E0000}"/>
    <hyperlink ref="B7652" r:id="rId7771" xr:uid="{00000000-0004-0000-0000-00005A1E0000}"/>
    <hyperlink ref="B7653" r:id="rId7772" xr:uid="{00000000-0004-0000-0000-00005B1E0000}"/>
    <hyperlink ref="B7654" r:id="rId7773" xr:uid="{00000000-0004-0000-0000-00005C1E0000}"/>
    <hyperlink ref="B7655" r:id="rId7774" xr:uid="{00000000-0004-0000-0000-00005D1E0000}"/>
    <hyperlink ref="B7656" r:id="rId7775" xr:uid="{00000000-0004-0000-0000-00005E1E0000}"/>
    <hyperlink ref="B7657" r:id="rId7776" xr:uid="{00000000-0004-0000-0000-00005F1E0000}"/>
    <hyperlink ref="B7658" r:id="rId7777" xr:uid="{00000000-0004-0000-0000-0000601E0000}"/>
    <hyperlink ref="B7659" r:id="rId7778" xr:uid="{00000000-0004-0000-0000-0000611E0000}"/>
    <hyperlink ref="B7660" r:id="rId7779" xr:uid="{00000000-0004-0000-0000-0000621E0000}"/>
    <hyperlink ref="B7661" r:id="rId7780" xr:uid="{00000000-0004-0000-0000-0000631E0000}"/>
    <hyperlink ref="B7662" r:id="rId7781" xr:uid="{00000000-0004-0000-0000-0000641E0000}"/>
    <hyperlink ref="B7663" r:id="rId7782" xr:uid="{00000000-0004-0000-0000-0000651E0000}"/>
    <hyperlink ref="B7664" r:id="rId7783" xr:uid="{00000000-0004-0000-0000-0000661E0000}"/>
    <hyperlink ref="B7665" r:id="rId7784" xr:uid="{00000000-0004-0000-0000-0000671E0000}"/>
    <hyperlink ref="B7666" r:id="rId7785" xr:uid="{00000000-0004-0000-0000-0000681E0000}"/>
    <hyperlink ref="B7667" r:id="rId7786" xr:uid="{00000000-0004-0000-0000-0000691E0000}"/>
    <hyperlink ref="B7668" r:id="rId7787" xr:uid="{00000000-0004-0000-0000-00006A1E0000}"/>
    <hyperlink ref="B7669" r:id="rId7788" xr:uid="{00000000-0004-0000-0000-00006B1E0000}"/>
    <hyperlink ref="B7670" r:id="rId7789" xr:uid="{00000000-0004-0000-0000-00006C1E0000}"/>
    <hyperlink ref="B7671" r:id="rId7790" xr:uid="{00000000-0004-0000-0000-00006D1E0000}"/>
    <hyperlink ref="B7672" r:id="rId7791" xr:uid="{00000000-0004-0000-0000-00006E1E0000}"/>
    <hyperlink ref="B7673" r:id="rId7792" xr:uid="{00000000-0004-0000-0000-00006F1E0000}"/>
    <hyperlink ref="B7674" r:id="rId7793" xr:uid="{00000000-0004-0000-0000-0000701E0000}"/>
    <hyperlink ref="B7675" r:id="rId7794" xr:uid="{00000000-0004-0000-0000-0000711E0000}"/>
    <hyperlink ref="B7676" r:id="rId7795" xr:uid="{00000000-0004-0000-0000-0000721E0000}"/>
    <hyperlink ref="B7677" r:id="rId7796" xr:uid="{00000000-0004-0000-0000-0000731E0000}"/>
    <hyperlink ref="B7678" r:id="rId7797" xr:uid="{00000000-0004-0000-0000-0000741E0000}"/>
    <hyperlink ref="B7679" r:id="rId7798" xr:uid="{00000000-0004-0000-0000-0000751E0000}"/>
    <hyperlink ref="B7680" r:id="rId7799" xr:uid="{00000000-0004-0000-0000-0000761E0000}"/>
    <hyperlink ref="B7681" r:id="rId7800" xr:uid="{00000000-0004-0000-0000-0000771E0000}"/>
    <hyperlink ref="B7682" r:id="rId7801" xr:uid="{00000000-0004-0000-0000-0000781E0000}"/>
    <hyperlink ref="B7683" r:id="rId7802" xr:uid="{00000000-0004-0000-0000-0000791E0000}"/>
    <hyperlink ref="B7684" r:id="rId7803" xr:uid="{00000000-0004-0000-0000-00007A1E0000}"/>
    <hyperlink ref="B7685" r:id="rId7804" xr:uid="{00000000-0004-0000-0000-00007B1E0000}"/>
    <hyperlink ref="B7686" r:id="rId7805" xr:uid="{00000000-0004-0000-0000-00007C1E0000}"/>
    <hyperlink ref="B7687" r:id="rId7806" xr:uid="{00000000-0004-0000-0000-00007D1E0000}"/>
    <hyperlink ref="B7688" r:id="rId7807" xr:uid="{00000000-0004-0000-0000-00007E1E0000}"/>
    <hyperlink ref="B7689" r:id="rId7808" xr:uid="{00000000-0004-0000-0000-00007F1E0000}"/>
    <hyperlink ref="B7690" r:id="rId7809" xr:uid="{00000000-0004-0000-0000-0000801E0000}"/>
    <hyperlink ref="B7691" r:id="rId7810" xr:uid="{00000000-0004-0000-0000-0000811E0000}"/>
    <hyperlink ref="B7692" r:id="rId7811" xr:uid="{00000000-0004-0000-0000-0000821E0000}"/>
    <hyperlink ref="B7693" r:id="rId7812" xr:uid="{00000000-0004-0000-0000-0000831E0000}"/>
    <hyperlink ref="B7694" r:id="rId7813" xr:uid="{00000000-0004-0000-0000-0000841E0000}"/>
    <hyperlink ref="B7695" r:id="rId7814" xr:uid="{00000000-0004-0000-0000-0000851E0000}"/>
    <hyperlink ref="B7696" r:id="rId7815" xr:uid="{00000000-0004-0000-0000-0000861E0000}"/>
    <hyperlink ref="B7697" r:id="rId7816" xr:uid="{00000000-0004-0000-0000-0000871E0000}"/>
    <hyperlink ref="B7698" r:id="rId7817" xr:uid="{00000000-0004-0000-0000-0000881E0000}"/>
    <hyperlink ref="B7699" r:id="rId7818" xr:uid="{00000000-0004-0000-0000-0000891E0000}"/>
    <hyperlink ref="B7700" r:id="rId7819" xr:uid="{00000000-0004-0000-0000-00008A1E0000}"/>
    <hyperlink ref="B7701" r:id="rId7820" xr:uid="{00000000-0004-0000-0000-00008B1E0000}"/>
    <hyperlink ref="B7702" r:id="rId7821" xr:uid="{00000000-0004-0000-0000-00008C1E0000}"/>
    <hyperlink ref="B7703" r:id="rId7822" xr:uid="{00000000-0004-0000-0000-00008D1E0000}"/>
    <hyperlink ref="B7704" r:id="rId7823" xr:uid="{00000000-0004-0000-0000-00008E1E0000}"/>
    <hyperlink ref="B7705" r:id="rId7824" xr:uid="{00000000-0004-0000-0000-00008F1E0000}"/>
    <hyperlink ref="B7706" r:id="rId7825" xr:uid="{00000000-0004-0000-0000-0000901E0000}"/>
    <hyperlink ref="B7707" r:id="rId7826" xr:uid="{00000000-0004-0000-0000-0000911E0000}"/>
    <hyperlink ref="B7708" r:id="rId7827" xr:uid="{00000000-0004-0000-0000-0000921E0000}"/>
    <hyperlink ref="B7709" r:id="rId7828" xr:uid="{00000000-0004-0000-0000-0000931E0000}"/>
    <hyperlink ref="B7710" r:id="rId7829" xr:uid="{00000000-0004-0000-0000-0000941E0000}"/>
    <hyperlink ref="B7711" r:id="rId7830" xr:uid="{00000000-0004-0000-0000-0000951E0000}"/>
    <hyperlink ref="B7712" r:id="rId7831" xr:uid="{00000000-0004-0000-0000-0000961E0000}"/>
    <hyperlink ref="B7713" r:id="rId7832" xr:uid="{00000000-0004-0000-0000-0000971E0000}"/>
    <hyperlink ref="B7714" r:id="rId7833" xr:uid="{00000000-0004-0000-0000-0000981E0000}"/>
    <hyperlink ref="B7715" r:id="rId7834" xr:uid="{00000000-0004-0000-0000-0000991E0000}"/>
    <hyperlink ref="B7716" r:id="rId7835" xr:uid="{00000000-0004-0000-0000-00009A1E0000}"/>
    <hyperlink ref="B7717" r:id="rId7836" xr:uid="{00000000-0004-0000-0000-00009B1E0000}"/>
    <hyperlink ref="B7718" r:id="rId7837" xr:uid="{00000000-0004-0000-0000-00009C1E0000}"/>
    <hyperlink ref="B7719" r:id="rId7838" xr:uid="{00000000-0004-0000-0000-00009D1E0000}"/>
    <hyperlink ref="B7720" r:id="rId7839" xr:uid="{00000000-0004-0000-0000-00009E1E0000}"/>
    <hyperlink ref="B7721" r:id="rId7840" xr:uid="{00000000-0004-0000-0000-00009F1E0000}"/>
    <hyperlink ref="B7722" r:id="rId7841" xr:uid="{00000000-0004-0000-0000-0000A01E0000}"/>
    <hyperlink ref="B7723" r:id="rId7842" xr:uid="{00000000-0004-0000-0000-0000A11E0000}"/>
    <hyperlink ref="B7724" r:id="rId7843" xr:uid="{00000000-0004-0000-0000-0000A21E0000}"/>
    <hyperlink ref="B7725" r:id="rId7844" xr:uid="{00000000-0004-0000-0000-0000A31E0000}"/>
    <hyperlink ref="B7726" r:id="rId7845" xr:uid="{00000000-0004-0000-0000-0000A41E0000}"/>
    <hyperlink ref="B7727" r:id="rId7846" xr:uid="{00000000-0004-0000-0000-0000A51E0000}"/>
    <hyperlink ref="B7728" r:id="rId7847" xr:uid="{00000000-0004-0000-0000-0000A61E0000}"/>
    <hyperlink ref="B7729" r:id="rId7848" xr:uid="{00000000-0004-0000-0000-0000A71E0000}"/>
    <hyperlink ref="B7730" r:id="rId7849" xr:uid="{00000000-0004-0000-0000-0000A81E0000}"/>
    <hyperlink ref="B7731" r:id="rId7850" xr:uid="{00000000-0004-0000-0000-0000A91E0000}"/>
    <hyperlink ref="B7732" r:id="rId7851" xr:uid="{00000000-0004-0000-0000-0000AA1E0000}"/>
    <hyperlink ref="B7733" r:id="rId7852" xr:uid="{00000000-0004-0000-0000-0000AB1E0000}"/>
    <hyperlink ref="B7734" r:id="rId7853" xr:uid="{00000000-0004-0000-0000-0000AC1E0000}"/>
    <hyperlink ref="B7735" r:id="rId7854" xr:uid="{00000000-0004-0000-0000-0000AD1E0000}"/>
    <hyperlink ref="B7736" r:id="rId7855" xr:uid="{00000000-0004-0000-0000-0000AE1E0000}"/>
    <hyperlink ref="B7737" r:id="rId7856" xr:uid="{00000000-0004-0000-0000-0000AF1E0000}"/>
    <hyperlink ref="B7738" r:id="rId7857" xr:uid="{00000000-0004-0000-0000-0000B01E0000}"/>
    <hyperlink ref="B7739" r:id="rId7858" xr:uid="{00000000-0004-0000-0000-0000B11E0000}"/>
    <hyperlink ref="B7740" r:id="rId7859" xr:uid="{00000000-0004-0000-0000-0000B21E0000}"/>
    <hyperlink ref="B7741" r:id="rId7860" xr:uid="{00000000-0004-0000-0000-0000B31E0000}"/>
    <hyperlink ref="B7742" r:id="rId7861" xr:uid="{00000000-0004-0000-0000-0000B41E0000}"/>
    <hyperlink ref="B7743" r:id="rId7862" xr:uid="{00000000-0004-0000-0000-0000B51E0000}"/>
    <hyperlink ref="B7744" r:id="rId7863" xr:uid="{00000000-0004-0000-0000-0000B61E0000}"/>
    <hyperlink ref="B7745" r:id="rId7864" xr:uid="{00000000-0004-0000-0000-0000B71E0000}"/>
    <hyperlink ref="B7746" r:id="rId7865" xr:uid="{00000000-0004-0000-0000-0000B81E0000}"/>
    <hyperlink ref="B7747" r:id="rId7866" xr:uid="{00000000-0004-0000-0000-0000B91E0000}"/>
    <hyperlink ref="B7748" r:id="rId7867" xr:uid="{00000000-0004-0000-0000-0000BA1E0000}"/>
    <hyperlink ref="B7749" r:id="rId7868" xr:uid="{00000000-0004-0000-0000-0000BB1E0000}"/>
    <hyperlink ref="B7750" r:id="rId7869" xr:uid="{00000000-0004-0000-0000-0000BC1E0000}"/>
    <hyperlink ref="B7751" r:id="rId7870" xr:uid="{00000000-0004-0000-0000-0000BD1E0000}"/>
    <hyperlink ref="B7752" r:id="rId7871" xr:uid="{00000000-0004-0000-0000-0000BE1E0000}"/>
    <hyperlink ref="B7753" r:id="rId7872" xr:uid="{00000000-0004-0000-0000-0000BF1E0000}"/>
    <hyperlink ref="B7754" r:id="rId7873" xr:uid="{00000000-0004-0000-0000-0000C01E0000}"/>
    <hyperlink ref="B7755" r:id="rId7874" xr:uid="{00000000-0004-0000-0000-0000C11E0000}"/>
    <hyperlink ref="B7756" r:id="rId7875" xr:uid="{00000000-0004-0000-0000-0000C21E0000}"/>
    <hyperlink ref="B7757" r:id="rId7876" xr:uid="{00000000-0004-0000-0000-0000C31E0000}"/>
    <hyperlink ref="B7758" r:id="rId7877" xr:uid="{00000000-0004-0000-0000-0000C41E0000}"/>
    <hyperlink ref="B7759" r:id="rId7878" xr:uid="{00000000-0004-0000-0000-0000C51E0000}"/>
    <hyperlink ref="B7760" r:id="rId7879" xr:uid="{00000000-0004-0000-0000-0000C61E0000}"/>
    <hyperlink ref="B7761" r:id="rId7880" xr:uid="{00000000-0004-0000-0000-0000C71E0000}"/>
    <hyperlink ref="B7762" r:id="rId7881" xr:uid="{00000000-0004-0000-0000-0000C81E0000}"/>
    <hyperlink ref="B7763" r:id="rId7882" xr:uid="{00000000-0004-0000-0000-0000C91E0000}"/>
    <hyperlink ref="B7764" r:id="rId7883" xr:uid="{00000000-0004-0000-0000-0000CA1E0000}"/>
    <hyperlink ref="B7765" r:id="rId7884" xr:uid="{00000000-0004-0000-0000-0000CB1E0000}"/>
    <hyperlink ref="B7766" r:id="rId7885" xr:uid="{00000000-0004-0000-0000-0000CC1E0000}"/>
    <hyperlink ref="B7767" r:id="rId7886" xr:uid="{00000000-0004-0000-0000-0000CD1E0000}"/>
    <hyperlink ref="B7768" r:id="rId7887" xr:uid="{00000000-0004-0000-0000-0000CE1E0000}"/>
    <hyperlink ref="B7769" r:id="rId7888" xr:uid="{00000000-0004-0000-0000-0000CF1E0000}"/>
    <hyperlink ref="B7770" r:id="rId7889" xr:uid="{00000000-0004-0000-0000-0000D01E0000}"/>
    <hyperlink ref="B7771" r:id="rId7890" xr:uid="{00000000-0004-0000-0000-0000D11E0000}"/>
    <hyperlink ref="B7772" r:id="rId7891" xr:uid="{00000000-0004-0000-0000-0000D21E0000}"/>
    <hyperlink ref="B7773" r:id="rId7892" xr:uid="{00000000-0004-0000-0000-0000D31E0000}"/>
    <hyperlink ref="B7774" r:id="rId7893" xr:uid="{00000000-0004-0000-0000-0000D41E0000}"/>
    <hyperlink ref="B7775" r:id="rId7894" xr:uid="{00000000-0004-0000-0000-0000D51E0000}"/>
    <hyperlink ref="B7776" r:id="rId7895" xr:uid="{00000000-0004-0000-0000-0000D61E0000}"/>
    <hyperlink ref="B7777" r:id="rId7896" xr:uid="{00000000-0004-0000-0000-0000D71E0000}"/>
    <hyperlink ref="B7778" r:id="rId7897" xr:uid="{00000000-0004-0000-0000-0000D81E0000}"/>
    <hyperlink ref="B7779" r:id="rId7898" xr:uid="{00000000-0004-0000-0000-0000D91E0000}"/>
    <hyperlink ref="B7780" r:id="rId7899" xr:uid="{00000000-0004-0000-0000-0000DA1E0000}"/>
    <hyperlink ref="B7781" r:id="rId7900" xr:uid="{00000000-0004-0000-0000-0000DB1E0000}"/>
    <hyperlink ref="B7782" r:id="rId7901" xr:uid="{00000000-0004-0000-0000-0000DC1E0000}"/>
    <hyperlink ref="B7783" r:id="rId7902" xr:uid="{00000000-0004-0000-0000-0000DD1E0000}"/>
    <hyperlink ref="B7784" r:id="rId7903" xr:uid="{00000000-0004-0000-0000-0000DE1E0000}"/>
    <hyperlink ref="B7785" r:id="rId7904" xr:uid="{00000000-0004-0000-0000-0000DF1E0000}"/>
    <hyperlink ref="B7786" r:id="rId7905" xr:uid="{00000000-0004-0000-0000-0000E01E0000}"/>
    <hyperlink ref="B7787" r:id="rId7906" xr:uid="{00000000-0004-0000-0000-0000E11E0000}"/>
    <hyperlink ref="B7788" r:id="rId7907" xr:uid="{00000000-0004-0000-0000-0000E21E0000}"/>
    <hyperlink ref="B7789" r:id="rId7908" xr:uid="{00000000-0004-0000-0000-0000E31E0000}"/>
    <hyperlink ref="B7790" r:id="rId7909" xr:uid="{00000000-0004-0000-0000-0000E41E0000}"/>
    <hyperlink ref="B7791" r:id="rId7910" xr:uid="{00000000-0004-0000-0000-0000E51E0000}"/>
    <hyperlink ref="B7792" r:id="rId7911" xr:uid="{00000000-0004-0000-0000-0000E61E0000}"/>
    <hyperlink ref="B7793" r:id="rId7912" xr:uid="{00000000-0004-0000-0000-0000E71E0000}"/>
    <hyperlink ref="B7794" r:id="rId7913" xr:uid="{00000000-0004-0000-0000-0000E81E0000}"/>
    <hyperlink ref="B7795" r:id="rId7914" xr:uid="{00000000-0004-0000-0000-0000E91E0000}"/>
    <hyperlink ref="B7796" r:id="rId7915" xr:uid="{00000000-0004-0000-0000-0000EA1E0000}"/>
    <hyperlink ref="B7797" r:id="rId7916" xr:uid="{00000000-0004-0000-0000-0000EB1E0000}"/>
    <hyperlink ref="B7798" r:id="rId7917" xr:uid="{00000000-0004-0000-0000-0000EC1E0000}"/>
    <hyperlink ref="B7799" r:id="rId7918" xr:uid="{00000000-0004-0000-0000-0000ED1E0000}"/>
    <hyperlink ref="B7800" r:id="rId7919" xr:uid="{00000000-0004-0000-0000-0000EE1E0000}"/>
    <hyperlink ref="B7801" r:id="rId7920" xr:uid="{00000000-0004-0000-0000-0000EF1E0000}"/>
    <hyperlink ref="B7802" r:id="rId7921" xr:uid="{00000000-0004-0000-0000-0000F01E0000}"/>
    <hyperlink ref="B7803" r:id="rId7922" xr:uid="{00000000-0004-0000-0000-0000F11E0000}"/>
    <hyperlink ref="B7804" r:id="rId7923" xr:uid="{00000000-0004-0000-0000-0000F21E0000}"/>
    <hyperlink ref="B7805" r:id="rId7924" xr:uid="{00000000-0004-0000-0000-0000F31E0000}"/>
    <hyperlink ref="B7806" r:id="rId7925" xr:uid="{00000000-0004-0000-0000-0000F41E0000}"/>
    <hyperlink ref="B7807" r:id="rId7926" xr:uid="{00000000-0004-0000-0000-0000F51E0000}"/>
    <hyperlink ref="B7808" r:id="rId7927" xr:uid="{00000000-0004-0000-0000-0000F61E0000}"/>
    <hyperlink ref="B7809" r:id="rId7928" xr:uid="{00000000-0004-0000-0000-0000F71E0000}"/>
    <hyperlink ref="B7810" r:id="rId7929" xr:uid="{00000000-0004-0000-0000-0000F81E0000}"/>
    <hyperlink ref="B7811" r:id="rId7930" xr:uid="{00000000-0004-0000-0000-0000F91E0000}"/>
    <hyperlink ref="B7812" r:id="rId7931" xr:uid="{00000000-0004-0000-0000-0000FA1E0000}"/>
    <hyperlink ref="B7813" r:id="rId7932" xr:uid="{00000000-0004-0000-0000-0000FB1E0000}"/>
    <hyperlink ref="B7814" r:id="rId7933" xr:uid="{00000000-0004-0000-0000-0000FC1E0000}"/>
    <hyperlink ref="B7815" r:id="rId7934" xr:uid="{00000000-0004-0000-0000-0000FD1E0000}"/>
    <hyperlink ref="B7816" r:id="rId7935" xr:uid="{00000000-0004-0000-0000-0000FE1E0000}"/>
    <hyperlink ref="B7817" r:id="rId7936" xr:uid="{00000000-0004-0000-0000-0000FF1E0000}"/>
    <hyperlink ref="B7818" r:id="rId7937" xr:uid="{00000000-0004-0000-0000-0000001F0000}"/>
    <hyperlink ref="B7819" r:id="rId7938" xr:uid="{00000000-0004-0000-0000-0000011F0000}"/>
    <hyperlink ref="B7820" r:id="rId7939" xr:uid="{00000000-0004-0000-0000-0000021F0000}"/>
    <hyperlink ref="B7821" r:id="rId7940" xr:uid="{00000000-0004-0000-0000-0000031F0000}"/>
    <hyperlink ref="B7822" r:id="rId7941" xr:uid="{00000000-0004-0000-0000-0000041F0000}"/>
    <hyperlink ref="B7823" r:id="rId7942" xr:uid="{00000000-0004-0000-0000-0000051F0000}"/>
    <hyperlink ref="B7824" r:id="rId7943" xr:uid="{00000000-0004-0000-0000-0000061F0000}"/>
    <hyperlink ref="B7825" r:id="rId7944" xr:uid="{00000000-0004-0000-0000-0000071F0000}"/>
    <hyperlink ref="B7826" r:id="rId7945" xr:uid="{00000000-0004-0000-0000-0000081F0000}"/>
    <hyperlink ref="B7827" r:id="rId7946" xr:uid="{00000000-0004-0000-0000-0000091F0000}"/>
    <hyperlink ref="B7828" r:id="rId7947" xr:uid="{00000000-0004-0000-0000-00000A1F0000}"/>
    <hyperlink ref="B7829" r:id="rId7948" xr:uid="{00000000-0004-0000-0000-00000B1F0000}"/>
    <hyperlink ref="B7830" r:id="rId7949" xr:uid="{00000000-0004-0000-0000-00000C1F0000}"/>
    <hyperlink ref="B7831" r:id="rId7950" xr:uid="{00000000-0004-0000-0000-00000D1F0000}"/>
    <hyperlink ref="B7832" r:id="rId7951" xr:uid="{00000000-0004-0000-0000-00000E1F0000}"/>
    <hyperlink ref="B7833" r:id="rId7952" xr:uid="{00000000-0004-0000-0000-00000F1F0000}"/>
    <hyperlink ref="B7834" r:id="rId7953" xr:uid="{00000000-0004-0000-0000-0000101F0000}"/>
    <hyperlink ref="B7835" r:id="rId7954" xr:uid="{00000000-0004-0000-0000-0000111F0000}"/>
    <hyperlink ref="B7836" r:id="rId7955" xr:uid="{00000000-0004-0000-0000-0000121F0000}"/>
    <hyperlink ref="B7837" r:id="rId7956" xr:uid="{00000000-0004-0000-0000-0000131F0000}"/>
    <hyperlink ref="B7838" r:id="rId7957" xr:uid="{00000000-0004-0000-0000-0000141F0000}"/>
    <hyperlink ref="B7839" r:id="rId7958" xr:uid="{00000000-0004-0000-0000-0000151F0000}"/>
    <hyperlink ref="B7840" r:id="rId7959" xr:uid="{00000000-0004-0000-0000-0000161F0000}"/>
    <hyperlink ref="B7841" r:id="rId7960" xr:uid="{00000000-0004-0000-0000-0000171F0000}"/>
    <hyperlink ref="B7842" r:id="rId7961" xr:uid="{00000000-0004-0000-0000-0000181F0000}"/>
    <hyperlink ref="B7843" r:id="rId7962" xr:uid="{00000000-0004-0000-0000-0000191F0000}"/>
    <hyperlink ref="B7844" r:id="rId7963" xr:uid="{00000000-0004-0000-0000-00001A1F0000}"/>
    <hyperlink ref="B7845" r:id="rId7964" xr:uid="{00000000-0004-0000-0000-00001B1F0000}"/>
    <hyperlink ref="B7846" r:id="rId7965" xr:uid="{00000000-0004-0000-0000-00001C1F0000}"/>
    <hyperlink ref="B7847" r:id="rId7966" xr:uid="{00000000-0004-0000-0000-00001D1F0000}"/>
    <hyperlink ref="B7848" r:id="rId7967" xr:uid="{00000000-0004-0000-0000-00001E1F0000}"/>
    <hyperlink ref="B7849" r:id="rId7968" xr:uid="{00000000-0004-0000-0000-00001F1F0000}"/>
    <hyperlink ref="B7850" r:id="rId7969" xr:uid="{00000000-0004-0000-0000-0000201F0000}"/>
    <hyperlink ref="B7851" r:id="rId7970" xr:uid="{00000000-0004-0000-0000-0000211F0000}"/>
    <hyperlink ref="B7852" r:id="rId7971" xr:uid="{00000000-0004-0000-0000-0000221F0000}"/>
    <hyperlink ref="B7853" r:id="rId7972" xr:uid="{00000000-0004-0000-0000-0000231F0000}"/>
    <hyperlink ref="B7854" r:id="rId7973" xr:uid="{00000000-0004-0000-0000-0000241F0000}"/>
    <hyperlink ref="B7855" r:id="rId7974" xr:uid="{00000000-0004-0000-0000-0000251F0000}"/>
    <hyperlink ref="B7856" r:id="rId7975" xr:uid="{00000000-0004-0000-0000-0000261F0000}"/>
    <hyperlink ref="B7857" r:id="rId7976" xr:uid="{00000000-0004-0000-0000-0000271F0000}"/>
    <hyperlink ref="B7858" r:id="rId7977" xr:uid="{00000000-0004-0000-0000-0000281F0000}"/>
    <hyperlink ref="B7859" r:id="rId7978" xr:uid="{00000000-0004-0000-0000-0000291F0000}"/>
    <hyperlink ref="B7860" r:id="rId7979" xr:uid="{00000000-0004-0000-0000-00002A1F0000}"/>
    <hyperlink ref="B7861" r:id="rId7980" xr:uid="{00000000-0004-0000-0000-00002B1F0000}"/>
    <hyperlink ref="B7862" r:id="rId7981" xr:uid="{00000000-0004-0000-0000-00002C1F0000}"/>
    <hyperlink ref="B7863" r:id="rId7982" xr:uid="{00000000-0004-0000-0000-00002D1F0000}"/>
    <hyperlink ref="B7864" r:id="rId7983" xr:uid="{00000000-0004-0000-0000-00002E1F0000}"/>
    <hyperlink ref="B7865" r:id="rId7984" xr:uid="{00000000-0004-0000-0000-00002F1F0000}"/>
    <hyperlink ref="B7866" r:id="rId7985" xr:uid="{00000000-0004-0000-0000-0000301F0000}"/>
    <hyperlink ref="B7867" r:id="rId7986" xr:uid="{00000000-0004-0000-0000-0000311F0000}"/>
    <hyperlink ref="B7868" r:id="rId7987" xr:uid="{00000000-0004-0000-0000-0000321F0000}"/>
    <hyperlink ref="B7869" r:id="rId7988" xr:uid="{00000000-0004-0000-0000-0000331F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621"/>
  <sheetViews>
    <sheetView tabSelected="1" workbookViewId="0">
      <pane xSplit="1" topLeftCell="D1" activePane="topRight" state="frozen"/>
      <selection pane="topRight" activeCell="A4" sqref="A4"/>
    </sheetView>
  </sheetViews>
  <sheetFormatPr defaultColWidth="12.6640625" defaultRowHeight="15.75" customHeight="1"/>
  <cols>
    <col min="2" max="2" width="28" customWidth="1"/>
    <col min="3" max="3" width="7.6640625" customWidth="1"/>
    <col min="4" max="4" width="12" customWidth="1"/>
    <col min="5" max="5" width="13.33203125" customWidth="1"/>
    <col min="6" max="6" width="15.44140625" customWidth="1"/>
    <col min="8" max="8" width="18.44140625" bestFit="1" customWidth="1"/>
    <col min="10" max="10" width="19.88671875" customWidth="1"/>
    <col min="16" max="17" width="15.88671875" customWidth="1"/>
    <col min="18" max="18" width="19.88671875" customWidth="1"/>
  </cols>
  <sheetData>
    <row r="1" spans="1:49" ht="27.75" customHeight="1">
      <c r="A1" s="5" t="s">
        <v>0</v>
      </c>
      <c r="B1" s="5" t="s">
        <v>27790</v>
      </c>
      <c r="C1" s="5" t="s">
        <v>27791</v>
      </c>
      <c r="D1" s="5" t="s">
        <v>27792</v>
      </c>
      <c r="E1" s="5" t="s">
        <v>27793</v>
      </c>
      <c r="F1" s="5" t="s">
        <v>27794</v>
      </c>
      <c r="G1" s="5" t="s">
        <v>27795</v>
      </c>
      <c r="H1" s="5" t="s">
        <v>27796</v>
      </c>
      <c r="I1" s="5"/>
      <c r="J1" s="18" t="s">
        <v>27801</v>
      </c>
      <c r="K1" s="18" t="s">
        <v>27792</v>
      </c>
      <c r="L1" s="19"/>
      <c r="M1" s="20"/>
      <c r="N1" s="5"/>
      <c r="O1" s="18" t="s">
        <v>27792</v>
      </c>
      <c r="P1" s="23" t="s">
        <v>27805</v>
      </c>
      <c r="Q1" s="5"/>
      <c r="R1" s="18" t="s">
        <v>27801</v>
      </c>
      <c r="S1" s="18" t="s">
        <v>27796</v>
      </c>
      <c r="T1" s="19"/>
      <c r="U1" s="20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ht="17.399999999999999">
      <c r="A2" s="6">
        <f ca="1">IFERROR(__xludf.DUMMYFUNCTION("FILTER(deputados!A2:A1000, VALUE(deputados!E2:E1000) = 57)"),1)</f>
        <v>1</v>
      </c>
      <c r="B2" s="7" t="str">
        <f ca="1">IFERROR(__xludf.DUMMYFUNCTION("FILTER(deputados!C2:C1000, VALUE(deputados!A2:A1000) = A2:A1000)"),"Abilio Brunini")</f>
        <v>Abilio Brunini</v>
      </c>
      <c r="C2" s="7" t="str">
        <f ca="1">IFERROR(__xludf.DUMMYFUNCTION("FILTER(deputados!M2:M1000, VALUE(deputados!A2:A1000) = A2:A1000)"),"MT")</f>
        <v>MT</v>
      </c>
      <c r="D2" s="6" t="str">
        <f t="shared" ref="D2:D256" ca="1" si="0">IF(E2 = "F", "Feminino", "Masculino")</f>
        <v>Masculino</v>
      </c>
      <c r="E2" s="7" t="str">
        <f ca="1">IFERROR(__xludf.DUMMYFUNCTION("FILTER(deputados!H2:H1000, VALUE(deputados!A2:A1000) = A2:A1000)"),"M")</f>
        <v>M</v>
      </c>
      <c r="F2" s="8">
        <f ca="1">IFERROR(__xludf.DUMMYFUNCTION("FILTER(deputados!K2:K1000, VALUE(deputados!A2:A1000) = A2:A1000)"),30712)</f>
        <v>30712</v>
      </c>
      <c r="G2" s="6">
        <f t="shared" ref="G2:G256" ca="1" si="1">DATEDIF(F2:F1000, TODAY(), "Y")</f>
        <v>41</v>
      </c>
      <c r="H2" s="6" t="b">
        <f ca="1">(COUNTIFS(Deputados!A2:A1000, A2, Deputados!D2:D1000, "&lt;&gt;57")) = 0</f>
        <v>1</v>
      </c>
      <c r="J2" s="18" t="s">
        <v>27791</v>
      </c>
      <c r="K2" s="21" t="s">
        <v>27797</v>
      </c>
      <c r="L2" s="22" t="s">
        <v>27798</v>
      </c>
      <c r="M2" s="23" t="s">
        <v>27804</v>
      </c>
      <c r="O2" s="21" t="s">
        <v>27797</v>
      </c>
      <c r="P2" s="26">
        <v>49.434782608695649</v>
      </c>
      <c r="R2" s="18" t="s">
        <v>27792</v>
      </c>
      <c r="S2" s="21" t="s">
        <v>27802</v>
      </c>
      <c r="T2" s="22" t="s">
        <v>27803</v>
      </c>
      <c r="U2" s="23" t="s">
        <v>27804</v>
      </c>
      <c r="V2" s="9" t="s">
        <v>27799</v>
      </c>
      <c r="W2" s="9" t="s">
        <v>27796</v>
      </c>
    </row>
    <row r="3" spans="1:49" ht="17.399999999999999">
      <c r="A3" s="10">
        <f ca="1">IFERROR(__xludf.DUMMYFUNCTION("""COMPUTED_VALUE"""),2)</f>
        <v>2</v>
      </c>
      <c r="B3" s="10" t="str">
        <f ca="1">IFERROR(__xludf.DUMMYFUNCTION("""COMPUTED_VALUE"""),"Acácio Favacho")</f>
        <v>Acácio Favacho</v>
      </c>
      <c r="C3" s="10" t="str">
        <f ca="1">IFERROR(__xludf.DUMMYFUNCTION("""COMPUTED_VALUE"""),"AP")</f>
        <v>AP</v>
      </c>
      <c r="D3" s="6" t="str">
        <f t="shared" ca="1" si="0"/>
        <v>Masculino</v>
      </c>
      <c r="E3" s="10" t="str">
        <f ca="1">IFERROR(__xludf.DUMMYFUNCTION("""COMPUTED_VALUE"""),"M")</f>
        <v>M</v>
      </c>
      <c r="F3" s="11">
        <f ca="1">IFERROR(__xludf.DUMMYFUNCTION("""COMPUTED_VALUE"""),30587)</f>
        <v>30587</v>
      </c>
      <c r="G3" s="6">
        <f t="shared" ca="1" si="1"/>
        <v>41</v>
      </c>
      <c r="H3" s="6" t="b">
        <f ca="1">(COUNTIFS(Deputados!A3:A1000, A3, Deputados!D3:D1000, "&lt;&gt;57")) = 0</f>
        <v>0</v>
      </c>
      <c r="J3" s="21" t="s">
        <v>247</v>
      </c>
      <c r="K3" s="24">
        <v>3</v>
      </c>
      <c r="L3" s="25">
        <v>6</v>
      </c>
      <c r="M3" s="26">
        <v>9</v>
      </c>
      <c r="O3" s="27" t="s">
        <v>27798</v>
      </c>
      <c r="P3" s="30">
        <v>53.35049504950495</v>
      </c>
      <c r="Q3" s="12"/>
      <c r="R3" s="21" t="s">
        <v>27797</v>
      </c>
      <c r="S3" s="24">
        <v>42</v>
      </c>
      <c r="T3" s="25">
        <v>73</v>
      </c>
      <c r="U3" s="26">
        <v>115</v>
      </c>
      <c r="V3" s="13">
        <f t="shared" ref="V3:V5" si="2">(S3)/(U3)</f>
        <v>0.36521739130434783</v>
      </c>
      <c r="W3" s="13">
        <f t="shared" ref="W3:W5" si="3">(T3)/(U3)</f>
        <v>0.63478260869565217</v>
      </c>
    </row>
    <row r="4" spans="1:49" ht="17.399999999999999">
      <c r="A4" s="10">
        <f ca="1">IFERROR(__xludf.DUMMYFUNCTION("""COMPUTED_VALUE"""),3)</f>
        <v>3</v>
      </c>
      <c r="B4" s="10" t="str">
        <f ca="1">IFERROR(__xludf.DUMMYFUNCTION("""COMPUTED_VALUE"""),"Adail Filho")</f>
        <v>Adail Filho</v>
      </c>
      <c r="C4" s="10" t="str">
        <f ca="1">IFERROR(__xludf.DUMMYFUNCTION("""COMPUTED_VALUE"""),"AM")</f>
        <v>AM</v>
      </c>
      <c r="D4" s="6" t="str">
        <f t="shared" ca="1" si="0"/>
        <v>Masculino</v>
      </c>
      <c r="E4" s="10" t="str">
        <f ca="1">IFERROR(__xludf.DUMMYFUNCTION("""COMPUTED_VALUE"""),"M")</f>
        <v>M</v>
      </c>
      <c r="F4" s="11">
        <f ca="1">IFERROR(__xludf.DUMMYFUNCTION("""COMPUTED_VALUE"""),33650)</f>
        <v>33650</v>
      </c>
      <c r="G4" s="6">
        <f t="shared" ca="1" si="1"/>
        <v>33</v>
      </c>
      <c r="H4" s="6" t="b">
        <f ca="1">(COUNTIFS(Deputados!A4:A1000, A4, Deputados!D4:D1000, "&lt;&gt;57")) = 0</f>
        <v>1</v>
      </c>
      <c r="J4" s="27" t="s">
        <v>146</v>
      </c>
      <c r="K4" s="28"/>
      <c r="L4" s="29">
        <v>9</v>
      </c>
      <c r="M4" s="30">
        <v>9</v>
      </c>
      <c r="O4" s="31" t="s">
        <v>27804</v>
      </c>
      <c r="P4" s="34">
        <v>52.624193548387098</v>
      </c>
      <c r="Q4" s="12"/>
      <c r="R4" s="27" t="s">
        <v>27798</v>
      </c>
      <c r="S4" s="28">
        <v>309</v>
      </c>
      <c r="T4" s="29">
        <v>196</v>
      </c>
      <c r="U4" s="30">
        <v>505</v>
      </c>
      <c r="V4" s="13">
        <f t="shared" si="2"/>
        <v>0.61188118811881187</v>
      </c>
      <c r="W4" s="13">
        <f t="shared" si="3"/>
        <v>0.38811881188118813</v>
      </c>
    </row>
    <row r="5" spans="1:49" ht="17.399999999999999">
      <c r="A5" s="10">
        <f ca="1">IFERROR(__xludf.DUMMYFUNCTION("""COMPUTED_VALUE"""),4)</f>
        <v>4</v>
      </c>
      <c r="B5" s="10" t="str">
        <f ca="1">IFERROR(__xludf.DUMMYFUNCTION("""COMPUTED_VALUE"""),"Adilson Barroso")</f>
        <v>Adilson Barroso</v>
      </c>
      <c r="C5" s="10" t="str">
        <f ca="1">IFERROR(__xludf.DUMMYFUNCTION("""COMPUTED_VALUE"""),"MG")</f>
        <v>MG</v>
      </c>
      <c r="D5" s="6" t="str">
        <f t="shared" ca="1" si="0"/>
        <v>Masculino</v>
      </c>
      <c r="E5" s="10" t="str">
        <f ca="1">IFERROR(__xludf.DUMMYFUNCTION("""COMPUTED_VALUE"""),"M")</f>
        <v>M</v>
      </c>
      <c r="F5" s="11">
        <f ca="1">IFERROR(__xludf.DUMMYFUNCTION("""COMPUTED_VALUE"""),23542)</f>
        <v>23542</v>
      </c>
      <c r="G5" s="6">
        <f t="shared" ca="1" si="1"/>
        <v>61</v>
      </c>
      <c r="H5" s="6" t="b">
        <f ca="1">(COUNTIFS(Deputados!A5:A1000, A5, Deputados!D5:D1000, "&lt;&gt;57")) = 0</f>
        <v>1</v>
      </c>
      <c r="J5" s="27" t="s">
        <v>30</v>
      </c>
      <c r="K5" s="28"/>
      <c r="L5" s="29">
        <v>8</v>
      </c>
      <c r="M5" s="30">
        <v>8</v>
      </c>
      <c r="Q5" s="12"/>
      <c r="R5" s="31" t="s">
        <v>27804</v>
      </c>
      <c r="S5" s="32">
        <v>351</v>
      </c>
      <c r="T5" s="33">
        <v>269</v>
      </c>
      <c r="U5" s="34">
        <v>620</v>
      </c>
      <c r="V5" s="14">
        <f t="shared" si="2"/>
        <v>0.56612903225806455</v>
      </c>
      <c r="W5" s="14">
        <f t="shared" si="3"/>
        <v>0.43387096774193551</v>
      </c>
    </row>
    <row r="6" spans="1:49" ht="17.399999999999999">
      <c r="A6" s="10">
        <f ca="1">IFERROR(__xludf.DUMMYFUNCTION("""COMPUTED_VALUE"""),5)</f>
        <v>5</v>
      </c>
      <c r="B6" s="10" t="str">
        <f ca="1">IFERROR(__xludf.DUMMYFUNCTION("""COMPUTED_VALUE"""),"Adolfo Viana")</f>
        <v>Adolfo Viana</v>
      </c>
      <c r="C6" s="10" t="str">
        <f ca="1">IFERROR(__xludf.DUMMYFUNCTION("""COMPUTED_VALUE"""),"BA")</f>
        <v>BA</v>
      </c>
      <c r="D6" s="6" t="str">
        <f t="shared" ca="1" si="0"/>
        <v>Masculino</v>
      </c>
      <c r="E6" s="10" t="str">
        <f ca="1">IFERROR(__xludf.DUMMYFUNCTION("""COMPUTED_VALUE"""),"M")</f>
        <v>M</v>
      </c>
      <c r="F6" s="11">
        <f ca="1">IFERROR(__xludf.DUMMYFUNCTION("""COMPUTED_VALUE"""),29619)</f>
        <v>29619</v>
      </c>
      <c r="G6" s="6">
        <f t="shared" ca="1" si="1"/>
        <v>44</v>
      </c>
      <c r="H6" s="6" t="b">
        <f ca="1">(COUNTIFS(Deputados!A6:A1000, A6, Deputados!D6:D1000, "&lt;&gt;57")) = 0</f>
        <v>0</v>
      </c>
      <c r="J6" s="27" t="s">
        <v>24</v>
      </c>
      <c r="K6" s="28">
        <v>5</v>
      </c>
      <c r="L6" s="29">
        <v>4</v>
      </c>
      <c r="M6" s="30">
        <v>9</v>
      </c>
    </row>
    <row r="7" spans="1:49" ht="17.399999999999999">
      <c r="A7" s="10">
        <f ca="1">IFERROR(__xludf.DUMMYFUNCTION("""COMPUTED_VALUE"""),6)</f>
        <v>6</v>
      </c>
      <c r="B7" s="10" t="str">
        <f ca="1">IFERROR(__xludf.DUMMYFUNCTION("""COMPUTED_VALUE"""),"Adriana Ventura")</f>
        <v>Adriana Ventura</v>
      </c>
      <c r="C7" s="10" t="str">
        <f ca="1">IFERROR(__xludf.DUMMYFUNCTION("""COMPUTED_VALUE"""),"SP")</f>
        <v>SP</v>
      </c>
      <c r="D7" s="6" t="str">
        <f t="shared" ca="1" si="0"/>
        <v>Feminino</v>
      </c>
      <c r="E7" s="10" t="str">
        <f ca="1">IFERROR(__xludf.DUMMYFUNCTION("""COMPUTED_VALUE"""),"F")</f>
        <v>F</v>
      </c>
      <c r="F7" s="11">
        <f ca="1">IFERROR(__xludf.DUMMYFUNCTION("""COMPUTED_VALUE"""),25268)</f>
        <v>25268</v>
      </c>
      <c r="G7" s="6">
        <f t="shared" ca="1" si="1"/>
        <v>56</v>
      </c>
      <c r="H7" s="6" t="b">
        <f ca="1">(COUNTIFS(Deputados!A7:A1000, A7, Deputados!D7:D1000, "&lt;&gt;57")) = 0</f>
        <v>0</v>
      </c>
      <c r="J7" s="27" t="s">
        <v>40</v>
      </c>
      <c r="K7" s="28">
        <v>5</v>
      </c>
      <c r="L7" s="29">
        <v>40</v>
      </c>
      <c r="M7" s="30">
        <v>45</v>
      </c>
    </row>
    <row r="8" spans="1:49" ht="17.399999999999999">
      <c r="A8" s="10">
        <f ca="1">IFERROR(__xludf.DUMMYFUNCTION("""COMPUTED_VALUE"""),7)</f>
        <v>7</v>
      </c>
      <c r="B8" s="10" t="str">
        <f ca="1">IFERROR(__xludf.DUMMYFUNCTION("""COMPUTED_VALUE"""),"Adriano do Baldy")</f>
        <v>Adriano do Baldy</v>
      </c>
      <c r="C8" s="10" t="str">
        <f ca="1">IFERROR(__xludf.DUMMYFUNCTION("""COMPUTED_VALUE"""),"GO")</f>
        <v>GO</v>
      </c>
      <c r="D8" s="6" t="str">
        <f t="shared" ca="1" si="0"/>
        <v>Masculino</v>
      </c>
      <c r="E8" s="10" t="str">
        <f ca="1">IFERROR(__xludf.DUMMYFUNCTION("""COMPUTED_VALUE"""),"M")</f>
        <v>M</v>
      </c>
      <c r="F8" s="11">
        <f ca="1">IFERROR(__xludf.DUMMYFUNCTION("""COMPUTED_VALUE"""),25452)</f>
        <v>25452</v>
      </c>
      <c r="G8" s="6">
        <f t="shared" ca="1" si="1"/>
        <v>56</v>
      </c>
      <c r="H8" s="6" t="b">
        <f ca="1">(COUNTIFS(Deputados!A8:A1000, A8, Deputados!D8:D1000, "&lt;&gt;57")) = 0</f>
        <v>0</v>
      </c>
      <c r="J8" s="27" t="s">
        <v>85</v>
      </c>
      <c r="K8" s="28">
        <v>9</v>
      </c>
      <c r="L8" s="29">
        <v>29</v>
      </c>
      <c r="M8" s="30">
        <v>38</v>
      </c>
    </row>
    <row r="9" spans="1:49" ht="17.399999999999999">
      <c r="A9" s="10">
        <f ca="1">IFERROR(__xludf.DUMMYFUNCTION("""COMPUTED_VALUE"""),8)</f>
        <v>8</v>
      </c>
      <c r="B9" s="10" t="str">
        <f ca="1">IFERROR(__xludf.DUMMYFUNCTION("""COMPUTED_VALUE"""),"Aécio Neves")</f>
        <v>Aécio Neves</v>
      </c>
      <c r="C9" s="10" t="str">
        <f ca="1">IFERROR(__xludf.DUMMYFUNCTION("""COMPUTED_VALUE"""),"MG")</f>
        <v>MG</v>
      </c>
      <c r="D9" s="6" t="str">
        <f t="shared" ca="1" si="0"/>
        <v>Masculino</v>
      </c>
      <c r="E9" s="10" t="str">
        <f ca="1">IFERROR(__xludf.DUMMYFUNCTION("""COMPUTED_VALUE"""),"M")</f>
        <v>M</v>
      </c>
      <c r="F9" s="11">
        <f ca="1">IFERROR(__xludf.DUMMYFUNCTION("""COMPUTED_VALUE"""),21985)</f>
        <v>21985</v>
      </c>
      <c r="G9" s="6">
        <f t="shared" ca="1" si="1"/>
        <v>65</v>
      </c>
      <c r="H9" s="6" t="b">
        <f ca="1">(COUNTIFS(Deputados!A9:A1000, A9, Deputados!D9:D1000, "&lt;&gt;57")) = 0</f>
        <v>0</v>
      </c>
      <c r="J9" s="27" t="s">
        <v>969</v>
      </c>
      <c r="K9" s="28"/>
      <c r="L9" s="29">
        <v>5</v>
      </c>
      <c r="M9" s="30">
        <v>5</v>
      </c>
    </row>
    <row r="10" spans="1:49" ht="17.399999999999999">
      <c r="A10" s="10">
        <f ca="1">IFERROR(__xludf.DUMMYFUNCTION("""COMPUTED_VALUE"""),9)</f>
        <v>9</v>
      </c>
      <c r="B10" s="10" t="str">
        <f ca="1">IFERROR(__xludf.DUMMYFUNCTION("""COMPUTED_VALUE"""),"Afonso Florence")</f>
        <v>Afonso Florence</v>
      </c>
      <c r="C10" s="10" t="str">
        <f ca="1">IFERROR(__xludf.DUMMYFUNCTION("""COMPUTED_VALUE"""),"BA")</f>
        <v>BA</v>
      </c>
      <c r="D10" s="6" t="str">
        <f t="shared" ca="1" si="0"/>
        <v>Masculino</v>
      </c>
      <c r="E10" s="10" t="str">
        <f ca="1">IFERROR(__xludf.DUMMYFUNCTION("""COMPUTED_VALUE"""),"M")</f>
        <v>M</v>
      </c>
      <c r="F10" s="11">
        <f ca="1">IFERROR(__xludf.DUMMYFUNCTION("""COMPUTED_VALUE"""),22204)</f>
        <v>22204</v>
      </c>
      <c r="G10" s="6">
        <f t="shared" ca="1" si="1"/>
        <v>64</v>
      </c>
      <c r="H10" s="6" t="b">
        <f ca="1">(COUNTIFS(Deputados!A10:A1000, A10, Deputados!D10:D1000, "&lt;&gt;57")) = 0</f>
        <v>0</v>
      </c>
      <c r="J10" s="27" t="s">
        <v>192</v>
      </c>
      <c r="K10" s="28">
        <v>2</v>
      </c>
      <c r="L10" s="29">
        <v>7</v>
      </c>
      <c r="M10" s="30">
        <v>9</v>
      </c>
    </row>
    <row r="11" spans="1:49" ht="17.399999999999999">
      <c r="A11" s="10">
        <f ca="1">IFERROR(__xludf.DUMMYFUNCTION("""COMPUTED_VALUE"""),10)</f>
        <v>10</v>
      </c>
      <c r="B11" s="10" t="str">
        <f ca="1">IFERROR(__xludf.DUMMYFUNCTION("""COMPUTED_VALUE"""),"Afonso Hamm")</f>
        <v>Afonso Hamm</v>
      </c>
      <c r="C11" s="10" t="str">
        <f ca="1">IFERROR(__xludf.DUMMYFUNCTION("""COMPUTED_VALUE"""),"RS")</f>
        <v>RS</v>
      </c>
      <c r="D11" s="6" t="str">
        <f t="shared" ca="1" si="0"/>
        <v>Masculino</v>
      </c>
      <c r="E11" s="10" t="str">
        <f ca="1">IFERROR(__xludf.DUMMYFUNCTION("""COMPUTED_VALUE"""),"M")</f>
        <v>M</v>
      </c>
      <c r="F11" s="11">
        <f ca="1">IFERROR(__xludf.DUMMYFUNCTION("""COMPUTED_VALUE"""),22761)</f>
        <v>22761</v>
      </c>
      <c r="G11" s="6">
        <f t="shared" ca="1" si="1"/>
        <v>63</v>
      </c>
      <c r="H11" s="6" t="b">
        <f ca="1">(COUNTIFS(Deputados!A11:A1000, A11, Deputados!D11:D1000, "&lt;&gt;57")) = 0</f>
        <v>0</v>
      </c>
      <c r="J11" s="27" t="s">
        <v>53</v>
      </c>
      <c r="K11" s="28">
        <v>3</v>
      </c>
      <c r="L11" s="29">
        <v>18</v>
      </c>
      <c r="M11" s="30">
        <v>21</v>
      </c>
    </row>
    <row r="12" spans="1:49" ht="17.399999999999999">
      <c r="A12" s="10">
        <f ca="1">IFERROR(__xludf.DUMMYFUNCTION("""COMPUTED_VALUE"""),11)</f>
        <v>11</v>
      </c>
      <c r="B12" s="10" t="str">
        <f ca="1">IFERROR(__xludf.DUMMYFUNCTION("""COMPUTED_VALUE"""),"Afonso Motta")</f>
        <v>Afonso Motta</v>
      </c>
      <c r="C12" s="10" t="str">
        <f ca="1">IFERROR(__xludf.DUMMYFUNCTION("""COMPUTED_VALUE"""),"RS")</f>
        <v>RS</v>
      </c>
      <c r="D12" s="6" t="str">
        <f t="shared" ca="1" si="0"/>
        <v>Masculino</v>
      </c>
      <c r="E12" s="10" t="str">
        <f ca="1">IFERROR(__xludf.DUMMYFUNCTION("""COMPUTED_VALUE"""),"M")</f>
        <v>M</v>
      </c>
      <c r="F12" s="11">
        <f ca="1">IFERROR(__xludf.DUMMYFUNCTION("""COMPUTED_VALUE"""),18271)</f>
        <v>18271</v>
      </c>
      <c r="G12" s="6">
        <f t="shared" ca="1" si="1"/>
        <v>75</v>
      </c>
      <c r="H12" s="6" t="b">
        <f ca="1">(COUNTIFS(Deputados!A12:A1000, A12, Deputados!D12:D1000, "&lt;&gt;57")) = 0</f>
        <v>0</v>
      </c>
      <c r="J12" s="27" t="s">
        <v>185</v>
      </c>
      <c r="K12" s="28">
        <v>5</v>
      </c>
      <c r="L12" s="29">
        <v>20</v>
      </c>
      <c r="M12" s="30">
        <v>25</v>
      </c>
    </row>
    <row r="13" spans="1:49" ht="17.399999999999999">
      <c r="A13" s="10">
        <f ca="1">IFERROR(__xludf.DUMMYFUNCTION("""COMPUTED_VALUE"""),12)</f>
        <v>12</v>
      </c>
      <c r="B13" s="10" t="str">
        <f ca="1">IFERROR(__xludf.DUMMYFUNCTION("""COMPUTED_VALUE"""),"Aguinaldo Ribeiro")</f>
        <v>Aguinaldo Ribeiro</v>
      </c>
      <c r="C13" s="10" t="str">
        <f ca="1">IFERROR(__xludf.DUMMYFUNCTION("""COMPUTED_VALUE"""),"PB")</f>
        <v>PB</v>
      </c>
      <c r="D13" s="6" t="str">
        <f t="shared" ca="1" si="0"/>
        <v>Masculino</v>
      </c>
      <c r="E13" s="10" t="str">
        <f ca="1">IFERROR(__xludf.DUMMYFUNCTION("""COMPUTED_VALUE"""),"M")</f>
        <v>M</v>
      </c>
      <c r="F13" s="11">
        <f ca="1">IFERROR(__xludf.DUMMYFUNCTION("""COMPUTED_VALUE"""),25247)</f>
        <v>25247</v>
      </c>
      <c r="G13" s="6">
        <f t="shared" ca="1" si="1"/>
        <v>56</v>
      </c>
      <c r="H13" s="6" t="b">
        <f ca="1">(COUNTIFS(Deputados!A13:A1000, A13, Deputados!D13:D1000, "&lt;&gt;57")) = 0</f>
        <v>0</v>
      </c>
      <c r="J13" s="27" t="s">
        <v>35</v>
      </c>
      <c r="K13" s="28">
        <v>13</v>
      </c>
      <c r="L13" s="29">
        <v>59</v>
      </c>
      <c r="M13" s="30">
        <v>72</v>
      </c>
    </row>
    <row r="14" spans="1:49" ht="17.399999999999999">
      <c r="A14" s="10">
        <f ca="1">IFERROR(__xludf.DUMMYFUNCTION("""COMPUTED_VALUE"""),13)</f>
        <v>13</v>
      </c>
      <c r="B14" s="10" t="str">
        <f ca="1">IFERROR(__xludf.DUMMYFUNCTION("""COMPUTED_VALUE"""),"Airton Faleiro")</f>
        <v>Airton Faleiro</v>
      </c>
      <c r="C14" s="10" t="str">
        <f ca="1">IFERROR(__xludf.DUMMYFUNCTION("""COMPUTED_VALUE"""),"RS")</f>
        <v>RS</v>
      </c>
      <c r="D14" s="6" t="str">
        <f t="shared" ca="1" si="0"/>
        <v>Masculino</v>
      </c>
      <c r="E14" s="10" t="str">
        <f ca="1">IFERROR(__xludf.DUMMYFUNCTION("""COMPUTED_VALUE"""),"M")</f>
        <v>M</v>
      </c>
      <c r="F14" s="11">
        <f ca="1">IFERROR(__xludf.DUMMYFUNCTION("""COMPUTED_VALUE"""),21625)</f>
        <v>21625</v>
      </c>
      <c r="G14" s="6">
        <f t="shared" ca="1" si="1"/>
        <v>66</v>
      </c>
      <c r="H14" s="6" t="b">
        <f ca="1">(COUNTIFS(Deputados!A14:A1000, A14, Deputados!D14:D1000, "&lt;&gt;57")) = 0</f>
        <v>0</v>
      </c>
      <c r="J14" s="27" t="s">
        <v>341</v>
      </c>
      <c r="K14" s="28">
        <v>1</v>
      </c>
      <c r="L14" s="29">
        <v>5</v>
      </c>
      <c r="M14" s="30">
        <v>6</v>
      </c>
    </row>
    <row r="15" spans="1:49" ht="17.399999999999999">
      <c r="A15" s="10">
        <f ca="1">IFERROR(__xludf.DUMMYFUNCTION("""COMPUTED_VALUE"""),14)</f>
        <v>14</v>
      </c>
      <c r="B15" s="10" t="str">
        <f ca="1">IFERROR(__xludf.DUMMYFUNCTION("""COMPUTED_VALUE"""),"AJ Albuquerque")</f>
        <v>AJ Albuquerque</v>
      </c>
      <c r="C15" s="10" t="str">
        <f ca="1">IFERROR(__xludf.DUMMYFUNCTION("""COMPUTED_VALUE"""),"CE")</f>
        <v>CE</v>
      </c>
      <c r="D15" s="6" t="str">
        <f t="shared" ca="1" si="0"/>
        <v>Masculino</v>
      </c>
      <c r="E15" s="10" t="str">
        <f ca="1">IFERROR(__xludf.DUMMYFUNCTION("""COMPUTED_VALUE"""),"M")</f>
        <v>M</v>
      </c>
      <c r="F15" s="11">
        <f ca="1">IFERROR(__xludf.DUMMYFUNCTION("""COMPUTED_VALUE"""),30585)</f>
        <v>30585</v>
      </c>
      <c r="G15" s="6">
        <f t="shared" ca="1" si="1"/>
        <v>41</v>
      </c>
      <c r="H15" s="6" t="b">
        <f ca="1">(COUNTIFS(Deputados!A15:A1000, A15, Deputados!D15:D1000, "&lt;&gt;57")) = 0</f>
        <v>0</v>
      </c>
      <c r="J15" s="27" t="s">
        <v>18</v>
      </c>
      <c r="K15" s="28">
        <v>3</v>
      </c>
      <c r="L15" s="29">
        <v>5</v>
      </c>
      <c r="M15" s="30">
        <v>8</v>
      </c>
    </row>
    <row r="16" spans="1:49" ht="17.399999999999999">
      <c r="A16" s="10">
        <f ca="1">IFERROR(__xludf.DUMMYFUNCTION("""COMPUTED_VALUE"""),15)</f>
        <v>15</v>
      </c>
      <c r="B16" s="10" t="str">
        <f ca="1">IFERROR(__xludf.DUMMYFUNCTION("""COMPUTED_VALUE"""),"Alberto Fraga")</f>
        <v>Alberto Fraga</v>
      </c>
      <c r="C16" s="10" t="str">
        <f ca="1">IFERROR(__xludf.DUMMYFUNCTION("""COMPUTED_VALUE"""),"SE")</f>
        <v>SE</v>
      </c>
      <c r="D16" s="6" t="str">
        <f t="shared" ca="1" si="0"/>
        <v>Masculino</v>
      </c>
      <c r="E16" s="10" t="str">
        <f ca="1">IFERROR(__xludf.DUMMYFUNCTION("""COMPUTED_VALUE"""),"M")</f>
        <v>M</v>
      </c>
      <c r="F16" s="11">
        <f ca="1">IFERROR(__xludf.DUMMYFUNCTION("""COMPUTED_VALUE"""),20608)</f>
        <v>20608</v>
      </c>
      <c r="G16" s="6">
        <f t="shared" ca="1" si="1"/>
        <v>69</v>
      </c>
      <c r="H16" s="6" t="b">
        <f ca="1">(COUNTIFS(Deputados!A16:A1000, A16, Deputados!D16:D1000, "&lt;&gt;57")) = 0</f>
        <v>0</v>
      </c>
      <c r="J16" s="27" t="s">
        <v>164</v>
      </c>
      <c r="K16" s="28">
        <v>6</v>
      </c>
      <c r="L16" s="29">
        <v>16</v>
      </c>
      <c r="M16" s="30">
        <v>22</v>
      </c>
    </row>
    <row r="17" spans="1:13" ht="17.399999999999999">
      <c r="A17" s="10">
        <f ca="1">IFERROR(__xludf.DUMMYFUNCTION("""COMPUTED_VALUE"""),16)</f>
        <v>16</v>
      </c>
      <c r="B17" s="10" t="str">
        <f ca="1">IFERROR(__xludf.DUMMYFUNCTION("""COMPUTED_VALUE"""),"Alberto Mourão")</f>
        <v>Alberto Mourão</v>
      </c>
      <c r="C17" s="10" t="str">
        <f ca="1">IFERROR(__xludf.DUMMYFUNCTION("""COMPUTED_VALUE"""),"SP")</f>
        <v>SP</v>
      </c>
      <c r="D17" s="6" t="str">
        <f t="shared" ca="1" si="0"/>
        <v>Masculino</v>
      </c>
      <c r="E17" s="10" t="str">
        <f ca="1">IFERROR(__xludf.DUMMYFUNCTION("""COMPUTED_VALUE"""),"M")</f>
        <v>M</v>
      </c>
      <c r="F17" s="11">
        <f ca="1">IFERROR(__xludf.DUMMYFUNCTION("""COMPUTED_VALUE"""),19840)</f>
        <v>19840</v>
      </c>
      <c r="G17" s="6">
        <f t="shared" ca="1" si="1"/>
        <v>71</v>
      </c>
      <c r="H17" s="6" t="b">
        <f ca="1">(COUNTIFS(Deputados!A17:A1000, A17, Deputados!D17:D1000, "&lt;&gt;57")) = 0</f>
        <v>0</v>
      </c>
      <c r="J17" s="27" t="s">
        <v>76</v>
      </c>
      <c r="K17" s="28">
        <v>2</v>
      </c>
      <c r="L17" s="29">
        <v>16</v>
      </c>
      <c r="M17" s="30">
        <v>18</v>
      </c>
    </row>
    <row r="18" spans="1:13" ht="17.399999999999999">
      <c r="A18" s="10">
        <f ca="1">IFERROR(__xludf.DUMMYFUNCTION("""COMPUTED_VALUE"""),17)</f>
        <v>17</v>
      </c>
      <c r="B18" s="10" t="str">
        <f ca="1">IFERROR(__xludf.DUMMYFUNCTION("""COMPUTED_VALUE"""),"Albuquerque")</f>
        <v>Albuquerque</v>
      </c>
      <c r="C18" s="10" t="str">
        <f ca="1">IFERROR(__xludf.DUMMYFUNCTION("""COMPUTED_VALUE"""),"CE")</f>
        <v>CE</v>
      </c>
      <c r="D18" s="6" t="str">
        <f t="shared" ca="1" si="0"/>
        <v>Masculino</v>
      </c>
      <c r="E18" s="10" t="str">
        <f ca="1">IFERROR(__xludf.DUMMYFUNCTION("""COMPUTED_VALUE"""),"M")</f>
        <v>M</v>
      </c>
      <c r="F18" s="11">
        <f ca="1">IFERROR(__xludf.DUMMYFUNCTION("""COMPUTED_VALUE"""),27054)</f>
        <v>27054</v>
      </c>
      <c r="G18" s="6">
        <f t="shared" ca="1" si="1"/>
        <v>51</v>
      </c>
      <c r="H18" s="6" t="b">
        <f ca="1">(COUNTIFS(Deputados!A18:A1000, A18, Deputados!D18:D1000, "&lt;&gt;57")) = 0</f>
        <v>1</v>
      </c>
      <c r="J18" s="27" t="s">
        <v>198</v>
      </c>
      <c r="K18" s="28">
        <v>3</v>
      </c>
      <c r="L18" s="29">
        <v>27</v>
      </c>
      <c r="M18" s="30">
        <v>30</v>
      </c>
    </row>
    <row r="19" spans="1:13" ht="17.399999999999999">
      <c r="A19" s="10">
        <f ca="1">IFERROR(__xludf.DUMMYFUNCTION("""COMPUTED_VALUE"""),18)</f>
        <v>18</v>
      </c>
      <c r="B19" s="10" t="str">
        <f ca="1">IFERROR(__xludf.DUMMYFUNCTION("""COMPUTED_VALUE"""),"Alceu Moreira")</f>
        <v>Alceu Moreira</v>
      </c>
      <c r="C19" s="10" t="str">
        <f ca="1">IFERROR(__xludf.DUMMYFUNCTION("""COMPUTED_VALUE"""),"RS")</f>
        <v>RS</v>
      </c>
      <c r="D19" s="6" t="str">
        <f t="shared" ca="1" si="0"/>
        <v>Masculino</v>
      </c>
      <c r="E19" s="10" t="str">
        <f ca="1">IFERROR(__xludf.DUMMYFUNCTION("""COMPUTED_VALUE"""),"M")</f>
        <v>M</v>
      </c>
      <c r="F19" s="11">
        <f ca="1">IFERROR(__xludf.DUMMYFUNCTION("""COMPUTED_VALUE"""),19879)</f>
        <v>19879</v>
      </c>
      <c r="G19" s="6">
        <f t="shared" ca="1" si="1"/>
        <v>71</v>
      </c>
      <c r="H19" s="6" t="b">
        <f ca="1">(COUNTIFS(Deputados!A19:A1000, A19, Deputados!D19:D1000, "&lt;&gt;57")) = 0</f>
        <v>0</v>
      </c>
      <c r="J19" s="27" t="s">
        <v>140</v>
      </c>
      <c r="K19" s="28"/>
      <c r="L19" s="29">
        <v>12</v>
      </c>
      <c r="M19" s="30">
        <v>12</v>
      </c>
    </row>
    <row r="20" spans="1:13" ht="17.399999999999999">
      <c r="A20" s="10">
        <f ca="1">IFERROR(__xludf.DUMMYFUNCTION("""COMPUTED_VALUE"""),19)</f>
        <v>19</v>
      </c>
      <c r="B20" s="10" t="str">
        <f ca="1">IFERROR(__xludf.DUMMYFUNCTION("""COMPUTED_VALUE"""),"Alencar Santana")</f>
        <v>Alencar Santana</v>
      </c>
      <c r="C20" s="10" t="str">
        <f ca="1">IFERROR(__xludf.DUMMYFUNCTION("""COMPUTED_VALUE"""),"SP")</f>
        <v>SP</v>
      </c>
      <c r="D20" s="6" t="str">
        <f t="shared" ca="1" si="0"/>
        <v>Masculino</v>
      </c>
      <c r="E20" s="10" t="str">
        <f ca="1">IFERROR(__xludf.DUMMYFUNCTION("""COMPUTED_VALUE"""),"M")</f>
        <v>M</v>
      </c>
      <c r="F20" s="11">
        <f ca="1">IFERROR(__xludf.DUMMYFUNCTION("""COMPUTED_VALUE"""),27833)</f>
        <v>27833</v>
      </c>
      <c r="G20" s="6">
        <f t="shared" ca="1" si="1"/>
        <v>49</v>
      </c>
      <c r="H20" s="6" t="b">
        <f ca="1">(COUNTIFS(Deputados!A20:A1000, A20, Deputados!D20:D1000, "&lt;&gt;57")) = 0</f>
        <v>0</v>
      </c>
      <c r="J20" s="27" t="s">
        <v>154</v>
      </c>
      <c r="K20" s="28">
        <v>9</v>
      </c>
      <c r="L20" s="29">
        <v>35</v>
      </c>
      <c r="M20" s="30">
        <v>44</v>
      </c>
    </row>
    <row r="21" spans="1:13" ht="17.399999999999999">
      <c r="A21" s="10">
        <f ca="1">IFERROR(__xludf.DUMMYFUNCTION("""COMPUTED_VALUE"""),20)</f>
        <v>20</v>
      </c>
      <c r="B21" s="10" t="str">
        <f ca="1">IFERROR(__xludf.DUMMYFUNCTION("""COMPUTED_VALUE"""),"Alex Manente")</f>
        <v>Alex Manente</v>
      </c>
      <c r="C21" s="10" t="str">
        <f ca="1">IFERROR(__xludf.DUMMYFUNCTION("""COMPUTED_VALUE"""),"SP")</f>
        <v>SP</v>
      </c>
      <c r="D21" s="6" t="str">
        <f t="shared" ca="1" si="0"/>
        <v>Masculino</v>
      </c>
      <c r="E21" s="10" t="str">
        <f ca="1">IFERROR(__xludf.DUMMYFUNCTION("""COMPUTED_VALUE"""),"M")</f>
        <v>M</v>
      </c>
      <c r="F21" s="11">
        <f ca="1">IFERROR(__xludf.DUMMYFUNCTION("""COMPUTED_VALUE"""),29089)</f>
        <v>29089</v>
      </c>
      <c r="G21" s="6">
        <f t="shared" ca="1" si="1"/>
        <v>46</v>
      </c>
      <c r="H21" s="6" t="b">
        <f ca="1">(COUNTIFS(Deputados!A21:A1000, A21, Deputados!D21:D1000, "&lt;&gt;57")) = 0</f>
        <v>0</v>
      </c>
      <c r="J21" s="27" t="s">
        <v>170</v>
      </c>
      <c r="K21" s="28">
        <v>12</v>
      </c>
      <c r="L21" s="29">
        <v>51</v>
      </c>
      <c r="M21" s="30">
        <v>63</v>
      </c>
    </row>
    <row r="22" spans="1:13" ht="17.399999999999999">
      <c r="A22" s="10">
        <f ca="1">IFERROR(__xludf.DUMMYFUNCTION("""COMPUTED_VALUE"""),21)</f>
        <v>21</v>
      </c>
      <c r="B22" s="10" t="str">
        <f ca="1">IFERROR(__xludf.DUMMYFUNCTION("""COMPUTED_VALUE"""),"Alex Santana")</f>
        <v>Alex Santana</v>
      </c>
      <c r="C22" s="10" t="str">
        <f ca="1">IFERROR(__xludf.DUMMYFUNCTION("""COMPUTED_VALUE"""),"BA")</f>
        <v>BA</v>
      </c>
      <c r="D22" s="6" t="str">
        <f t="shared" ca="1" si="0"/>
        <v>Masculino</v>
      </c>
      <c r="E22" s="10" t="str">
        <f ca="1">IFERROR(__xludf.DUMMYFUNCTION("""COMPUTED_VALUE"""),"M")</f>
        <v>M</v>
      </c>
      <c r="F22" s="11">
        <f ca="1">IFERROR(__xludf.DUMMYFUNCTION("""COMPUTED_VALUE"""),26472)</f>
        <v>26472</v>
      </c>
      <c r="G22" s="6">
        <f t="shared" ca="1" si="1"/>
        <v>53</v>
      </c>
      <c r="H22" s="6" t="b">
        <f ca="1">(COUNTIFS(Deputados!A22:A1000, A22, Deputados!D22:D1000, "&lt;&gt;57")) = 0</f>
        <v>0</v>
      </c>
      <c r="J22" s="27" t="s">
        <v>336</v>
      </c>
      <c r="K22" s="28">
        <v>1</v>
      </c>
      <c r="L22" s="29">
        <v>5</v>
      </c>
      <c r="M22" s="30">
        <v>6</v>
      </c>
    </row>
    <row r="23" spans="1:13" ht="17.399999999999999">
      <c r="A23" s="10">
        <f ca="1">IFERROR(__xludf.DUMMYFUNCTION("""COMPUTED_VALUE"""),22)</f>
        <v>22</v>
      </c>
      <c r="B23" s="10" t="str">
        <f ca="1">IFERROR(__xludf.DUMMYFUNCTION("""COMPUTED_VALUE"""),"Alexandre Guimarães")</f>
        <v>Alexandre Guimarães</v>
      </c>
      <c r="C23" s="10" t="str">
        <f ca="1">IFERROR(__xludf.DUMMYFUNCTION("""COMPUTED_VALUE"""),"TO")</f>
        <v>TO</v>
      </c>
      <c r="D23" s="6" t="str">
        <f t="shared" ca="1" si="0"/>
        <v>Masculino</v>
      </c>
      <c r="E23" s="10" t="str">
        <f ca="1">IFERROR(__xludf.DUMMYFUNCTION("""COMPUTED_VALUE"""),"M")</f>
        <v>M</v>
      </c>
      <c r="F23" s="11">
        <f ca="1">IFERROR(__xludf.DUMMYFUNCTION("""COMPUTED_VALUE"""),31462)</f>
        <v>31462</v>
      </c>
      <c r="G23" s="6">
        <f t="shared" ca="1" si="1"/>
        <v>39</v>
      </c>
      <c r="H23" s="6" t="b">
        <f ca="1">(COUNTIFS(Deputados!A23:A1000, A23, Deputados!D23:D1000, "&lt;&gt;57")) = 0</f>
        <v>1</v>
      </c>
      <c r="J23" s="27" t="s">
        <v>571</v>
      </c>
      <c r="K23" s="28">
        <v>2</v>
      </c>
      <c r="L23" s="29">
        <v>2</v>
      </c>
      <c r="M23" s="30">
        <v>4</v>
      </c>
    </row>
    <row r="24" spans="1:13" ht="17.399999999999999">
      <c r="A24" s="10">
        <f ca="1">IFERROR(__xludf.DUMMYFUNCTION("""COMPUTED_VALUE"""),23)</f>
        <v>23</v>
      </c>
      <c r="B24" s="10" t="str">
        <f ca="1">IFERROR(__xludf.DUMMYFUNCTION("""COMPUTED_VALUE"""),"Alexandre Leite")</f>
        <v>Alexandre Leite</v>
      </c>
      <c r="C24" s="10" t="str">
        <f ca="1">IFERROR(__xludf.DUMMYFUNCTION("""COMPUTED_VALUE"""),"SP")</f>
        <v>SP</v>
      </c>
      <c r="D24" s="6" t="str">
        <f t="shared" ca="1" si="0"/>
        <v>Masculino</v>
      </c>
      <c r="E24" s="10" t="str">
        <f ca="1">IFERROR(__xludf.DUMMYFUNCTION("""COMPUTED_VALUE"""),"M")</f>
        <v>M</v>
      </c>
      <c r="F24" s="11">
        <f ca="1">IFERROR(__xludf.DUMMYFUNCTION("""COMPUTED_VALUE"""),32616)</f>
        <v>32616</v>
      </c>
      <c r="G24" s="6">
        <f t="shared" ca="1" si="1"/>
        <v>36</v>
      </c>
      <c r="H24" s="6" t="b">
        <f ca="1">(COUNTIFS(Deputados!A24:A1000, A24, Deputados!D24:D1000, "&lt;&gt;57")) = 0</f>
        <v>0</v>
      </c>
      <c r="J24" s="27" t="s">
        <v>662</v>
      </c>
      <c r="K24" s="28"/>
      <c r="L24" s="29">
        <v>4</v>
      </c>
      <c r="M24" s="30">
        <v>4</v>
      </c>
    </row>
    <row r="25" spans="1:13" ht="17.399999999999999">
      <c r="A25" s="10">
        <f ca="1">IFERROR(__xludf.DUMMYFUNCTION("""COMPUTED_VALUE"""),24)</f>
        <v>24</v>
      </c>
      <c r="B25" s="10" t="str">
        <f ca="1">IFERROR(__xludf.DUMMYFUNCTION("""COMPUTED_VALUE"""),"Alexandre Lindenmeyer")</f>
        <v>Alexandre Lindenmeyer</v>
      </c>
      <c r="C25" s="10" t="str">
        <f ca="1">IFERROR(__xludf.DUMMYFUNCTION("""COMPUTED_VALUE"""),"RS")</f>
        <v>RS</v>
      </c>
      <c r="D25" s="6" t="str">
        <f t="shared" ca="1" si="0"/>
        <v>Masculino</v>
      </c>
      <c r="E25" s="10" t="str">
        <f ca="1">IFERROR(__xludf.DUMMYFUNCTION("""COMPUTED_VALUE"""),"M")</f>
        <v>M</v>
      </c>
      <c r="F25" s="11">
        <f ca="1">IFERROR(__xludf.DUMMYFUNCTION("""COMPUTED_VALUE"""),23368)</f>
        <v>23368</v>
      </c>
      <c r="G25" s="6">
        <f t="shared" ca="1" si="1"/>
        <v>61</v>
      </c>
      <c r="H25" s="6" t="b">
        <f ca="1">(COUNTIFS(Deputados!A25:A1000, A25, Deputados!D25:D1000, "&lt;&gt;57")) = 0</f>
        <v>1</v>
      </c>
      <c r="J25" s="27" t="s">
        <v>66</v>
      </c>
      <c r="K25" s="28">
        <v>7</v>
      </c>
      <c r="L25" s="29">
        <v>31</v>
      </c>
      <c r="M25" s="30">
        <v>38</v>
      </c>
    </row>
    <row r="26" spans="1:13" ht="17.399999999999999">
      <c r="A26" s="10">
        <f ca="1">IFERROR(__xludf.DUMMYFUNCTION("""COMPUTED_VALUE"""),25)</f>
        <v>25</v>
      </c>
      <c r="B26" s="10" t="str">
        <f ca="1">IFERROR(__xludf.DUMMYFUNCTION("""COMPUTED_VALUE"""),"Alexandre Padilha")</f>
        <v>Alexandre Padilha</v>
      </c>
      <c r="C26" s="10" t="str">
        <f ca="1">IFERROR(__xludf.DUMMYFUNCTION("""COMPUTED_VALUE"""),"SP")</f>
        <v>SP</v>
      </c>
      <c r="D26" s="6" t="str">
        <f t="shared" ca="1" si="0"/>
        <v>Masculino</v>
      </c>
      <c r="E26" s="10" t="str">
        <f ca="1">IFERROR(__xludf.DUMMYFUNCTION("""COMPUTED_VALUE"""),"M")</f>
        <v>M</v>
      </c>
      <c r="F26" s="11">
        <f ca="1">IFERROR(__xludf.DUMMYFUNCTION("""COMPUTED_VALUE"""),26190)</f>
        <v>26190</v>
      </c>
      <c r="G26" s="6">
        <f t="shared" ca="1" si="1"/>
        <v>53</v>
      </c>
      <c r="H26" s="6" t="b">
        <f ca="1">(COUNTIFS(Deputados!A26:A1000, A26, Deputados!D26:D1000, "&lt;&gt;57")) = 0</f>
        <v>0</v>
      </c>
      <c r="J26" s="27" t="s">
        <v>423</v>
      </c>
      <c r="K26" s="28">
        <v>5</v>
      </c>
      <c r="L26" s="29">
        <v>14</v>
      </c>
      <c r="M26" s="30">
        <v>19</v>
      </c>
    </row>
    <row r="27" spans="1:13" ht="17.399999999999999">
      <c r="A27" s="10">
        <f ca="1">IFERROR(__xludf.DUMMYFUNCTION("""COMPUTED_VALUE"""),26)</f>
        <v>26</v>
      </c>
      <c r="B27" s="10" t="str">
        <f ca="1">IFERROR(__xludf.DUMMYFUNCTION("""COMPUTED_VALUE"""),"Alfredinho")</f>
        <v>Alfredinho</v>
      </c>
      <c r="C27" s="10" t="str">
        <f ca="1">IFERROR(__xludf.DUMMYFUNCTION("""COMPUTED_VALUE"""),"PI")</f>
        <v>PI</v>
      </c>
      <c r="D27" s="6" t="str">
        <f t="shared" ca="1" si="0"/>
        <v>Masculino</v>
      </c>
      <c r="E27" s="10" t="str">
        <f ca="1">IFERROR(__xludf.DUMMYFUNCTION("""COMPUTED_VALUE"""),"M")</f>
        <v>M</v>
      </c>
      <c r="F27" s="11">
        <f ca="1">IFERROR(__xludf.DUMMYFUNCTION("""COMPUTED_VALUE"""),21725)</f>
        <v>21725</v>
      </c>
      <c r="G27" s="6">
        <f t="shared" ca="1" si="1"/>
        <v>66</v>
      </c>
      <c r="H27" s="6" t="b">
        <f ca="1">(COUNTIFS(Deputados!A27:A1000, A27, Deputados!D27:D1000, "&lt;&gt;57")) = 0</f>
        <v>0</v>
      </c>
      <c r="J27" s="27" t="s">
        <v>91</v>
      </c>
      <c r="K27" s="28">
        <v>2</v>
      </c>
      <c r="L27" s="29">
        <v>9</v>
      </c>
      <c r="M27" s="30">
        <v>11</v>
      </c>
    </row>
    <row r="28" spans="1:13" ht="17.399999999999999">
      <c r="A28" s="10">
        <f ca="1">IFERROR(__xludf.DUMMYFUNCTION("""COMPUTED_VALUE"""),27)</f>
        <v>27</v>
      </c>
      <c r="B28" s="10" t="str">
        <f ca="1">IFERROR(__xludf.DUMMYFUNCTION("""COMPUTED_VALUE"""),"Alfredo Gaspar")</f>
        <v>Alfredo Gaspar</v>
      </c>
      <c r="C28" s="10" t="str">
        <f ca="1">IFERROR(__xludf.DUMMYFUNCTION("""COMPUTED_VALUE"""),"AL")</f>
        <v>AL</v>
      </c>
      <c r="D28" s="6" t="str">
        <f t="shared" ca="1" si="0"/>
        <v>Masculino</v>
      </c>
      <c r="E28" s="10" t="str">
        <f ca="1">IFERROR(__xludf.DUMMYFUNCTION("""COMPUTED_VALUE"""),"M")</f>
        <v>M</v>
      </c>
      <c r="F28" s="11">
        <f ca="1">IFERROR(__xludf.DUMMYFUNCTION("""COMPUTED_VALUE"""),25793)</f>
        <v>25793</v>
      </c>
      <c r="G28" s="6">
        <f t="shared" ca="1" si="1"/>
        <v>55</v>
      </c>
      <c r="H28" s="6" t="b">
        <f ca="1">(COUNTIFS(Deputados!A28:A1000, A28, Deputados!D28:D1000, "&lt;&gt;57")) = 0</f>
        <v>1</v>
      </c>
      <c r="J28" s="27" t="s">
        <v>47</v>
      </c>
      <c r="K28" s="28">
        <v>16</v>
      </c>
      <c r="L28" s="29">
        <v>66</v>
      </c>
      <c r="M28" s="30">
        <v>82</v>
      </c>
    </row>
    <row r="29" spans="1:13" ht="17.399999999999999">
      <c r="A29" s="10">
        <f ca="1">IFERROR(__xludf.DUMMYFUNCTION("""COMPUTED_VALUE"""),28)</f>
        <v>28</v>
      </c>
      <c r="B29" s="10" t="str">
        <f ca="1">IFERROR(__xludf.DUMMYFUNCTION("""COMPUTED_VALUE"""),"Alice Portugal")</f>
        <v>Alice Portugal</v>
      </c>
      <c r="C29" s="10" t="str">
        <f ca="1">IFERROR(__xludf.DUMMYFUNCTION("""COMPUTED_VALUE"""),"BA")</f>
        <v>BA</v>
      </c>
      <c r="D29" s="6" t="str">
        <f t="shared" ca="1" si="0"/>
        <v>Feminino</v>
      </c>
      <c r="E29" s="10" t="str">
        <f ca="1">IFERROR(__xludf.DUMMYFUNCTION("""COMPUTED_VALUE"""),"F")</f>
        <v>F</v>
      </c>
      <c r="F29" s="11">
        <f ca="1">IFERROR(__xludf.DUMMYFUNCTION("""COMPUTED_VALUE"""),21686)</f>
        <v>21686</v>
      </c>
      <c r="G29" s="6">
        <f t="shared" ca="1" si="1"/>
        <v>66</v>
      </c>
      <c r="H29" s="6" t="b">
        <f ca="1">(COUNTIFS(Deputados!A29:A1000, A29, Deputados!D29:D1000, "&lt;&gt;57")) = 0</f>
        <v>0</v>
      </c>
      <c r="J29" s="27" t="s">
        <v>122</v>
      </c>
      <c r="K29" s="28">
        <v>1</v>
      </c>
      <c r="L29" s="29">
        <v>2</v>
      </c>
      <c r="M29" s="30">
        <v>3</v>
      </c>
    </row>
    <row r="30" spans="1:13" ht="17.399999999999999">
      <c r="A30" s="10">
        <f ca="1">IFERROR(__xludf.DUMMYFUNCTION("""COMPUTED_VALUE"""),29)</f>
        <v>29</v>
      </c>
      <c r="B30" s="10" t="str">
        <f ca="1">IFERROR(__xludf.DUMMYFUNCTION("""COMPUTED_VALUE"""),"Aliel Machado")</f>
        <v>Aliel Machado</v>
      </c>
      <c r="C30" s="10" t="str">
        <f ca="1">IFERROR(__xludf.DUMMYFUNCTION("""COMPUTED_VALUE"""),"PR")</f>
        <v>PR</v>
      </c>
      <c r="D30" s="6" t="str">
        <f t="shared" ca="1" si="0"/>
        <v>Masculino</v>
      </c>
      <c r="E30" s="10" t="str">
        <f ca="1">IFERROR(__xludf.DUMMYFUNCTION("""COMPUTED_VALUE"""),"M")</f>
        <v>M</v>
      </c>
      <c r="F30" s="11">
        <f ca="1">IFERROR(__xludf.DUMMYFUNCTION("""COMPUTED_VALUE"""),32565)</f>
        <v>32565</v>
      </c>
      <c r="G30" s="6">
        <f t="shared" ca="1" si="1"/>
        <v>36</v>
      </c>
      <c r="H30" s="6" t="b">
        <f ca="1">(COUNTIFS(Deputados!A30:A1000, A30, Deputados!D30:D1000, "&lt;&gt;57")) = 0</f>
        <v>0</v>
      </c>
      <c r="J30" s="31" t="s">
        <v>27804</v>
      </c>
      <c r="K30" s="32">
        <v>115</v>
      </c>
      <c r="L30" s="33">
        <v>505</v>
      </c>
      <c r="M30" s="34">
        <v>620</v>
      </c>
    </row>
    <row r="31" spans="1:13" ht="17.399999999999999">
      <c r="A31" s="10">
        <f ca="1">IFERROR(__xludf.DUMMYFUNCTION("""COMPUTED_VALUE"""),30)</f>
        <v>30</v>
      </c>
      <c r="B31" s="10" t="str">
        <f ca="1">IFERROR(__xludf.DUMMYFUNCTION("""COMPUTED_VALUE"""),"Aline Gurgel")</f>
        <v>Aline Gurgel</v>
      </c>
      <c r="C31" s="10" t="str">
        <f ca="1">IFERROR(__xludf.DUMMYFUNCTION("""COMPUTED_VALUE"""),"AP")</f>
        <v>AP</v>
      </c>
      <c r="D31" s="6" t="str">
        <f t="shared" ca="1" si="0"/>
        <v>Feminino</v>
      </c>
      <c r="E31" s="10" t="str">
        <f ca="1">IFERROR(__xludf.DUMMYFUNCTION("""COMPUTED_VALUE"""),"F")</f>
        <v>F</v>
      </c>
      <c r="F31" s="11">
        <f ca="1">IFERROR(__xludf.DUMMYFUNCTION("""COMPUTED_VALUE"""),29550)</f>
        <v>29550</v>
      </c>
      <c r="G31" s="6">
        <f t="shared" ca="1" si="1"/>
        <v>44</v>
      </c>
      <c r="H31" s="6" t="b">
        <f ca="1">(COUNTIFS(Deputados!A31:A1000, A31, Deputados!D31:D1000, "&lt;&gt;57")) = 0</f>
        <v>0</v>
      </c>
    </row>
    <row r="32" spans="1:13" ht="17.399999999999999">
      <c r="A32" s="10">
        <f ca="1">IFERROR(__xludf.DUMMYFUNCTION("""COMPUTED_VALUE"""),31)</f>
        <v>31</v>
      </c>
      <c r="B32" s="10" t="str">
        <f ca="1">IFERROR(__xludf.DUMMYFUNCTION("""COMPUTED_VALUE"""),"Allan Garcês")</f>
        <v>Allan Garcês</v>
      </c>
      <c r="C32" s="10" t="str">
        <f ca="1">IFERROR(__xludf.DUMMYFUNCTION("""COMPUTED_VALUE"""),"PA")</f>
        <v>PA</v>
      </c>
      <c r="D32" s="6" t="str">
        <f t="shared" ca="1" si="0"/>
        <v>Masculino</v>
      </c>
      <c r="E32" s="10" t="str">
        <f ca="1">IFERROR(__xludf.DUMMYFUNCTION("""COMPUTED_VALUE"""),"M")</f>
        <v>M</v>
      </c>
      <c r="F32" s="11">
        <f ca="1">IFERROR(__xludf.DUMMYFUNCTION("""COMPUTED_VALUE"""),25445)</f>
        <v>25445</v>
      </c>
      <c r="G32" s="6">
        <f t="shared" ca="1" si="1"/>
        <v>56</v>
      </c>
      <c r="H32" s="6" t="b">
        <f ca="1">(COUNTIFS(Deputados!A32:A1000, A32, Deputados!D32:D1000, "&lt;&gt;57")) = 0</f>
        <v>1</v>
      </c>
    </row>
    <row r="33" spans="1:8" ht="17.399999999999999">
      <c r="A33" s="10">
        <f ca="1">IFERROR(__xludf.DUMMYFUNCTION("""COMPUTED_VALUE"""),32)</f>
        <v>32</v>
      </c>
      <c r="B33" s="10" t="str">
        <f ca="1">IFERROR(__xludf.DUMMYFUNCTION("""COMPUTED_VALUE"""),"Altineu Côrtes")</f>
        <v>Altineu Côrtes</v>
      </c>
      <c r="C33" s="10" t="str">
        <f ca="1">IFERROR(__xludf.DUMMYFUNCTION("""COMPUTED_VALUE"""),"RJ")</f>
        <v>RJ</v>
      </c>
      <c r="D33" s="6" t="str">
        <f t="shared" ca="1" si="0"/>
        <v>Masculino</v>
      </c>
      <c r="E33" s="10" t="str">
        <f ca="1">IFERROR(__xludf.DUMMYFUNCTION("""COMPUTED_VALUE"""),"M")</f>
        <v>M</v>
      </c>
      <c r="F33" s="11">
        <f ca="1">IFERROR(__xludf.DUMMYFUNCTION("""COMPUTED_VALUE"""),25094)</f>
        <v>25094</v>
      </c>
      <c r="G33" s="6">
        <f t="shared" ca="1" si="1"/>
        <v>56</v>
      </c>
      <c r="H33" s="6" t="b">
        <f ca="1">(COUNTIFS(Deputados!A33:A1000, A33, Deputados!D33:D1000, "&lt;&gt;57")) = 0</f>
        <v>0</v>
      </c>
    </row>
    <row r="34" spans="1:8" ht="17.399999999999999">
      <c r="A34" s="10">
        <f ca="1">IFERROR(__xludf.DUMMYFUNCTION("""COMPUTED_VALUE"""),33)</f>
        <v>33</v>
      </c>
      <c r="B34" s="10" t="str">
        <f ca="1">IFERROR(__xludf.DUMMYFUNCTION("""COMPUTED_VALUE"""),"Aluisio Mendes")</f>
        <v>Aluisio Mendes</v>
      </c>
      <c r="C34" s="10" t="str">
        <f ca="1">IFERROR(__xludf.DUMMYFUNCTION("""COMPUTED_VALUE"""),"MG")</f>
        <v>MG</v>
      </c>
      <c r="D34" s="6" t="str">
        <f t="shared" ca="1" si="0"/>
        <v>Masculino</v>
      </c>
      <c r="E34" s="10" t="str">
        <f ca="1">IFERROR(__xludf.DUMMYFUNCTION("""COMPUTED_VALUE"""),"M")</f>
        <v>M</v>
      </c>
      <c r="F34" s="11">
        <f ca="1">IFERROR(__xludf.DUMMYFUNCTION("""COMPUTED_VALUE"""),22596)</f>
        <v>22596</v>
      </c>
      <c r="G34" s="6">
        <f t="shared" ca="1" si="1"/>
        <v>63</v>
      </c>
      <c r="H34" s="6" t="b">
        <f ca="1">(COUNTIFS(Deputados!A34:A1000, A34, Deputados!D34:D1000, "&lt;&gt;57")) = 0</f>
        <v>0</v>
      </c>
    </row>
    <row r="35" spans="1:8" ht="17.399999999999999">
      <c r="A35" s="10">
        <f ca="1">IFERROR(__xludf.DUMMYFUNCTION("""COMPUTED_VALUE"""),34)</f>
        <v>34</v>
      </c>
      <c r="B35" s="10" t="str">
        <f ca="1">IFERROR(__xludf.DUMMYFUNCTION("""COMPUTED_VALUE"""),"Amália Barros")</f>
        <v>Amália Barros</v>
      </c>
      <c r="C35" s="10" t="str">
        <f ca="1">IFERROR(__xludf.DUMMYFUNCTION("""COMPUTED_VALUE"""),"SP")</f>
        <v>SP</v>
      </c>
      <c r="D35" s="6" t="str">
        <f t="shared" ca="1" si="0"/>
        <v>Feminino</v>
      </c>
      <c r="E35" s="10" t="str">
        <f ca="1">IFERROR(__xludf.DUMMYFUNCTION("""COMPUTED_VALUE"""),"F")</f>
        <v>F</v>
      </c>
      <c r="F35" s="11">
        <f ca="1">IFERROR(__xludf.DUMMYFUNCTION("""COMPUTED_VALUE"""),31128)</f>
        <v>31128</v>
      </c>
      <c r="G35" s="6">
        <f t="shared" ca="1" si="1"/>
        <v>40</v>
      </c>
      <c r="H35" s="6" t="b">
        <f ca="1">(COUNTIFS(Deputados!A35:A1000, A35, Deputados!D35:D1000, "&lt;&gt;57")) = 0</f>
        <v>1</v>
      </c>
    </row>
    <row r="36" spans="1:8" ht="17.399999999999999">
      <c r="A36" s="10">
        <f ca="1">IFERROR(__xludf.DUMMYFUNCTION("""COMPUTED_VALUE"""),35)</f>
        <v>35</v>
      </c>
      <c r="B36" s="10" t="str">
        <f ca="1">IFERROR(__xludf.DUMMYFUNCTION("""COMPUTED_VALUE"""),"Amanda Gentil")</f>
        <v>Amanda Gentil</v>
      </c>
      <c r="C36" s="10" t="str">
        <f ca="1">IFERROR(__xludf.DUMMYFUNCTION("""COMPUTED_VALUE"""),"MA")</f>
        <v>MA</v>
      </c>
      <c r="D36" s="6" t="str">
        <f t="shared" ca="1" si="0"/>
        <v>Feminino</v>
      </c>
      <c r="E36" s="10" t="str">
        <f ca="1">IFERROR(__xludf.DUMMYFUNCTION("""COMPUTED_VALUE"""),"F")</f>
        <v>F</v>
      </c>
      <c r="F36" s="11">
        <f ca="1">IFERROR(__xludf.DUMMYFUNCTION("""COMPUTED_VALUE"""),36154)</f>
        <v>36154</v>
      </c>
      <c r="G36" s="6">
        <f t="shared" ca="1" si="1"/>
        <v>26</v>
      </c>
      <c r="H36" s="6" t="b">
        <f ca="1">(COUNTIFS(Deputados!A36:A1000, A36, Deputados!D36:D1000, "&lt;&gt;57")) = 0</f>
        <v>1</v>
      </c>
    </row>
    <row r="37" spans="1:8" ht="17.399999999999999">
      <c r="A37" s="10">
        <f ca="1">IFERROR(__xludf.DUMMYFUNCTION("""COMPUTED_VALUE"""),36)</f>
        <v>36</v>
      </c>
      <c r="B37" s="10" t="str">
        <f ca="1">IFERROR(__xludf.DUMMYFUNCTION("""COMPUTED_VALUE"""),"Amaro Neto")</f>
        <v>Amaro Neto</v>
      </c>
      <c r="C37" s="10" t="str">
        <f ca="1">IFERROR(__xludf.DUMMYFUNCTION("""COMPUTED_VALUE"""),"ES")</f>
        <v>ES</v>
      </c>
      <c r="D37" s="6" t="str">
        <f t="shared" ca="1" si="0"/>
        <v>Masculino</v>
      </c>
      <c r="E37" s="10" t="str">
        <f ca="1">IFERROR(__xludf.DUMMYFUNCTION("""COMPUTED_VALUE"""),"M")</f>
        <v>M</v>
      </c>
      <c r="F37" s="11">
        <f ca="1">IFERROR(__xludf.DUMMYFUNCTION("""COMPUTED_VALUE"""),28098)</f>
        <v>28098</v>
      </c>
      <c r="G37" s="6">
        <f t="shared" ca="1" si="1"/>
        <v>48</v>
      </c>
      <c r="H37" s="6" t="b">
        <f ca="1">(COUNTIFS(Deputados!A37:A1000, A37, Deputados!D37:D1000, "&lt;&gt;57")) = 0</f>
        <v>0</v>
      </c>
    </row>
    <row r="38" spans="1:8" ht="17.399999999999999">
      <c r="A38" s="10">
        <f ca="1">IFERROR(__xludf.DUMMYFUNCTION("""COMPUTED_VALUE"""),37)</f>
        <v>37</v>
      </c>
      <c r="B38" s="10" t="str">
        <f ca="1">IFERROR(__xludf.DUMMYFUNCTION("""COMPUTED_VALUE"""),"Amom Mandel")</f>
        <v>Amom Mandel</v>
      </c>
      <c r="C38" s="10" t="str">
        <f ca="1">IFERROR(__xludf.DUMMYFUNCTION("""COMPUTED_VALUE"""),"PE")</f>
        <v>PE</v>
      </c>
      <c r="D38" s="6" t="str">
        <f t="shared" ca="1" si="0"/>
        <v>Masculino</v>
      </c>
      <c r="E38" s="10" t="str">
        <f ca="1">IFERROR(__xludf.DUMMYFUNCTION("""COMPUTED_VALUE"""),"M")</f>
        <v>M</v>
      </c>
      <c r="F38" s="11">
        <f ca="1">IFERROR(__xludf.DUMMYFUNCTION("""COMPUTED_VALUE"""),36893)</f>
        <v>36893</v>
      </c>
      <c r="G38" s="6">
        <f t="shared" ca="1" si="1"/>
        <v>24</v>
      </c>
      <c r="H38" s="6" t="b">
        <f ca="1">(COUNTIFS(Deputados!A38:A1000, A38, Deputados!D38:D1000, "&lt;&gt;57")) = 0</f>
        <v>1</v>
      </c>
    </row>
    <row r="39" spans="1:8" ht="17.399999999999999">
      <c r="A39" s="10">
        <f ca="1">IFERROR(__xludf.DUMMYFUNCTION("""COMPUTED_VALUE"""),38)</f>
        <v>38</v>
      </c>
      <c r="B39" s="10" t="str">
        <f ca="1">IFERROR(__xludf.DUMMYFUNCTION("""COMPUTED_VALUE"""),"Ana Paula Leão")</f>
        <v>Ana Paula Leão</v>
      </c>
      <c r="C39" s="10" t="str">
        <f ca="1">IFERROR(__xludf.DUMMYFUNCTION("""COMPUTED_VALUE"""),"MG")</f>
        <v>MG</v>
      </c>
      <c r="D39" s="6" t="str">
        <f t="shared" ca="1" si="0"/>
        <v>Feminino</v>
      </c>
      <c r="E39" s="10" t="str">
        <f ca="1">IFERROR(__xludf.DUMMYFUNCTION("""COMPUTED_VALUE"""),"F")</f>
        <v>F</v>
      </c>
      <c r="F39" s="11">
        <f ca="1">IFERROR(__xludf.DUMMYFUNCTION("""COMPUTED_VALUE"""),23976)</f>
        <v>23976</v>
      </c>
      <c r="G39" s="6">
        <f t="shared" ca="1" si="1"/>
        <v>60</v>
      </c>
      <c r="H39" s="6" t="b">
        <f ca="1">(COUNTIFS(Deputados!A39:A1000, A39, Deputados!D39:D1000, "&lt;&gt;57")) = 0</f>
        <v>1</v>
      </c>
    </row>
    <row r="40" spans="1:8" ht="17.399999999999999">
      <c r="A40" s="10">
        <f ca="1">IFERROR(__xludf.DUMMYFUNCTION("""COMPUTED_VALUE"""),39)</f>
        <v>39</v>
      </c>
      <c r="B40" s="10" t="str">
        <f ca="1">IFERROR(__xludf.DUMMYFUNCTION("""COMPUTED_VALUE"""),"Ana Paula Lima")</f>
        <v>Ana Paula Lima</v>
      </c>
      <c r="C40" s="10" t="str">
        <f ca="1">IFERROR(__xludf.DUMMYFUNCTION("""COMPUTED_VALUE"""),"PR")</f>
        <v>PR</v>
      </c>
      <c r="D40" s="6" t="str">
        <f t="shared" ca="1" si="0"/>
        <v>Feminino</v>
      </c>
      <c r="E40" s="10" t="str">
        <f ca="1">IFERROR(__xludf.DUMMYFUNCTION("""COMPUTED_VALUE"""),"F")</f>
        <v>F</v>
      </c>
      <c r="F40" s="11">
        <f ca="1">IFERROR(__xludf.DUMMYFUNCTION("""COMPUTED_VALUE"""),23486)</f>
        <v>23486</v>
      </c>
      <c r="G40" s="6">
        <f t="shared" ca="1" si="1"/>
        <v>61</v>
      </c>
      <c r="H40" s="6" t="b">
        <f ca="1">(COUNTIFS(Deputados!A40:A1000, A40, Deputados!D40:D1000, "&lt;&gt;57")) = 0</f>
        <v>1</v>
      </c>
    </row>
    <row r="41" spans="1:8" ht="17.399999999999999">
      <c r="A41" s="10">
        <f ca="1">IFERROR(__xludf.DUMMYFUNCTION("""COMPUTED_VALUE"""),40)</f>
        <v>40</v>
      </c>
      <c r="B41" s="10" t="str">
        <f ca="1">IFERROR(__xludf.DUMMYFUNCTION("""COMPUTED_VALUE"""),"Ana Pimentel")</f>
        <v>Ana Pimentel</v>
      </c>
      <c r="C41" s="10" t="str">
        <f ca="1">IFERROR(__xludf.DUMMYFUNCTION("""COMPUTED_VALUE"""),"MG")</f>
        <v>MG</v>
      </c>
      <c r="D41" s="6" t="str">
        <f t="shared" ca="1" si="0"/>
        <v>Feminino</v>
      </c>
      <c r="E41" s="10" t="str">
        <f ca="1">IFERROR(__xludf.DUMMYFUNCTION("""COMPUTED_VALUE"""),"F")</f>
        <v>F</v>
      </c>
      <c r="F41" s="11">
        <f ca="1">IFERROR(__xludf.DUMMYFUNCTION("""COMPUTED_VALUE"""),30086)</f>
        <v>30086</v>
      </c>
      <c r="G41" s="6">
        <f t="shared" ca="1" si="1"/>
        <v>43</v>
      </c>
      <c r="H41" s="6" t="b">
        <f ca="1">(COUNTIFS(Deputados!A41:A1000, A41, Deputados!D41:D1000, "&lt;&gt;57")) = 0</f>
        <v>1</v>
      </c>
    </row>
    <row r="42" spans="1:8" ht="17.399999999999999">
      <c r="A42" s="10">
        <f ca="1">IFERROR(__xludf.DUMMYFUNCTION("""COMPUTED_VALUE"""),41)</f>
        <v>41</v>
      </c>
      <c r="B42" s="10" t="str">
        <f ca="1">IFERROR(__xludf.DUMMYFUNCTION("""COMPUTED_VALUE"""),"André Abdon")</f>
        <v>André Abdon</v>
      </c>
      <c r="C42" s="10" t="str">
        <f ca="1">IFERROR(__xludf.DUMMYFUNCTION("""COMPUTED_VALUE"""),"PA")</f>
        <v>PA</v>
      </c>
      <c r="D42" s="6" t="str">
        <f t="shared" ca="1" si="0"/>
        <v>Masculino</v>
      </c>
      <c r="E42" s="10" t="str">
        <f ca="1">IFERROR(__xludf.DUMMYFUNCTION("""COMPUTED_VALUE"""),"M")</f>
        <v>M</v>
      </c>
      <c r="F42" s="11">
        <f ca="1">IFERROR(__xludf.DUMMYFUNCTION("""COMPUTED_VALUE"""),25882)</f>
        <v>25882</v>
      </c>
      <c r="G42" s="6">
        <f t="shared" ca="1" si="1"/>
        <v>54</v>
      </c>
      <c r="H42" s="6" t="b">
        <f ca="1">(COUNTIFS(Deputados!A42:A1000, A42, Deputados!D42:D1000, "&lt;&gt;57")) = 0</f>
        <v>0</v>
      </c>
    </row>
    <row r="43" spans="1:8" ht="17.399999999999999">
      <c r="A43" s="10">
        <f ca="1">IFERROR(__xludf.DUMMYFUNCTION("""COMPUTED_VALUE"""),42)</f>
        <v>42</v>
      </c>
      <c r="B43" s="10" t="str">
        <f ca="1">IFERROR(__xludf.DUMMYFUNCTION("""COMPUTED_VALUE"""),"André Fernandes")</f>
        <v>André Fernandes</v>
      </c>
      <c r="C43" s="10" t="str">
        <f ca="1">IFERROR(__xludf.DUMMYFUNCTION("""COMPUTED_VALUE"""),"CE")</f>
        <v>CE</v>
      </c>
      <c r="D43" s="6" t="str">
        <f t="shared" ca="1" si="0"/>
        <v>Masculino</v>
      </c>
      <c r="E43" s="10" t="str">
        <f ca="1">IFERROR(__xludf.DUMMYFUNCTION("""COMPUTED_VALUE"""),"M")</f>
        <v>M</v>
      </c>
      <c r="F43" s="11">
        <f ca="1">IFERROR(__xludf.DUMMYFUNCTION("""COMPUTED_VALUE"""),35774)</f>
        <v>35774</v>
      </c>
      <c r="G43" s="6">
        <f t="shared" ca="1" si="1"/>
        <v>27</v>
      </c>
      <c r="H43" s="6" t="b">
        <f ca="1">(COUNTIFS(Deputados!A43:A1000, A43, Deputados!D43:D1000, "&lt;&gt;57")) = 0</f>
        <v>1</v>
      </c>
    </row>
    <row r="44" spans="1:8" ht="17.399999999999999">
      <c r="A44" s="10">
        <f ca="1">IFERROR(__xludf.DUMMYFUNCTION("""COMPUTED_VALUE"""),43)</f>
        <v>43</v>
      </c>
      <c r="B44" s="10" t="str">
        <f ca="1">IFERROR(__xludf.DUMMYFUNCTION("""COMPUTED_VALUE"""),"André Ferreira")</f>
        <v>André Ferreira</v>
      </c>
      <c r="C44" s="10" t="str">
        <f ca="1">IFERROR(__xludf.DUMMYFUNCTION("""COMPUTED_VALUE"""),"PE")</f>
        <v>PE</v>
      </c>
      <c r="D44" s="6" t="str">
        <f t="shared" ca="1" si="0"/>
        <v>Masculino</v>
      </c>
      <c r="E44" s="10" t="str">
        <f ca="1">IFERROR(__xludf.DUMMYFUNCTION("""COMPUTED_VALUE"""),"M")</f>
        <v>M</v>
      </c>
      <c r="F44" s="11">
        <f ca="1">IFERROR(__xludf.DUMMYFUNCTION("""COMPUTED_VALUE"""),26643)</f>
        <v>26643</v>
      </c>
      <c r="G44" s="6">
        <f t="shared" ca="1" si="1"/>
        <v>52</v>
      </c>
      <c r="H44" s="6" t="b">
        <f ca="1">(COUNTIFS(Deputados!A44:A1000, A44, Deputados!D44:D1000, "&lt;&gt;57")) = 0</f>
        <v>0</v>
      </c>
    </row>
    <row r="45" spans="1:8" ht="17.399999999999999">
      <c r="A45" s="10">
        <f ca="1">IFERROR(__xludf.DUMMYFUNCTION("""COMPUTED_VALUE"""),44)</f>
        <v>44</v>
      </c>
      <c r="B45" s="10" t="str">
        <f ca="1">IFERROR(__xludf.DUMMYFUNCTION("""COMPUTED_VALUE"""),"André Figueiredo")</f>
        <v>André Figueiredo</v>
      </c>
      <c r="C45" s="10" t="str">
        <f ca="1">IFERROR(__xludf.DUMMYFUNCTION("""COMPUTED_VALUE"""),"CE")</f>
        <v>CE</v>
      </c>
      <c r="D45" s="6" t="str">
        <f t="shared" ca="1" si="0"/>
        <v>Masculino</v>
      </c>
      <c r="E45" s="10" t="str">
        <f ca="1">IFERROR(__xludf.DUMMYFUNCTION("""COMPUTED_VALUE"""),"M")</f>
        <v>M</v>
      </c>
      <c r="F45" s="11">
        <f ca="1">IFERROR(__xludf.DUMMYFUNCTION("""COMPUTED_VALUE"""),24421)</f>
        <v>24421</v>
      </c>
      <c r="G45" s="6">
        <f t="shared" ca="1" si="1"/>
        <v>58</v>
      </c>
      <c r="H45" s="6" t="b">
        <f ca="1">(COUNTIFS(Deputados!A45:A1000, A45, Deputados!D45:D1000, "&lt;&gt;57")) = 0</f>
        <v>0</v>
      </c>
    </row>
    <row r="46" spans="1:8" ht="17.399999999999999">
      <c r="A46" s="10">
        <f ca="1">IFERROR(__xludf.DUMMYFUNCTION("""COMPUTED_VALUE"""),45)</f>
        <v>45</v>
      </c>
      <c r="B46" s="10" t="str">
        <f ca="1">IFERROR(__xludf.DUMMYFUNCTION("""COMPUTED_VALUE"""),"André Fufuca")</f>
        <v>André Fufuca</v>
      </c>
      <c r="C46" s="10" t="str">
        <f ca="1">IFERROR(__xludf.DUMMYFUNCTION("""COMPUTED_VALUE"""),"MA")</f>
        <v>MA</v>
      </c>
      <c r="D46" s="6" t="str">
        <f t="shared" ca="1" si="0"/>
        <v>Masculino</v>
      </c>
      <c r="E46" s="10" t="str">
        <f ca="1">IFERROR(__xludf.DUMMYFUNCTION("""COMPUTED_VALUE"""),"M")</f>
        <v>M</v>
      </c>
      <c r="F46" s="11">
        <f ca="1">IFERROR(__xludf.DUMMYFUNCTION("""COMPUTED_VALUE"""),32747)</f>
        <v>32747</v>
      </c>
      <c r="G46" s="6">
        <f t="shared" ca="1" si="1"/>
        <v>36</v>
      </c>
      <c r="H46" s="6" t="b">
        <f ca="1">(COUNTIFS(Deputados!A46:A1000, A46, Deputados!D46:D1000, "&lt;&gt;57")) = 0</f>
        <v>0</v>
      </c>
    </row>
    <row r="47" spans="1:8" ht="17.399999999999999">
      <c r="A47" s="10">
        <f ca="1">IFERROR(__xludf.DUMMYFUNCTION("""COMPUTED_VALUE"""),46)</f>
        <v>46</v>
      </c>
      <c r="B47" s="10" t="str">
        <f ca="1">IFERROR(__xludf.DUMMYFUNCTION("""COMPUTED_VALUE"""),"André Janones")</f>
        <v>André Janones</v>
      </c>
      <c r="C47" s="10" t="str">
        <f ca="1">IFERROR(__xludf.DUMMYFUNCTION("""COMPUTED_VALUE"""),"MG")</f>
        <v>MG</v>
      </c>
      <c r="D47" s="6" t="str">
        <f t="shared" ca="1" si="0"/>
        <v>Masculino</v>
      </c>
      <c r="E47" s="10" t="str">
        <f ca="1">IFERROR(__xludf.DUMMYFUNCTION("""COMPUTED_VALUE"""),"M")</f>
        <v>M</v>
      </c>
      <c r="F47" s="11">
        <f ca="1">IFERROR(__xludf.DUMMYFUNCTION("""COMPUTED_VALUE"""),30807)</f>
        <v>30807</v>
      </c>
      <c r="G47" s="6">
        <f t="shared" ca="1" si="1"/>
        <v>41</v>
      </c>
      <c r="H47" s="6" t="b">
        <f ca="1">(COUNTIFS(Deputados!A47:A1000, A47, Deputados!D47:D1000, "&lt;&gt;57")) = 0</f>
        <v>0</v>
      </c>
    </row>
    <row r="48" spans="1:8" ht="17.399999999999999">
      <c r="A48" s="10">
        <f ca="1">IFERROR(__xludf.DUMMYFUNCTION("""COMPUTED_VALUE"""),47)</f>
        <v>47</v>
      </c>
      <c r="B48" s="10" t="str">
        <f ca="1">IFERROR(__xludf.DUMMYFUNCTION("""COMPUTED_VALUE"""),"Andreia Siqueira")</f>
        <v>Andreia Siqueira</v>
      </c>
      <c r="C48" s="10" t="str">
        <f ca="1">IFERROR(__xludf.DUMMYFUNCTION("""COMPUTED_VALUE"""),"PA")</f>
        <v>PA</v>
      </c>
      <c r="D48" s="6" t="str">
        <f t="shared" ca="1" si="0"/>
        <v>Feminino</v>
      </c>
      <c r="E48" s="10" t="str">
        <f ca="1">IFERROR(__xludf.DUMMYFUNCTION("""COMPUTED_VALUE"""),"F")</f>
        <v>F</v>
      </c>
      <c r="F48" s="11">
        <f ca="1">IFERROR(__xludf.DUMMYFUNCTION("""COMPUTED_VALUE"""),33835)</f>
        <v>33835</v>
      </c>
      <c r="G48" s="6">
        <f t="shared" ca="1" si="1"/>
        <v>33</v>
      </c>
      <c r="H48" s="6" t="b">
        <f ca="1">(COUNTIFS(Deputados!A48:A1000, A48, Deputados!D48:D1000, "&lt;&gt;57")) = 0</f>
        <v>1</v>
      </c>
    </row>
    <row r="49" spans="1:8" ht="17.399999999999999">
      <c r="A49" s="10">
        <f ca="1">IFERROR(__xludf.DUMMYFUNCTION("""COMPUTED_VALUE"""),48)</f>
        <v>48</v>
      </c>
      <c r="B49" s="10" t="str">
        <f ca="1">IFERROR(__xludf.DUMMYFUNCTION("""COMPUTED_VALUE"""),"Antônia Lúcia")</f>
        <v>Antônia Lúcia</v>
      </c>
      <c r="C49" s="10" t="str">
        <f ca="1">IFERROR(__xludf.DUMMYFUNCTION("""COMPUTED_VALUE"""),"AC")</f>
        <v>AC</v>
      </c>
      <c r="D49" s="6" t="str">
        <f t="shared" ca="1" si="0"/>
        <v>Feminino</v>
      </c>
      <c r="E49" s="10" t="str">
        <f ca="1">IFERROR(__xludf.DUMMYFUNCTION("""COMPUTED_VALUE"""),"F")</f>
        <v>F</v>
      </c>
      <c r="F49" s="11">
        <f ca="1">IFERROR(__xludf.DUMMYFUNCTION("""COMPUTED_VALUE"""),25766)</f>
        <v>25766</v>
      </c>
      <c r="G49" s="6">
        <f t="shared" ca="1" si="1"/>
        <v>55</v>
      </c>
      <c r="H49" s="6" t="b">
        <f ca="1">(COUNTIFS(Deputados!A49:A1000, A49, Deputados!D49:D1000, "&lt;&gt;57")) = 0</f>
        <v>0</v>
      </c>
    </row>
    <row r="50" spans="1:8" ht="17.399999999999999">
      <c r="A50" s="10">
        <f ca="1">IFERROR(__xludf.DUMMYFUNCTION("""COMPUTED_VALUE"""),49)</f>
        <v>49</v>
      </c>
      <c r="B50" s="10" t="str">
        <f ca="1">IFERROR(__xludf.DUMMYFUNCTION("""COMPUTED_VALUE"""),"Antonio Andrade")</f>
        <v>Antonio Andrade</v>
      </c>
      <c r="C50" s="10" t="str">
        <f ca="1">IFERROR(__xludf.DUMMYFUNCTION("""COMPUTED_VALUE"""),"TO")</f>
        <v>TO</v>
      </c>
      <c r="D50" s="6" t="str">
        <f t="shared" ca="1" si="0"/>
        <v>Masculino</v>
      </c>
      <c r="E50" s="10" t="str">
        <f ca="1">IFERROR(__xludf.DUMMYFUNCTION("""COMPUTED_VALUE"""),"M")</f>
        <v>M</v>
      </c>
      <c r="F50" s="11">
        <f ca="1">IFERROR(__xludf.DUMMYFUNCTION("""COMPUTED_VALUE"""),21480)</f>
        <v>21480</v>
      </c>
      <c r="G50" s="6">
        <f t="shared" ca="1" si="1"/>
        <v>66</v>
      </c>
      <c r="H50" s="6" t="b">
        <f ca="1">(COUNTIFS(Deputados!A50:A1000, A50, Deputados!D50:D1000, "&lt;&gt;57")) = 0</f>
        <v>1</v>
      </c>
    </row>
    <row r="51" spans="1:8" ht="17.399999999999999">
      <c r="A51" s="10">
        <f ca="1">IFERROR(__xludf.DUMMYFUNCTION("""COMPUTED_VALUE"""),50)</f>
        <v>50</v>
      </c>
      <c r="B51" s="10" t="str">
        <f ca="1">IFERROR(__xludf.DUMMYFUNCTION("""COMPUTED_VALUE"""),"Antonio Brito")</f>
        <v>Antonio Brito</v>
      </c>
      <c r="C51" s="10" t="str">
        <f ca="1">IFERROR(__xludf.DUMMYFUNCTION("""COMPUTED_VALUE"""),"BA")</f>
        <v>BA</v>
      </c>
      <c r="D51" s="6" t="str">
        <f t="shared" ca="1" si="0"/>
        <v>Masculino</v>
      </c>
      <c r="E51" s="10" t="str">
        <f ca="1">IFERROR(__xludf.DUMMYFUNCTION("""COMPUTED_VALUE"""),"M")</f>
        <v>M</v>
      </c>
      <c r="F51" s="11">
        <f ca="1">IFERROR(__xludf.DUMMYFUNCTION("""COMPUTED_VALUE"""),25220)</f>
        <v>25220</v>
      </c>
      <c r="G51" s="6">
        <f t="shared" ca="1" si="1"/>
        <v>56</v>
      </c>
      <c r="H51" s="6" t="b">
        <f ca="1">(COUNTIFS(Deputados!A51:A1000, A51, Deputados!D51:D1000, "&lt;&gt;57")) = 0</f>
        <v>0</v>
      </c>
    </row>
    <row r="52" spans="1:8" ht="17.399999999999999">
      <c r="A52" s="10">
        <f ca="1">IFERROR(__xludf.DUMMYFUNCTION("""COMPUTED_VALUE"""),51)</f>
        <v>51</v>
      </c>
      <c r="B52" s="10" t="str">
        <f ca="1">IFERROR(__xludf.DUMMYFUNCTION("""COMPUTED_VALUE"""),"Antonio Carlos Rodrigues")</f>
        <v>Antonio Carlos Rodrigues</v>
      </c>
      <c r="C52" s="10" t="str">
        <f ca="1">IFERROR(__xludf.DUMMYFUNCTION("""COMPUTED_VALUE"""),"SP")</f>
        <v>SP</v>
      </c>
      <c r="D52" s="6" t="str">
        <f t="shared" ca="1" si="0"/>
        <v>Masculino</v>
      </c>
      <c r="E52" s="10" t="str">
        <f ca="1">IFERROR(__xludf.DUMMYFUNCTION("""COMPUTED_VALUE"""),"M")</f>
        <v>M</v>
      </c>
      <c r="F52" s="11">
        <f ca="1">IFERROR(__xludf.DUMMYFUNCTION("""COMPUTED_VALUE"""),18400)</f>
        <v>18400</v>
      </c>
      <c r="G52" s="6">
        <f t="shared" ca="1" si="1"/>
        <v>75</v>
      </c>
      <c r="H52" s="6" t="b">
        <f ca="1">(COUNTIFS(Deputados!A52:A1000, A52, Deputados!D52:D1000, "&lt;&gt;57")) = 0</f>
        <v>1</v>
      </c>
    </row>
    <row r="53" spans="1:8" ht="17.399999999999999">
      <c r="A53" s="10">
        <f ca="1">IFERROR(__xludf.DUMMYFUNCTION("""COMPUTED_VALUE"""),52)</f>
        <v>52</v>
      </c>
      <c r="B53" s="10" t="str">
        <f ca="1">IFERROR(__xludf.DUMMYFUNCTION("""COMPUTED_VALUE"""),"Antônio Doido")</f>
        <v>Antônio Doido</v>
      </c>
      <c r="C53" s="10" t="str">
        <f ca="1">IFERROR(__xludf.DUMMYFUNCTION("""COMPUTED_VALUE"""),"BA")</f>
        <v>BA</v>
      </c>
      <c r="D53" s="6" t="str">
        <f t="shared" ca="1" si="0"/>
        <v>Masculino</v>
      </c>
      <c r="E53" s="10" t="str">
        <f ca="1">IFERROR(__xludf.DUMMYFUNCTION("""COMPUTED_VALUE"""),"M")</f>
        <v>M</v>
      </c>
      <c r="F53" s="11">
        <f ca="1">IFERROR(__xludf.DUMMYFUNCTION("""COMPUTED_VALUE"""),27998)</f>
        <v>27998</v>
      </c>
      <c r="G53" s="6">
        <f t="shared" ca="1" si="1"/>
        <v>49</v>
      </c>
      <c r="H53" s="6" t="b">
        <f ca="1">(COUNTIFS(Deputados!A53:A1000, A53, Deputados!D53:D1000, "&lt;&gt;57")) = 0</f>
        <v>1</v>
      </c>
    </row>
    <row r="54" spans="1:8" ht="17.399999999999999">
      <c r="A54" s="10">
        <f ca="1">IFERROR(__xludf.DUMMYFUNCTION("""COMPUTED_VALUE"""),53)</f>
        <v>53</v>
      </c>
      <c r="B54" s="10" t="str">
        <f ca="1">IFERROR(__xludf.DUMMYFUNCTION("""COMPUTED_VALUE"""),"Any Ortiz")</f>
        <v>Any Ortiz</v>
      </c>
      <c r="C54" s="10" t="str">
        <f ca="1">IFERROR(__xludf.DUMMYFUNCTION("""COMPUTED_VALUE"""),"RS")</f>
        <v>RS</v>
      </c>
      <c r="D54" s="6" t="str">
        <f t="shared" ca="1" si="0"/>
        <v>Feminino</v>
      </c>
      <c r="E54" s="10" t="str">
        <f ca="1">IFERROR(__xludf.DUMMYFUNCTION("""COMPUTED_VALUE"""),"F")</f>
        <v>F</v>
      </c>
      <c r="F54" s="11">
        <f ca="1">IFERROR(__xludf.DUMMYFUNCTION("""COMPUTED_VALUE"""),30608)</f>
        <v>30608</v>
      </c>
      <c r="G54" s="6">
        <f t="shared" ca="1" si="1"/>
        <v>41</v>
      </c>
      <c r="H54" s="6" t="b">
        <f ca="1">(COUNTIFS(Deputados!A54:A1000, A54, Deputados!D54:D1000, "&lt;&gt;57")) = 0</f>
        <v>1</v>
      </c>
    </row>
    <row r="55" spans="1:8" ht="17.399999999999999">
      <c r="A55" s="10">
        <f ca="1">IFERROR(__xludf.DUMMYFUNCTION("""COMPUTED_VALUE"""),54)</f>
        <v>54</v>
      </c>
      <c r="B55" s="10" t="str">
        <f ca="1">IFERROR(__xludf.DUMMYFUNCTION("""COMPUTED_VALUE"""),"Arlindo Chinaglia")</f>
        <v>Arlindo Chinaglia</v>
      </c>
      <c r="C55" s="10" t="str">
        <f ca="1">IFERROR(__xludf.DUMMYFUNCTION("""COMPUTED_VALUE"""),"SP")</f>
        <v>SP</v>
      </c>
      <c r="D55" s="6" t="str">
        <f t="shared" ca="1" si="0"/>
        <v>Masculino</v>
      </c>
      <c r="E55" s="10" t="str">
        <f ca="1">IFERROR(__xludf.DUMMYFUNCTION("""COMPUTED_VALUE"""),"M")</f>
        <v>M</v>
      </c>
      <c r="F55" s="11">
        <f ca="1">IFERROR(__xludf.DUMMYFUNCTION("""COMPUTED_VALUE"""),18256)</f>
        <v>18256</v>
      </c>
      <c r="G55" s="6">
        <f t="shared" ca="1" si="1"/>
        <v>75</v>
      </c>
      <c r="H55" s="6" t="b">
        <f ca="1">(COUNTIFS(Deputados!A55:A1000, A55, Deputados!D55:D1000, "&lt;&gt;57")) = 0</f>
        <v>0</v>
      </c>
    </row>
    <row r="56" spans="1:8" ht="17.399999999999999">
      <c r="A56" s="10">
        <f ca="1">IFERROR(__xludf.DUMMYFUNCTION("""COMPUTED_VALUE"""),55)</f>
        <v>55</v>
      </c>
      <c r="B56" s="10" t="str">
        <f ca="1">IFERROR(__xludf.DUMMYFUNCTION("""COMPUTED_VALUE"""),"Arnaldo Jardim")</f>
        <v>Arnaldo Jardim</v>
      </c>
      <c r="C56" s="10" t="str">
        <f ca="1">IFERROR(__xludf.DUMMYFUNCTION("""COMPUTED_VALUE"""),"SP")</f>
        <v>SP</v>
      </c>
      <c r="D56" s="6" t="str">
        <f t="shared" ca="1" si="0"/>
        <v>Masculino</v>
      </c>
      <c r="E56" s="10" t="str">
        <f ca="1">IFERROR(__xludf.DUMMYFUNCTION("""COMPUTED_VALUE"""),"M")</f>
        <v>M</v>
      </c>
      <c r="F56" s="11">
        <f ca="1">IFERROR(__xludf.DUMMYFUNCTION("""COMPUTED_VALUE"""),20217)</f>
        <v>20217</v>
      </c>
      <c r="G56" s="6">
        <f t="shared" ca="1" si="1"/>
        <v>70</v>
      </c>
      <c r="H56" s="6" t="b">
        <f ca="1">(COUNTIFS(Deputados!A56:A1000, A56, Deputados!D56:D1000, "&lt;&gt;57")) = 0</f>
        <v>0</v>
      </c>
    </row>
    <row r="57" spans="1:8" ht="17.399999999999999">
      <c r="A57" s="10">
        <f ca="1">IFERROR(__xludf.DUMMYFUNCTION("""COMPUTED_VALUE"""),56)</f>
        <v>56</v>
      </c>
      <c r="B57" s="10" t="str">
        <f ca="1">IFERROR(__xludf.DUMMYFUNCTION("""COMPUTED_VALUE"""),"Arthur Lira")</f>
        <v>Arthur Lira</v>
      </c>
      <c r="C57" s="10" t="str">
        <f ca="1">IFERROR(__xludf.DUMMYFUNCTION("""COMPUTED_VALUE"""),"AL")</f>
        <v>AL</v>
      </c>
      <c r="D57" s="6" t="str">
        <f t="shared" ca="1" si="0"/>
        <v>Masculino</v>
      </c>
      <c r="E57" s="10" t="str">
        <f ca="1">IFERROR(__xludf.DUMMYFUNCTION("""COMPUTED_VALUE"""),"M")</f>
        <v>M</v>
      </c>
      <c r="F57" s="11">
        <f ca="1">IFERROR(__xludf.DUMMYFUNCTION("""COMPUTED_VALUE"""),25379)</f>
        <v>25379</v>
      </c>
      <c r="G57" s="6">
        <f t="shared" ca="1" si="1"/>
        <v>56</v>
      </c>
      <c r="H57" s="6" t="b">
        <f ca="1">(COUNTIFS(Deputados!A57:A1000, A57, Deputados!D57:D1000, "&lt;&gt;57")) = 0</f>
        <v>0</v>
      </c>
    </row>
    <row r="58" spans="1:8" ht="17.399999999999999">
      <c r="A58" s="10">
        <f ca="1">IFERROR(__xludf.DUMMYFUNCTION("""COMPUTED_VALUE"""),57)</f>
        <v>57</v>
      </c>
      <c r="B58" s="10" t="str">
        <f ca="1">IFERROR(__xludf.DUMMYFUNCTION("""COMPUTED_VALUE"""),"Arthur Oliveira Maia")</f>
        <v>Arthur Oliveira Maia</v>
      </c>
      <c r="C58" s="10" t="str">
        <f ca="1">IFERROR(__xludf.DUMMYFUNCTION("""COMPUTED_VALUE"""),"BA")</f>
        <v>BA</v>
      </c>
      <c r="D58" s="6" t="str">
        <f t="shared" ca="1" si="0"/>
        <v>Masculino</v>
      </c>
      <c r="E58" s="10" t="str">
        <f ca="1">IFERROR(__xludf.DUMMYFUNCTION("""COMPUTED_VALUE"""),"M")</f>
        <v>M</v>
      </c>
      <c r="F58" s="11">
        <f ca="1">IFERROR(__xludf.DUMMYFUNCTION("""COMPUTED_VALUE"""),23606)</f>
        <v>23606</v>
      </c>
      <c r="G58" s="6">
        <f t="shared" ca="1" si="1"/>
        <v>61</v>
      </c>
      <c r="H58" s="6" t="b">
        <f ca="1">(COUNTIFS(Deputados!A58:A1000, A58, Deputados!D58:D1000, "&lt;&gt;57")) = 0</f>
        <v>0</v>
      </c>
    </row>
    <row r="59" spans="1:8" ht="17.399999999999999">
      <c r="A59" s="10">
        <f ca="1">IFERROR(__xludf.DUMMYFUNCTION("""COMPUTED_VALUE"""),58)</f>
        <v>58</v>
      </c>
      <c r="B59" s="10" t="str">
        <f ca="1">IFERROR(__xludf.DUMMYFUNCTION("""COMPUTED_VALUE"""),"Átila Lins")</f>
        <v>Átila Lins</v>
      </c>
      <c r="C59" s="10" t="str">
        <f ca="1">IFERROR(__xludf.DUMMYFUNCTION("""COMPUTED_VALUE"""),"AM")</f>
        <v>AM</v>
      </c>
      <c r="D59" s="6" t="str">
        <f t="shared" ca="1" si="0"/>
        <v>Masculino</v>
      </c>
      <c r="E59" s="10" t="str">
        <f ca="1">IFERROR(__xludf.DUMMYFUNCTION("""COMPUTED_VALUE"""),"M")</f>
        <v>M</v>
      </c>
      <c r="F59" s="11">
        <f ca="1">IFERROR(__xludf.DUMMYFUNCTION("""COMPUTED_VALUE"""),18589)</f>
        <v>18589</v>
      </c>
      <c r="G59" s="6">
        <f t="shared" ca="1" si="1"/>
        <v>74</v>
      </c>
      <c r="H59" s="6" t="b">
        <f ca="1">(COUNTIFS(Deputados!A59:A1000, A59, Deputados!D59:D1000, "&lt;&gt;57")) = 0</f>
        <v>0</v>
      </c>
    </row>
    <row r="60" spans="1:8" ht="17.399999999999999">
      <c r="A60" s="10">
        <f ca="1">IFERROR(__xludf.DUMMYFUNCTION("""COMPUTED_VALUE"""),59)</f>
        <v>59</v>
      </c>
      <c r="B60" s="10" t="str">
        <f ca="1">IFERROR(__xludf.DUMMYFUNCTION("""COMPUTED_VALUE"""),"Átila Lira")</f>
        <v>Átila Lira</v>
      </c>
      <c r="C60" s="10" t="str">
        <f ca="1">IFERROR(__xludf.DUMMYFUNCTION("""COMPUTED_VALUE"""),"PI")</f>
        <v>PI</v>
      </c>
      <c r="D60" s="6" t="str">
        <f t="shared" ca="1" si="0"/>
        <v>Masculino</v>
      </c>
      <c r="E60" s="10" t="str">
        <f ca="1">IFERROR(__xludf.DUMMYFUNCTION("""COMPUTED_VALUE"""),"M")</f>
        <v>M</v>
      </c>
      <c r="F60" s="11">
        <f ca="1">IFERROR(__xludf.DUMMYFUNCTION("""COMPUTED_VALUE"""),29312)</f>
        <v>29312</v>
      </c>
      <c r="G60" s="6">
        <f t="shared" ca="1" si="1"/>
        <v>45</v>
      </c>
      <c r="H60" s="6" t="b">
        <f ca="1">(COUNTIFS(Deputados!A60:A1000, A60, Deputados!D60:D1000, "&lt;&gt;57")) = 0</f>
        <v>1</v>
      </c>
    </row>
    <row r="61" spans="1:8" ht="17.399999999999999">
      <c r="A61" s="10">
        <f ca="1">IFERROR(__xludf.DUMMYFUNCTION("""COMPUTED_VALUE"""),60)</f>
        <v>60</v>
      </c>
      <c r="B61" s="10" t="str">
        <f ca="1">IFERROR(__xludf.DUMMYFUNCTION("""COMPUTED_VALUE"""),"Augusto Coutinho")</f>
        <v>Augusto Coutinho</v>
      </c>
      <c r="C61" s="10" t="str">
        <f ca="1">IFERROR(__xludf.DUMMYFUNCTION("""COMPUTED_VALUE"""),"PE")</f>
        <v>PE</v>
      </c>
      <c r="D61" s="6" t="str">
        <f t="shared" ca="1" si="0"/>
        <v>Masculino</v>
      </c>
      <c r="E61" s="10" t="str">
        <f ca="1">IFERROR(__xludf.DUMMYFUNCTION("""COMPUTED_VALUE"""),"M")</f>
        <v>M</v>
      </c>
      <c r="F61" s="11">
        <f ca="1">IFERROR(__xludf.DUMMYFUNCTION("""COMPUTED_VALUE"""),22941)</f>
        <v>22941</v>
      </c>
      <c r="G61" s="6">
        <f t="shared" ca="1" si="1"/>
        <v>62</v>
      </c>
      <c r="H61" s="6" t="b">
        <f ca="1">(COUNTIFS(Deputados!A61:A1000, A61, Deputados!D61:D1000, "&lt;&gt;57")) = 0</f>
        <v>0</v>
      </c>
    </row>
    <row r="62" spans="1:8" ht="17.399999999999999">
      <c r="A62" s="10">
        <f ca="1">IFERROR(__xludf.DUMMYFUNCTION("""COMPUTED_VALUE"""),61)</f>
        <v>61</v>
      </c>
      <c r="B62" s="10" t="str">
        <f ca="1">IFERROR(__xludf.DUMMYFUNCTION("""COMPUTED_VALUE"""),"Augusto Puppio")</f>
        <v>Augusto Puppio</v>
      </c>
      <c r="C62" s="10" t="str">
        <f ca="1">IFERROR(__xludf.DUMMYFUNCTION("""COMPUTED_VALUE"""),"PA")</f>
        <v>PA</v>
      </c>
      <c r="D62" s="6" t="str">
        <f t="shared" ca="1" si="0"/>
        <v>Masculino</v>
      </c>
      <c r="E62" s="10" t="str">
        <f ca="1">IFERROR(__xludf.DUMMYFUNCTION("""COMPUTED_VALUE"""),"M")</f>
        <v>M</v>
      </c>
      <c r="F62" s="11">
        <f ca="1">IFERROR(__xludf.DUMMYFUNCTION("""COMPUTED_VALUE"""),30080)</f>
        <v>30080</v>
      </c>
      <c r="G62" s="6">
        <f t="shared" ca="1" si="1"/>
        <v>43</v>
      </c>
      <c r="H62" s="6" t="b">
        <f ca="1">(COUNTIFS(Deputados!A62:A1000, A62, Deputados!D62:D1000, "&lt;&gt;57")) = 0</f>
        <v>1</v>
      </c>
    </row>
    <row r="63" spans="1:8" ht="17.399999999999999">
      <c r="A63" s="10">
        <f ca="1">IFERROR(__xludf.DUMMYFUNCTION("""COMPUTED_VALUE"""),62)</f>
        <v>62</v>
      </c>
      <c r="B63" s="10" t="str">
        <f ca="1">IFERROR(__xludf.DUMMYFUNCTION("""COMPUTED_VALUE"""),"Aureo Ribeiro")</f>
        <v>Aureo Ribeiro</v>
      </c>
      <c r="C63" s="10" t="str">
        <f ca="1">IFERROR(__xludf.DUMMYFUNCTION("""COMPUTED_VALUE"""),"RJ")</f>
        <v>RJ</v>
      </c>
      <c r="D63" s="6" t="str">
        <f t="shared" ca="1" si="0"/>
        <v>Masculino</v>
      </c>
      <c r="E63" s="10" t="str">
        <f ca="1">IFERROR(__xludf.DUMMYFUNCTION("""COMPUTED_VALUE"""),"M")</f>
        <v>M</v>
      </c>
      <c r="F63" s="11">
        <f ca="1">IFERROR(__xludf.DUMMYFUNCTION("""COMPUTED_VALUE"""),28903)</f>
        <v>28903</v>
      </c>
      <c r="G63" s="6">
        <f t="shared" ca="1" si="1"/>
        <v>46</v>
      </c>
      <c r="H63" s="6" t="b">
        <f ca="1">(COUNTIFS(Deputados!A63:A1000, A63, Deputados!D63:D1000, "&lt;&gt;57")) = 0</f>
        <v>0</v>
      </c>
    </row>
    <row r="64" spans="1:8" ht="17.399999999999999">
      <c r="A64" s="10">
        <f ca="1">IFERROR(__xludf.DUMMYFUNCTION("""COMPUTED_VALUE"""),63)</f>
        <v>63</v>
      </c>
      <c r="B64" s="10" t="str">
        <f ca="1">IFERROR(__xludf.DUMMYFUNCTION("""COMPUTED_VALUE"""),"Bacelar")</f>
        <v>Bacelar</v>
      </c>
      <c r="C64" s="10" t="str">
        <f ca="1">IFERROR(__xludf.DUMMYFUNCTION("""COMPUTED_VALUE"""),"BA")</f>
        <v>BA</v>
      </c>
      <c r="D64" s="6" t="str">
        <f t="shared" ca="1" si="0"/>
        <v>Masculino</v>
      </c>
      <c r="E64" s="10" t="str">
        <f ca="1">IFERROR(__xludf.DUMMYFUNCTION("""COMPUTED_VALUE"""),"M")</f>
        <v>M</v>
      </c>
      <c r="F64" s="11">
        <f ca="1">IFERROR(__xludf.DUMMYFUNCTION("""COMPUTED_VALUE"""),21010)</f>
        <v>21010</v>
      </c>
      <c r="G64" s="6">
        <f t="shared" ca="1" si="1"/>
        <v>68</v>
      </c>
      <c r="H64" s="6" t="b">
        <f ca="1">(COUNTIFS(Deputados!A64:A1000, A64, Deputados!D64:D1000, "&lt;&gt;57")) = 0</f>
        <v>0</v>
      </c>
    </row>
    <row r="65" spans="1:8" ht="17.399999999999999">
      <c r="A65" s="10">
        <f ca="1">IFERROR(__xludf.DUMMYFUNCTION("""COMPUTED_VALUE"""),64)</f>
        <v>64</v>
      </c>
      <c r="B65" s="10" t="str">
        <f ca="1">IFERROR(__xludf.DUMMYFUNCTION("""COMPUTED_VALUE"""),"Baleia Rossi")</f>
        <v>Baleia Rossi</v>
      </c>
      <c r="C65" s="10" t="str">
        <f ca="1">IFERROR(__xludf.DUMMYFUNCTION("""COMPUTED_VALUE"""),"SP")</f>
        <v>SP</v>
      </c>
      <c r="D65" s="6" t="str">
        <f t="shared" ca="1" si="0"/>
        <v>Masculino</v>
      </c>
      <c r="E65" s="10" t="str">
        <f ca="1">IFERROR(__xludf.DUMMYFUNCTION("""COMPUTED_VALUE"""),"M")</f>
        <v>M</v>
      </c>
      <c r="F65" s="11">
        <f ca="1">IFERROR(__xludf.DUMMYFUNCTION("""COMPUTED_VALUE"""),26459)</f>
        <v>26459</v>
      </c>
      <c r="G65" s="6">
        <f t="shared" ca="1" si="1"/>
        <v>53</v>
      </c>
      <c r="H65" s="6" t="b">
        <f ca="1">(COUNTIFS(Deputados!A65:A1000, A65, Deputados!D65:D1000, "&lt;&gt;57")) = 0</f>
        <v>0</v>
      </c>
    </row>
    <row r="66" spans="1:8" ht="17.399999999999999">
      <c r="A66" s="10">
        <f ca="1">IFERROR(__xludf.DUMMYFUNCTION("""COMPUTED_VALUE"""),65)</f>
        <v>65</v>
      </c>
      <c r="B66" s="10" t="str">
        <f ca="1">IFERROR(__xludf.DUMMYFUNCTION("""COMPUTED_VALUE"""),"Bandeira de Mello")</f>
        <v>Bandeira de Mello</v>
      </c>
      <c r="C66" s="10" t="str">
        <f ca="1">IFERROR(__xludf.DUMMYFUNCTION("""COMPUTED_VALUE"""),"RJ")</f>
        <v>RJ</v>
      </c>
      <c r="D66" s="6" t="str">
        <f t="shared" ca="1" si="0"/>
        <v>Masculino</v>
      </c>
      <c r="E66" s="10" t="str">
        <f ca="1">IFERROR(__xludf.DUMMYFUNCTION("""COMPUTED_VALUE"""),"M")</f>
        <v>M</v>
      </c>
      <c r="F66" s="11">
        <f ca="1">IFERROR(__xludf.DUMMYFUNCTION("""COMPUTED_VALUE"""),19440)</f>
        <v>19440</v>
      </c>
      <c r="G66" s="6">
        <f t="shared" ca="1" si="1"/>
        <v>72</v>
      </c>
      <c r="H66" s="6" t="b">
        <f ca="1">(COUNTIFS(Deputados!A66:A1000, A66, Deputados!D66:D1000, "&lt;&gt;57")) = 0</f>
        <v>1</v>
      </c>
    </row>
    <row r="67" spans="1:8" ht="17.399999999999999">
      <c r="A67" s="10">
        <f ca="1">IFERROR(__xludf.DUMMYFUNCTION("""COMPUTED_VALUE"""),66)</f>
        <v>66</v>
      </c>
      <c r="B67" s="10" t="str">
        <f ca="1">IFERROR(__xludf.DUMMYFUNCTION("""COMPUTED_VALUE"""),"Bebeto")</f>
        <v>Bebeto</v>
      </c>
      <c r="C67" s="10" t="str">
        <f ca="1">IFERROR(__xludf.DUMMYFUNCTION("""COMPUTED_VALUE"""),"MG")</f>
        <v>MG</v>
      </c>
      <c r="D67" s="6" t="str">
        <f t="shared" ca="1" si="0"/>
        <v>Masculino</v>
      </c>
      <c r="E67" s="10" t="str">
        <f ca="1">IFERROR(__xludf.DUMMYFUNCTION("""COMPUTED_VALUE"""),"M")</f>
        <v>M</v>
      </c>
      <c r="F67" s="11">
        <f ca="1">IFERROR(__xludf.DUMMYFUNCTION("""COMPUTED_VALUE"""),23223)</f>
        <v>23223</v>
      </c>
      <c r="G67" s="6">
        <f t="shared" ca="1" si="1"/>
        <v>62</v>
      </c>
      <c r="H67" s="6" t="b">
        <f ca="1">(COUNTIFS(Deputados!A67:A1000, A67, Deputados!D67:D1000, "&lt;&gt;57")) = 0</f>
        <v>1</v>
      </c>
    </row>
    <row r="68" spans="1:8" ht="17.399999999999999">
      <c r="A68" s="10">
        <f ca="1">IFERROR(__xludf.DUMMYFUNCTION("""COMPUTED_VALUE"""),67)</f>
        <v>67</v>
      </c>
      <c r="B68" s="10" t="str">
        <f ca="1">IFERROR(__xludf.DUMMYFUNCTION("""COMPUTED_VALUE"""),"Benedita da Silva")</f>
        <v>Benedita da Silva</v>
      </c>
      <c r="C68" s="10" t="str">
        <f ca="1">IFERROR(__xludf.DUMMYFUNCTION("""COMPUTED_VALUE"""),"RJ")</f>
        <v>RJ</v>
      </c>
      <c r="D68" s="6" t="str">
        <f t="shared" ca="1" si="0"/>
        <v>Feminino</v>
      </c>
      <c r="E68" s="10" t="str">
        <f ca="1">IFERROR(__xludf.DUMMYFUNCTION("""COMPUTED_VALUE"""),"F")</f>
        <v>F</v>
      </c>
      <c r="F68" s="11">
        <f ca="1">IFERROR(__xludf.DUMMYFUNCTION("""COMPUTED_VALUE"""),15457)</f>
        <v>15457</v>
      </c>
      <c r="G68" s="6">
        <f t="shared" ca="1" si="1"/>
        <v>83</v>
      </c>
      <c r="H68" s="6" t="b">
        <f ca="1">(COUNTIFS(Deputados!A68:A1000, A68, Deputados!D68:D1000, "&lt;&gt;57")) = 0</f>
        <v>0</v>
      </c>
    </row>
    <row r="69" spans="1:8" ht="17.399999999999999">
      <c r="A69" s="10">
        <f ca="1">IFERROR(__xludf.DUMMYFUNCTION("""COMPUTED_VALUE"""),68)</f>
        <v>68</v>
      </c>
      <c r="B69" s="10" t="str">
        <f ca="1">IFERROR(__xludf.DUMMYFUNCTION("""COMPUTED_VALUE"""),"Benes Leocádio")</f>
        <v>Benes Leocádio</v>
      </c>
      <c r="C69" s="10" t="str">
        <f ca="1">IFERROR(__xludf.DUMMYFUNCTION("""COMPUTED_VALUE"""),"RN")</f>
        <v>RN</v>
      </c>
      <c r="D69" s="6" t="str">
        <f t="shared" ca="1" si="0"/>
        <v>Masculino</v>
      </c>
      <c r="E69" s="10" t="str">
        <f ca="1">IFERROR(__xludf.DUMMYFUNCTION("""COMPUTED_VALUE"""),"M")</f>
        <v>M</v>
      </c>
      <c r="F69" s="11">
        <f ca="1">IFERROR(__xludf.DUMMYFUNCTION("""COMPUTED_VALUE"""),24219)</f>
        <v>24219</v>
      </c>
      <c r="G69" s="6">
        <f t="shared" ca="1" si="1"/>
        <v>59</v>
      </c>
      <c r="H69" s="6" t="b">
        <f ca="1">(COUNTIFS(Deputados!A69:A1000, A69, Deputados!D69:D1000, "&lt;&gt;57")) = 0</f>
        <v>0</v>
      </c>
    </row>
    <row r="70" spans="1:8" ht="17.399999999999999">
      <c r="A70" s="10">
        <f ca="1">IFERROR(__xludf.DUMMYFUNCTION("""COMPUTED_VALUE"""),69)</f>
        <v>69</v>
      </c>
      <c r="B70" s="10" t="str">
        <f ca="1">IFERROR(__xludf.DUMMYFUNCTION("""COMPUTED_VALUE"""),"Beto Pereira")</f>
        <v>Beto Pereira</v>
      </c>
      <c r="C70" s="10" t="str">
        <f ca="1">IFERROR(__xludf.DUMMYFUNCTION("""COMPUTED_VALUE"""),"MS")</f>
        <v>MS</v>
      </c>
      <c r="D70" s="6" t="str">
        <f t="shared" ca="1" si="0"/>
        <v>Masculino</v>
      </c>
      <c r="E70" s="10" t="str">
        <f ca="1">IFERROR(__xludf.DUMMYFUNCTION("""COMPUTED_VALUE"""),"M")</f>
        <v>M</v>
      </c>
      <c r="F70" s="11">
        <f ca="1">IFERROR(__xludf.DUMMYFUNCTION("""COMPUTED_VALUE"""),28443)</f>
        <v>28443</v>
      </c>
      <c r="G70" s="6">
        <f t="shared" ca="1" si="1"/>
        <v>47</v>
      </c>
      <c r="H70" s="6" t="b">
        <f ca="1">(COUNTIFS(Deputados!A70:A1000, A70, Deputados!D70:D1000, "&lt;&gt;57")) = 0</f>
        <v>0</v>
      </c>
    </row>
    <row r="71" spans="1:8" ht="17.399999999999999">
      <c r="A71" s="10">
        <f ca="1">IFERROR(__xludf.DUMMYFUNCTION("""COMPUTED_VALUE"""),70)</f>
        <v>70</v>
      </c>
      <c r="B71" s="10" t="str">
        <f ca="1">IFERROR(__xludf.DUMMYFUNCTION("""COMPUTED_VALUE"""),"Beto Preto")</f>
        <v>Beto Preto</v>
      </c>
      <c r="C71" s="10" t="str">
        <f ca="1">IFERROR(__xludf.DUMMYFUNCTION("""COMPUTED_VALUE"""),"PR")</f>
        <v>PR</v>
      </c>
      <c r="D71" s="6" t="str">
        <f t="shared" ca="1" si="0"/>
        <v>Masculino</v>
      </c>
      <c r="E71" s="10" t="str">
        <f ca="1">IFERROR(__xludf.DUMMYFUNCTION("""COMPUTED_VALUE"""),"M")</f>
        <v>M</v>
      </c>
      <c r="F71" s="11">
        <f ca="1">IFERROR(__xludf.DUMMYFUNCTION("""COMPUTED_VALUE"""),24885)</f>
        <v>24885</v>
      </c>
      <c r="G71" s="6">
        <f t="shared" ca="1" si="1"/>
        <v>57</v>
      </c>
      <c r="H71" s="6" t="b">
        <f ca="1">(COUNTIFS(Deputados!A71:A1000, A71, Deputados!D71:D1000, "&lt;&gt;57")) = 0</f>
        <v>1</v>
      </c>
    </row>
    <row r="72" spans="1:8" ht="17.399999999999999">
      <c r="A72" s="10">
        <f ca="1">IFERROR(__xludf.DUMMYFUNCTION("""COMPUTED_VALUE"""),71)</f>
        <v>71</v>
      </c>
      <c r="B72" s="10" t="str">
        <f ca="1">IFERROR(__xludf.DUMMYFUNCTION("""COMPUTED_VALUE"""),"Beto Richa")</f>
        <v>Beto Richa</v>
      </c>
      <c r="C72" s="10" t="str">
        <f ca="1">IFERROR(__xludf.DUMMYFUNCTION("""COMPUTED_VALUE"""),"PR")</f>
        <v>PR</v>
      </c>
      <c r="D72" s="6" t="str">
        <f t="shared" ca="1" si="0"/>
        <v>Masculino</v>
      </c>
      <c r="E72" s="10" t="str">
        <f ca="1">IFERROR(__xludf.DUMMYFUNCTION("""COMPUTED_VALUE"""),"M")</f>
        <v>M</v>
      </c>
      <c r="F72" s="11">
        <f ca="1">IFERROR(__xludf.DUMMYFUNCTION("""COMPUTED_VALUE"""),23952)</f>
        <v>23952</v>
      </c>
      <c r="G72" s="6">
        <f t="shared" ca="1" si="1"/>
        <v>60</v>
      </c>
      <c r="H72" s="6" t="b">
        <f ca="1">(COUNTIFS(Deputados!A72:A1000, A72, Deputados!D72:D1000, "&lt;&gt;57")) = 0</f>
        <v>1</v>
      </c>
    </row>
    <row r="73" spans="1:8" ht="17.399999999999999">
      <c r="A73" s="10">
        <f ca="1">IFERROR(__xludf.DUMMYFUNCTION("""COMPUTED_VALUE"""),72)</f>
        <v>72</v>
      </c>
      <c r="B73" s="10" t="str">
        <f ca="1">IFERROR(__xludf.DUMMYFUNCTION("""COMPUTED_VALUE"""),"Bia Kicis")</f>
        <v>Bia Kicis</v>
      </c>
      <c r="C73" s="10" t="str">
        <f ca="1">IFERROR(__xludf.DUMMYFUNCTION("""COMPUTED_VALUE"""),"RJ")</f>
        <v>RJ</v>
      </c>
      <c r="D73" s="6" t="str">
        <f t="shared" ca="1" si="0"/>
        <v>Feminino</v>
      </c>
      <c r="E73" s="10" t="str">
        <f ca="1">IFERROR(__xludf.DUMMYFUNCTION("""COMPUTED_VALUE"""),"F")</f>
        <v>F</v>
      </c>
      <c r="F73" s="11">
        <f ca="1">IFERROR(__xludf.DUMMYFUNCTION("""COMPUTED_VALUE"""),22543)</f>
        <v>22543</v>
      </c>
      <c r="G73" s="6">
        <f t="shared" ca="1" si="1"/>
        <v>63</v>
      </c>
      <c r="H73" s="6" t="b">
        <f ca="1">(COUNTIFS(Deputados!A73:A1000, A73, Deputados!D73:D1000, "&lt;&gt;57")) = 0</f>
        <v>0</v>
      </c>
    </row>
    <row r="74" spans="1:8" ht="17.399999999999999">
      <c r="A74" s="10">
        <f ca="1">IFERROR(__xludf.DUMMYFUNCTION("""COMPUTED_VALUE"""),73)</f>
        <v>73</v>
      </c>
      <c r="B74" s="10" t="str">
        <f ca="1">IFERROR(__xludf.DUMMYFUNCTION("""COMPUTED_VALUE"""),"Bibo Nunes")</f>
        <v>Bibo Nunes</v>
      </c>
      <c r="C74" s="10" t="str">
        <f ca="1">IFERROR(__xludf.DUMMYFUNCTION("""COMPUTED_VALUE"""),"RS")</f>
        <v>RS</v>
      </c>
      <c r="D74" s="6" t="str">
        <f t="shared" ca="1" si="0"/>
        <v>Masculino</v>
      </c>
      <c r="E74" s="10" t="str">
        <f ca="1">IFERROR(__xludf.DUMMYFUNCTION("""COMPUTED_VALUE"""),"M")</f>
        <v>M</v>
      </c>
      <c r="F74" s="11">
        <f ca="1">IFERROR(__xludf.DUMMYFUNCTION("""COMPUTED_VALUE"""),20829)</f>
        <v>20829</v>
      </c>
      <c r="G74" s="6">
        <f t="shared" ca="1" si="1"/>
        <v>68</v>
      </c>
      <c r="H74" s="6" t="b">
        <f ca="1">(COUNTIFS(Deputados!A74:A1000, A74, Deputados!D74:D1000, "&lt;&gt;57")) = 0</f>
        <v>0</v>
      </c>
    </row>
    <row r="75" spans="1:8" ht="17.399999999999999">
      <c r="A75" s="10">
        <f ca="1">IFERROR(__xludf.DUMMYFUNCTION("""COMPUTED_VALUE"""),74)</f>
        <v>74</v>
      </c>
      <c r="B75" s="10" t="str">
        <f ca="1">IFERROR(__xludf.DUMMYFUNCTION("""COMPUTED_VALUE"""),"Bohn Gass")</f>
        <v>Bohn Gass</v>
      </c>
      <c r="C75" s="10" t="str">
        <f ca="1">IFERROR(__xludf.DUMMYFUNCTION("""COMPUTED_VALUE"""),"RS")</f>
        <v>RS</v>
      </c>
      <c r="D75" s="6" t="str">
        <f t="shared" ca="1" si="0"/>
        <v>Masculino</v>
      </c>
      <c r="E75" s="10" t="str">
        <f ca="1">IFERROR(__xludf.DUMMYFUNCTION("""COMPUTED_VALUE"""),"M")</f>
        <v>M</v>
      </c>
      <c r="F75" s="11">
        <f ca="1">IFERROR(__xludf.DUMMYFUNCTION("""COMPUTED_VALUE"""),22682)</f>
        <v>22682</v>
      </c>
      <c r="G75" s="6">
        <f t="shared" ca="1" si="1"/>
        <v>63</v>
      </c>
      <c r="H75" s="6" t="b">
        <f ca="1">(COUNTIFS(Deputados!A75:A1000, A75, Deputados!D75:D1000, "&lt;&gt;57")) = 0</f>
        <v>0</v>
      </c>
    </row>
    <row r="76" spans="1:8" ht="17.399999999999999">
      <c r="A76" s="10">
        <f ca="1">IFERROR(__xludf.DUMMYFUNCTION("""COMPUTED_VALUE"""),75)</f>
        <v>75</v>
      </c>
      <c r="B76" s="10" t="str">
        <f ca="1">IFERROR(__xludf.DUMMYFUNCTION("""COMPUTED_VALUE"""),"Bosco Costa")</f>
        <v>Bosco Costa</v>
      </c>
      <c r="C76" s="10" t="str">
        <f ca="1">IFERROR(__xludf.DUMMYFUNCTION("""COMPUTED_VALUE"""),"SE")</f>
        <v>SE</v>
      </c>
      <c r="D76" s="6" t="str">
        <f t="shared" ca="1" si="0"/>
        <v>Masculino</v>
      </c>
      <c r="E76" s="10" t="str">
        <f ca="1">IFERROR(__xludf.DUMMYFUNCTION("""COMPUTED_VALUE"""),"M")</f>
        <v>M</v>
      </c>
      <c r="F76" s="11">
        <f ca="1">IFERROR(__xludf.DUMMYFUNCTION("""COMPUTED_VALUE"""),18534)</f>
        <v>18534</v>
      </c>
      <c r="G76" s="6">
        <f t="shared" ca="1" si="1"/>
        <v>74</v>
      </c>
      <c r="H76" s="6" t="b">
        <f ca="1">(COUNTIFS(Deputados!A76:A1000, A76, Deputados!D76:D1000, "&lt;&gt;57")) = 0</f>
        <v>0</v>
      </c>
    </row>
    <row r="77" spans="1:8" ht="17.399999999999999">
      <c r="A77" s="10">
        <f ca="1">IFERROR(__xludf.DUMMYFUNCTION("""COMPUTED_VALUE"""),76)</f>
        <v>76</v>
      </c>
      <c r="B77" s="10" t="str">
        <f ca="1">IFERROR(__xludf.DUMMYFUNCTION("""COMPUTED_VALUE"""),"Bruno Farias")</f>
        <v>Bruno Farias</v>
      </c>
      <c r="C77" s="10" t="str">
        <f ca="1">IFERROR(__xludf.DUMMYFUNCTION("""COMPUTED_VALUE"""),"MG")</f>
        <v>MG</v>
      </c>
      <c r="D77" s="6" t="str">
        <f t="shared" ca="1" si="0"/>
        <v>Masculino</v>
      </c>
      <c r="E77" s="10" t="str">
        <f ca="1">IFERROR(__xludf.DUMMYFUNCTION("""COMPUTED_VALUE"""),"M")</f>
        <v>M</v>
      </c>
      <c r="F77" s="11">
        <f ca="1">IFERROR(__xludf.DUMMYFUNCTION("""COMPUTED_VALUE"""),30231)</f>
        <v>30231</v>
      </c>
      <c r="G77" s="6">
        <f t="shared" ca="1" si="1"/>
        <v>42</v>
      </c>
      <c r="H77" s="6" t="b">
        <f ca="1">(COUNTIFS(Deputados!A77:A1000, A77, Deputados!D77:D1000, "&lt;&gt;57")) = 0</f>
        <v>1</v>
      </c>
    </row>
    <row r="78" spans="1:8" ht="17.399999999999999">
      <c r="A78" s="10">
        <f ca="1">IFERROR(__xludf.DUMMYFUNCTION("""COMPUTED_VALUE"""),77)</f>
        <v>77</v>
      </c>
      <c r="B78" s="10" t="str">
        <f ca="1">IFERROR(__xludf.DUMMYFUNCTION("""COMPUTED_VALUE"""),"Bruno Ganem")</f>
        <v>Bruno Ganem</v>
      </c>
      <c r="C78" s="10" t="str">
        <f ca="1">IFERROR(__xludf.DUMMYFUNCTION("""COMPUTED_VALUE"""),"SP")</f>
        <v>SP</v>
      </c>
      <c r="D78" s="6" t="str">
        <f t="shared" ca="1" si="0"/>
        <v>Masculino</v>
      </c>
      <c r="E78" s="10" t="str">
        <f ca="1">IFERROR(__xludf.DUMMYFUNCTION("""COMPUTED_VALUE"""),"M")</f>
        <v>M</v>
      </c>
      <c r="F78" s="11">
        <f ca="1">IFERROR(__xludf.DUMMYFUNCTION("""COMPUTED_VALUE"""),31670)</f>
        <v>31670</v>
      </c>
      <c r="G78" s="6">
        <f t="shared" ca="1" si="1"/>
        <v>38</v>
      </c>
      <c r="H78" s="6" t="b">
        <f ca="1">(COUNTIFS(Deputados!A78:A1000, A78, Deputados!D78:D1000, "&lt;&gt;57")) = 0</f>
        <v>1</v>
      </c>
    </row>
    <row r="79" spans="1:8" ht="17.399999999999999">
      <c r="A79" s="10">
        <f ca="1">IFERROR(__xludf.DUMMYFUNCTION("""COMPUTED_VALUE"""),78)</f>
        <v>78</v>
      </c>
      <c r="B79" s="10" t="str">
        <f ca="1">IFERROR(__xludf.DUMMYFUNCTION("""COMPUTED_VALUE"""),"Cabo Gilberto Silva")</f>
        <v>Cabo Gilberto Silva</v>
      </c>
      <c r="C79" s="10" t="str">
        <f ca="1">IFERROR(__xludf.DUMMYFUNCTION("""COMPUTED_VALUE"""),"PB")</f>
        <v>PB</v>
      </c>
      <c r="D79" s="6" t="str">
        <f t="shared" ca="1" si="0"/>
        <v>Masculino</v>
      </c>
      <c r="E79" s="10" t="str">
        <f ca="1">IFERROR(__xludf.DUMMYFUNCTION("""COMPUTED_VALUE"""),"M")</f>
        <v>M</v>
      </c>
      <c r="F79" s="11">
        <f ca="1">IFERROR(__xludf.DUMMYFUNCTION("""COMPUTED_VALUE"""),29677)</f>
        <v>29677</v>
      </c>
      <c r="G79" s="6">
        <f t="shared" ca="1" si="1"/>
        <v>44</v>
      </c>
      <c r="H79" s="6" t="b">
        <f ca="1">(COUNTIFS(Deputados!A79:A1000, A79, Deputados!D79:D1000, "&lt;&gt;57")) = 0</f>
        <v>1</v>
      </c>
    </row>
    <row r="80" spans="1:8" ht="17.399999999999999">
      <c r="A80" s="10">
        <f ca="1">IFERROR(__xludf.DUMMYFUNCTION("""COMPUTED_VALUE"""),79)</f>
        <v>79</v>
      </c>
      <c r="B80" s="10" t="str">
        <f ca="1">IFERROR(__xludf.DUMMYFUNCTION("""COMPUTED_VALUE"""),"Caio Vianna")</f>
        <v>Caio Vianna</v>
      </c>
      <c r="C80" s="10" t="str">
        <f ca="1">IFERROR(__xludf.DUMMYFUNCTION("""COMPUTED_VALUE"""),"RJ")</f>
        <v>RJ</v>
      </c>
      <c r="D80" s="6" t="str">
        <f t="shared" ca="1" si="0"/>
        <v>Masculino</v>
      </c>
      <c r="E80" s="10" t="str">
        <f ca="1">IFERROR(__xludf.DUMMYFUNCTION("""COMPUTED_VALUE"""),"M")</f>
        <v>M</v>
      </c>
      <c r="F80" s="11">
        <f ca="1">IFERROR(__xludf.DUMMYFUNCTION("""COMPUTED_VALUE"""),32485)</f>
        <v>32485</v>
      </c>
      <c r="G80" s="6">
        <f t="shared" ca="1" si="1"/>
        <v>36</v>
      </c>
      <c r="H80" s="6" t="b">
        <f ca="1">(COUNTIFS(Deputados!A80:A1000, A80, Deputados!D80:D1000, "&lt;&gt;57")) = 0</f>
        <v>1</v>
      </c>
    </row>
    <row r="81" spans="1:8" ht="17.399999999999999">
      <c r="A81" s="10">
        <f ca="1">IFERROR(__xludf.DUMMYFUNCTION("""COMPUTED_VALUE"""),80)</f>
        <v>80</v>
      </c>
      <c r="B81" s="10" t="str">
        <f ca="1">IFERROR(__xludf.DUMMYFUNCTION("""COMPUTED_VALUE"""),"Camila Jara")</f>
        <v>Camila Jara</v>
      </c>
      <c r="C81" s="10" t="str">
        <f ca="1">IFERROR(__xludf.DUMMYFUNCTION("""COMPUTED_VALUE"""),"MS")</f>
        <v>MS</v>
      </c>
      <c r="D81" s="6" t="str">
        <f t="shared" ca="1" si="0"/>
        <v>Feminino</v>
      </c>
      <c r="E81" s="10" t="str">
        <f ca="1">IFERROR(__xludf.DUMMYFUNCTION("""COMPUTED_VALUE"""),"F")</f>
        <v>F</v>
      </c>
      <c r="F81" s="11">
        <f ca="1">IFERROR(__xludf.DUMMYFUNCTION("""COMPUTED_VALUE"""),34740)</f>
        <v>34740</v>
      </c>
      <c r="G81" s="6">
        <f t="shared" ca="1" si="1"/>
        <v>30</v>
      </c>
      <c r="H81" s="6" t="b">
        <f ca="1">(COUNTIFS(Deputados!A81:A1000, A81, Deputados!D81:D1000, "&lt;&gt;57")) = 0</f>
        <v>1</v>
      </c>
    </row>
    <row r="82" spans="1:8" ht="17.399999999999999">
      <c r="A82" s="10">
        <f ca="1">IFERROR(__xludf.DUMMYFUNCTION("""COMPUTED_VALUE"""),81)</f>
        <v>81</v>
      </c>
      <c r="B82" s="10" t="str">
        <f ca="1">IFERROR(__xludf.DUMMYFUNCTION("""COMPUTED_VALUE"""),"Capitão Alberto Neto")</f>
        <v>Capitão Alberto Neto</v>
      </c>
      <c r="C82" s="10" t="str">
        <f ca="1">IFERROR(__xludf.DUMMYFUNCTION("""COMPUTED_VALUE"""),"CE")</f>
        <v>CE</v>
      </c>
      <c r="D82" s="6" t="str">
        <f t="shared" ca="1" si="0"/>
        <v>Masculino</v>
      </c>
      <c r="E82" s="10" t="str">
        <f ca="1">IFERROR(__xludf.DUMMYFUNCTION("""COMPUTED_VALUE"""),"M")</f>
        <v>M</v>
      </c>
      <c r="F82" s="11">
        <f ca="1">IFERROR(__xludf.DUMMYFUNCTION("""COMPUTED_VALUE"""),30076)</f>
        <v>30076</v>
      </c>
      <c r="G82" s="6">
        <f t="shared" ca="1" si="1"/>
        <v>43</v>
      </c>
      <c r="H82" s="6" t="b">
        <f ca="1">(COUNTIFS(Deputados!A82:A1000, A82, Deputados!D82:D1000, "&lt;&gt;57")) = 0</f>
        <v>0</v>
      </c>
    </row>
    <row r="83" spans="1:8" ht="17.399999999999999">
      <c r="A83" s="10">
        <f ca="1">IFERROR(__xludf.DUMMYFUNCTION("""COMPUTED_VALUE"""),82)</f>
        <v>82</v>
      </c>
      <c r="B83" s="10" t="str">
        <f ca="1">IFERROR(__xludf.DUMMYFUNCTION("""COMPUTED_VALUE"""),"Capitão Alden")</f>
        <v>Capitão Alden</v>
      </c>
      <c r="C83" s="10" t="str">
        <f ca="1">IFERROR(__xludf.DUMMYFUNCTION("""COMPUTED_VALUE"""),"BA")</f>
        <v>BA</v>
      </c>
      <c r="D83" s="6" t="str">
        <f t="shared" ca="1" si="0"/>
        <v>Masculino</v>
      </c>
      <c r="E83" s="10" t="str">
        <f ca="1">IFERROR(__xludf.DUMMYFUNCTION("""COMPUTED_VALUE"""),"M")</f>
        <v>M</v>
      </c>
      <c r="F83" s="11">
        <f ca="1">IFERROR(__xludf.DUMMYFUNCTION("""COMPUTED_VALUE"""),29330)</f>
        <v>29330</v>
      </c>
      <c r="G83" s="6">
        <f t="shared" ca="1" si="1"/>
        <v>45</v>
      </c>
      <c r="H83" s="6" t="b">
        <f ca="1">(COUNTIFS(Deputados!A83:A1000, A83, Deputados!D83:D1000, "&lt;&gt;57")) = 0</f>
        <v>1</v>
      </c>
    </row>
    <row r="84" spans="1:8" ht="17.399999999999999">
      <c r="A84" s="10">
        <f ca="1">IFERROR(__xludf.DUMMYFUNCTION("""COMPUTED_VALUE"""),83)</f>
        <v>83</v>
      </c>
      <c r="B84" s="10" t="str">
        <f ca="1">IFERROR(__xludf.DUMMYFUNCTION("""COMPUTED_VALUE"""),"Capitão Augusto")</f>
        <v>Capitão Augusto</v>
      </c>
      <c r="C84" s="10" t="str">
        <f ca="1">IFERROR(__xludf.DUMMYFUNCTION("""COMPUTED_VALUE"""),"SP")</f>
        <v>SP</v>
      </c>
      <c r="D84" s="6" t="str">
        <f t="shared" ca="1" si="0"/>
        <v>Masculino</v>
      </c>
      <c r="E84" s="10" t="str">
        <f ca="1">IFERROR(__xludf.DUMMYFUNCTION("""COMPUTED_VALUE"""),"M")</f>
        <v>M</v>
      </c>
      <c r="F84" s="11">
        <f ca="1">IFERROR(__xludf.DUMMYFUNCTION("""COMPUTED_VALUE"""),24384)</f>
        <v>24384</v>
      </c>
      <c r="G84" s="6">
        <f t="shared" ca="1" si="1"/>
        <v>58</v>
      </c>
      <c r="H84" s="6" t="b">
        <f ca="1">(COUNTIFS(Deputados!A84:A1000, A84, Deputados!D84:D1000, "&lt;&gt;57")) = 0</f>
        <v>0</v>
      </c>
    </row>
    <row r="85" spans="1:8" ht="17.399999999999999">
      <c r="A85" s="10">
        <f ca="1">IFERROR(__xludf.DUMMYFUNCTION("""COMPUTED_VALUE"""),84)</f>
        <v>84</v>
      </c>
      <c r="B85" s="10" t="str">
        <f ca="1">IFERROR(__xludf.DUMMYFUNCTION("""COMPUTED_VALUE"""),"Capitão Samuel")</f>
        <v>Capitão Samuel</v>
      </c>
      <c r="C85" s="10" t="str">
        <f ca="1">IFERROR(__xludf.DUMMYFUNCTION("""COMPUTED_VALUE"""),"SE")</f>
        <v>SE</v>
      </c>
      <c r="D85" s="6" t="str">
        <f t="shared" ca="1" si="0"/>
        <v>Masculino</v>
      </c>
      <c r="E85" s="10" t="str">
        <f ca="1">IFERROR(__xludf.DUMMYFUNCTION("""COMPUTED_VALUE"""),"M")</f>
        <v>M</v>
      </c>
      <c r="F85" s="11">
        <f ca="1">IFERROR(__xludf.DUMMYFUNCTION("""COMPUTED_VALUE"""),25602)</f>
        <v>25602</v>
      </c>
      <c r="G85" s="6">
        <f t="shared" ca="1" si="1"/>
        <v>55</v>
      </c>
      <c r="H85" s="6" t="b">
        <f ca="1">(COUNTIFS(Deputados!A85:A1000, A85, Deputados!D85:D1000, "&lt;&gt;57")) = 0</f>
        <v>1</v>
      </c>
    </row>
    <row r="86" spans="1:8" ht="17.399999999999999">
      <c r="A86" s="10">
        <f ca="1">IFERROR(__xludf.DUMMYFUNCTION("""COMPUTED_VALUE"""),85)</f>
        <v>85</v>
      </c>
      <c r="B86" s="10" t="str">
        <f ca="1">IFERROR(__xludf.DUMMYFUNCTION("""COMPUTED_VALUE"""),"Carla Ayres")</f>
        <v>Carla Ayres</v>
      </c>
      <c r="C86" s="10" t="str">
        <f ca="1">IFERROR(__xludf.DUMMYFUNCTION("""COMPUTED_VALUE"""),"SP")</f>
        <v>SP</v>
      </c>
      <c r="D86" s="6" t="str">
        <f t="shared" ca="1" si="0"/>
        <v>Feminino</v>
      </c>
      <c r="E86" s="10" t="str">
        <f ca="1">IFERROR(__xludf.DUMMYFUNCTION("""COMPUTED_VALUE"""),"F")</f>
        <v>F</v>
      </c>
      <c r="F86" s="11">
        <f ca="1">IFERROR(__xludf.DUMMYFUNCTION("""COMPUTED_VALUE"""),32217)</f>
        <v>32217</v>
      </c>
      <c r="G86" s="6">
        <f t="shared" ca="1" si="1"/>
        <v>37</v>
      </c>
      <c r="H86" s="6" t="b">
        <f ca="1">(COUNTIFS(Deputados!A86:A1000, A86, Deputados!D86:D1000, "&lt;&gt;57")) = 0</f>
        <v>1</v>
      </c>
    </row>
    <row r="87" spans="1:8" ht="17.399999999999999">
      <c r="A87" s="10">
        <f ca="1">IFERROR(__xludf.DUMMYFUNCTION("""COMPUTED_VALUE"""),86)</f>
        <v>86</v>
      </c>
      <c r="B87" s="10" t="str">
        <f ca="1">IFERROR(__xludf.DUMMYFUNCTION("""COMPUTED_VALUE"""),"Carla Dickson")</f>
        <v>Carla Dickson</v>
      </c>
      <c r="C87" s="10" t="str">
        <f ca="1">IFERROR(__xludf.DUMMYFUNCTION("""COMPUTED_VALUE"""),"PA")</f>
        <v>PA</v>
      </c>
      <c r="D87" s="6" t="str">
        <f t="shared" ca="1" si="0"/>
        <v>Feminino</v>
      </c>
      <c r="E87" s="10" t="str">
        <f ca="1">IFERROR(__xludf.DUMMYFUNCTION("""COMPUTED_VALUE"""),"F")</f>
        <v>F</v>
      </c>
      <c r="F87" s="11">
        <f ca="1">IFERROR(__xludf.DUMMYFUNCTION("""COMPUTED_VALUE"""),27943)</f>
        <v>27943</v>
      </c>
      <c r="G87" s="6">
        <f t="shared" ca="1" si="1"/>
        <v>49</v>
      </c>
      <c r="H87" s="6" t="b">
        <f ca="1">(COUNTIFS(Deputados!A87:A1000, A87, Deputados!D87:D1000, "&lt;&gt;57")) = 0</f>
        <v>0</v>
      </c>
    </row>
    <row r="88" spans="1:8" ht="17.399999999999999">
      <c r="A88" s="10">
        <f ca="1">IFERROR(__xludf.DUMMYFUNCTION("""COMPUTED_VALUE"""),87)</f>
        <v>87</v>
      </c>
      <c r="B88" s="10" t="str">
        <f ca="1">IFERROR(__xludf.DUMMYFUNCTION("""COMPUTED_VALUE"""),"Carla Zambelli")</f>
        <v>Carla Zambelli</v>
      </c>
      <c r="C88" s="10" t="str">
        <f ca="1">IFERROR(__xludf.DUMMYFUNCTION("""COMPUTED_VALUE"""),"SP")</f>
        <v>SP</v>
      </c>
      <c r="D88" s="6" t="str">
        <f t="shared" ca="1" si="0"/>
        <v>Feminino</v>
      </c>
      <c r="E88" s="10" t="str">
        <f ca="1">IFERROR(__xludf.DUMMYFUNCTION("""COMPUTED_VALUE"""),"F")</f>
        <v>F</v>
      </c>
      <c r="F88" s="11">
        <f ca="1">IFERROR(__xludf.DUMMYFUNCTION("""COMPUTED_VALUE"""),29405)</f>
        <v>29405</v>
      </c>
      <c r="G88" s="6">
        <f t="shared" ca="1" si="1"/>
        <v>45</v>
      </c>
      <c r="H88" s="6" t="b">
        <f ca="1">(COUNTIFS(Deputados!A88:A1000, A88, Deputados!D88:D1000, "&lt;&gt;57")) = 0</f>
        <v>0</v>
      </c>
    </row>
    <row r="89" spans="1:8" ht="17.399999999999999">
      <c r="A89" s="10">
        <f ca="1">IFERROR(__xludf.DUMMYFUNCTION("""COMPUTED_VALUE"""),88)</f>
        <v>88</v>
      </c>
      <c r="B89" s="10" t="str">
        <f ca="1">IFERROR(__xludf.DUMMYFUNCTION("""COMPUTED_VALUE"""),"Carlos Chiodini")</f>
        <v>Carlos Chiodini</v>
      </c>
      <c r="C89" s="10" t="str">
        <f ca="1">IFERROR(__xludf.DUMMYFUNCTION("""COMPUTED_VALUE"""),"SC")</f>
        <v>SC</v>
      </c>
      <c r="D89" s="6" t="str">
        <f t="shared" ca="1" si="0"/>
        <v>Masculino</v>
      </c>
      <c r="E89" s="10" t="str">
        <f ca="1">IFERROR(__xludf.DUMMYFUNCTION("""COMPUTED_VALUE"""),"M")</f>
        <v>M</v>
      </c>
      <c r="F89" s="11">
        <f ca="1">IFERROR(__xludf.DUMMYFUNCTION("""COMPUTED_VALUE"""),30018)</f>
        <v>30018</v>
      </c>
      <c r="G89" s="6">
        <f t="shared" ca="1" si="1"/>
        <v>43</v>
      </c>
      <c r="H89" s="6" t="b">
        <f ca="1">(COUNTIFS(Deputados!A89:A1000, A89, Deputados!D89:D1000, "&lt;&gt;57")) = 0</f>
        <v>0</v>
      </c>
    </row>
    <row r="90" spans="1:8" ht="17.399999999999999">
      <c r="A90" s="10">
        <f ca="1">IFERROR(__xludf.DUMMYFUNCTION("""COMPUTED_VALUE"""),89)</f>
        <v>89</v>
      </c>
      <c r="B90" s="10" t="str">
        <f ca="1">IFERROR(__xludf.DUMMYFUNCTION("""COMPUTED_VALUE"""),"Carlos Gomes")</f>
        <v>Carlos Gomes</v>
      </c>
      <c r="C90" s="10" t="str">
        <f ca="1">IFERROR(__xludf.DUMMYFUNCTION("""COMPUTED_VALUE"""),"BA")</f>
        <v>BA</v>
      </c>
      <c r="D90" s="6" t="str">
        <f t="shared" ca="1" si="0"/>
        <v>Masculino</v>
      </c>
      <c r="E90" s="10" t="str">
        <f ca="1">IFERROR(__xludf.DUMMYFUNCTION("""COMPUTED_VALUE"""),"M")</f>
        <v>M</v>
      </c>
      <c r="F90" s="11">
        <f ca="1">IFERROR(__xludf.DUMMYFUNCTION("""COMPUTED_VALUE"""),26463)</f>
        <v>26463</v>
      </c>
      <c r="G90" s="6">
        <f t="shared" ca="1" si="1"/>
        <v>53</v>
      </c>
      <c r="H90" s="6" t="b">
        <f ca="1">(COUNTIFS(Deputados!A90:A1000, A90, Deputados!D90:D1000, "&lt;&gt;57")) = 0</f>
        <v>0</v>
      </c>
    </row>
    <row r="91" spans="1:8" ht="17.399999999999999">
      <c r="A91" s="10">
        <f ca="1">IFERROR(__xludf.DUMMYFUNCTION("""COMPUTED_VALUE"""),90)</f>
        <v>90</v>
      </c>
      <c r="B91" s="10" t="str">
        <f ca="1">IFERROR(__xludf.DUMMYFUNCTION("""COMPUTED_VALUE"""),"Carlos Henrique Gaguim")</f>
        <v>Carlos Henrique Gaguim</v>
      </c>
      <c r="C91" s="10" t="str">
        <f ca="1">IFERROR(__xludf.DUMMYFUNCTION("""COMPUTED_VALUE"""),"GO")</f>
        <v>GO</v>
      </c>
      <c r="D91" s="6" t="str">
        <f t="shared" ca="1" si="0"/>
        <v>Masculino</v>
      </c>
      <c r="E91" s="10" t="str">
        <f ca="1">IFERROR(__xludf.DUMMYFUNCTION("""COMPUTED_VALUE"""),"M")</f>
        <v>M</v>
      </c>
      <c r="F91" s="11">
        <f ca="1">IFERROR(__xludf.DUMMYFUNCTION("""COMPUTED_VALUE"""),22392)</f>
        <v>22392</v>
      </c>
      <c r="G91" s="6">
        <f t="shared" ca="1" si="1"/>
        <v>64</v>
      </c>
      <c r="H91" s="6" t="b">
        <f ca="1">(COUNTIFS(Deputados!A91:A1000, A91, Deputados!D91:D1000, "&lt;&gt;57")) = 0</f>
        <v>0</v>
      </c>
    </row>
    <row r="92" spans="1:8" ht="17.399999999999999">
      <c r="A92" s="10">
        <f ca="1">IFERROR(__xludf.DUMMYFUNCTION("""COMPUTED_VALUE"""),91)</f>
        <v>91</v>
      </c>
      <c r="B92" s="10" t="str">
        <f ca="1">IFERROR(__xludf.DUMMYFUNCTION("""COMPUTED_VALUE"""),"Carlos Jordy")</f>
        <v>Carlos Jordy</v>
      </c>
      <c r="C92" s="10" t="str">
        <f ca="1">IFERROR(__xludf.DUMMYFUNCTION("""COMPUTED_VALUE"""),"RJ")</f>
        <v>RJ</v>
      </c>
      <c r="D92" s="6" t="str">
        <f t="shared" ca="1" si="0"/>
        <v>Masculino</v>
      </c>
      <c r="E92" s="10" t="str">
        <f ca="1">IFERROR(__xludf.DUMMYFUNCTION("""COMPUTED_VALUE"""),"M")</f>
        <v>M</v>
      </c>
      <c r="F92" s="11">
        <f ca="1">IFERROR(__xludf.DUMMYFUNCTION("""COMPUTED_VALUE"""),29990)</f>
        <v>29990</v>
      </c>
      <c r="G92" s="6">
        <f t="shared" ca="1" si="1"/>
        <v>43</v>
      </c>
      <c r="H92" s="6" t="b">
        <f ca="1">(COUNTIFS(Deputados!A92:A1000, A92, Deputados!D92:D1000, "&lt;&gt;57")) = 0</f>
        <v>0</v>
      </c>
    </row>
    <row r="93" spans="1:8" ht="17.399999999999999">
      <c r="A93" s="10">
        <f ca="1">IFERROR(__xludf.DUMMYFUNCTION("""COMPUTED_VALUE"""),92)</f>
        <v>92</v>
      </c>
      <c r="B93" s="10" t="str">
        <f ca="1">IFERROR(__xludf.DUMMYFUNCTION("""COMPUTED_VALUE"""),"Carlos Sampaio")</f>
        <v>Carlos Sampaio</v>
      </c>
      <c r="C93" s="10" t="str">
        <f ca="1">IFERROR(__xludf.DUMMYFUNCTION("""COMPUTED_VALUE"""),"SP")</f>
        <v>SP</v>
      </c>
      <c r="D93" s="6" t="str">
        <f t="shared" ca="1" si="0"/>
        <v>Masculino</v>
      </c>
      <c r="E93" s="10" t="str">
        <f ca="1">IFERROR(__xludf.DUMMYFUNCTION("""COMPUTED_VALUE"""),"M")</f>
        <v>M</v>
      </c>
      <c r="F93" s="11">
        <f ca="1">IFERROR(__xludf.DUMMYFUNCTION("""COMPUTED_VALUE"""),23101)</f>
        <v>23101</v>
      </c>
      <c r="G93" s="6">
        <f t="shared" ca="1" si="1"/>
        <v>62</v>
      </c>
      <c r="H93" s="6" t="b">
        <f ca="1">(COUNTIFS(Deputados!A93:A1000, A93, Deputados!D93:D1000, "&lt;&gt;57")) = 0</f>
        <v>0</v>
      </c>
    </row>
    <row r="94" spans="1:8" ht="17.399999999999999">
      <c r="A94" s="10">
        <f ca="1">IFERROR(__xludf.DUMMYFUNCTION("""COMPUTED_VALUE"""),93)</f>
        <v>93</v>
      </c>
      <c r="B94" s="10" t="str">
        <f ca="1">IFERROR(__xludf.DUMMYFUNCTION("""COMPUTED_VALUE"""),"Carlos Veras")</f>
        <v>Carlos Veras</v>
      </c>
      <c r="C94" s="10" t="str">
        <f ca="1">IFERROR(__xludf.DUMMYFUNCTION("""COMPUTED_VALUE"""),"PE")</f>
        <v>PE</v>
      </c>
      <c r="D94" s="6" t="str">
        <f t="shared" ca="1" si="0"/>
        <v>Masculino</v>
      </c>
      <c r="E94" s="10" t="str">
        <f ca="1">IFERROR(__xludf.DUMMYFUNCTION("""COMPUTED_VALUE"""),"M")</f>
        <v>M</v>
      </c>
      <c r="F94" s="11">
        <f ca="1">IFERROR(__xludf.DUMMYFUNCTION("""COMPUTED_VALUE"""),29808)</f>
        <v>29808</v>
      </c>
      <c r="G94" s="6">
        <f t="shared" ca="1" si="1"/>
        <v>44</v>
      </c>
      <c r="H94" s="6" t="b">
        <f ca="1">(COUNTIFS(Deputados!A94:A1000, A94, Deputados!D94:D1000, "&lt;&gt;57")) = 0</f>
        <v>0</v>
      </c>
    </row>
    <row r="95" spans="1:8" ht="17.399999999999999">
      <c r="A95" s="10">
        <f ca="1">IFERROR(__xludf.DUMMYFUNCTION("""COMPUTED_VALUE"""),94)</f>
        <v>94</v>
      </c>
      <c r="B95" s="10" t="str">
        <f ca="1">IFERROR(__xludf.DUMMYFUNCTION("""COMPUTED_VALUE"""),"Carlos Zarattini")</f>
        <v>Carlos Zarattini</v>
      </c>
      <c r="C95" s="10" t="str">
        <f ca="1">IFERROR(__xludf.DUMMYFUNCTION("""COMPUTED_VALUE"""),"SP")</f>
        <v>SP</v>
      </c>
      <c r="D95" s="6" t="str">
        <f t="shared" ca="1" si="0"/>
        <v>Masculino</v>
      </c>
      <c r="E95" s="10" t="str">
        <f ca="1">IFERROR(__xludf.DUMMYFUNCTION("""COMPUTED_VALUE"""),"M")</f>
        <v>M</v>
      </c>
      <c r="F95" s="11">
        <f ca="1">IFERROR(__xludf.DUMMYFUNCTION("""COMPUTED_VALUE"""),21709)</f>
        <v>21709</v>
      </c>
      <c r="G95" s="6">
        <f t="shared" ca="1" si="1"/>
        <v>66</v>
      </c>
      <c r="H95" s="6" t="b">
        <f ca="1">(COUNTIFS(Deputados!A95:A1000, A95, Deputados!D95:D1000, "&lt;&gt;57")) = 0</f>
        <v>0</v>
      </c>
    </row>
    <row r="96" spans="1:8" ht="17.399999999999999">
      <c r="A96" s="10">
        <f ca="1">IFERROR(__xludf.DUMMYFUNCTION("""COMPUTED_VALUE"""),95)</f>
        <v>95</v>
      </c>
      <c r="B96" s="10" t="str">
        <f ca="1">IFERROR(__xludf.DUMMYFUNCTION("""COMPUTED_VALUE"""),"Carmen Zanotto")</f>
        <v>Carmen Zanotto</v>
      </c>
      <c r="C96" s="10" t="str">
        <f ca="1">IFERROR(__xludf.DUMMYFUNCTION("""COMPUTED_VALUE"""),"SC")</f>
        <v>SC</v>
      </c>
      <c r="D96" s="6" t="str">
        <f t="shared" ca="1" si="0"/>
        <v>Feminino</v>
      </c>
      <c r="E96" s="10" t="str">
        <f ca="1">IFERROR(__xludf.DUMMYFUNCTION("""COMPUTED_VALUE"""),"F")</f>
        <v>F</v>
      </c>
      <c r="F96" s="11">
        <f ca="1">IFERROR(__xludf.DUMMYFUNCTION("""COMPUTED_VALUE"""),22925)</f>
        <v>22925</v>
      </c>
      <c r="G96" s="6">
        <f t="shared" ca="1" si="1"/>
        <v>62</v>
      </c>
      <c r="H96" s="6" t="b">
        <f ca="1">(COUNTIFS(Deputados!A96:A1000, A96, Deputados!D96:D1000, "&lt;&gt;57")) = 0</f>
        <v>0</v>
      </c>
    </row>
    <row r="97" spans="1:8" ht="17.399999999999999">
      <c r="A97" s="10">
        <f ca="1">IFERROR(__xludf.DUMMYFUNCTION("""COMPUTED_VALUE"""),96)</f>
        <v>96</v>
      </c>
      <c r="B97" s="10" t="str">
        <f ca="1">IFERROR(__xludf.DUMMYFUNCTION("""COMPUTED_VALUE"""),"Carol Dartora")</f>
        <v>Carol Dartora</v>
      </c>
      <c r="C97" s="10" t="str">
        <f ca="1">IFERROR(__xludf.DUMMYFUNCTION("""COMPUTED_VALUE"""),"PR")</f>
        <v>PR</v>
      </c>
      <c r="D97" s="6" t="str">
        <f t="shared" ca="1" si="0"/>
        <v>Feminino</v>
      </c>
      <c r="E97" s="10" t="str">
        <f ca="1">IFERROR(__xludf.DUMMYFUNCTION("""COMPUTED_VALUE"""),"F")</f>
        <v>F</v>
      </c>
      <c r="F97" s="11">
        <f ca="1">IFERROR(__xludf.DUMMYFUNCTION("""COMPUTED_VALUE"""),30437)</f>
        <v>30437</v>
      </c>
      <c r="G97" s="6">
        <f t="shared" ca="1" si="1"/>
        <v>42</v>
      </c>
      <c r="H97" s="6" t="b">
        <f ca="1">(COUNTIFS(Deputados!A97:A1000, A97, Deputados!D97:D1000, "&lt;&gt;57")) = 0</f>
        <v>1</v>
      </c>
    </row>
    <row r="98" spans="1:8" ht="17.399999999999999">
      <c r="A98" s="10">
        <f ca="1">IFERROR(__xludf.DUMMYFUNCTION("""COMPUTED_VALUE"""),97)</f>
        <v>97</v>
      </c>
      <c r="B98" s="10" t="str">
        <f ca="1">IFERROR(__xludf.DUMMYFUNCTION("""COMPUTED_VALUE"""),"Caroline de Toni")</f>
        <v>Caroline de Toni</v>
      </c>
      <c r="C98" s="10" t="str">
        <f ca="1">IFERROR(__xludf.DUMMYFUNCTION("""COMPUTED_VALUE"""),"SC")</f>
        <v>SC</v>
      </c>
      <c r="D98" s="6" t="str">
        <f t="shared" ca="1" si="0"/>
        <v>Feminino</v>
      </c>
      <c r="E98" s="10" t="str">
        <f ca="1">IFERROR(__xludf.DUMMYFUNCTION("""COMPUTED_VALUE"""),"F")</f>
        <v>F</v>
      </c>
      <c r="F98" s="11">
        <f ca="1">IFERROR(__xludf.DUMMYFUNCTION("""COMPUTED_VALUE"""),31656)</f>
        <v>31656</v>
      </c>
      <c r="G98" s="6">
        <f t="shared" ca="1" si="1"/>
        <v>39</v>
      </c>
      <c r="H98" s="6" t="b">
        <f ca="1">(COUNTIFS(Deputados!A98:A1000, A98, Deputados!D98:D1000, "&lt;&gt;57")) = 0</f>
        <v>0</v>
      </c>
    </row>
    <row r="99" spans="1:8" ht="17.399999999999999">
      <c r="A99" s="10">
        <f ca="1">IFERROR(__xludf.DUMMYFUNCTION("""COMPUTED_VALUE"""),98)</f>
        <v>98</v>
      </c>
      <c r="B99" s="10" t="str">
        <f ca="1">IFERROR(__xludf.DUMMYFUNCTION("""COMPUTED_VALUE"""),"Castro Neto")</f>
        <v>Castro Neto</v>
      </c>
      <c r="C99" s="10" t="str">
        <f ca="1">IFERROR(__xludf.DUMMYFUNCTION("""COMPUTED_VALUE"""),"PI")</f>
        <v>PI</v>
      </c>
      <c r="D99" s="6" t="str">
        <f t="shared" ca="1" si="0"/>
        <v>Masculino</v>
      </c>
      <c r="E99" s="10" t="str">
        <f ca="1">IFERROR(__xludf.DUMMYFUNCTION("""COMPUTED_VALUE"""),"M")</f>
        <v>M</v>
      </c>
      <c r="F99" s="11">
        <f ca="1">IFERROR(__xludf.DUMMYFUNCTION("""COMPUTED_VALUE"""),27142)</f>
        <v>27142</v>
      </c>
      <c r="G99" s="6">
        <f t="shared" ca="1" si="1"/>
        <v>51</v>
      </c>
      <c r="H99" s="6" t="b">
        <f ca="1">(COUNTIFS(Deputados!A99:A1000, A99, Deputados!D99:D1000, "&lt;&gt;57")) = 0</f>
        <v>1</v>
      </c>
    </row>
    <row r="100" spans="1:8" ht="17.399999999999999">
      <c r="A100" s="10">
        <f ca="1">IFERROR(__xludf.DUMMYFUNCTION("""COMPUTED_VALUE"""),99)</f>
        <v>99</v>
      </c>
      <c r="B100" s="10" t="str">
        <f ca="1">IFERROR(__xludf.DUMMYFUNCTION("""COMPUTED_VALUE"""),"Célia Xakriabá")</f>
        <v>Célia Xakriabá</v>
      </c>
      <c r="C100" s="10" t="str">
        <f ca="1">IFERROR(__xludf.DUMMYFUNCTION("""COMPUTED_VALUE"""),"SP")</f>
        <v>SP</v>
      </c>
      <c r="D100" s="6" t="str">
        <f t="shared" ca="1" si="0"/>
        <v>Feminino</v>
      </c>
      <c r="E100" s="10" t="str">
        <f ca="1">IFERROR(__xludf.DUMMYFUNCTION("""COMPUTED_VALUE"""),"F")</f>
        <v>F</v>
      </c>
      <c r="F100" s="11">
        <f ca="1">IFERROR(__xludf.DUMMYFUNCTION("""COMPUTED_VALUE"""),32638)</f>
        <v>32638</v>
      </c>
      <c r="G100" s="6">
        <f t="shared" ca="1" si="1"/>
        <v>36</v>
      </c>
      <c r="H100" s="6" t="b">
        <f ca="1">(COUNTIFS(Deputados!A100:A1000, A100, Deputados!D100:D1000, "&lt;&gt;57")) = 0</f>
        <v>1</v>
      </c>
    </row>
    <row r="101" spans="1:8" ht="17.399999999999999">
      <c r="A101" s="10">
        <f ca="1">IFERROR(__xludf.DUMMYFUNCTION("""COMPUTED_VALUE"""),100)</f>
        <v>100</v>
      </c>
      <c r="B101" s="10" t="str">
        <f ca="1">IFERROR(__xludf.DUMMYFUNCTION("""COMPUTED_VALUE"""),"Célio Silveira")</f>
        <v>Célio Silveira</v>
      </c>
      <c r="C101" s="10" t="str">
        <f ca="1">IFERROR(__xludf.DUMMYFUNCTION("""COMPUTED_VALUE"""),"GO")</f>
        <v>GO</v>
      </c>
      <c r="D101" s="6" t="str">
        <f t="shared" ca="1" si="0"/>
        <v>Masculino</v>
      </c>
      <c r="E101" s="10" t="str">
        <f ca="1">IFERROR(__xludf.DUMMYFUNCTION("""COMPUTED_VALUE"""),"M")</f>
        <v>M</v>
      </c>
      <c r="F101" s="11">
        <f ca="1">IFERROR(__xludf.DUMMYFUNCTION("""COMPUTED_VALUE"""),21812)</f>
        <v>21812</v>
      </c>
      <c r="G101" s="6">
        <f t="shared" ca="1" si="1"/>
        <v>65</v>
      </c>
      <c r="H101" s="6" t="b">
        <f ca="1">(COUNTIFS(Deputados!A101:A1000, A101, Deputados!D101:D1000, "&lt;&gt;57")) = 0</f>
        <v>0</v>
      </c>
    </row>
    <row r="102" spans="1:8" ht="17.399999999999999">
      <c r="A102" s="10">
        <f ca="1">IFERROR(__xludf.DUMMYFUNCTION("""COMPUTED_VALUE"""),101)</f>
        <v>101</v>
      </c>
      <c r="B102" s="10" t="str">
        <f ca="1">IFERROR(__xludf.DUMMYFUNCTION("""COMPUTED_VALUE"""),"Célio Studart")</f>
        <v>Célio Studart</v>
      </c>
      <c r="C102" s="10" t="str">
        <f ca="1">IFERROR(__xludf.DUMMYFUNCTION("""COMPUTED_VALUE"""),"CE")</f>
        <v>CE</v>
      </c>
      <c r="D102" s="6" t="str">
        <f t="shared" ca="1" si="0"/>
        <v>Masculino</v>
      </c>
      <c r="E102" s="10" t="str">
        <f ca="1">IFERROR(__xludf.DUMMYFUNCTION("""COMPUTED_VALUE"""),"M")</f>
        <v>M</v>
      </c>
      <c r="F102" s="11">
        <f ca="1">IFERROR(__xludf.DUMMYFUNCTION("""COMPUTED_VALUE"""),31947)</f>
        <v>31947</v>
      </c>
      <c r="G102" s="6">
        <f t="shared" ca="1" si="1"/>
        <v>38</v>
      </c>
      <c r="H102" s="6" t="b">
        <f ca="1">(COUNTIFS(Deputados!A102:A1000, A102, Deputados!D102:D1000, "&lt;&gt;57")) = 0</f>
        <v>0</v>
      </c>
    </row>
    <row r="103" spans="1:8" ht="17.399999999999999">
      <c r="A103" s="10">
        <f ca="1">IFERROR(__xludf.DUMMYFUNCTION("""COMPUTED_VALUE"""),102)</f>
        <v>102</v>
      </c>
      <c r="B103" s="10" t="str">
        <f ca="1">IFERROR(__xludf.DUMMYFUNCTION("""COMPUTED_VALUE"""),"Celso Russomanno")</f>
        <v>Celso Russomanno</v>
      </c>
      <c r="C103" s="10" t="str">
        <f ca="1">IFERROR(__xludf.DUMMYFUNCTION("""COMPUTED_VALUE"""),"SP")</f>
        <v>SP</v>
      </c>
      <c r="D103" s="6" t="str">
        <f t="shared" ca="1" si="0"/>
        <v>Masculino</v>
      </c>
      <c r="E103" s="10" t="str">
        <f ca="1">IFERROR(__xludf.DUMMYFUNCTION("""COMPUTED_VALUE"""),"M")</f>
        <v>M</v>
      </c>
      <c r="F103" s="11">
        <f ca="1">IFERROR(__xludf.DUMMYFUNCTION("""COMPUTED_VALUE"""),20687)</f>
        <v>20687</v>
      </c>
      <c r="G103" s="6">
        <f t="shared" ca="1" si="1"/>
        <v>69</v>
      </c>
      <c r="H103" s="6" t="b">
        <f ca="1">(COUNTIFS(Deputados!A103:A1000, A103, Deputados!D103:D1000, "&lt;&gt;57")) = 0</f>
        <v>0</v>
      </c>
    </row>
    <row r="104" spans="1:8" ht="17.399999999999999">
      <c r="A104" s="10">
        <f ca="1">IFERROR(__xludf.DUMMYFUNCTION("""COMPUTED_VALUE"""),103)</f>
        <v>103</v>
      </c>
      <c r="B104" s="10" t="str">
        <f ca="1">IFERROR(__xludf.DUMMYFUNCTION("""COMPUTED_VALUE"""),"Celso Sabino")</f>
        <v>Celso Sabino</v>
      </c>
      <c r="C104" s="10" t="str">
        <f ca="1">IFERROR(__xludf.DUMMYFUNCTION("""COMPUTED_VALUE"""),"PA")</f>
        <v>PA</v>
      </c>
      <c r="D104" s="6" t="str">
        <f t="shared" ca="1" si="0"/>
        <v>Masculino</v>
      </c>
      <c r="E104" s="10" t="str">
        <f ca="1">IFERROR(__xludf.DUMMYFUNCTION("""COMPUTED_VALUE"""),"M")</f>
        <v>M</v>
      </c>
      <c r="F104" s="11">
        <f ca="1">IFERROR(__xludf.DUMMYFUNCTION("""COMPUTED_VALUE"""),28731)</f>
        <v>28731</v>
      </c>
      <c r="G104" s="6">
        <f t="shared" ca="1" si="1"/>
        <v>47</v>
      </c>
      <c r="H104" s="6" t="b">
        <f ca="1">(COUNTIFS(Deputados!A104:A1000, A104, Deputados!D104:D1000, "&lt;&gt;57")) = 0</f>
        <v>0</v>
      </c>
    </row>
    <row r="105" spans="1:8" ht="17.399999999999999">
      <c r="A105" s="10">
        <f ca="1">IFERROR(__xludf.DUMMYFUNCTION("""COMPUTED_VALUE"""),104)</f>
        <v>104</v>
      </c>
      <c r="B105" s="10" t="str">
        <f ca="1">IFERROR(__xludf.DUMMYFUNCTION("""COMPUTED_VALUE"""),"Cezinha de Madureira")</f>
        <v>Cezinha de Madureira</v>
      </c>
      <c r="C105" s="10" t="str">
        <f ca="1">IFERROR(__xludf.DUMMYFUNCTION("""COMPUTED_VALUE"""),"BA")</f>
        <v>BA</v>
      </c>
      <c r="D105" s="6" t="str">
        <f t="shared" ca="1" si="0"/>
        <v>Masculino</v>
      </c>
      <c r="E105" s="10" t="str">
        <f ca="1">IFERROR(__xludf.DUMMYFUNCTION("""COMPUTED_VALUE"""),"M")</f>
        <v>M</v>
      </c>
      <c r="F105" s="11">
        <f ca="1">IFERROR(__xludf.DUMMYFUNCTION("""COMPUTED_VALUE"""),27010)</f>
        <v>27010</v>
      </c>
      <c r="G105" s="6">
        <f t="shared" ca="1" si="1"/>
        <v>51</v>
      </c>
      <c r="H105" s="6" t="b">
        <f ca="1">(COUNTIFS(Deputados!A105:A1000, A105, Deputados!D105:D1000, "&lt;&gt;57")) = 0</f>
        <v>0</v>
      </c>
    </row>
    <row r="106" spans="1:8" ht="17.399999999999999">
      <c r="A106" s="10">
        <f ca="1">IFERROR(__xludf.DUMMYFUNCTION("""COMPUTED_VALUE"""),105)</f>
        <v>105</v>
      </c>
      <c r="B106" s="10" t="str">
        <f ca="1">IFERROR(__xludf.DUMMYFUNCTION("""COMPUTED_VALUE"""),"Charles Fernandes")</f>
        <v>Charles Fernandes</v>
      </c>
      <c r="C106" s="10" t="str">
        <f ca="1">IFERROR(__xludf.DUMMYFUNCTION("""COMPUTED_VALUE"""),"BA")</f>
        <v>BA</v>
      </c>
      <c r="D106" s="6" t="str">
        <f t="shared" ca="1" si="0"/>
        <v>Masculino</v>
      </c>
      <c r="E106" s="10" t="str">
        <f ca="1">IFERROR(__xludf.DUMMYFUNCTION("""COMPUTED_VALUE"""),"M")</f>
        <v>M</v>
      </c>
      <c r="F106" s="11">
        <f ca="1">IFERROR(__xludf.DUMMYFUNCTION("""COMPUTED_VALUE"""),23816)</f>
        <v>23816</v>
      </c>
      <c r="G106" s="6">
        <f t="shared" ca="1" si="1"/>
        <v>60</v>
      </c>
      <c r="H106" s="6" t="b">
        <f ca="1">(COUNTIFS(Deputados!A106:A1000, A106, Deputados!D106:D1000, "&lt;&gt;57")) = 0</f>
        <v>0</v>
      </c>
    </row>
    <row r="107" spans="1:8" ht="17.399999999999999">
      <c r="A107" s="10">
        <f ca="1">IFERROR(__xludf.DUMMYFUNCTION("""COMPUTED_VALUE"""),106)</f>
        <v>106</v>
      </c>
      <c r="B107" s="10" t="str">
        <f ca="1">IFERROR(__xludf.DUMMYFUNCTION("""COMPUTED_VALUE"""),"Chico Alencar")</f>
        <v>Chico Alencar</v>
      </c>
      <c r="C107" s="10" t="str">
        <f ca="1">IFERROR(__xludf.DUMMYFUNCTION("""COMPUTED_VALUE"""),"RJ")</f>
        <v>RJ</v>
      </c>
      <c r="D107" s="6" t="str">
        <f t="shared" ca="1" si="0"/>
        <v>Masculino</v>
      </c>
      <c r="E107" s="10" t="str">
        <f ca="1">IFERROR(__xludf.DUMMYFUNCTION("""COMPUTED_VALUE"""),"M")</f>
        <v>M</v>
      </c>
      <c r="F107" s="11">
        <f ca="1">IFERROR(__xludf.DUMMYFUNCTION("""COMPUTED_VALUE"""),18190)</f>
        <v>18190</v>
      </c>
      <c r="G107" s="6">
        <f t="shared" ca="1" si="1"/>
        <v>75</v>
      </c>
      <c r="H107" s="6" t="b">
        <f ca="1">(COUNTIFS(Deputados!A107:A1000, A107, Deputados!D107:D1000, "&lt;&gt;57")) = 0</f>
        <v>0</v>
      </c>
    </row>
    <row r="108" spans="1:8" ht="17.399999999999999">
      <c r="A108" s="10">
        <f ca="1">IFERROR(__xludf.DUMMYFUNCTION("""COMPUTED_VALUE"""),107)</f>
        <v>107</v>
      </c>
      <c r="B108" s="10" t="str">
        <f ca="1">IFERROR(__xludf.DUMMYFUNCTION("""COMPUTED_VALUE"""),"Chiquinho Brazão")</f>
        <v>Chiquinho Brazão</v>
      </c>
      <c r="C108" s="10" t="str">
        <f ca="1">IFERROR(__xludf.DUMMYFUNCTION("""COMPUTED_VALUE"""),"RJ")</f>
        <v>RJ</v>
      </c>
      <c r="D108" s="6" t="str">
        <f t="shared" ca="1" si="0"/>
        <v>Masculino</v>
      </c>
      <c r="E108" s="10" t="str">
        <f ca="1">IFERROR(__xludf.DUMMYFUNCTION("""COMPUTED_VALUE"""),"M")</f>
        <v>M</v>
      </c>
      <c r="F108" s="11">
        <f ca="1">IFERROR(__xludf.DUMMYFUNCTION("""COMPUTED_VALUE"""),22699)</f>
        <v>22699</v>
      </c>
      <c r="G108" s="6">
        <f t="shared" ca="1" si="1"/>
        <v>63</v>
      </c>
      <c r="H108" s="6" t="b">
        <f ca="1">(COUNTIFS(Deputados!A108:A1000, A108, Deputados!D108:D1000, "&lt;&gt;57")) = 0</f>
        <v>0</v>
      </c>
    </row>
    <row r="109" spans="1:8" ht="17.399999999999999">
      <c r="A109" s="10">
        <f ca="1">IFERROR(__xludf.DUMMYFUNCTION("""COMPUTED_VALUE"""),108)</f>
        <v>108</v>
      </c>
      <c r="B109" s="10" t="str">
        <f ca="1">IFERROR(__xludf.DUMMYFUNCTION("""COMPUTED_VALUE"""),"Chris Tonietto")</f>
        <v>Chris Tonietto</v>
      </c>
      <c r="C109" s="10" t="str">
        <f ca="1">IFERROR(__xludf.DUMMYFUNCTION("""COMPUTED_VALUE"""),"RJ")</f>
        <v>RJ</v>
      </c>
      <c r="D109" s="6" t="str">
        <f t="shared" ca="1" si="0"/>
        <v>Feminino</v>
      </c>
      <c r="E109" s="10" t="str">
        <f ca="1">IFERROR(__xludf.DUMMYFUNCTION("""COMPUTED_VALUE"""),"F")</f>
        <v>F</v>
      </c>
      <c r="F109" s="11">
        <f ca="1">IFERROR(__xludf.DUMMYFUNCTION("""COMPUTED_VALUE"""),33372)</f>
        <v>33372</v>
      </c>
      <c r="G109" s="6">
        <f t="shared" ca="1" si="1"/>
        <v>34</v>
      </c>
      <c r="H109" s="6" t="b">
        <f ca="1">(COUNTIFS(Deputados!A109:A1000, A109, Deputados!D109:D1000, "&lt;&gt;57")) = 0</f>
        <v>0</v>
      </c>
    </row>
    <row r="110" spans="1:8" ht="17.399999999999999">
      <c r="A110" s="10">
        <f ca="1">IFERROR(__xludf.DUMMYFUNCTION("""COMPUTED_VALUE"""),109)</f>
        <v>109</v>
      </c>
      <c r="B110" s="10" t="str">
        <f ca="1">IFERROR(__xludf.DUMMYFUNCTION("""COMPUTED_VALUE"""),"Clarissa Tércio")</f>
        <v>Clarissa Tércio</v>
      </c>
      <c r="C110" s="10" t="str">
        <f ca="1">IFERROR(__xludf.DUMMYFUNCTION("""COMPUTED_VALUE"""),"PE")</f>
        <v>PE</v>
      </c>
      <c r="D110" s="6" t="str">
        <f t="shared" ca="1" si="0"/>
        <v>Feminino</v>
      </c>
      <c r="E110" s="10" t="str">
        <f ca="1">IFERROR(__xludf.DUMMYFUNCTION("""COMPUTED_VALUE"""),"F")</f>
        <v>F</v>
      </c>
      <c r="F110" s="11">
        <f ca="1">IFERROR(__xludf.DUMMYFUNCTION("""COMPUTED_VALUE"""),31042)</f>
        <v>31042</v>
      </c>
      <c r="G110" s="6">
        <f t="shared" ca="1" si="1"/>
        <v>40</v>
      </c>
      <c r="H110" s="6" t="b">
        <f ca="1">(COUNTIFS(Deputados!A110:A1000, A110, Deputados!D110:D1000, "&lt;&gt;57")) = 0</f>
        <v>1</v>
      </c>
    </row>
    <row r="111" spans="1:8" ht="17.399999999999999">
      <c r="A111" s="10">
        <f ca="1">IFERROR(__xludf.DUMMYFUNCTION("""COMPUTED_VALUE"""),110)</f>
        <v>110</v>
      </c>
      <c r="B111" s="10" t="str">
        <f ca="1">IFERROR(__xludf.DUMMYFUNCTION("""COMPUTED_VALUE"""),"Claudio Cajado")</f>
        <v>Claudio Cajado</v>
      </c>
      <c r="C111" s="10" t="str">
        <f ca="1">IFERROR(__xludf.DUMMYFUNCTION("""COMPUTED_VALUE"""),"BA")</f>
        <v>BA</v>
      </c>
      <c r="D111" s="6" t="str">
        <f t="shared" ca="1" si="0"/>
        <v>Masculino</v>
      </c>
      <c r="E111" s="10" t="str">
        <f ca="1">IFERROR(__xludf.DUMMYFUNCTION("""COMPUTED_VALUE"""),"M")</f>
        <v>M</v>
      </c>
      <c r="F111" s="11">
        <f ca="1">IFERROR(__xludf.DUMMYFUNCTION("""COMPUTED_VALUE"""),23346)</f>
        <v>23346</v>
      </c>
      <c r="G111" s="6">
        <f t="shared" ca="1" si="1"/>
        <v>61</v>
      </c>
      <c r="H111" s="6" t="b">
        <f ca="1">(COUNTIFS(Deputados!A111:A1000, A111, Deputados!D111:D1000, "&lt;&gt;57")) = 0</f>
        <v>0</v>
      </c>
    </row>
    <row r="112" spans="1:8" ht="17.399999999999999">
      <c r="A112" s="10">
        <f ca="1">IFERROR(__xludf.DUMMYFUNCTION("""COMPUTED_VALUE"""),111)</f>
        <v>111</v>
      </c>
      <c r="B112" s="10" t="str">
        <f ca="1">IFERROR(__xludf.DUMMYFUNCTION("""COMPUTED_VALUE"""),"Cleber Verde")</f>
        <v>Cleber Verde</v>
      </c>
      <c r="C112" s="10" t="str">
        <f ca="1">IFERROR(__xludf.DUMMYFUNCTION("""COMPUTED_VALUE"""),"MA")</f>
        <v>MA</v>
      </c>
      <c r="D112" s="6" t="str">
        <f t="shared" ca="1" si="0"/>
        <v>Masculino</v>
      </c>
      <c r="E112" s="10" t="str">
        <f ca="1">IFERROR(__xludf.DUMMYFUNCTION("""COMPUTED_VALUE"""),"M")</f>
        <v>M</v>
      </c>
      <c r="F112" s="11">
        <f ca="1">IFERROR(__xludf.DUMMYFUNCTION("""COMPUTED_VALUE"""),26429)</f>
        <v>26429</v>
      </c>
      <c r="G112" s="6">
        <f t="shared" ca="1" si="1"/>
        <v>53</v>
      </c>
      <c r="H112" s="6" t="b">
        <f ca="1">(COUNTIFS(Deputados!A112:A1000, A112, Deputados!D112:D1000, "&lt;&gt;57")) = 0</f>
        <v>0</v>
      </c>
    </row>
    <row r="113" spans="1:8" ht="17.399999999999999">
      <c r="A113" s="10">
        <f ca="1">IFERROR(__xludf.DUMMYFUNCTION("""COMPUTED_VALUE"""),112)</f>
        <v>112</v>
      </c>
      <c r="B113" s="10" t="str">
        <f ca="1">IFERROR(__xludf.DUMMYFUNCTION("""COMPUTED_VALUE"""),"Clodoaldo Magalhães")</f>
        <v>Clodoaldo Magalhães</v>
      </c>
      <c r="C113" s="10" t="str">
        <f ca="1">IFERROR(__xludf.DUMMYFUNCTION("""COMPUTED_VALUE"""),"PE")</f>
        <v>PE</v>
      </c>
      <c r="D113" s="6" t="str">
        <f t="shared" ca="1" si="0"/>
        <v>Masculino</v>
      </c>
      <c r="E113" s="10" t="str">
        <f ca="1">IFERROR(__xludf.DUMMYFUNCTION("""COMPUTED_VALUE"""),"M")</f>
        <v>M</v>
      </c>
      <c r="F113" s="11">
        <f ca="1">IFERROR(__xludf.DUMMYFUNCTION("""COMPUTED_VALUE"""),27711)</f>
        <v>27711</v>
      </c>
      <c r="G113" s="6">
        <f t="shared" ca="1" si="1"/>
        <v>49</v>
      </c>
      <c r="H113" s="6" t="b">
        <f ca="1">(COUNTIFS(Deputados!A113:A1000, A113, Deputados!D113:D1000, "&lt;&gt;57")) = 0</f>
        <v>1</v>
      </c>
    </row>
    <row r="114" spans="1:8" ht="17.399999999999999">
      <c r="A114" s="10">
        <f ca="1">IFERROR(__xludf.DUMMYFUNCTION("""COMPUTED_VALUE"""),113)</f>
        <v>113</v>
      </c>
      <c r="B114" s="10" t="str">
        <f ca="1">IFERROR(__xludf.DUMMYFUNCTION("""COMPUTED_VALUE"""),"Cobalchini")</f>
        <v>Cobalchini</v>
      </c>
      <c r="C114" s="10" t="str">
        <f ca="1">IFERROR(__xludf.DUMMYFUNCTION("""COMPUTED_VALUE"""),"SC")</f>
        <v>SC</v>
      </c>
      <c r="D114" s="6" t="str">
        <f t="shared" ca="1" si="0"/>
        <v>Masculino</v>
      </c>
      <c r="E114" s="10" t="str">
        <f ca="1">IFERROR(__xludf.DUMMYFUNCTION("""COMPUTED_VALUE"""),"M")</f>
        <v>M</v>
      </c>
      <c r="F114" s="11">
        <f ca="1">IFERROR(__xludf.DUMMYFUNCTION("""COMPUTED_VALUE"""),23261)</f>
        <v>23261</v>
      </c>
      <c r="G114" s="6">
        <f t="shared" ca="1" si="1"/>
        <v>62</v>
      </c>
      <c r="H114" s="6" t="b">
        <f ca="1">(COUNTIFS(Deputados!A114:A1000, A114, Deputados!D114:D1000, "&lt;&gt;57")) = 0</f>
        <v>1</v>
      </c>
    </row>
    <row r="115" spans="1:8" ht="17.399999999999999">
      <c r="A115" s="10">
        <f ca="1">IFERROR(__xludf.DUMMYFUNCTION("""COMPUTED_VALUE"""),114)</f>
        <v>114</v>
      </c>
      <c r="B115" s="10" t="str">
        <f ca="1">IFERROR(__xludf.DUMMYFUNCTION("""COMPUTED_VALUE"""),"Coronel Armando")</f>
        <v>Coronel Armando</v>
      </c>
      <c r="C115" s="10" t="str">
        <f ca="1">IFERROR(__xludf.DUMMYFUNCTION("""COMPUTED_VALUE"""),"RJ")</f>
        <v>RJ</v>
      </c>
      <c r="D115" s="6" t="str">
        <f t="shared" ca="1" si="0"/>
        <v>Masculino</v>
      </c>
      <c r="E115" s="10" t="str">
        <f ca="1">IFERROR(__xludf.DUMMYFUNCTION("""COMPUTED_VALUE"""),"M")</f>
        <v>M</v>
      </c>
      <c r="F115" s="11">
        <f ca="1">IFERROR(__xludf.DUMMYFUNCTION("""COMPUTED_VALUE"""),20994)</f>
        <v>20994</v>
      </c>
      <c r="G115" s="6">
        <f t="shared" ca="1" si="1"/>
        <v>68</v>
      </c>
      <c r="H115" s="6" t="b">
        <f ca="1">(COUNTIFS(Deputados!A115:A1000, A115, Deputados!D115:D1000, "&lt;&gt;57")) = 0</f>
        <v>0</v>
      </c>
    </row>
    <row r="116" spans="1:8" ht="17.399999999999999">
      <c r="A116" s="10">
        <f ca="1">IFERROR(__xludf.DUMMYFUNCTION("""COMPUTED_VALUE"""),115)</f>
        <v>115</v>
      </c>
      <c r="B116" s="10" t="str">
        <f ca="1">IFERROR(__xludf.DUMMYFUNCTION("""COMPUTED_VALUE"""),"Coronel Assis")</f>
        <v>Coronel Assis</v>
      </c>
      <c r="C116" s="10" t="str">
        <f ca="1">IFERROR(__xludf.DUMMYFUNCTION("""COMPUTED_VALUE"""),"MT")</f>
        <v>MT</v>
      </c>
      <c r="D116" s="6" t="str">
        <f t="shared" ca="1" si="0"/>
        <v>Masculino</v>
      </c>
      <c r="E116" s="10" t="str">
        <f ca="1">IFERROR(__xludf.DUMMYFUNCTION("""COMPUTED_VALUE"""),"M")</f>
        <v>M</v>
      </c>
      <c r="F116" s="11">
        <f ca="1">IFERROR(__xludf.DUMMYFUNCTION("""COMPUTED_VALUE"""),27866)</f>
        <v>27866</v>
      </c>
      <c r="G116" s="6">
        <f t="shared" ca="1" si="1"/>
        <v>49</v>
      </c>
      <c r="H116" s="6" t="b">
        <f ca="1">(COUNTIFS(Deputados!A116:A1000, A116, Deputados!D116:D1000, "&lt;&gt;57")) = 0</f>
        <v>1</v>
      </c>
    </row>
    <row r="117" spans="1:8" ht="17.399999999999999">
      <c r="A117" s="10">
        <f ca="1">IFERROR(__xludf.DUMMYFUNCTION("""COMPUTED_VALUE"""),116)</f>
        <v>116</v>
      </c>
      <c r="B117" s="10" t="str">
        <f ca="1">IFERROR(__xludf.DUMMYFUNCTION("""COMPUTED_VALUE"""),"Coronel Chrisóstomo")</f>
        <v>Coronel Chrisóstomo</v>
      </c>
      <c r="C117" s="10" t="str">
        <f ca="1">IFERROR(__xludf.DUMMYFUNCTION("""COMPUTED_VALUE"""),"AM")</f>
        <v>AM</v>
      </c>
      <c r="D117" s="6" t="str">
        <f t="shared" ca="1" si="0"/>
        <v>Masculino</v>
      </c>
      <c r="E117" s="10" t="str">
        <f ca="1">IFERROR(__xludf.DUMMYFUNCTION("""COMPUTED_VALUE"""),"M")</f>
        <v>M</v>
      </c>
      <c r="F117" s="11">
        <f ca="1">IFERROR(__xludf.DUMMYFUNCTION("""COMPUTED_VALUE"""),21724)</f>
        <v>21724</v>
      </c>
      <c r="G117" s="6">
        <f t="shared" ca="1" si="1"/>
        <v>66</v>
      </c>
      <c r="H117" s="6" t="b">
        <f ca="1">(COUNTIFS(Deputados!A117:A1000, A117, Deputados!D117:D1000, "&lt;&gt;57")) = 0</f>
        <v>0</v>
      </c>
    </row>
    <row r="118" spans="1:8" ht="17.399999999999999">
      <c r="A118" s="10">
        <f ca="1">IFERROR(__xludf.DUMMYFUNCTION("""COMPUTED_VALUE"""),117)</f>
        <v>117</v>
      </c>
      <c r="B118" s="10" t="str">
        <f ca="1">IFERROR(__xludf.DUMMYFUNCTION("""COMPUTED_VALUE"""),"Coronel Fernanda")</f>
        <v>Coronel Fernanda</v>
      </c>
      <c r="C118" s="10" t="str">
        <f ca="1">IFERROR(__xludf.DUMMYFUNCTION("""COMPUTED_VALUE"""),"MT")</f>
        <v>MT</v>
      </c>
      <c r="D118" s="6" t="str">
        <f t="shared" ca="1" si="0"/>
        <v>Feminino</v>
      </c>
      <c r="E118" s="10" t="str">
        <f ca="1">IFERROR(__xludf.DUMMYFUNCTION("""COMPUTED_VALUE"""),"F")</f>
        <v>F</v>
      </c>
      <c r="F118" s="11">
        <f ca="1">IFERROR(__xludf.DUMMYFUNCTION("""COMPUTED_VALUE"""),27346)</f>
        <v>27346</v>
      </c>
      <c r="G118" s="6">
        <f t="shared" ca="1" si="1"/>
        <v>50</v>
      </c>
      <c r="H118" s="6" t="b">
        <f ca="1">(COUNTIFS(Deputados!A118:A1000, A118, Deputados!D118:D1000, "&lt;&gt;57")) = 0</f>
        <v>1</v>
      </c>
    </row>
    <row r="119" spans="1:8" ht="17.399999999999999">
      <c r="A119" s="10">
        <f ca="1">IFERROR(__xludf.DUMMYFUNCTION("""COMPUTED_VALUE"""),118)</f>
        <v>118</v>
      </c>
      <c r="B119" s="10" t="str">
        <f ca="1">IFERROR(__xludf.DUMMYFUNCTION("""COMPUTED_VALUE"""),"Coronel Meira")</f>
        <v>Coronel Meira</v>
      </c>
      <c r="C119" s="10" t="str">
        <f ca="1">IFERROR(__xludf.DUMMYFUNCTION("""COMPUTED_VALUE"""),"PE")</f>
        <v>PE</v>
      </c>
      <c r="D119" s="6" t="str">
        <f t="shared" ca="1" si="0"/>
        <v>Masculino</v>
      </c>
      <c r="E119" s="10" t="str">
        <f ca="1">IFERROR(__xludf.DUMMYFUNCTION("""COMPUTED_VALUE"""),"M")</f>
        <v>M</v>
      </c>
      <c r="F119" s="11">
        <f ca="1">IFERROR(__xludf.DUMMYFUNCTION("""COMPUTED_VALUE"""),21192)</f>
        <v>21192</v>
      </c>
      <c r="G119" s="6">
        <f t="shared" ca="1" si="1"/>
        <v>67</v>
      </c>
      <c r="H119" s="6" t="b">
        <f ca="1">(COUNTIFS(Deputados!A119:A1000, A119, Deputados!D119:D1000, "&lt;&gt;57")) = 0</f>
        <v>1</v>
      </c>
    </row>
    <row r="120" spans="1:8" ht="17.399999999999999">
      <c r="A120" s="10">
        <f ca="1">IFERROR(__xludf.DUMMYFUNCTION("""COMPUTED_VALUE"""),119)</f>
        <v>119</v>
      </c>
      <c r="B120" s="10" t="str">
        <f ca="1">IFERROR(__xludf.DUMMYFUNCTION("""COMPUTED_VALUE"""),"Coronel Tadeu")</f>
        <v>Coronel Tadeu</v>
      </c>
      <c r="C120" s="10" t="str">
        <f ca="1">IFERROR(__xludf.DUMMYFUNCTION("""COMPUTED_VALUE"""),"SP")</f>
        <v>SP</v>
      </c>
      <c r="D120" s="6" t="str">
        <f t="shared" ca="1" si="0"/>
        <v>Masculino</v>
      </c>
      <c r="E120" s="10" t="str">
        <f ca="1">IFERROR(__xludf.DUMMYFUNCTION("""COMPUTED_VALUE"""),"M")</f>
        <v>M</v>
      </c>
      <c r="F120" s="11">
        <f ca="1">IFERROR(__xludf.DUMMYFUNCTION("""COMPUTED_VALUE"""),24015)</f>
        <v>24015</v>
      </c>
      <c r="G120" s="6">
        <f t="shared" ca="1" si="1"/>
        <v>59</v>
      </c>
      <c r="H120" s="6" t="b">
        <f ca="1">(COUNTIFS(Deputados!A120:A1000, A120, Deputados!D120:D1000, "&lt;&gt;57")) = 0</f>
        <v>0</v>
      </c>
    </row>
    <row r="121" spans="1:8" ht="17.399999999999999">
      <c r="A121" s="10">
        <f ca="1">IFERROR(__xludf.DUMMYFUNCTION("""COMPUTED_VALUE"""),120)</f>
        <v>120</v>
      </c>
      <c r="B121" s="10" t="str">
        <f ca="1">IFERROR(__xludf.DUMMYFUNCTION("""COMPUTED_VALUE"""),"Coronel Telhada")</f>
        <v>Coronel Telhada</v>
      </c>
      <c r="C121" s="10" t="str">
        <f ca="1">IFERROR(__xludf.DUMMYFUNCTION("""COMPUTED_VALUE"""),"SP")</f>
        <v>SP</v>
      </c>
      <c r="D121" s="6" t="str">
        <f t="shared" ca="1" si="0"/>
        <v>Masculino</v>
      </c>
      <c r="E121" s="10" t="str">
        <f ca="1">IFERROR(__xludf.DUMMYFUNCTION("""COMPUTED_VALUE"""),"M")</f>
        <v>M</v>
      </c>
      <c r="F121" s="11">
        <f ca="1">IFERROR(__xludf.DUMMYFUNCTION("""COMPUTED_VALUE"""),22564)</f>
        <v>22564</v>
      </c>
      <c r="G121" s="6">
        <f t="shared" ca="1" si="1"/>
        <v>63</v>
      </c>
      <c r="H121" s="6" t="b">
        <f ca="1">(COUNTIFS(Deputados!A121:A1000, A121, Deputados!D121:D1000, "&lt;&gt;57")) = 0</f>
        <v>1</v>
      </c>
    </row>
    <row r="122" spans="1:8" ht="17.399999999999999">
      <c r="A122" s="10">
        <f ca="1">IFERROR(__xludf.DUMMYFUNCTION("""COMPUTED_VALUE"""),121)</f>
        <v>121</v>
      </c>
      <c r="B122" s="10" t="str">
        <f ca="1">IFERROR(__xludf.DUMMYFUNCTION("""COMPUTED_VALUE"""),"Coronel Ulysses")</f>
        <v>Coronel Ulysses</v>
      </c>
      <c r="C122" s="10" t="str">
        <f ca="1">IFERROR(__xludf.DUMMYFUNCTION("""COMPUTED_VALUE"""),"AC")</f>
        <v>AC</v>
      </c>
      <c r="D122" s="6" t="str">
        <f t="shared" ca="1" si="0"/>
        <v>Masculino</v>
      </c>
      <c r="E122" s="10" t="str">
        <f ca="1">IFERROR(__xludf.DUMMYFUNCTION("""COMPUTED_VALUE"""),"M")</f>
        <v>M</v>
      </c>
      <c r="F122" s="11">
        <f ca="1">IFERROR(__xludf.DUMMYFUNCTION("""COMPUTED_VALUE"""),26591)</f>
        <v>26591</v>
      </c>
      <c r="G122" s="6">
        <f t="shared" ca="1" si="1"/>
        <v>52</v>
      </c>
      <c r="H122" s="6" t="b">
        <f ca="1">(COUNTIFS(Deputados!A122:A1000, A122, Deputados!D122:D1000, "&lt;&gt;57")) = 0</f>
        <v>1</v>
      </c>
    </row>
    <row r="123" spans="1:8" ht="17.399999999999999">
      <c r="A123" s="10">
        <f ca="1">IFERROR(__xludf.DUMMYFUNCTION("""COMPUTED_VALUE"""),122)</f>
        <v>122</v>
      </c>
      <c r="B123" s="10" t="str">
        <f ca="1">IFERROR(__xludf.DUMMYFUNCTION("""COMPUTED_VALUE"""),"Covatti Filho")</f>
        <v>Covatti Filho</v>
      </c>
      <c r="C123" s="10" t="str">
        <f ca="1">IFERROR(__xludf.DUMMYFUNCTION("""COMPUTED_VALUE"""),"RS")</f>
        <v>RS</v>
      </c>
      <c r="D123" s="6" t="str">
        <f t="shared" ca="1" si="0"/>
        <v>Masculino</v>
      </c>
      <c r="E123" s="10" t="str">
        <f ca="1">IFERROR(__xludf.DUMMYFUNCTION("""COMPUTED_VALUE"""),"M")</f>
        <v>M</v>
      </c>
      <c r="F123" s="11">
        <f ca="1">IFERROR(__xludf.DUMMYFUNCTION("""COMPUTED_VALUE"""),31983)</f>
        <v>31983</v>
      </c>
      <c r="G123" s="6">
        <f t="shared" ca="1" si="1"/>
        <v>38</v>
      </c>
      <c r="H123" s="6" t="b">
        <f ca="1">(COUNTIFS(Deputados!A123:A1000, A123, Deputados!D123:D1000, "&lt;&gt;57")) = 0</f>
        <v>0</v>
      </c>
    </row>
    <row r="124" spans="1:8" ht="17.399999999999999">
      <c r="A124" s="10">
        <f ca="1">IFERROR(__xludf.DUMMYFUNCTION("""COMPUTED_VALUE"""),123)</f>
        <v>123</v>
      </c>
      <c r="B124" s="10" t="str">
        <f ca="1">IFERROR(__xludf.DUMMYFUNCTION("""COMPUTED_VALUE"""),"Cristiane Lopes")</f>
        <v>Cristiane Lopes</v>
      </c>
      <c r="C124" s="10" t="str">
        <f ca="1">IFERROR(__xludf.DUMMYFUNCTION("""COMPUTED_VALUE"""),"RO")</f>
        <v>RO</v>
      </c>
      <c r="D124" s="6" t="str">
        <f t="shared" ca="1" si="0"/>
        <v>Feminino</v>
      </c>
      <c r="E124" s="10" t="str">
        <f ca="1">IFERROR(__xludf.DUMMYFUNCTION("""COMPUTED_VALUE"""),"F")</f>
        <v>F</v>
      </c>
      <c r="F124" s="11">
        <f ca="1">IFERROR(__xludf.DUMMYFUNCTION("""COMPUTED_VALUE"""),30637)</f>
        <v>30637</v>
      </c>
      <c r="G124" s="6">
        <f t="shared" ca="1" si="1"/>
        <v>41</v>
      </c>
      <c r="H124" s="6" t="b">
        <f ca="1">(COUNTIFS(Deputados!A124:A1000, A124, Deputados!D124:D1000, "&lt;&gt;57")) = 0</f>
        <v>1</v>
      </c>
    </row>
    <row r="125" spans="1:8" ht="17.399999999999999">
      <c r="A125" s="10">
        <f ca="1">IFERROR(__xludf.DUMMYFUNCTION("""COMPUTED_VALUE"""),124)</f>
        <v>124</v>
      </c>
      <c r="B125" s="10" t="str">
        <f ca="1">IFERROR(__xludf.DUMMYFUNCTION("""COMPUTED_VALUE"""),"Da Vitoria")</f>
        <v>Da Vitoria</v>
      </c>
      <c r="C125" s="10" t="str">
        <f ca="1">IFERROR(__xludf.DUMMYFUNCTION("""COMPUTED_VALUE"""),"ES")</f>
        <v>ES</v>
      </c>
      <c r="D125" s="6" t="str">
        <f t="shared" ca="1" si="0"/>
        <v>Masculino</v>
      </c>
      <c r="E125" s="10" t="str">
        <f ca="1">IFERROR(__xludf.DUMMYFUNCTION("""COMPUTED_VALUE"""),"M")</f>
        <v>M</v>
      </c>
      <c r="F125" s="11">
        <f ca="1">IFERROR(__xludf.DUMMYFUNCTION("""COMPUTED_VALUE"""),26086)</f>
        <v>26086</v>
      </c>
      <c r="G125" s="6">
        <f t="shared" ca="1" si="1"/>
        <v>54</v>
      </c>
      <c r="H125" s="6" t="b">
        <f ca="1">(COUNTIFS(Deputados!A125:A1000, A125, Deputados!D125:D1000, "&lt;&gt;57")) = 0</f>
        <v>0</v>
      </c>
    </row>
    <row r="126" spans="1:8" ht="17.399999999999999">
      <c r="A126" s="10">
        <f ca="1">IFERROR(__xludf.DUMMYFUNCTION("""COMPUTED_VALUE"""),125)</f>
        <v>125</v>
      </c>
      <c r="B126" s="10" t="str">
        <f ca="1">IFERROR(__xludf.DUMMYFUNCTION("""COMPUTED_VALUE"""),"Dagoberto Nogueira")</f>
        <v>Dagoberto Nogueira</v>
      </c>
      <c r="C126" s="10" t="str">
        <f ca="1">IFERROR(__xludf.DUMMYFUNCTION("""COMPUTED_VALUE"""),"SP")</f>
        <v>SP</v>
      </c>
      <c r="D126" s="6" t="str">
        <f t="shared" ca="1" si="0"/>
        <v>Masculino</v>
      </c>
      <c r="E126" s="10" t="str">
        <f ca="1">IFERROR(__xludf.DUMMYFUNCTION("""COMPUTED_VALUE"""),"M")</f>
        <v>M</v>
      </c>
      <c r="F126" s="11">
        <f ca="1">IFERROR(__xludf.DUMMYFUNCTION("""COMPUTED_VALUE"""),20291)</f>
        <v>20291</v>
      </c>
      <c r="G126" s="6">
        <f t="shared" ca="1" si="1"/>
        <v>70</v>
      </c>
      <c r="H126" s="6" t="b">
        <f ca="1">(COUNTIFS(Deputados!A126:A1000, A126, Deputados!D126:D1000, "&lt;&gt;57")) = 0</f>
        <v>0</v>
      </c>
    </row>
    <row r="127" spans="1:8" ht="17.399999999999999">
      <c r="A127" s="10">
        <f ca="1">IFERROR(__xludf.DUMMYFUNCTION("""COMPUTED_VALUE"""),126)</f>
        <v>126</v>
      </c>
      <c r="B127" s="10" t="str">
        <f ca="1">IFERROR(__xludf.DUMMYFUNCTION("""COMPUTED_VALUE"""),"Daiana Santos")</f>
        <v>Daiana Santos</v>
      </c>
      <c r="C127" s="10" t="str">
        <f ca="1">IFERROR(__xludf.DUMMYFUNCTION("""COMPUTED_VALUE"""),"RS")</f>
        <v>RS</v>
      </c>
      <c r="D127" s="6" t="str">
        <f t="shared" ca="1" si="0"/>
        <v>Feminino</v>
      </c>
      <c r="E127" s="10" t="str">
        <f ca="1">IFERROR(__xludf.DUMMYFUNCTION("""COMPUTED_VALUE"""),"F")</f>
        <v>F</v>
      </c>
      <c r="F127" s="11">
        <f ca="1">IFERROR(__xludf.DUMMYFUNCTION("""COMPUTED_VALUE"""),29980)</f>
        <v>29980</v>
      </c>
      <c r="G127" s="6">
        <f t="shared" ca="1" si="1"/>
        <v>43</v>
      </c>
      <c r="H127" s="6" t="b">
        <f ca="1">(COUNTIFS(Deputados!A127:A1000, A127, Deputados!D127:D1000, "&lt;&gt;57")) = 0</f>
        <v>1</v>
      </c>
    </row>
    <row r="128" spans="1:8" ht="17.399999999999999">
      <c r="A128" s="10">
        <f ca="1">IFERROR(__xludf.DUMMYFUNCTION("""COMPUTED_VALUE"""),127)</f>
        <v>127</v>
      </c>
      <c r="B128" s="10" t="str">
        <f ca="1">IFERROR(__xludf.DUMMYFUNCTION("""COMPUTED_VALUE"""),"Dal Barreto")</f>
        <v>Dal Barreto</v>
      </c>
      <c r="C128" s="10" t="str">
        <f ca="1">IFERROR(__xludf.DUMMYFUNCTION("""COMPUTED_VALUE"""),"BA")</f>
        <v>BA</v>
      </c>
      <c r="D128" s="6" t="str">
        <f t="shared" ca="1" si="0"/>
        <v>Masculino</v>
      </c>
      <c r="E128" s="10" t="str">
        <f ca="1">IFERROR(__xludf.DUMMYFUNCTION("""COMPUTED_VALUE"""),"M")</f>
        <v>M</v>
      </c>
      <c r="F128" s="11">
        <f ca="1">IFERROR(__xludf.DUMMYFUNCTION("""COMPUTED_VALUE"""),28930)</f>
        <v>28930</v>
      </c>
      <c r="G128" s="6">
        <f t="shared" ca="1" si="1"/>
        <v>46</v>
      </c>
      <c r="H128" s="6" t="b">
        <f ca="1">(COUNTIFS(Deputados!A128:A1000, A128, Deputados!D128:D1000, "&lt;&gt;57")) = 0</f>
        <v>1</v>
      </c>
    </row>
    <row r="129" spans="1:8" ht="17.399999999999999">
      <c r="A129" s="10">
        <f ca="1">IFERROR(__xludf.DUMMYFUNCTION("""COMPUTED_VALUE"""),128)</f>
        <v>128</v>
      </c>
      <c r="B129" s="10" t="str">
        <f ca="1">IFERROR(__xludf.DUMMYFUNCTION("""COMPUTED_VALUE"""),"Damião Feliciano")</f>
        <v>Damião Feliciano</v>
      </c>
      <c r="C129" s="10" t="str">
        <f ca="1">IFERROR(__xludf.DUMMYFUNCTION("""COMPUTED_VALUE"""),"PB")</f>
        <v>PB</v>
      </c>
      <c r="D129" s="6" t="str">
        <f t="shared" ca="1" si="0"/>
        <v>Masculino</v>
      </c>
      <c r="E129" s="10" t="str">
        <f ca="1">IFERROR(__xludf.DUMMYFUNCTION("""COMPUTED_VALUE"""),"M")</f>
        <v>M</v>
      </c>
      <c r="F129" s="11">
        <f ca="1">IFERROR(__xludf.DUMMYFUNCTION("""COMPUTED_VALUE"""),19112)</f>
        <v>19112</v>
      </c>
      <c r="G129" s="6">
        <f t="shared" ca="1" si="1"/>
        <v>73</v>
      </c>
      <c r="H129" s="6" t="b">
        <f ca="1">(COUNTIFS(Deputados!A129:A1000, A129, Deputados!D129:D1000, "&lt;&gt;57")) = 0</f>
        <v>0</v>
      </c>
    </row>
    <row r="130" spans="1:8" ht="17.399999999999999">
      <c r="A130" s="10">
        <f ca="1">IFERROR(__xludf.DUMMYFUNCTION("""COMPUTED_VALUE"""),129)</f>
        <v>129</v>
      </c>
      <c r="B130" s="10" t="str">
        <f ca="1">IFERROR(__xludf.DUMMYFUNCTION("""COMPUTED_VALUE"""),"Dandara")</f>
        <v>Dandara</v>
      </c>
      <c r="C130" s="10" t="str">
        <f ca="1">IFERROR(__xludf.DUMMYFUNCTION("""COMPUTED_VALUE"""),"MG")</f>
        <v>MG</v>
      </c>
      <c r="D130" s="6" t="str">
        <f t="shared" ca="1" si="0"/>
        <v>Feminino</v>
      </c>
      <c r="E130" s="10" t="str">
        <f ca="1">IFERROR(__xludf.DUMMYFUNCTION("""COMPUTED_VALUE"""),"F")</f>
        <v>F</v>
      </c>
      <c r="F130" s="11">
        <f ca="1">IFERROR(__xludf.DUMMYFUNCTION("""COMPUTED_VALUE"""),34357)</f>
        <v>34357</v>
      </c>
      <c r="G130" s="6">
        <f t="shared" ca="1" si="1"/>
        <v>31</v>
      </c>
      <c r="H130" s="6" t="b">
        <f ca="1">(COUNTIFS(Deputados!A130:A1000, A130, Deputados!D130:D1000, "&lt;&gt;57")) = 0</f>
        <v>1</v>
      </c>
    </row>
    <row r="131" spans="1:8" ht="17.399999999999999">
      <c r="A131" s="10">
        <f ca="1">IFERROR(__xludf.DUMMYFUNCTION("""COMPUTED_VALUE"""),130)</f>
        <v>130</v>
      </c>
      <c r="B131" s="10" t="str">
        <f ca="1">IFERROR(__xludf.DUMMYFUNCTION("""COMPUTED_VALUE"""),"Dani Cunha")</f>
        <v>Dani Cunha</v>
      </c>
      <c r="C131" s="10" t="str">
        <f ca="1">IFERROR(__xludf.DUMMYFUNCTION("""COMPUTED_VALUE"""),"RJ")</f>
        <v>RJ</v>
      </c>
      <c r="D131" s="6" t="str">
        <f t="shared" ca="1" si="0"/>
        <v>Feminino</v>
      </c>
      <c r="E131" s="10" t="str">
        <f ca="1">IFERROR(__xludf.DUMMYFUNCTION("""COMPUTED_VALUE"""),"F")</f>
        <v>F</v>
      </c>
      <c r="F131" s="11">
        <f ca="1">IFERROR(__xludf.DUMMYFUNCTION("""COMPUTED_VALUE"""),31916)</f>
        <v>31916</v>
      </c>
      <c r="G131" s="6">
        <f t="shared" ca="1" si="1"/>
        <v>38</v>
      </c>
      <c r="H131" s="6" t="b">
        <f ca="1">(COUNTIFS(Deputados!A131:A1000, A131, Deputados!D131:D1000, "&lt;&gt;57")) = 0</f>
        <v>1</v>
      </c>
    </row>
    <row r="132" spans="1:8" ht="17.399999999999999">
      <c r="A132" s="10">
        <f ca="1">IFERROR(__xludf.DUMMYFUNCTION("""COMPUTED_VALUE"""),131)</f>
        <v>131</v>
      </c>
      <c r="B132" s="10" t="str">
        <f ca="1">IFERROR(__xludf.DUMMYFUNCTION("""COMPUTED_VALUE"""),"Daniel Agrobom")</f>
        <v>Daniel Agrobom</v>
      </c>
      <c r="C132" s="10" t="str">
        <f ca="1">IFERROR(__xludf.DUMMYFUNCTION("""COMPUTED_VALUE"""),"MG")</f>
        <v>MG</v>
      </c>
      <c r="D132" s="6" t="str">
        <f t="shared" ca="1" si="0"/>
        <v>Masculino</v>
      </c>
      <c r="E132" s="10" t="str">
        <f ca="1">IFERROR(__xludf.DUMMYFUNCTION("""COMPUTED_VALUE"""),"M")</f>
        <v>M</v>
      </c>
      <c r="F132" s="11">
        <f ca="1">IFERROR(__xludf.DUMMYFUNCTION("""COMPUTED_VALUE"""),25021)</f>
        <v>25021</v>
      </c>
      <c r="G132" s="6">
        <f t="shared" ca="1" si="1"/>
        <v>57</v>
      </c>
      <c r="H132" s="6" t="b">
        <f ca="1">(COUNTIFS(Deputados!A132:A1000, A132, Deputados!D132:D1000, "&lt;&gt;57")) = 0</f>
        <v>1</v>
      </c>
    </row>
    <row r="133" spans="1:8" ht="17.399999999999999">
      <c r="A133" s="10">
        <f ca="1">IFERROR(__xludf.DUMMYFUNCTION("""COMPUTED_VALUE"""),132)</f>
        <v>132</v>
      </c>
      <c r="B133" s="10" t="str">
        <f ca="1">IFERROR(__xludf.DUMMYFUNCTION("""COMPUTED_VALUE"""),"Daniel Almeida")</f>
        <v>Daniel Almeida</v>
      </c>
      <c r="C133" s="10" t="str">
        <f ca="1">IFERROR(__xludf.DUMMYFUNCTION("""COMPUTED_VALUE"""),"BA")</f>
        <v>BA</v>
      </c>
      <c r="D133" s="6" t="str">
        <f t="shared" ca="1" si="0"/>
        <v>Masculino</v>
      </c>
      <c r="E133" s="10" t="str">
        <f ca="1">IFERROR(__xludf.DUMMYFUNCTION("""COMPUTED_VALUE"""),"M")</f>
        <v>M</v>
      </c>
      <c r="F133" s="11">
        <f ca="1">IFERROR(__xludf.DUMMYFUNCTION("""COMPUTED_VALUE"""),20110)</f>
        <v>20110</v>
      </c>
      <c r="G133" s="6">
        <f t="shared" ca="1" si="1"/>
        <v>70</v>
      </c>
      <c r="H133" s="6" t="b">
        <f ca="1">(COUNTIFS(Deputados!A133:A1000, A133, Deputados!D133:D1000, "&lt;&gt;57")) = 0</f>
        <v>0</v>
      </c>
    </row>
    <row r="134" spans="1:8" ht="17.399999999999999">
      <c r="A134" s="10">
        <f ca="1">IFERROR(__xludf.DUMMYFUNCTION("""COMPUTED_VALUE"""),133)</f>
        <v>133</v>
      </c>
      <c r="B134" s="10" t="str">
        <f ca="1">IFERROR(__xludf.DUMMYFUNCTION("""COMPUTED_VALUE"""),"Daniel Barbosa")</f>
        <v>Daniel Barbosa</v>
      </c>
      <c r="C134" s="10" t="str">
        <f ca="1">IFERROR(__xludf.DUMMYFUNCTION("""COMPUTED_VALUE"""),"AL")</f>
        <v>AL</v>
      </c>
      <c r="D134" s="6" t="str">
        <f t="shared" ca="1" si="0"/>
        <v>Masculino</v>
      </c>
      <c r="E134" s="10" t="str">
        <f ca="1">IFERROR(__xludf.DUMMYFUNCTION("""COMPUTED_VALUE"""),"M")</f>
        <v>M</v>
      </c>
      <c r="F134" s="11">
        <f ca="1">IFERROR(__xludf.DUMMYFUNCTION("""COMPUTED_VALUE"""),30982)</f>
        <v>30982</v>
      </c>
      <c r="G134" s="6">
        <f t="shared" ca="1" si="1"/>
        <v>40</v>
      </c>
      <c r="H134" s="6" t="b">
        <f ca="1">(COUNTIFS(Deputados!A134:A1000, A134, Deputados!D134:D1000, "&lt;&gt;57")) = 0</f>
        <v>1</v>
      </c>
    </row>
    <row r="135" spans="1:8" ht="17.399999999999999">
      <c r="A135" s="10">
        <f ca="1">IFERROR(__xludf.DUMMYFUNCTION("""COMPUTED_VALUE"""),134)</f>
        <v>134</v>
      </c>
      <c r="B135" s="10" t="str">
        <f ca="1">IFERROR(__xludf.DUMMYFUNCTION("""COMPUTED_VALUE"""),"Daniel Freitas")</f>
        <v>Daniel Freitas</v>
      </c>
      <c r="C135" s="10" t="str">
        <f ca="1">IFERROR(__xludf.DUMMYFUNCTION("""COMPUTED_VALUE"""),"SC")</f>
        <v>SC</v>
      </c>
      <c r="D135" s="6" t="str">
        <f t="shared" ca="1" si="0"/>
        <v>Masculino</v>
      </c>
      <c r="E135" s="10" t="str">
        <f ca="1">IFERROR(__xludf.DUMMYFUNCTION("""COMPUTED_VALUE"""),"M")</f>
        <v>M</v>
      </c>
      <c r="F135" s="11">
        <f ca="1">IFERROR(__xludf.DUMMYFUNCTION("""COMPUTED_VALUE"""),30044)</f>
        <v>30044</v>
      </c>
      <c r="G135" s="6">
        <f t="shared" ca="1" si="1"/>
        <v>43</v>
      </c>
      <c r="H135" s="6" t="b">
        <f ca="1">(COUNTIFS(Deputados!A135:A1000, A135, Deputados!D135:D1000, "&lt;&gt;57")) = 0</f>
        <v>0</v>
      </c>
    </row>
    <row r="136" spans="1:8" ht="17.399999999999999">
      <c r="A136" s="10">
        <f ca="1">IFERROR(__xludf.DUMMYFUNCTION("""COMPUTED_VALUE"""),135)</f>
        <v>135</v>
      </c>
      <c r="B136" s="10" t="str">
        <f ca="1">IFERROR(__xludf.DUMMYFUNCTION("""COMPUTED_VALUE"""),"Daniel José")</f>
        <v>Daniel José</v>
      </c>
      <c r="C136" s="10" t="str">
        <f ca="1">IFERROR(__xludf.DUMMYFUNCTION("""COMPUTED_VALUE"""),"SP")</f>
        <v>SP</v>
      </c>
      <c r="D136" s="6" t="str">
        <f t="shared" ca="1" si="0"/>
        <v>Masculino</v>
      </c>
      <c r="E136" s="10" t="str">
        <f ca="1">IFERROR(__xludf.DUMMYFUNCTION("""COMPUTED_VALUE"""),"M")</f>
        <v>M</v>
      </c>
      <c r="F136" s="11">
        <f ca="1">IFERROR(__xludf.DUMMYFUNCTION("""COMPUTED_VALUE"""),32187)</f>
        <v>32187</v>
      </c>
      <c r="G136" s="6">
        <f t="shared" ca="1" si="1"/>
        <v>37</v>
      </c>
      <c r="H136" s="6" t="b">
        <f ca="1">(COUNTIFS(Deputados!A136:A1000, A136, Deputados!D136:D1000, "&lt;&gt;57")) = 0</f>
        <v>1</v>
      </c>
    </row>
    <row r="137" spans="1:8" ht="17.399999999999999">
      <c r="A137" s="10">
        <f ca="1">IFERROR(__xludf.DUMMYFUNCTION("""COMPUTED_VALUE"""),136)</f>
        <v>136</v>
      </c>
      <c r="B137" s="10" t="str">
        <f ca="1">IFERROR(__xludf.DUMMYFUNCTION("""COMPUTED_VALUE"""),"Daniel Trzeciak")</f>
        <v>Daniel Trzeciak</v>
      </c>
      <c r="C137" s="10" t="str">
        <f ca="1">IFERROR(__xludf.DUMMYFUNCTION("""COMPUTED_VALUE"""),"RS")</f>
        <v>RS</v>
      </c>
      <c r="D137" s="6" t="str">
        <f t="shared" ca="1" si="0"/>
        <v>Masculino</v>
      </c>
      <c r="E137" s="10" t="str">
        <f ca="1">IFERROR(__xludf.DUMMYFUNCTION("""COMPUTED_VALUE"""),"M")</f>
        <v>M</v>
      </c>
      <c r="F137" s="11">
        <f ca="1">IFERROR(__xludf.DUMMYFUNCTION("""COMPUTED_VALUE"""),31720)</f>
        <v>31720</v>
      </c>
      <c r="G137" s="6">
        <f t="shared" ca="1" si="1"/>
        <v>38</v>
      </c>
      <c r="H137" s="6" t="b">
        <f ca="1">(COUNTIFS(Deputados!A137:A1000, A137, Deputados!D137:D1000, "&lt;&gt;57")) = 0</f>
        <v>0</v>
      </c>
    </row>
    <row r="138" spans="1:8" ht="17.399999999999999">
      <c r="A138" s="10">
        <f ca="1">IFERROR(__xludf.DUMMYFUNCTION("""COMPUTED_VALUE"""),137)</f>
        <v>137</v>
      </c>
      <c r="B138" s="10" t="str">
        <f ca="1">IFERROR(__xludf.DUMMYFUNCTION("""COMPUTED_VALUE"""),"Daniela do Waguinho")</f>
        <v>Daniela do Waguinho</v>
      </c>
      <c r="C138" s="10" t="str">
        <f ca="1">IFERROR(__xludf.DUMMYFUNCTION("""COMPUTED_VALUE"""),"RJ")</f>
        <v>RJ</v>
      </c>
      <c r="D138" s="6" t="str">
        <f t="shared" ca="1" si="0"/>
        <v>Feminino</v>
      </c>
      <c r="E138" s="10" t="str">
        <f ca="1">IFERROR(__xludf.DUMMYFUNCTION("""COMPUTED_VALUE"""),"F")</f>
        <v>F</v>
      </c>
      <c r="F138" s="11">
        <f ca="1">IFERROR(__xludf.DUMMYFUNCTION("""COMPUTED_VALUE"""),27800)</f>
        <v>27800</v>
      </c>
      <c r="G138" s="6">
        <f t="shared" ca="1" si="1"/>
        <v>49</v>
      </c>
      <c r="H138" s="6" t="b">
        <f ca="1">(COUNTIFS(Deputados!A138:A1000, A138, Deputados!D138:D1000, "&lt;&gt;57")) = 0</f>
        <v>0</v>
      </c>
    </row>
    <row r="139" spans="1:8" ht="17.399999999999999">
      <c r="A139" s="10">
        <f ca="1">IFERROR(__xludf.DUMMYFUNCTION("""COMPUTED_VALUE"""),138)</f>
        <v>138</v>
      </c>
      <c r="B139" s="10" t="str">
        <f ca="1">IFERROR(__xludf.DUMMYFUNCTION("""COMPUTED_VALUE"""),"Daniela Reinehr")</f>
        <v>Daniela Reinehr</v>
      </c>
      <c r="C139" s="10" t="str">
        <f ca="1">IFERROR(__xludf.DUMMYFUNCTION("""COMPUTED_VALUE"""),"SC")</f>
        <v>SC</v>
      </c>
      <c r="D139" s="6" t="str">
        <f t="shared" ca="1" si="0"/>
        <v>Feminino</v>
      </c>
      <c r="E139" s="10" t="str">
        <f ca="1">IFERROR(__xludf.DUMMYFUNCTION("""COMPUTED_VALUE"""),"F")</f>
        <v>F</v>
      </c>
      <c r="F139" s="11">
        <f ca="1">IFERROR(__xludf.DUMMYFUNCTION("""COMPUTED_VALUE"""),28219)</f>
        <v>28219</v>
      </c>
      <c r="G139" s="6">
        <f t="shared" ca="1" si="1"/>
        <v>48</v>
      </c>
      <c r="H139" s="6" t="b">
        <f ca="1">(COUNTIFS(Deputados!A139:A1000, A139, Deputados!D139:D1000, "&lt;&gt;57")) = 0</f>
        <v>1</v>
      </c>
    </row>
    <row r="140" spans="1:8" ht="17.399999999999999">
      <c r="A140" s="10">
        <f ca="1">IFERROR(__xludf.DUMMYFUNCTION("""COMPUTED_VALUE"""),139)</f>
        <v>139</v>
      </c>
      <c r="B140" s="10" t="str">
        <f ca="1">IFERROR(__xludf.DUMMYFUNCTION("""COMPUTED_VALUE"""),"Danilo Forte")</f>
        <v>Danilo Forte</v>
      </c>
      <c r="C140" s="10" t="str">
        <f ca="1">IFERROR(__xludf.DUMMYFUNCTION("""COMPUTED_VALUE"""),"CE")</f>
        <v>CE</v>
      </c>
      <c r="D140" s="6" t="str">
        <f t="shared" ca="1" si="0"/>
        <v>Masculino</v>
      </c>
      <c r="E140" s="10" t="str">
        <f ca="1">IFERROR(__xludf.DUMMYFUNCTION("""COMPUTED_VALUE"""),"M")</f>
        <v>M</v>
      </c>
      <c r="F140" s="11">
        <f ca="1">IFERROR(__xludf.DUMMYFUNCTION("""COMPUTED_VALUE"""),21429)</f>
        <v>21429</v>
      </c>
      <c r="G140" s="6">
        <f t="shared" ca="1" si="1"/>
        <v>67</v>
      </c>
      <c r="H140" s="6" t="b">
        <f ca="1">(COUNTIFS(Deputados!A140:A1000, A140, Deputados!D140:D1000, "&lt;&gt;57")) = 0</f>
        <v>0</v>
      </c>
    </row>
    <row r="141" spans="1:8" ht="17.399999999999999">
      <c r="A141" s="10">
        <f ca="1">IFERROR(__xludf.DUMMYFUNCTION("""COMPUTED_VALUE"""),140)</f>
        <v>140</v>
      </c>
      <c r="B141" s="10" t="str">
        <f ca="1">IFERROR(__xludf.DUMMYFUNCTION("""COMPUTED_VALUE"""),"Danrlei de Deus Hinterholz")</f>
        <v>Danrlei de Deus Hinterholz</v>
      </c>
      <c r="C141" s="10" t="str">
        <f ca="1">IFERROR(__xludf.DUMMYFUNCTION("""COMPUTED_VALUE"""),"RS")</f>
        <v>RS</v>
      </c>
      <c r="D141" s="6" t="str">
        <f t="shared" ca="1" si="0"/>
        <v>Masculino</v>
      </c>
      <c r="E141" s="10" t="str">
        <f ca="1">IFERROR(__xludf.DUMMYFUNCTION("""COMPUTED_VALUE"""),"M")</f>
        <v>M</v>
      </c>
      <c r="F141" s="11">
        <f ca="1">IFERROR(__xludf.DUMMYFUNCTION("""COMPUTED_VALUE"""),26772)</f>
        <v>26772</v>
      </c>
      <c r="G141" s="6">
        <f t="shared" ca="1" si="1"/>
        <v>52</v>
      </c>
      <c r="H141" s="6" t="b">
        <f ca="1">(COUNTIFS(Deputados!A141:A1000, A141, Deputados!D141:D1000, "&lt;&gt;57")) = 0</f>
        <v>0</v>
      </c>
    </row>
    <row r="142" spans="1:8" ht="17.399999999999999">
      <c r="A142" s="10">
        <f ca="1">IFERROR(__xludf.DUMMYFUNCTION("""COMPUTED_VALUE"""),141)</f>
        <v>141</v>
      </c>
      <c r="B142" s="10" t="str">
        <f ca="1">IFERROR(__xludf.DUMMYFUNCTION("""COMPUTED_VALUE"""),"Darci de Matos")</f>
        <v>Darci de Matos</v>
      </c>
      <c r="C142" s="10" t="str">
        <f ca="1">IFERROR(__xludf.DUMMYFUNCTION("""COMPUTED_VALUE"""),"PR")</f>
        <v>PR</v>
      </c>
      <c r="D142" s="6" t="str">
        <f t="shared" ca="1" si="0"/>
        <v>Masculino</v>
      </c>
      <c r="E142" s="10" t="str">
        <f ca="1">IFERROR(__xludf.DUMMYFUNCTION("""COMPUTED_VALUE"""),"M")</f>
        <v>M</v>
      </c>
      <c r="F142" s="11">
        <f ca="1">IFERROR(__xludf.DUMMYFUNCTION("""COMPUTED_VALUE"""),22593)</f>
        <v>22593</v>
      </c>
      <c r="G142" s="6">
        <f t="shared" ca="1" si="1"/>
        <v>63</v>
      </c>
      <c r="H142" s="6" t="b">
        <f ca="1">(COUNTIFS(Deputados!A142:A1000, A142, Deputados!D142:D1000, "&lt;&gt;57")) = 0</f>
        <v>0</v>
      </c>
    </row>
    <row r="143" spans="1:8" ht="17.399999999999999">
      <c r="A143" s="10">
        <f ca="1">IFERROR(__xludf.DUMMYFUNCTION("""COMPUTED_VALUE"""),142)</f>
        <v>142</v>
      </c>
      <c r="B143" s="10" t="str">
        <f ca="1">IFERROR(__xludf.DUMMYFUNCTION("""COMPUTED_VALUE"""),"David Soares")</f>
        <v>David Soares</v>
      </c>
      <c r="C143" s="10" t="str">
        <f ca="1">IFERROR(__xludf.DUMMYFUNCTION("""COMPUTED_VALUE"""),"RJ")</f>
        <v>RJ</v>
      </c>
      <c r="D143" s="6" t="str">
        <f t="shared" ca="1" si="0"/>
        <v>Masculino</v>
      </c>
      <c r="E143" s="10" t="str">
        <f ca="1">IFERROR(__xludf.DUMMYFUNCTION("""COMPUTED_VALUE"""),"M")</f>
        <v>M</v>
      </c>
      <c r="F143" s="11">
        <f ca="1">IFERROR(__xludf.DUMMYFUNCTION("""COMPUTED_VALUE"""),27019)</f>
        <v>27019</v>
      </c>
      <c r="G143" s="6">
        <f t="shared" ca="1" si="1"/>
        <v>51</v>
      </c>
      <c r="H143" s="6" t="b">
        <f ca="1">(COUNTIFS(Deputados!A143:A1000, A143, Deputados!D143:D1000, "&lt;&gt;57")) = 0</f>
        <v>0</v>
      </c>
    </row>
    <row r="144" spans="1:8" ht="17.399999999999999">
      <c r="A144" s="10">
        <f ca="1">IFERROR(__xludf.DUMMYFUNCTION("""COMPUTED_VALUE"""),143)</f>
        <v>143</v>
      </c>
      <c r="B144" s="10" t="str">
        <f ca="1">IFERROR(__xludf.DUMMYFUNCTION("""COMPUTED_VALUE"""),"Dayany Bittencourt")</f>
        <v>Dayany Bittencourt</v>
      </c>
      <c r="C144" s="10" t="str">
        <f ca="1">IFERROR(__xludf.DUMMYFUNCTION("""COMPUTED_VALUE"""),"CE")</f>
        <v>CE</v>
      </c>
      <c r="D144" s="6" t="str">
        <f t="shared" ca="1" si="0"/>
        <v>Feminino</v>
      </c>
      <c r="E144" s="10" t="str">
        <f ca="1">IFERROR(__xludf.DUMMYFUNCTION("""COMPUTED_VALUE"""),"F")</f>
        <v>F</v>
      </c>
      <c r="F144" s="11">
        <f ca="1">IFERROR(__xludf.DUMMYFUNCTION("""COMPUTED_VALUE"""),29842)</f>
        <v>29842</v>
      </c>
      <c r="G144" s="6">
        <f t="shared" ca="1" si="1"/>
        <v>43</v>
      </c>
      <c r="H144" s="6" t="b">
        <f ca="1">(COUNTIFS(Deputados!A144:A1000, A144, Deputados!D144:D1000, "&lt;&gt;57")) = 0</f>
        <v>1</v>
      </c>
    </row>
    <row r="145" spans="1:8" ht="17.399999999999999">
      <c r="A145" s="10">
        <f ca="1">IFERROR(__xludf.DUMMYFUNCTION("""COMPUTED_VALUE"""),144)</f>
        <v>144</v>
      </c>
      <c r="B145" s="10" t="str">
        <f ca="1">IFERROR(__xludf.DUMMYFUNCTION("""COMPUTED_VALUE"""),"Defensor Stélio Dener")</f>
        <v>Defensor Stélio Dener</v>
      </c>
      <c r="C145" s="10" t="str">
        <f ca="1">IFERROR(__xludf.DUMMYFUNCTION("""COMPUTED_VALUE"""),"RR")</f>
        <v>RR</v>
      </c>
      <c r="D145" s="6" t="str">
        <f t="shared" ca="1" si="0"/>
        <v>Masculino</v>
      </c>
      <c r="E145" s="10" t="str">
        <f ca="1">IFERROR(__xludf.DUMMYFUNCTION("""COMPUTED_VALUE"""),"M")</f>
        <v>M</v>
      </c>
      <c r="F145" s="11">
        <f ca="1">IFERROR(__xludf.DUMMYFUNCTION("""COMPUTED_VALUE"""),26619)</f>
        <v>26619</v>
      </c>
      <c r="G145" s="6">
        <f t="shared" ca="1" si="1"/>
        <v>52</v>
      </c>
      <c r="H145" s="6" t="b">
        <f ca="1">(COUNTIFS(Deputados!A145:A1000, A145, Deputados!D145:D1000, "&lt;&gt;57")) = 0</f>
        <v>1</v>
      </c>
    </row>
    <row r="146" spans="1:8" ht="17.399999999999999">
      <c r="A146" s="10">
        <f ca="1">IFERROR(__xludf.DUMMYFUNCTION("""COMPUTED_VALUE"""),145)</f>
        <v>145</v>
      </c>
      <c r="B146" s="10" t="str">
        <f ca="1">IFERROR(__xludf.DUMMYFUNCTION("""COMPUTED_VALUE"""),"Delegada Adriana Accorsi")</f>
        <v>Delegada Adriana Accorsi</v>
      </c>
      <c r="C146" s="10" t="str">
        <f ca="1">IFERROR(__xludf.DUMMYFUNCTION("""COMPUTED_VALUE"""),"GO")</f>
        <v>GO</v>
      </c>
      <c r="D146" s="6" t="str">
        <f t="shared" ca="1" si="0"/>
        <v>Feminino</v>
      </c>
      <c r="E146" s="10" t="str">
        <f ca="1">IFERROR(__xludf.DUMMYFUNCTION("""COMPUTED_VALUE"""),"F")</f>
        <v>F</v>
      </c>
      <c r="F146" s="11">
        <f ca="1">IFERROR(__xludf.DUMMYFUNCTION("""COMPUTED_VALUE"""),26740)</f>
        <v>26740</v>
      </c>
      <c r="G146" s="6">
        <f t="shared" ca="1" si="1"/>
        <v>52</v>
      </c>
      <c r="H146" s="6" t="b">
        <f ca="1">(COUNTIFS(Deputados!A146:A1000, A146, Deputados!D146:D1000, "&lt;&gt;57")) = 0</f>
        <v>1</v>
      </c>
    </row>
    <row r="147" spans="1:8" ht="17.399999999999999">
      <c r="A147" s="10">
        <f ca="1">IFERROR(__xludf.DUMMYFUNCTION("""COMPUTED_VALUE"""),146)</f>
        <v>146</v>
      </c>
      <c r="B147" s="10" t="str">
        <f ca="1">IFERROR(__xludf.DUMMYFUNCTION("""COMPUTED_VALUE"""),"Delegada Ione")</f>
        <v>Delegada Ione</v>
      </c>
      <c r="C147" s="10" t="str">
        <f ca="1">IFERROR(__xludf.DUMMYFUNCTION("""COMPUTED_VALUE"""),"MG")</f>
        <v>MG</v>
      </c>
      <c r="D147" s="6" t="str">
        <f t="shared" ca="1" si="0"/>
        <v>Feminino</v>
      </c>
      <c r="E147" s="10" t="str">
        <f ca="1">IFERROR(__xludf.DUMMYFUNCTION("""COMPUTED_VALUE"""),"F")</f>
        <v>F</v>
      </c>
      <c r="F147" s="11">
        <f ca="1">IFERROR(__xludf.DUMMYFUNCTION("""COMPUTED_VALUE"""),27108)</f>
        <v>27108</v>
      </c>
      <c r="G147" s="6">
        <f t="shared" ca="1" si="1"/>
        <v>51</v>
      </c>
      <c r="H147" s="6" t="b">
        <f ca="1">(COUNTIFS(Deputados!A147:A1000, A147, Deputados!D147:D1000, "&lt;&gt;57")) = 0</f>
        <v>1</v>
      </c>
    </row>
    <row r="148" spans="1:8" ht="17.399999999999999">
      <c r="A148" s="10">
        <f ca="1">IFERROR(__xludf.DUMMYFUNCTION("""COMPUTED_VALUE"""),147)</f>
        <v>147</v>
      </c>
      <c r="B148" s="10" t="str">
        <f ca="1">IFERROR(__xludf.DUMMYFUNCTION("""COMPUTED_VALUE"""),"Delegada Katarina")</f>
        <v>Delegada Katarina</v>
      </c>
      <c r="C148" s="10" t="str">
        <f ca="1">IFERROR(__xludf.DUMMYFUNCTION("""COMPUTED_VALUE"""),"SE")</f>
        <v>SE</v>
      </c>
      <c r="D148" s="6" t="str">
        <f t="shared" ca="1" si="0"/>
        <v>Feminino</v>
      </c>
      <c r="E148" s="10" t="str">
        <f ca="1">IFERROR(__xludf.DUMMYFUNCTION("""COMPUTED_VALUE"""),"F")</f>
        <v>F</v>
      </c>
      <c r="F148" s="11">
        <f ca="1">IFERROR(__xludf.DUMMYFUNCTION("""COMPUTED_VALUE"""),26942)</f>
        <v>26942</v>
      </c>
      <c r="G148" s="6">
        <f t="shared" ca="1" si="1"/>
        <v>51</v>
      </c>
      <c r="H148" s="6" t="b">
        <f ca="1">(COUNTIFS(Deputados!A148:A1000, A148, Deputados!D148:D1000, "&lt;&gt;57")) = 0</f>
        <v>1</v>
      </c>
    </row>
    <row r="149" spans="1:8" ht="17.399999999999999">
      <c r="A149" s="10">
        <f ca="1">IFERROR(__xludf.DUMMYFUNCTION("""COMPUTED_VALUE"""),148)</f>
        <v>148</v>
      </c>
      <c r="B149" s="10" t="str">
        <f ca="1">IFERROR(__xludf.DUMMYFUNCTION("""COMPUTED_VALUE"""),"Delegado Bruno Lima")</f>
        <v>Delegado Bruno Lima</v>
      </c>
      <c r="C149" s="10" t="str">
        <f ca="1">IFERROR(__xludf.DUMMYFUNCTION("""COMPUTED_VALUE"""),"SP")</f>
        <v>SP</v>
      </c>
      <c r="D149" s="6" t="str">
        <f t="shared" ca="1" si="0"/>
        <v>Masculino</v>
      </c>
      <c r="E149" s="10" t="str">
        <f ca="1">IFERROR(__xludf.DUMMYFUNCTION("""COMPUTED_VALUE"""),"M")</f>
        <v>M</v>
      </c>
      <c r="F149" s="11">
        <f ca="1">IFERROR(__xludf.DUMMYFUNCTION("""COMPUTED_VALUE"""),31649)</f>
        <v>31649</v>
      </c>
      <c r="G149" s="6">
        <f t="shared" ca="1" si="1"/>
        <v>39</v>
      </c>
      <c r="H149" s="6" t="b">
        <f ca="1">(COUNTIFS(Deputados!A149:A1000, A149, Deputados!D149:D1000, "&lt;&gt;57")) = 0</f>
        <v>1</v>
      </c>
    </row>
    <row r="150" spans="1:8" ht="17.399999999999999">
      <c r="A150" s="10">
        <f ca="1">IFERROR(__xludf.DUMMYFUNCTION("""COMPUTED_VALUE"""),149)</f>
        <v>149</v>
      </c>
      <c r="B150" s="10" t="str">
        <f ca="1">IFERROR(__xludf.DUMMYFUNCTION("""COMPUTED_VALUE"""),"Delegado Caveira")</f>
        <v>Delegado Caveira</v>
      </c>
      <c r="C150" s="10" t="str">
        <f ca="1">IFERROR(__xludf.DUMMYFUNCTION("""COMPUTED_VALUE"""),"GO")</f>
        <v>GO</v>
      </c>
      <c r="D150" s="6" t="str">
        <f t="shared" ca="1" si="0"/>
        <v>Masculino</v>
      </c>
      <c r="E150" s="10" t="str">
        <f ca="1">IFERROR(__xludf.DUMMYFUNCTION("""COMPUTED_VALUE"""),"M")</f>
        <v>M</v>
      </c>
      <c r="F150" s="11">
        <f ca="1">IFERROR(__xludf.DUMMYFUNCTION("""COMPUTED_VALUE"""),28972)</f>
        <v>28972</v>
      </c>
      <c r="G150" s="6">
        <f t="shared" ca="1" si="1"/>
        <v>46</v>
      </c>
      <c r="H150" s="6" t="b">
        <f ca="1">(COUNTIFS(Deputados!A150:A1000, A150, Deputados!D150:D1000, "&lt;&gt;57")) = 0</f>
        <v>1</v>
      </c>
    </row>
    <row r="151" spans="1:8" ht="17.399999999999999">
      <c r="A151" s="10">
        <f ca="1">IFERROR(__xludf.DUMMYFUNCTION("""COMPUTED_VALUE"""),150)</f>
        <v>150</v>
      </c>
      <c r="B151" s="10" t="str">
        <f ca="1">IFERROR(__xludf.DUMMYFUNCTION("""COMPUTED_VALUE"""),"Delegado da Cunha")</f>
        <v>Delegado da Cunha</v>
      </c>
      <c r="C151" s="10" t="str">
        <f ca="1">IFERROR(__xludf.DUMMYFUNCTION("""COMPUTED_VALUE"""),"SP")</f>
        <v>SP</v>
      </c>
      <c r="D151" s="6" t="str">
        <f t="shared" ca="1" si="0"/>
        <v>Masculino</v>
      </c>
      <c r="E151" s="10" t="str">
        <f ca="1">IFERROR(__xludf.DUMMYFUNCTION("""COMPUTED_VALUE"""),"M")</f>
        <v>M</v>
      </c>
      <c r="F151" s="11">
        <f ca="1">IFERROR(__xludf.DUMMYFUNCTION("""COMPUTED_VALUE"""),28412)</f>
        <v>28412</v>
      </c>
      <c r="G151" s="6">
        <f t="shared" ca="1" si="1"/>
        <v>47</v>
      </c>
      <c r="H151" s="6" t="b">
        <f ca="1">(COUNTIFS(Deputados!A151:A1000, A151, Deputados!D151:D1000, "&lt;&gt;57")) = 0</f>
        <v>1</v>
      </c>
    </row>
    <row r="152" spans="1:8" ht="17.399999999999999">
      <c r="A152" s="10">
        <f ca="1">IFERROR(__xludf.DUMMYFUNCTION("""COMPUTED_VALUE"""),151)</f>
        <v>151</v>
      </c>
      <c r="B152" s="10" t="str">
        <f ca="1">IFERROR(__xludf.DUMMYFUNCTION("""COMPUTED_VALUE"""),"Delegado Éder Mauro")</f>
        <v>Delegado Éder Mauro</v>
      </c>
      <c r="C152" s="10" t="str">
        <f ca="1">IFERROR(__xludf.DUMMYFUNCTION("""COMPUTED_VALUE"""),"PA")</f>
        <v>PA</v>
      </c>
      <c r="D152" s="6" t="str">
        <f t="shared" ca="1" si="0"/>
        <v>Masculino</v>
      </c>
      <c r="E152" s="10" t="str">
        <f ca="1">IFERROR(__xludf.DUMMYFUNCTION("""COMPUTED_VALUE"""),"M")</f>
        <v>M</v>
      </c>
      <c r="F152" s="11">
        <f ca="1">IFERROR(__xludf.DUMMYFUNCTION("""COMPUTED_VALUE"""),22264)</f>
        <v>22264</v>
      </c>
      <c r="G152" s="6">
        <f t="shared" ca="1" si="1"/>
        <v>64</v>
      </c>
      <c r="H152" s="6" t="b">
        <f ca="1">(COUNTIFS(Deputados!A152:A1000, A152, Deputados!D152:D1000, "&lt;&gt;57")) = 0</f>
        <v>0</v>
      </c>
    </row>
    <row r="153" spans="1:8" ht="17.399999999999999">
      <c r="A153" s="10">
        <f ca="1">IFERROR(__xludf.DUMMYFUNCTION("""COMPUTED_VALUE"""),152)</f>
        <v>152</v>
      </c>
      <c r="B153" s="10" t="str">
        <f ca="1">IFERROR(__xludf.DUMMYFUNCTION("""COMPUTED_VALUE"""),"Delegado Fabio Costa")</f>
        <v>Delegado Fabio Costa</v>
      </c>
      <c r="C153" s="10" t="str">
        <f ca="1">IFERROR(__xludf.DUMMYFUNCTION("""COMPUTED_VALUE"""),"PE")</f>
        <v>PE</v>
      </c>
      <c r="D153" s="6" t="str">
        <f t="shared" ca="1" si="0"/>
        <v>Masculino</v>
      </c>
      <c r="E153" s="10" t="str">
        <f ca="1">IFERROR(__xludf.DUMMYFUNCTION("""COMPUTED_VALUE"""),"M")</f>
        <v>M</v>
      </c>
      <c r="F153" s="11">
        <f ca="1">IFERROR(__xludf.DUMMYFUNCTION("""COMPUTED_VALUE"""),29509)</f>
        <v>29509</v>
      </c>
      <c r="G153" s="6">
        <f t="shared" ca="1" si="1"/>
        <v>44</v>
      </c>
      <c r="H153" s="6" t="b">
        <f ca="1">(COUNTIFS(Deputados!A153:A1000, A153, Deputados!D153:D1000, "&lt;&gt;57")) = 0</f>
        <v>1</v>
      </c>
    </row>
    <row r="154" spans="1:8" ht="17.399999999999999">
      <c r="A154" s="10">
        <f ca="1">IFERROR(__xludf.DUMMYFUNCTION("""COMPUTED_VALUE"""),153)</f>
        <v>153</v>
      </c>
      <c r="B154" s="10" t="str">
        <f ca="1">IFERROR(__xludf.DUMMYFUNCTION("""COMPUTED_VALUE"""),"Delegado Marcelo Freitas")</f>
        <v>Delegado Marcelo Freitas</v>
      </c>
      <c r="C154" s="10" t="str">
        <f ca="1">IFERROR(__xludf.DUMMYFUNCTION("""COMPUTED_VALUE"""),"MG")</f>
        <v>MG</v>
      </c>
      <c r="D154" s="6" t="str">
        <f t="shared" ca="1" si="0"/>
        <v>Masculino</v>
      </c>
      <c r="E154" s="10" t="str">
        <f ca="1">IFERROR(__xludf.DUMMYFUNCTION("""COMPUTED_VALUE"""),"M")</f>
        <v>M</v>
      </c>
      <c r="F154" s="11">
        <f ca="1">IFERROR(__xludf.DUMMYFUNCTION("""COMPUTED_VALUE"""),27823)</f>
        <v>27823</v>
      </c>
      <c r="G154" s="6">
        <f t="shared" ca="1" si="1"/>
        <v>49</v>
      </c>
      <c r="H154" s="6" t="b">
        <f ca="1">(COUNTIFS(Deputados!A154:A1000, A154, Deputados!D154:D1000, "&lt;&gt;57")) = 0</f>
        <v>0</v>
      </c>
    </row>
    <row r="155" spans="1:8" ht="17.399999999999999">
      <c r="A155" s="10">
        <f ca="1">IFERROR(__xludf.DUMMYFUNCTION("""COMPUTED_VALUE"""),154)</f>
        <v>154</v>
      </c>
      <c r="B155" s="10" t="str">
        <f ca="1">IFERROR(__xludf.DUMMYFUNCTION("""COMPUTED_VALUE"""),"Delegado Matheus Laiola")</f>
        <v>Delegado Matheus Laiola</v>
      </c>
      <c r="C155" s="10" t="str">
        <f ca="1">IFERROR(__xludf.DUMMYFUNCTION("""COMPUTED_VALUE"""),"SP")</f>
        <v>SP</v>
      </c>
      <c r="D155" s="6" t="str">
        <f t="shared" ca="1" si="0"/>
        <v>Masculino</v>
      </c>
      <c r="E155" s="10" t="str">
        <f ca="1">IFERROR(__xludf.DUMMYFUNCTION("""COMPUTED_VALUE"""),"M")</f>
        <v>M</v>
      </c>
      <c r="F155" s="11">
        <f ca="1">IFERROR(__xludf.DUMMYFUNCTION("""COMPUTED_VALUE"""),30309)</f>
        <v>30309</v>
      </c>
      <c r="G155" s="6">
        <f t="shared" ca="1" si="1"/>
        <v>42</v>
      </c>
      <c r="H155" s="6" t="b">
        <f ca="1">(COUNTIFS(Deputados!A155:A1000, A155, Deputados!D155:D1000, "&lt;&gt;57")) = 0</f>
        <v>1</v>
      </c>
    </row>
    <row r="156" spans="1:8" ht="17.399999999999999">
      <c r="A156" s="10">
        <f ca="1">IFERROR(__xludf.DUMMYFUNCTION("""COMPUTED_VALUE"""),155)</f>
        <v>155</v>
      </c>
      <c r="B156" s="10" t="str">
        <f ca="1">IFERROR(__xludf.DUMMYFUNCTION("""COMPUTED_VALUE"""),"Delegado Palumbo")</f>
        <v>Delegado Palumbo</v>
      </c>
      <c r="C156" s="10" t="str">
        <f ca="1">IFERROR(__xludf.DUMMYFUNCTION("""COMPUTED_VALUE"""),"SP")</f>
        <v>SP</v>
      </c>
      <c r="D156" s="6" t="str">
        <f t="shared" ca="1" si="0"/>
        <v>Masculino</v>
      </c>
      <c r="E156" s="10" t="str">
        <f ca="1">IFERROR(__xludf.DUMMYFUNCTION("""COMPUTED_VALUE"""),"M")</f>
        <v>M</v>
      </c>
      <c r="F156" s="11">
        <f ca="1">IFERROR(__xludf.DUMMYFUNCTION("""COMPUTED_VALUE"""),27257)</f>
        <v>27257</v>
      </c>
      <c r="G156" s="6">
        <f t="shared" ca="1" si="1"/>
        <v>51</v>
      </c>
      <c r="H156" s="6" t="b">
        <f ca="1">(COUNTIFS(Deputados!A156:A1000, A156, Deputados!D156:D1000, "&lt;&gt;57")) = 0</f>
        <v>1</v>
      </c>
    </row>
    <row r="157" spans="1:8" ht="17.399999999999999">
      <c r="A157" s="10">
        <f ca="1">IFERROR(__xludf.DUMMYFUNCTION("""COMPUTED_VALUE"""),156)</f>
        <v>156</v>
      </c>
      <c r="B157" s="10" t="str">
        <f ca="1">IFERROR(__xludf.DUMMYFUNCTION("""COMPUTED_VALUE"""),"Delegado Paulo Bilynskyj")</f>
        <v>Delegado Paulo Bilynskyj</v>
      </c>
      <c r="C157" s="10" t="str">
        <f ca="1">IFERROR(__xludf.DUMMYFUNCTION("""COMPUTED_VALUE"""),"SP")</f>
        <v>SP</v>
      </c>
      <c r="D157" s="6" t="str">
        <f t="shared" ca="1" si="0"/>
        <v>Masculino</v>
      </c>
      <c r="E157" s="10" t="str">
        <f ca="1">IFERROR(__xludf.DUMMYFUNCTION("""COMPUTED_VALUE"""),"M")</f>
        <v>M</v>
      </c>
      <c r="F157" s="11">
        <f ca="1">IFERROR(__xludf.DUMMYFUNCTION("""COMPUTED_VALUE"""),31846)</f>
        <v>31846</v>
      </c>
      <c r="G157" s="6">
        <f t="shared" ca="1" si="1"/>
        <v>38</v>
      </c>
      <c r="H157" s="6" t="b">
        <f ca="1">(COUNTIFS(Deputados!A157:A1000, A157, Deputados!D157:D1000, "&lt;&gt;57")) = 0</f>
        <v>1</v>
      </c>
    </row>
    <row r="158" spans="1:8" ht="17.399999999999999">
      <c r="A158" s="10">
        <f ca="1">IFERROR(__xludf.DUMMYFUNCTION("""COMPUTED_VALUE"""),157)</f>
        <v>157</v>
      </c>
      <c r="B158" s="10" t="str">
        <f ca="1">IFERROR(__xludf.DUMMYFUNCTION("""COMPUTED_VALUE"""),"Delegado Ramagem")</f>
        <v>Delegado Ramagem</v>
      </c>
      <c r="C158" s="10" t="str">
        <f ca="1">IFERROR(__xludf.DUMMYFUNCTION("""COMPUTED_VALUE"""),"RJ")</f>
        <v>RJ</v>
      </c>
      <c r="D158" s="6" t="str">
        <f t="shared" ca="1" si="0"/>
        <v>Masculino</v>
      </c>
      <c r="E158" s="10" t="str">
        <f ca="1">IFERROR(__xludf.DUMMYFUNCTION("""COMPUTED_VALUE"""),"M")</f>
        <v>M</v>
      </c>
      <c r="F158" s="11">
        <f ca="1">IFERROR(__xludf.DUMMYFUNCTION("""COMPUTED_VALUE"""),26427)</f>
        <v>26427</v>
      </c>
      <c r="G158" s="6">
        <f t="shared" ca="1" si="1"/>
        <v>53</v>
      </c>
      <c r="H158" s="6" t="b">
        <f ca="1">(COUNTIFS(Deputados!A158:A1000, A158, Deputados!D158:D1000, "&lt;&gt;57")) = 0</f>
        <v>1</v>
      </c>
    </row>
    <row r="159" spans="1:8" ht="17.399999999999999">
      <c r="A159" s="10">
        <f ca="1">IFERROR(__xludf.DUMMYFUNCTION("""COMPUTED_VALUE"""),158)</f>
        <v>158</v>
      </c>
      <c r="B159" s="10" t="str">
        <f ca="1">IFERROR(__xludf.DUMMYFUNCTION("""COMPUTED_VALUE"""),"Délio Pinheiro")</f>
        <v>Délio Pinheiro</v>
      </c>
      <c r="C159" s="10" t="str">
        <f ca="1">IFERROR(__xludf.DUMMYFUNCTION("""COMPUTED_VALUE"""),"MG")</f>
        <v>MG</v>
      </c>
      <c r="D159" s="6" t="str">
        <f t="shared" ca="1" si="0"/>
        <v>Masculino</v>
      </c>
      <c r="E159" s="10" t="str">
        <f ca="1">IFERROR(__xludf.DUMMYFUNCTION("""COMPUTED_VALUE"""),"M")</f>
        <v>M</v>
      </c>
      <c r="F159" s="11">
        <f ca="1">IFERROR(__xludf.DUMMYFUNCTION("""COMPUTED_VALUE"""),28395)</f>
        <v>28395</v>
      </c>
      <c r="G159" s="6">
        <f t="shared" ca="1" si="1"/>
        <v>47</v>
      </c>
      <c r="H159" s="6" t="b">
        <f ca="1">(COUNTIFS(Deputados!A159:A1000, A159, Deputados!D159:D1000, "&lt;&gt;57")) = 0</f>
        <v>1</v>
      </c>
    </row>
    <row r="160" spans="1:8" ht="17.399999999999999">
      <c r="A160" s="10">
        <f ca="1">IFERROR(__xludf.DUMMYFUNCTION("""COMPUTED_VALUE"""),159)</f>
        <v>159</v>
      </c>
      <c r="B160" s="10" t="str">
        <f ca="1">IFERROR(__xludf.DUMMYFUNCTION("""COMPUTED_VALUE"""),"Deltan Dallagnol")</f>
        <v>Deltan Dallagnol</v>
      </c>
      <c r="C160" s="10" t="str">
        <f ca="1">IFERROR(__xludf.DUMMYFUNCTION("""COMPUTED_VALUE"""),"PR")</f>
        <v>PR</v>
      </c>
      <c r="D160" s="6" t="str">
        <f t="shared" ca="1" si="0"/>
        <v>Masculino</v>
      </c>
      <c r="E160" s="10" t="str">
        <f ca="1">IFERROR(__xludf.DUMMYFUNCTION("""COMPUTED_VALUE"""),"M")</f>
        <v>M</v>
      </c>
      <c r="F160" s="11">
        <f ca="1">IFERROR(__xludf.DUMMYFUNCTION("""COMPUTED_VALUE"""),29235)</f>
        <v>29235</v>
      </c>
      <c r="G160" s="6">
        <f t="shared" ca="1" si="1"/>
        <v>45</v>
      </c>
      <c r="H160" s="6" t="b">
        <f ca="1">(COUNTIFS(Deputados!A160:A1000, A160, Deputados!D160:D1000, "&lt;&gt;57")) = 0</f>
        <v>1</v>
      </c>
    </row>
    <row r="161" spans="1:8" ht="17.399999999999999">
      <c r="A161" s="10">
        <f ca="1">IFERROR(__xludf.DUMMYFUNCTION("""COMPUTED_VALUE"""),160)</f>
        <v>160</v>
      </c>
      <c r="B161" s="10" t="str">
        <f ca="1">IFERROR(__xludf.DUMMYFUNCTION("""COMPUTED_VALUE"""),"Denise Pessôa")</f>
        <v>Denise Pessôa</v>
      </c>
      <c r="C161" s="10" t="str">
        <f ca="1">IFERROR(__xludf.DUMMYFUNCTION("""COMPUTED_VALUE"""),"RS")</f>
        <v>RS</v>
      </c>
      <c r="D161" s="6" t="str">
        <f t="shared" ca="1" si="0"/>
        <v>Feminino</v>
      </c>
      <c r="E161" s="10" t="str">
        <f ca="1">IFERROR(__xludf.DUMMYFUNCTION("""COMPUTED_VALUE"""),"F")</f>
        <v>F</v>
      </c>
      <c r="F161" s="11">
        <f ca="1">IFERROR(__xludf.DUMMYFUNCTION("""COMPUTED_VALUE"""),30484)</f>
        <v>30484</v>
      </c>
      <c r="G161" s="6">
        <f t="shared" ca="1" si="1"/>
        <v>42</v>
      </c>
      <c r="H161" s="6" t="b">
        <f ca="1">(COUNTIFS(Deputados!A161:A1000, A161, Deputados!D161:D1000, "&lt;&gt;57")) = 0</f>
        <v>1</v>
      </c>
    </row>
    <row r="162" spans="1:8" ht="17.399999999999999">
      <c r="A162" s="10">
        <f ca="1">IFERROR(__xludf.DUMMYFUNCTION("""COMPUTED_VALUE"""),161)</f>
        <v>161</v>
      </c>
      <c r="B162" s="10" t="str">
        <f ca="1">IFERROR(__xludf.DUMMYFUNCTION("""COMPUTED_VALUE"""),"Detinha")</f>
        <v>Detinha</v>
      </c>
      <c r="C162" s="10" t="str">
        <f ca="1">IFERROR(__xludf.DUMMYFUNCTION("""COMPUTED_VALUE"""),"CE")</f>
        <v>CE</v>
      </c>
      <c r="D162" s="6" t="str">
        <f t="shared" ca="1" si="0"/>
        <v>Feminino</v>
      </c>
      <c r="E162" s="10" t="str">
        <f ca="1">IFERROR(__xludf.DUMMYFUNCTION("""COMPUTED_VALUE"""),"F")</f>
        <v>F</v>
      </c>
      <c r="F162" s="11">
        <f ca="1">IFERROR(__xludf.DUMMYFUNCTION("""COMPUTED_VALUE"""),28880)</f>
        <v>28880</v>
      </c>
      <c r="G162" s="6">
        <f t="shared" ca="1" si="1"/>
        <v>46</v>
      </c>
      <c r="H162" s="6" t="b">
        <f ca="1">(COUNTIFS(Deputados!A162:A1000, A162, Deputados!D162:D1000, "&lt;&gt;57")) = 0</f>
        <v>1</v>
      </c>
    </row>
    <row r="163" spans="1:8" ht="17.399999999999999">
      <c r="A163" s="10">
        <f ca="1">IFERROR(__xludf.DUMMYFUNCTION("""COMPUTED_VALUE"""),162)</f>
        <v>162</v>
      </c>
      <c r="B163" s="10" t="str">
        <f ca="1">IFERROR(__xludf.DUMMYFUNCTION("""COMPUTED_VALUE"""),"Diego Andrade")</f>
        <v>Diego Andrade</v>
      </c>
      <c r="C163" s="10" t="str">
        <f ca="1">IFERROR(__xludf.DUMMYFUNCTION("""COMPUTED_VALUE"""),"MG")</f>
        <v>MG</v>
      </c>
      <c r="D163" s="6" t="str">
        <f t="shared" ca="1" si="0"/>
        <v>Masculino</v>
      </c>
      <c r="E163" s="10" t="str">
        <f ca="1">IFERROR(__xludf.DUMMYFUNCTION("""COMPUTED_VALUE"""),"M")</f>
        <v>M</v>
      </c>
      <c r="F163" s="11">
        <f ca="1">IFERROR(__xludf.DUMMYFUNCTION("""COMPUTED_VALUE"""),28345)</f>
        <v>28345</v>
      </c>
      <c r="G163" s="6">
        <f t="shared" ca="1" si="1"/>
        <v>48</v>
      </c>
      <c r="H163" s="6" t="b">
        <f ca="1">(COUNTIFS(Deputados!A163:A1000, A163, Deputados!D163:D1000, "&lt;&gt;57")) = 0</f>
        <v>0</v>
      </c>
    </row>
    <row r="164" spans="1:8" ht="17.399999999999999">
      <c r="A164" s="10">
        <f ca="1">IFERROR(__xludf.DUMMYFUNCTION("""COMPUTED_VALUE"""),163)</f>
        <v>163</v>
      </c>
      <c r="B164" s="10" t="str">
        <f ca="1">IFERROR(__xludf.DUMMYFUNCTION("""COMPUTED_VALUE"""),"Diego Coronel")</f>
        <v>Diego Coronel</v>
      </c>
      <c r="C164" s="10" t="str">
        <f ca="1">IFERROR(__xludf.DUMMYFUNCTION("""COMPUTED_VALUE"""),"BA")</f>
        <v>BA</v>
      </c>
      <c r="D164" s="6" t="str">
        <f t="shared" ca="1" si="0"/>
        <v>Masculino</v>
      </c>
      <c r="E164" s="10" t="str">
        <f ca="1">IFERROR(__xludf.DUMMYFUNCTION("""COMPUTED_VALUE"""),"M")</f>
        <v>M</v>
      </c>
      <c r="F164" s="11">
        <f ca="1">IFERROR(__xludf.DUMMYFUNCTION("""COMPUTED_VALUE"""),30338)</f>
        <v>30338</v>
      </c>
      <c r="G164" s="6">
        <f t="shared" ca="1" si="1"/>
        <v>42</v>
      </c>
      <c r="H164" s="6" t="b">
        <f ca="1">(COUNTIFS(Deputados!A164:A1000, A164, Deputados!D164:D1000, "&lt;&gt;57")) = 0</f>
        <v>1</v>
      </c>
    </row>
    <row r="165" spans="1:8" ht="17.399999999999999">
      <c r="A165" s="10">
        <f ca="1">IFERROR(__xludf.DUMMYFUNCTION("""COMPUTED_VALUE"""),164)</f>
        <v>164</v>
      </c>
      <c r="B165" s="10" t="str">
        <f ca="1">IFERROR(__xludf.DUMMYFUNCTION("""COMPUTED_VALUE"""),"Diego Garcia")</f>
        <v>Diego Garcia</v>
      </c>
      <c r="C165" s="10" t="str">
        <f ca="1">IFERROR(__xludf.DUMMYFUNCTION("""COMPUTED_VALUE"""),"PR")</f>
        <v>PR</v>
      </c>
      <c r="D165" s="6" t="str">
        <f t="shared" ca="1" si="0"/>
        <v>Masculino</v>
      </c>
      <c r="E165" s="10" t="str">
        <f ca="1">IFERROR(__xludf.DUMMYFUNCTION("""COMPUTED_VALUE"""),"M")</f>
        <v>M</v>
      </c>
      <c r="F165" s="11">
        <f ca="1">IFERROR(__xludf.DUMMYFUNCTION("""COMPUTED_VALUE"""),30965)</f>
        <v>30965</v>
      </c>
      <c r="G165" s="6">
        <f t="shared" ca="1" si="1"/>
        <v>40</v>
      </c>
      <c r="H165" s="6" t="b">
        <f ca="1">(COUNTIFS(Deputados!A165:A1000, A165, Deputados!D165:D1000, "&lt;&gt;57")) = 0</f>
        <v>0</v>
      </c>
    </row>
    <row r="166" spans="1:8" ht="17.399999999999999">
      <c r="A166" s="10">
        <f ca="1">IFERROR(__xludf.DUMMYFUNCTION("""COMPUTED_VALUE"""),165)</f>
        <v>165</v>
      </c>
      <c r="B166" s="10" t="str">
        <f ca="1">IFERROR(__xludf.DUMMYFUNCTION("""COMPUTED_VALUE"""),"Dilceu Sperafico")</f>
        <v>Dilceu Sperafico</v>
      </c>
      <c r="C166" s="10" t="str">
        <f ca="1">IFERROR(__xludf.DUMMYFUNCTION("""COMPUTED_VALUE"""),"RS")</f>
        <v>RS</v>
      </c>
      <c r="D166" s="6" t="str">
        <f t="shared" ca="1" si="0"/>
        <v>Masculino</v>
      </c>
      <c r="E166" s="10" t="str">
        <f ca="1">IFERROR(__xludf.DUMMYFUNCTION("""COMPUTED_VALUE"""),"M")</f>
        <v>M</v>
      </c>
      <c r="F166" s="11">
        <f ca="1">IFERROR(__xludf.DUMMYFUNCTION("""COMPUTED_VALUE"""),17558)</f>
        <v>17558</v>
      </c>
      <c r="G166" s="6">
        <f t="shared" ca="1" si="1"/>
        <v>77</v>
      </c>
      <c r="H166" s="6" t="b">
        <f ca="1">(COUNTIFS(Deputados!A166:A1000, A166, Deputados!D166:D1000, "&lt;&gt;57")) = 0</f>
        <v>0</v>
      </c>
    </row>
    <row r="167" spans="1:8" ht="17.399999999999999">
      <c r="A167" s="10">
        <f ca="1">IFERROR(__xludf.DUMMYFUNCTION("""COMPUTED_VALUE"""),166)</f>
        <v>166</v>
      </c>
      <c r="B167" s="10" t="str">
        <f ca="1">IFERROR(__xludf.DUMMYFUNCTION("""COMPUTED_VALUE"""),"Dilvanda Faro")</f>
        <v>Dilvanda Faro</v>
      </c>
      <c r="C167" s="10" t="str">
        <f ca="1">IFERROR(__xludf.DUMMYFUNCTION("""COMPUTED_VALUE"""),"PA")</f>
        <v>PA</v>
      </c>
      <c r="D167" s="6" t="str">
        <f t="shared" ca="1" si="0"/>
        <v>Feminino</v>
      </c>
      <c r="E167" s="10" t="str">
        <f ca="1">IFERROR(__xludf.DUMMYFUNCTION("""COMPUTED_VALUE"""),"F")</f>
        <v>F</v>
      </c>
      <c r="F167" s="11">
        <f ca="1">IFERROR(__xludf.DUMMYFUNCTION("""COMPUTED_VALUE"""),25331)</f>
        <v>25331</v>
      </c>
      <c r="G167" s="6">
        <f t="shared" ca="1" si="1"/>
        <v>56</v>
      </c>
      <c r="H167" s="6" t="b">
        <f ca="1">(COUNTIFS(Deputados!A167:A1000, A167, Deputados!D167:D1000, "&lt;&gt;57")) = 0</f>
        <v>1</v>
      </c>
    </row>
    <row r="168" spans="1:8" ht="17.399999999999999">
      <c r="A168" s="10">
        <f ca="1">IFERROR(__xludf.DUMMYFUNCTION("""COMPUTED_VALUE"""),167)</f>
        <v>167</v>
      </c>
      <c r="B168" s="10" t="str">
        <f ca="1">IFERROR(__xludf.DUMMYFUNCTION("""COMPUTED_VALUE"""),"Dimas Fabiano")</f>
        <v>Dimas Fabiano</v>
      </c>
      <c r="C168" s="10" t="str">
        <f ca="1">IFERROR(__xludf.DUMMYFUNCTION("""COMPUTED_VALUE"""),"RJ")</f>
        <v>RJ</v>
      </c>
      <c r="D168" s="6" t="str">
        <f t="shared" ca="1" si="0"/>
        <v>Masculino</v>
      </c>
      <c r="E168" s="10" t="str">
        <f ca="1">IFERROR(__xludf.DUMMYFUNCTION("""COMPUTED_VALUE"""),"M")</f>
        <v>M</v>
      </c>
      <c r="F168" s="11">
        <f ca="1">IFERROR(__xludf.DUMMYFUNCTION("""COMPUTED_VALUE"""),26807)</f>
        <v>26807</v>
      </c>
      <c r="G168" s="6">
        <f t="shared" ca="1" si="1"/>
        <v>52</v>
      </c>
      <c r="H168" s="6" t="b">
        <f ca="1">(COUNTIFS(Deputados!A168:A1000, A168, Deputados!D168:D1000, "&lt;&gt;57")) = 0</f>
        <v>0</v>
      </c>
    </row>
    <row r="169" spans="1:8" ht="17.399999999999999">
      <c r="A169" s="10">
        <f ca="1">IFERROR(__xludf.DUMMYFUNCTION("""COMPUTED_VALUE"""),168)</f>
        <v>168</v>
      </c>
      <c r="B169" s="10" t="str">
        <f ca="1">IFERROR(__xludf.DUMMYFUNCTION("""COMPUTED_VALUE"""),"Dimas Gadelha")</f>
        <v>Dimas Gadelha</v>
      </c>
      <c r="C169" s="10" t="str">
        <f ca="1">IFERROR(__xludf.DUMMYFUNCTION("""COMPUTED_VALUE"""),"PB")</f>
        <v>PB</v>
      </c>
      <c r="D169" s="6" t="str">
        <f t="shared" ca="1" si="0"/>
        <v>Masculino</v>
      </c>
      <c r="E169" s="10" t="str">
        <f ca="1">IFERROR(__xludf.DUMMYFUNCTION("""COMPUTED_VALUE"""),"M")</f>
        <v>M</v>
      </c>
      <c r="F169" s="11">
        <f ca="1">IFERROR(__xludf.DUMMYFUNCTION("""COMPUTED_VALUE"""),27517)</f>
        <v>27517</v>
      </c>
      <c r="G169" s="6">
        <f t="shared" ca="1" si="1"/>
        <v>50</v>
      </c>
      <c r="H169" s="6" t="b">
        <f ca="1">(COUNTIFS(Deputados!A169:A1000, A169, Deputados!D169:D1000, "&lt;&gt;57")) = 0</f>
        <v>1</v>
      </c>
    </row>
    <row r="170" spans="1:8" ht="17.399999999999999">
      <c r="A170" s="10">
        <f ca="1">IFERROR(__xludf.DUMMYFUNCTION("""COMPUTED_VALUE"""),169)</f>
        <v>169</v>
      </c>
      <c r="B170" s="10" t="str">
        <f ca="1">IFERROR(__xludf.DUMMYFUNCTION("""COMPUTED_VALUE"""),"Domingos Neto")</f>
        <v>Domingos Neto</v>
      </c>
      <c r="C170" s="10" t="str">
        <f ca="1">IFERROR(__xludf.DUMMYFUNCTION("""COMPUTED_VALUE"""),"CE")</f>
        <v>CE</v>
      </c>
      <c r="D170" s="6" t="str">
        <f t="shared" ca="1" si="0"/>
        <v>Masculino</v>
      </c>
      <c r="E170" s="10" t="str">
        <f ca="1">IFERROR(__xludf.DUMMYFUNCTION("""COMPUTED_VALUE"""),"M")</f>
        <v>M</v>
      </c>
      <c r="F170" s="11">
        <f ca="1">IFERROR(__xludf.DUMMYFUNCTION("""COMPUTED_VALUE"""),32262)</f>
        <v>32262</v>
      </c>
      <c r="G170" s="6">
        <f t="shared" ca="1" si="1"/>
        <v>37</v>
      </c>
      <c r="H170" s="6" t="b">
        <f ca="1">(COUNTIFS(Deputados!A170:A1000, A170, Deputados!D170:D1000, "&lt;&gt;57")) = 0</f>
        <v>0</v>
      </c>
    </row>
    <row r="171" spans="1:8" ht="17.399999999999999">
      <c r="A171" s="10">
        <f ca="1">IFERROR(__xludf.DUMMYFUNCTION("""COMPUTED_VALUE"""),170)</f>
        <v>170</v>
      </c>
      <c r="B171" s="10" t="str">
        <f ca="1">IFERROR(__xludf.DUMMYFUNCTION("""COMPUTED_VALUE"""),"Domingos Sávio")</f>
        <v>Domingos Sávio</v>
      </c>
      <c r="C171" s="10" t="str">
        <f ca="1">IFERROR(__xludf.DUMMYFUNCTION("""COMPUTED_VALUE"""),"MG")</f>
        <v>MG</v>
      </c>
      <c r="D171" s="6" t="str">
        <f t="shared" ca="1" si="0"/>
        <v>Masculino</v>
      </c>
      <c r="E171" s="10" t="str">
        <f ca="1">IFERROR(__xludf.DUMMYFUNCTION("""COMPUTED_VALUE"""),"M")</f>
        <v>M</v>
      </c>
      <c r="F171" s="11">
        <f ca="1">IFERROR(__xludf.DUMMYFUNCTION("""COMPUTED_VALUE"""),20904)</f>
        <v>20904</v>
      </c>
      <c r="G171" s="6">
        <f t="shared" ca="1" si="1"/>
        <v>68</v>
      </c>
      <c r="H171" s="6" t="b">
        <f ca="1">(COUNTIFS(Deputados!A171:A1000, A171, Deputados!D171:D1000, "&lt;&gt;57")) = 0</f>
        <v>0</v>
      </c>
    </row>
    <row r="172" spans="1:8" ht="17.399999999999999">
      <c r="A172" s="10">
        <f ca="1">IFERROR(__xludf.DUMMYFUNCTION("""COMPUTED_VALUE"""),171)</f>
        <v>171</v>
      </c>
      <c r="B172" s="10" t="str">
        <f ca="1">IFERROR(__xludf.DUMMYFUNCTION("""COMPUTED_VALUE"""),"Dorinaldo Malafaia")</f>
        <v>Dorinaldo Malafaia</v>
      </c>
      <c r="C172" s="10" t="str">
        <f ca="1">IFERROR(__xludf.DUMMYFUNCTION("""COMPUTED_VALUE"""),"AP")</f>
        <v>AP</v>
      </c>
      <c r="D172" s="6" t="str">
        <f t="shared" ca="1" si="0"/>
        <v>Masculino</v>
      </c>
      <c r="E172" s="10" t="str">
        <f ca="1">IFERROR(__xludf.DUMMYFUNCTION("""COMPUTED_VALUE"""),"M")</f>
        <v>M</v>
      </c>
      <c r="F172" s="11">
        <f ca="1">IFERROR(__xludf.DUMMYFUNCTION("""COMPUTED_VALUE"""),27813)</f>
        <v>27813</v>
      </c>
      <c r="G172" s="6">
        <f t="shared" ca="1" si="1"/>
        <v>49</v>
      </c>
      <c r="H172" s="6" t="b">
        <f ca="1">(COUNTIFS(Deputados!A172:A1000, A172, Deputados!D172:D1000, "&lt;&gt;57")) = 0</f>
        <v>1</v>
      </c>
    </row>
    <row r="173" spans="1:8" ht="17.399999999999999">
      <c r="A173" s="10">
        <f ca="1">IFERROR(__xludf.DUMMYFUNCTION("""COMPUTED_VALUE"""),172)</f>
        <v>172</v>
      </c>
      <c r="B173" s="10" t="str">
        <f ca="1">IFERROR(__xludf.DUMMYFUNCTION("""COMPUTED_VALUE"""),"Douglas Viegas")</f>
        <v>Douglas Viegas</v>
      </c>
      <c r="C173" s="10" t="str">
        <f ca="1">IFERROR(__xludf.DUMMYFUNCTION("""COMPUTED_VALUE"""),"SP")</f>
        <v>SP</v>
      </c>
      <c r="D173" s="6" t="str">
        <f t="shared" ca="1" si="0"/>
        <v>Masculino</v>
      </c>
      <c r="E173" s="10" t="str">
        <f ca="1">IFERROR(__xludf.DUMMYFUNCTION("""COMPUTED_VALUE"""),"M")</f>
        <v>M</v>
      </c>
      <c r="F173" s="11">
        <f ca="1">IFERROR(__xludf.DUMMYFUNCTION("""COMPUTED_VALUE"""),29025)</f>
        <v>29025</v>
      </c>
      <c r="G173" s="6">
        <f t="shared" ca="1" si="1"/>
        <v>46</v>
      </c>
      <c r="H173" s="6" t="b">
        <f ca="1">(COUNTIFS(Deputados!A173:A1000, A173, Deputados!D173:D1000, "&lt;&gt;57")) = 0</f>
        <v>1</v>
      </c>
    </row>
    <row r="174" spans="1:8" ht="17.399999999999999">
      <c r="A174" s="10">
        <f ca="1">IFERROR(__xludf.DUMMYFUNCTION("""COMPUTED_VALUE"""),173)</f>
        <v>173</v>
      </c>
      <c r="B174" s="10" t="str">
        <f ca="1">IFERROR(__xludf.DUMMYFUNCTION("""COMPUTED_VALUE"""),"Doutor Luizinho")</f>
        <v>Doutor Luizinho</v>
      </c>
      <c r="C174" s="10" t="str">
        <f ca="1">IFERROR(__xludf.DUMMYFUNCTION("""COMPUTED_VALUE"""),"RJ")</f>
        <v>RJ</v>
      </c>
      <c r="D174" s="6" t="str">
        <f t="shared" ca="1" si="0"/>
        <v>Masculino</v>
      </c>
      <c r="E174" s="10" t="str">
        <f ca="1">IFERROR(__xludf.DUMMYFUNCTION("""COMPUTED_VALUE"""),"M")</f>
        <v>M</v>
      </c>
      <c r="F174" s="11">
        <f ca="1">IFERROR(__xludf.DUMMYFUNCTION("""COMPUTED_VALUE"""),27013)</f>
        <v>27013</v>
      </c>
      <c r="G174" s="6">
        <f t="shared" ca="1" si="1"/>
        <v>51</v>
      </c>
      <c r="H174" s="6" t="b">
        <f ca="1">(COUNTIFS(Deputados!A174:A1000, A174, Deputados!D174:D1000, "&lt;&gt;57")) = 0</f>
        <v>0</v>
      </c>
    </row>
    <row r="175" spans="1:8" ht="17.399999999999999">
      <c r="A175" s="10">
        <f ca="1">IFERROR(__xludf.DUMMYFUNCTION("""COMPUTED_VALUE"""),174)</f>
        <v>174</v>
      </c>
      <c r="B175" s="10" t="str">
        <f ca="1">IFERROR(__xludf.DUMMYFUNCTION("""COMPUTED_VALUE"""),"Dr Fabio Rueda")</f>
        <v>Dr Fabio Rueda</v>
      </c>
      <c r="C175" s="10" t="str">
        <f ca="1">IFERROR(__xludf.DUMMYFUNCTION("""COMPUTED_VALUE"""),"PE")</f>
        <v>PE</v>
      </c>
      <c r="D175" s="6" t="str">
        <f t="shared" ca="1" si="0"/>
        <v>Masculino</v>
      </c>
      <c r="E175" s="10" t="str">
        <f ca="1">IFERROR(__xludf.DUMMYFUNCTION("""COMPUTED_VALUE"""),"M")</f>
        <v>M</v>
      </c>
      <c r="F175" s="11">
        <f ca="1">IFERROR(__xludf.DUMMYFUNCTION("""COMPUTED_VALUE"""),28323)</f>
        <v>28323</v>
      </c>
      <c r="G175" s="6">
        <f t="shared" ca="1" si="1"/>
        <v>48</v>
      </c>
      <c r="H175" s="6" t="b">
        <f ca="1">(COUNTIFS(Deputados!A175:A1000, A175, Deputados!D175:D1000, "&lt;&gt;57")) = 0</f>
        <v>1</v>
      </c>
    </row>
    <row r="176" spans="1:8" ht="17.399999999999999">
      <c r="A176" s="10">
        <f ca="1">IFERROR(__xludf.DUMMYFUNCTION("""COMPUTED_VALUE"""),175)</f>
        <v>175</v>
      </c>
      <c r="B176" s="10" t="str">
        <f ca="1">IFERROR(__xludf.DUMMYFUNCTION("""COMPUTED_VALUE"""),"Dr Flávio")</f>
        <v>Dr Flávio</v>
      </c>
      <c r="C176" s="10" t="str">
        <f ca="1">IFERROR(__xludf.DUMMYFUNCTION("""COMPUTED_VALUE"""),"MG")</f>
        <v>MG</v>
      </c>
      <c r="D176" s="6" t="str">
        <f t="shared" ca="1" si="0"/>
        <v>Masculino</v>
      </c>
      <c r="E176" s="10" t="str">
        <f ca="1">IFERROR(__xludf.DUMMYFUNCTION("""COMPUTED_VALUE"""),"M")</f>
        <v>M</v>
      </c>
      <c r="F176" s="11">
        <f ca="1">IFERROR(__xludf.DUMMYFUNCTION("""COMPUTED_VALUE"""),25989)</f>
        <v>25989</v>
      </c>
      <c r="G176" s="6">
        <f t="shared" ca="1" si="1"/>
        <v>54</v>
      </c>
      <c r="H176" s="6" t="b">
        <f ca="1">(COUNTIFS(Deputados!A176:A1000, A176, Deputados!D176:D1000, "&lt;&gt;57")) = 0</f>
        <v>1</v>
      </c>
    </row>
    <row r="177" spans="1:8" ht="17.399999999999999">
      <c r="A177" s="10">
        <f ca="1">IFERROR(__xludf.DUMMYFUNCTION("""COMPUTED_VALUE"""),176)</f>
        <v>176</v>
      </c>
      <c r="B177" s="10" t="str">
        <f ca="1">IFERROR(__xludf.DUMMYFUNCTION("""COMPUTED_VALUE"""),"Dr. Benjamim")</f>
        <v>Dr. Benjamim</v>
      </c>
      <c r="C177" s="10" t="str">
        <f ca="1">IFERROR(__xludf.DUMMYFUNCTION("""COMPUTED_VALUE"""),"PR")</f>
        <v>PR</v>
      </c>
      <c r="D177" s="6" t="str">
        <f t="shared" ca="1" si="0"/>
        <v>Masculino</v>
      </c>
      <c r="E177" s="10" t="str">
        <f ca="1">IFERROR(__xludf.DUMMYFUNCTION("""COMPUTED_VALUE"""),"M")</f>
        <v>M</v>
      </c>
      <c r="F177" s="11">
        <f ca="1">IFERROR(__xludf.DUMMYFUNCTION("""COMPUTED_VALUE"""),26702)</f>
        <v>26702</v>
      </c>
      <c r="G177" s="6">
        <f t="shared" ca="1" si="1"/>
        <v>52</v>
      </c>
      <c r="H177" s="6" t="b">
        <f ca="1">(COUNTIFS(Deputados!A177:A1000, A177, Deputados!D177:D1000, "&lt;&gt;57")) = 0</f>
        <v>1</v>
      </c>
    </row>
    <row r="178" spans="1:8" ht="17.399999999999999">
      <c r="A178" s="10">
        <f ca="1">IFERROR(__xludf.DUMMYFUNCTION("""COMPUTED_VALUE"""),177)</f>
        <v>177</v>
      </c>
      <c r="B178" s="10" t="str">
        <f ca="1">IFERROR(__xludf.DUMMYFUNCTION("""COMPUTED_VALUE"""),"Dr. Daniel Soranz")</f>
        <v>Dr. Daniel Soranz</v>
      </c>
      <c r="C178" s="10" t="str">
        <f ca="1">IFERROR(__xludf.DUMMYFUNCTION("""COMPUTED_VALUE"""),"RJ")</f>
        <v>RJ</v>
      </c>
      <c r="D178" s="6" t="str">
        <f t="shared" ca="1" si="0"/>
        <v>Masculino</v>
      </c>
      <c r="E178" s="10" t="str">
        <f ca="1">IFERROR(__xludf.DUMMYFUNCTION("""COMPUTED_VALUE"""),"M")</f>
        <v>M</v>
      </c>
      <c r="F178" s="11">
        <f ca="1">IFERROR(__xludf.DUMMYFUNCTION("""COMPUTED_VALUE"""),28902)</f>
        <v>28902</v>
      </c>
      <c r="G178" s="6">
        <f t="shared" ca="1" si="1"/>
        <v>46</v>
      </c>
      <c r="H178" s="6" t="b">
        <f ca="1">(COUNTIFS(Deputados!A178:A1000, A178, Deputados!D178:D1000, "&lt;&gt;57")) = 0</f>
        <v>1</v>
      </c>
    </row>
    <row r="179" spans="1:8" ht="17.399999999999999">
      <c r="A179" s="10">
        <f ca="1">IFERROR(__xludf.DUMMYFUNCTION("""COMPUTED_VALUE"""),178)</f>
        <v>178</v>
      </c>
      <c r="B179" s="10" t="str">
        <f ca="1">IFERROR(__xludf.DUMMYFUNCTION("""COMPUTED_VALUE"""),"Dr. Fernando Máximo")</f>
        <v>Dr. Fernando Máximo</v>
      </c>
      <c r="C179" s="10" t="str">
        <f ca="1">IFERROR(__xludf.DUMMYFUNCTION("""COMPUTED_VALUE"""),"GO")</f>
        <v>GO</v>
      </c>
      <c r="D179" s="6" t="str">
        <f t="shared" ca="1" si="0"/>
        <v>Masculino</v>
      </c>
      <c r="E179" s="10" t="str">
        <f ca="1">IFERROR(__xludf.DUMMYFUNCTION("""COMPUTED_VALUE"""),"M")</f>
        <v>M</v>
      </c>
      <c r="F179" s="11">
        <f ca="1">IFERROR(__xludf.DUMMYFUNCTION("""COMPUTED_VALUE"""),29132)</f>
        <v>29132</v>
      </c>
      <c r="G179" s="6">
        <f t="shared" ca="1" si="1"/>
        <v>45</v>
      </c>
      <c r="H179" s="6" t="b">
        <f ca="1">(COUNTIFS(Deputados!A179:A1000, A179, Deputados!D179:D1000, "&lt;&gt;57")) = 0</f>
        <v>1</v>
      </c>
    </row>
    <row r="180" spans="1:8" ht="17.399999999999999">
      <c r="A180" s="10">
        <f ca="1">IFERROR(__xludf.DUMMYFUNCTION("""COMPUTED_VALUE"""),179)</f>
        <v>179</v>
      </c>
      <c r="B180" s="10" t="str">
        <f ca="1">IFERROR(__xludf.DUMMYFUNCTION("""COMPUTED_VALUE"""),"Dr. Francisco")</f>
        <v>Dr. Francisco</v>
      </c>
      <c r="C180" s="10" t="str">
        <f ca="1">IFERROR(__xludf.DUMMYFUNCTION("""COMPUTED_VALUE"""),"PI")</f>
        <v>PI</v>
      </c>
      <c r="D180" s="6" t="str">
        <f t="shared" ca="1" si="0"/>
        <v>Masculino</v>
      </c>
      <c r="E180" s="10" t="str">
        <f ca="1">IFERROR(__xludf.DUMMYFUNCTION("""COMPUTED_VALUE"""),"M")</f>
        <v>M</v>
      </c>
      <c r="F180" s="11">
        <f ca="1">IFERROR(__xludf.DUMMYFUNCTION("""COMPUTED_VALUE"""),29142)</f>
        <v>29142</v>
      </c>
      <c r="G180" s="6">
        <f t="shared" ca="1" si="1"/>
        <v>45</v>
      </c>
      <c r="H180" s="6" t="b">
        <f ca="1">(COUNTIFS(Deputados!A180:A1000, A180, Deputados!D180:D1000, "&lt;&gt;57")) = 0</f>
        <v>1</v>
      </c>
    </row>
    <row r="181" spans="1:8" ht="17.399999999999999">
      <c r="A181" s="10">
        <f ca="1">IFERROR(__xludf.DUMMYFUNCTION("""COMPUTED_VALUE"""),180)</f>
        <v>180</v>
      </c>
      <c r="B181" s="10" t="str">
        <f ca="1">IFERROR(__xludf.DUMMYFUNCTION("""COMPUTED_VALUE"""),"Dr. Frederico")</f>
        <v>Dr. Frederico</v>
      </c>
      <c r="C181" s="10" t="str">
        <f ca="1">IFERROR(__xludf.DUMMYFUNCTION("""COMPUTED_VALUE"""),"RJ")</f>
        <v>RJ</v>
      </c>
      <c r="D181" s="6" t="str">
        <f t="shared" ca="1" si="0"/>
        <v>Masculino</v>
      </c>
      <c r="E181" s="10" t="str">
        <f ca="1">IFERROR(__xludf.DUMMYFUNCTION("""COMPUTED_VALUE"""),"M")</f>
        <v>M</v>
      </c>
      <c r="F181" s="11">
        <f ca="1">IFERROR(__xludf.DUMMYFUNCTION("""COMPUTED_VALUE"""),28208)</f>
        <v>28208</v>
      </c>
      <c r="G181" s="6">
        <f t="shared" ca="1" si="1"/>
        <v>48</v>
      </c>
      <c r="H181" s="6" t="b">
        <f ca="1">(COUNTIFS(Deputados!A181:A1000, A181, Deputados!D181:D1000, "&lt;&gt;57")) = 0</f>
        <v>0</v>
      </c>
    </row>
    <row r="182" spans="1:8" ht="17.399999999999999">
      <c r="A182" s="10">
        <f ca="1">IFERROR(__xludf.DUMMYFUNCTION("""COMPUTED_VALUE"""),181)</f>
        <v>181</v>
      </c>
      <c r="B182" s="10" t="str">
        <f ca="1">IFERROR(__xludf.DUMMYFUNCTION("""COMPUTED_VALUE"""),"Dr. Gonçalo")</f>
        <v>Dr. Gonçalo</v>
      </c>
      <c r="C182" s="10" t="str">
        <f ca="1">IFERROR(__xludf.DUMMYFUNCTION("""COMPUTED_VALUE"""),"MA")</f>
        <v>MA</v>
      </c>
      <c r="D182" s="6" t="str">
        <f t="shared" ca="1" si="0"/>
        <v>Masculino</v>
      </c>
      <c r="E182" s="10" t="str">
        <f ca="1">IFERROR(__xludf.DUMMYFUNCTION("""COMPUTED_VALUE"""),"M")</f>
        <v>M</v>
      </c>
      <c r="F182" s="11">
        <f ca="1">IFERROR(__xludf.DUMMYFUNCTION("""COMPUTED_VALUE"""),19548)</f>
        <v>19548</v>
      </c>
      <c r="G182" s="6">
        <f t="shared" ca="1" si="1"/>
        <v>72</v>
      </c>
      <c r="H182" s="6" t="b">
        <f ca="1">(COUNTIFS(Deputados!A182:A1000, A182, Deputados!D182:D1000, "&lt;&gt;57")) = 0</f>
        <v>0</v>
      </c>
    </row>
    <row r="183" spans="1:8" ht="17.399999999999999">
      <c r="A183" s="10">
        <f ca="1">IFERROR(__xludf.DUMMYFUNCTION("""COMPUTED_VALUE"""),182)</f>
        <v>182</v>
      </c>
      <c r="B183" s="10" t="str">
        <f ca="1">IFERROR(__xludf.DUMMYFUNCTION("""COMPUTED_VALUE"""),"Dr. Ismael Alexandrino")</f>
        <v>Dr. Ismael Alexandrino</v>
      </c>
      <c r="C183" s="10" t="str">
        <f ca="1">IFERROR(__xludf.DUMMYFUNCTION("""COMPUTED_VALUE"""),"GO")</f>
        <v>GO</v>
      </c>
      <c r="D183" s="6" t="str">
        <f t="shared" ca="1" si="0"/>
        <v>Masculino</v>
      </c>
      <c r="E183" s="10" t="str">
        <f ca="1">IFERROR(__xludf.DUMMYFUNCTION("""COMPUTED_VALUE"""),"M")</f>
        <v>M</v>
      </c>
      <c r="F183" s="11">
        <f ca="1">IFERROR(__xludf.DUMMYFUNCTION("""COMPUTED_VALUE"""),30523)</f>
        <v>30523</v>
      </c>
      <c r="G183" s="6">
        <f t="shared" ca="1" si="1"/>
        <v>42</v>
      </c>
      <c r="H183" s="6" t="b">
        <f ca="1">(COUNTIFS(Deputados!A183:A1000, A183, Deputados!D183:D1000, "&lt;&gt;57")) = 0</f>
        <v>1</v>
      </c>
    </row>
    <row r="184" spans="1:8" ht="17.399999999999999">
      <c r="A184" s="10">
        <f ca="1">IFERROR(__xludf.DUMMYFUNCTION("""COMPUTED_VALUE"""),183)</f>
        <v>183</v>
      </c>
      <c r="B184" s="10" t="str">
        <f ca="1">IFERROR(__xludf.DUMMYFUNCTION("""COMPUTED_VALUE"""),"Dr. Jaziel")</f>
        <v>Dr. Jaziel</v>
      </c>
      <c r="C184" s="10" t="str">
        <f ca="1">IFERROR(__xludf.DUMMYFUNCTION("""COMPUTED_VALUE"""),"CE")</f>
        <v>CE</v>
      </c>
      <c r="D184" s="6" t="str">
        <f t="shared" ca="1" si="0"/>
        <v>Masculino</v>
      </c>
      <c r="E184" s="10" t="str">
        <f ca="1">IFERROR(__xludf.DUMMYFUNCTION("""COMPUTED_VALUE"""),"M")</f>
        <v>M</v>
      </c>
      <c r="F184" s="11">
        <f ca="1">IFERROR(__xludf.DUMMYFUNCTION("""COMPUTED_VALUE"""),22404)</f>
        <v>22404</v>
      </c>
      <c r="G184" s="6">
        <f t="shared" ca="1" si="1"/>
        <v>64</v>
      </c>
      <c r="H184" s="6" t="b">
        <f ca="1">(COUNTIFS(Deputados!A184:A1000, A184, Deputados!D184:D1000, "&lt;&gt;57")) = 0</f>
        <v>0</v>
      </c>
    </row>
    <row r="185" spans="1:8" ht="17.399999999999999">
      <c r="A185" s="10">
        <f ca="1">IFERROR(__xludf.DUMMYFUNCTION("""COMPUTED_VALUE"""),184)</f>
        <v>184</v>
      </c>
      <c r="B185" s="10" t="str">
        <f ca="1">IFERROR(__xludf.DUMMYFUNCTION("""COMPUTED_VALUE"""),"Dr. Luiz Ovando")</f>
        <v>Dr. Luiz Ovando</v>
      </c>
      <c r="C185" s="10" t="str">
        <f ca="1">IFERROR(__xludf.DUMMYFUNCTION("""COMPUTED_VALUE"""),"MS")</f>
        <v>MS</v>
      </c>
      <c r="D185" s="6" t="str">
        <f t="shared" ca="1" si="0"/>
        <v>Masculino</v>
      </c>
      <c r="E185" s="10" t="str">
        <f ca="1">IFERROR(__xludf.DUMMYFUNCTION("""COMPUTED_VALUE"""),"M")</f>
        <v>M</v>
      </c>
      <c r="F185" s="11">
        <f ca="1">IFERROR(__xludf.DUMMYFUNCTION("""COMPUTED_VALUE"""),18166)</f>
        <v>18166</v>
      </c>
      <c r="G185" s="6">
        <f t="shared" ca="1" si="1"/>
        <v>75</v>
      </c>
      <c r="H185" s="6" t="b">
        <f ca="1">(COUNTIFS(Deputados!A185:A1000, A185, Deputados!D185:D1000, "&lt;&gt;57")) = 0</f>
        <v>0</v>
      </c>
    </row>
    <row r="186" spans="1:8" ht="17.399999999999999">
      <c r="A186" s="10">
        <f ca="1">IFERROR(__xludf.DUMMYFUNCTION("""COMPUTED_VALUE"""),185)</f>
        <v>185</v>
      </c>
      <c r="B186" s="10" t="str">
        <f ca="1">IFERROR(__xludf.DUMMYFUNCTION("""COMPUTED_VALUE"""),"Dr. Remy Soares")</f>
        <v>Dr. Remy Soares</v>
      </c>
      <c r="C186" s="10" t="str">
        <f ca="1">IFERROR(__xludf.DUMMYFUNCTION("""COMPUTED_VALUE"""),"MA")</f>
        <v>MA</v>
      </c>
      <c r="D186" s="6" t="str">
        <f t="shared" ca="1" si="0"/>
        <v>Masculino</v>
      </c>
      <c r="E186" s="10" t="str">
        <f ca="1">IFERROR(__xludf.DUMMYFUNCTION("""COMPUTED_VALUE"""),"M")</f>
        <v>M</v>
      </c>
      <c r="F186" s="11">
        <f ca="1">IFERROR(__xludf.DUMMYFUNCTION("""COMPUTED_VALUE"""),33150)</f>
        <v>33150</v>
      </c>
      <c r="G186" s="6">
        <f t="shared" ca="1" si="1"/>
        <v>34</v>
      </c>
      <c r="H186" s="6" t="b">
        <f ca="1">(COUNTIFS(Deputados!A186:A1000, A186, Deputados!D186:D1000, "&lt;&gt;57")) = 0</f>
        <v>1</v>
      </c>
    </row>
    <row r="187" spans="1:8" ht="17.399999999999999">
      <c r="A187" s="10">
        <f ca="1">IFERROR(__xludf.DUMMYFUNCTION("""COMPUTED_VALUE"""),186)</f>
        <v>186</v>
      </c>
      <c r="B187" s="10" t="str">
        <f ca="1">IFERROR(__xludf.DUMMYFUNCTION("""COMPUTED_VALUE"""),"Dr. Victor Linhalis")</f>
        <v>Dr. Victor Linhalis</v>
      </c>
      <c r="C187" s="10" t="str">
        <f ca="1">IFERROR(__xludf.DUMMYFUNCTION("""COMPUTED_VALUE"""),"ES")</f>
        <v>ES</v>
      </c>
      <c r="D187" s="6" t="str">
        <f t="shared" ca="1" si="0"/>
        <v>Masculino</v>
      </c>
      <c r="E187" s="10" t="str">
        <f ca="1">IFERROR(__xludf.DUMMYFUNCTION("""COMPUTED_VALUE"""),"M")</f>
        <v>M</v>
      </c>
      <c r="F187" s="11">
        <f ca="1">IFERROR(__xludf.DUMMYFUNCTION("""COMPUTED_VALUE"""),31414)</f>
        <v>31414</v>
      </c>
      <c r="G187" s="6">
        <f t="shared" ca="1" si="1"/>
        <v>39</v>
      </c>
      <c r="H187" s="6" t="b">
        <f ca="1">(COUNTIFS(Deputados!A187:A1000, A187, Deputados!D187:D1000, "&lt;&gt;57")) = 0</f>
        <v>1</v>
      </c>
    </row>
    <row r="188" spans="1:8" ht="17.399999999999999">
      <c r="A188" s="10">
        <f ca="1">IFERROR(__xludf.DUMMYFUNCTION("""COMPUTED_VALUE"""),187)</f>
        <v>187</v>
      </c>
      <c r="B188" s="10" t="str">
        <f ca="1">IFERROR(__xludf.DUMMYFUNCTION("""COMPUTED_VALUE"""),"Dr. Zacharias Calil")</f>
        <v>Dr. Zacharias Calil</v>
      </c>
      <c r="C188" s="10" t="str">
        <f ca="1">IFERROR(__xludf.DUMMYFUNCTION("""COMPUTED_VALUE"""),"GO")</f>
        <v>GO</v>
      </c>
      <c r="D188" s="6" t="str">
        <f t="shared" ca="1" si="0"/>
        <v>Masculino</v>
      </c>
      <c r="E188" s="10" t="str">
        <f ca="1">IFERROR(__xludf.DUMMYFUNCTION("""COMPUTED_VALUE"""),"M")</f>
        <v>M</v>
      </c>
      <c r="F188" s="11">
        <f ca="1">IFERROR(__xludf.DUMMYFUNCTION("""COMPUTED_VALUE"""),19668)</f>
        <v>19668</v>
      </c>
      <c r="G188" s="6">
        <f t="shared" ca="1" si="1"/>
        <v>71</v>
      </c>
      <c r="H188" s="6" t="b">
        <f ca="1">(COUNTIFS(Deputados!A188:A1000, A188, Deputados!D188:D1000, "&lt;&gt;57")) = 0</f>
        <v>0</v>
      </c>
    </row>
    <row r="189" spans="1:8" ht="17.399999999999999">
      <c r="A189" s="10">
        <f ca="1">IFERROR(__xludf.DUMMYFUNCTION("""COMPUTED_VALUE"""),188)</f>
        <v>188</v>
      </c>
      <c r="B189" s="10" t="str">
        <f ca="1">IFERROR(__xludf.DUMMYFUNCTION("""COMPUTED_VALUE"""),"Dra. Alessandra Haber")</f>
        <v>Dra. Alessandra Haber</v>
      </c>
      <c r="C189" s="10" t="str">
        <f ca="1">IFERROR(__xludf.DUMMYFUNCTION("""COMPUTED_VALUE"""),"PA")</f>
        <v>PA</v>
      </c>
      <c r="D189" s="6" t="str">
        <f t="shared" ca="1" si="0"/>
        <v>Feminino</v>
      </c>
      <c r="E189" s="10" t="str">
        <f ca="1">IFERROR(__xludf.DUMMYFUNCTION("""COMPUTED_VALUE"""),"F")</f>
        <v>F</v>
      </c>
      <c r="F189" s="11">
        <f ca="1">IFERROR(__xludf.DUMMYFUNCTION("""COMPUTED_VALUE"""),32401)</f>
        <v>32401</v>
      </c>
      <c r="G189" s="6">
        <f t="shared" ca="1" si="1"/>
        <v>36</v>
      </c>
      <c r="H189" s="6" t="b">
        <f ca="1">(COUNTIFS(Deputados!A189:A1000, A189, Deputados!D189:D1000, "&lt;&gt;57")) = 0</f>
        <v>1</v>
      </c>
    </row>
    <row r="190" spans="1:8" ht="17.399999999999999">
      <c r="A190" s="10">
        <f ca="1">IFERROR(__xludf.DUMMYFUNCTION("""COMPUTED_VALUE"""),189)</f>
        <v>189</v>
      </c>
      <c r="B190" s="10" t="str">
        <f ca="1">IFERROR(__xludf.DUMMYFUNCTION("""COMPUTED_VALUE"""),"Dra. Mayra Pinheiro")</f>
        <v>Dra. Mayra Pinheiro</v>
      </c>
      <c r="C190" s="10" t="str">
        <f ca="1">IFERROR(__xludf.DUMMYFUNCTION("""COMPUTED_VALUE"""),"CE")</f>
        <v>CE</v>
      </c>
      <c r="D190" s="6" t="str">
        <f t="shared" ca="1" si="0"/>
        <v>Feminino</v>
      </c>
      <c r="E190" s="10" t="str">
        <f ca="1">IFERROR(__xludf.DUMMYFUNCTION("""COMPUTED_VALUE"""),"F")</f>
        <v>F</v>
      </c>
      <c r="F190" s="11">
        <f ca="1">IFERROR(__xludf.DUMMYFUNCTION("""COMPUTED_VALUE"""),24432)</f>
        <v>24432</v>
      </c>
      <c r="G190" s="6">
        <f t="shared" ca="1" si="1"/>
        <v>58</v>
      </c>
      <c r="H190" s="6" t="b">
        <f ca="1">(COUNTIFS(Deputados!A190:A1000, A190, Deputados!D190:D1000, "&lt;&gt;57")) = 0</f>
        <v>1</v>
      </c>
    </row>
    <row r="191" spans="1:8" ht="17.399999999999999">
      <c r="A191" s="10">
        <f ca="1">IFERROR(__xludf.DUMMYFUNCTION("""COMPUTED_VALUE"""),190)</f>
        <v>190</v>
      </c>
      <c r="B191" s="10" t="str">
        <f ca="1">IFERROR(__xludf.DUMMYFUNCTION("""COMPUTED_VALUE"""),"Duarte Gonçalves Jr")</f>
        <v>Duarte Gonçalves Jr</v>
      </c>
      <c r="C191" s="10" t="str">
        <f ca="1">IFERROR(__xludf.DUMMYFUNCTION("""COMPUTED_VALUE"""),"MG")</f>
        <v>MG</v>
      </c>
      <c r="D191" s="6" t="str">
        <f t="shared" ca="1" si="0"/>
        <v>Masculino</v>
      </c>
      <c r="E191" s="10" t="str">
        <f ca="1">IFERROR(__xludf.DUMMYFUNCTION("""COMPUTED_VALUE"""),"M")</f>
        <v>M</v>
      </c>
      <c r="F191" s="11">
        <f ca="1">IFERROR(__xludf.DUMMYFUNCTION("""COMPUTED_VALUE"""),29475)</f>
        <v>29475</v>
      </c>
      <c r="G191" s="6">
        <f t="shared" ca="1" si="1"/>
        <v>45</v>
      </c>
      <c r="H191" s="6" t="b">
        <f ca="1">(COUNTIFS(Deputados!A191:A1000, A191, Deputados!D191:D1000, "&lt;&gt;57")) = 0</f>
        <v>1</v>
      </c>
    </row>
    <row r="192" spans="1:8" ht="17.399999999999999">
      <c r="A192" s="10">
        <f ca="1">IFERROR(__xludf.DUMMYFUNCTION("""COMPUTED_VALUE"""),191)</f>
        <v>191</v>
      </c>
      <c r="B192" s="10" t="str">
        <f ca="1">IFERROR(__xludf.DUMMYFUNCTION("""COMPUTED_VALUE"""),"Duarte Jr.")</f>
        <v>Duarte Jr.</v>
      </c>
      <c r="C192" s="10" t="str">
        <f ca="1">IFERROR(__xludf.DUMMYFUNCTION("""COMPUTED_VALUE"""),"RJ")</f>
        <v>RJ</v>
      </c>
      <c r="D192" s="6" t="str">
        <f t="shared" ca="1" si="0"/>
        <v>Masculino</v>
      </c>
      <c r="E192" s="10" t="str">
        <f ca="1">IFERROR(__xludf.DUMMYFUNCTION("""COMPUTED_VALUE"""),"M")</f>
        <v>M</v>
      </c>
      <c r="F192" s="11">
        <f ca="1">IFERROR(__xludf.DUMMYFUNCTION("""COMPUTED_VALUE"""),31670)</f>
        <v>31670</v>
      </c>
      <c r="G192" s="6">
        <f t="shared" ca="1" si="1"/>
        <v>38</v>
      </c>
      <c r="H192" s="6" t="b">
        <f ca="1">(COUNTIFS(Deputados!A192:A1000, A192, Deputados!D192:D1000, "&lt;&gt;57")) = 0</f>
        <v>1</v>
      </c>
    </row>
    <row r="193" spans="1:8" ht="17.399999999999999">
      <c r="A193" s="10">
        <f ca="1">IFERROR(__xludf.DUMMYFUNCTION("""COMPUTED_VALUE"""),192)</f>
        <v>192</v>
      </c>
      <c r="B193" s="10" t="str">
        <f ca="1">IFERROR(__xludf.DUMMYFUNCTION("""COMPUTED_VALUE"""),"Duda Ramos")</f>
        <v>Duda Ramos</v>
      </c>
      <c r="C193" s="10" t="str">
        <f ca="1">IFERROR(__xludf.DUMMYFUNCTION("""COMPUTED_VALUE"""),"AM")</f>
        <v>AM</v>
      </c>
      <c r="D193" s="6" t="str">
        <f t="shared" ca="1" si="0"/>
        <v>Masculino</v>
      </c>
      <c r="E193" s="10" t="str">
        <f ca="1">IFERROR(__xludf.DUMMYFUNCTION("""COMPUTED_VALUE"""),"M")</f>
        <v>M</v>
      </c>
      <c r="F193" s="11">
        <f ca="1">IFERROR(__xludf.DUMMYFUNCTION("""COMPUTED_VALUE"""),27168)</f>
        <v>27168</v>
      </c>
      <c r="G193" s="6">
        <f t="shared" ca="1" si="1"/>
        <v>51</v>
      </c>
      <c r="H193" s="6" t="b">
        <f ca="1">(COUNTIFS(Deputados!A193:A1000, A193, Deputados!D193:D1000, "&lt;&gt;57")) = 0</f>
        <v>1</v>
      </c>
    </row>
    <row r="194" spans="1:8" ht="17.399999999999999">
      <c r="A194" s="10">
        <f ca="1">IFERROR(__xludf.DUMMYFUNCTION("""COMPUTED_VALUE"""),193)</f>
        <v>193</v>
      </c>
      <c r="B194" s="10" t="str">
        <f ca="1">IFERROR(__xludf.DUMMYFUNCTION("""COMPUTED_VALUE"""),"Duda Salabert")</f>
        <v>Duda Salabert</v>
      </c>
      <c r="C194" s="10" t="str">
        <f ca="1">IFERROR(__xludf.DUMMYFUNCTION("""COMPUTED_VALUE"""),"MG")</f>
        <v>MG</v>
      </c>
      <c r="D194" s="6" t="str">
        <f t="shared" ca="1" si="0"/>
        <v>Feminino</v>
      </c>
      <c r="E194" s="10" t="str">
        <f ca="1">IFERROR(__xludf.DUMMYFUNCTION("""COMPUTED_VALUE"""),"F")</f>
        <v>F</v>
      </c>
      <c r="F194" s="11">
        <f ca="1">IFERROR(__xludf.DUMMYFUNCTION("""COMPUTED_VALUE"""),29708)</f>
        <v>29708</v>
      </c>
      <c r="G194" s="6">
        <f t="shared" ca="1" si="1"/>
        <v>44</v>
      </c>
      <c r="H194" s="6" t="b">
        <f ca="1">(COUNTIFS(Deputados!A194:A1000, A194, Deputados!D194:D1000, "&lt;&gt;57")) = 0</f>
        <v>1</v>
      </c>
    </row>
    <row r="195" spans="1:8" ht="17.399999999999999">
      <c r="A195" s="10">
        <f ca="1">IFERROR(__xludf.DUMMYFUNCTION("""COMPUTED_VALUE"""),194)</f>
        <v>194</v>
      </c>
      <c r="B195" s="10" t="str">
        <f ca="1">IFERROR(__xludf.DUMMYFUNCTION("""COMPUTED_VALUE"""),"Eduardo Bismarck")</f>
        <v>Eduardo Bismarck</v>
      </c>
      <c r="C195" s="10" t="str">
        <f ca="1">IFERROR(__xludf.DUMMYFUNCTION("""COMPUTED_VALUE"""),"CE")</f>
        <v>CE</v>
      </c>
      <c r="D195" s="6" t="str">
        <f t="shared" ca="1" si="0"/>
        <v>Masculino</v>
      </c>
      <c r="E195" s="10" t="str">
        <f ca="1">IFERROR(__xludf.DUMMYFUNCTION("""COMPUTED_VALUE"""),"M")</f>
        <v>M</v>
      </c>
      <c r="F195" s="11">
        <f ca="1">IFERROR(__xludf.DUMMYFUNCTION("""COMPUTED_VALUE"""),29904)</f>
        <v>29904</v>
      </c>
      <c r="G195" s="6">
        <f t="shared" ca="1" si="1"/>
        <v>43</v>
      </c>
      <c r="H195" s="6" t="b">
        <f ca="1">(COUNTIFS(Deputados!A195:A1000, A195, Deputados!D195:D1000, "&lt;&gt;57")) = 0</f>
        <v>0</v>
      </c>
    </row>
    <row r="196" spans="1:8" ht="17.399999999999999">
      <c r="A196" s="10">
        <f ca="1">IFERROR(__xludf.DUMMYFUNCTION("""COMPUTED_VALUE"""),195)</f>
        <v>195</v>
      </c>
      <c r="B196" s="10" t="str">
        <f ca="1">IFERROR(__xludf.DUMMYFUNCTION("""COMPUTED_VALUE"""),"Eduardo Bolsonaro")</f>
        <v>Eduardo Bolsonaro</v>
      </c>
      <c r="C196" s="10" t="str">
        <f ca="1">IFERROR(__xludf.DUMMYFUNCTION("""COMPUTED_VALUE"""),"RJ")</f>
        <v>RJ</v>
      </c>
      <c r="D196" s="6" t="str">
        <f t="shared" ca="1" si="0"/>
        <v>Masculino</v>
      </c>
      <c r="E196" s="10" t="str">
        <f ca="1">IFERROR(__xludf.DUMMYFUNCTION("""COMPUTED_VALUE"""),"M")</f>
        <v>M</v>
      </c>
      <c r="F196" s="11">
        <f ca="1">IFERROR(__xludf.DUMMYFUNCTION("""COMPUTED_VALUE"""),30873)</f>
        <v>30873</v>
      </c>
      <c r="G196" s="6">
        <f t="shared" ca="1" si="1"/>
        <v>41</v>
      </c>
      <c r="H196" s="6" t="b">
        <f ca="1">(COUNTIFS(Deputados!A196:A1000, A196, Deputados!D196:D1000, "&lt;&gt;57")) = 0</f>
        <v>0</v>
      </c>
    </row>
    <row r="197" spans="1:8" ht="17.399999999999999">
      <c r="A197" s="10">
        <f ca="1">IFERROR(__xludf.DUMMYFUNCTION("""COMPUTED_VALUE"""),196)</f>
        <v>196</v>
      </c>
      <c r="B197" s="10" t="str">
        <f ca="1">IFERROR(__xludf.DUMMYFUNCTION("""COMPUTED_VALUE"""),"Eduardo da Fonte")</f>
        <v>Eduardo da Fonte</v>
      </c>
      <c r="C197" s="10" t="str">
        <f ca="1">IFERROR(__xludf.DUMMYFUNCTION("""COMPUTED_VALUE"""),"PE")</f>
        <v>PE</v>
      </c>
      <c r="D197" s="6" t="str">
        <f t="shared" ca="1" si="0"/>
        <v>Masculino</v>
      </c>
      <c r="E197" s="10" t="str">
        <f ca="1">IFERROR(__xludf.DUMMYFUNCTION("""COMPUTED_VALUE"""),"M")</f>
        <v>M</v>
      </c>
      <c r="F197" s="11">
        <f ca="1">IFERROR(__xludf.DUMMYFUNCTION("""COMPUTED_VALUE"""),26589)</f>
        <v>26589</v>
      </c>
      <c r="G197" s="6">
        <f t="shared" ca="1" si="1"/>
        <v>52</v>
      </c>
      <c r="H197" s="6" t="b">
        <f ca="1">(COUNTIFS(Deputados!A197:A1000, A197, Deputados!D197:D1000, "&lt;&gt;57")) = 0</f>
        <v>0</v>
      </c>
    </row>
    <row r="198" spans="1:8" ht="17.399999999999999">
      <c r="A198" s="10">
        <f ca="1">IFERROR(__xludf.DUMMYFUNCTION("""COMPUTED_VALUE"""),197)</f>
        <v>197</v>
      </c>
      <c r="B198" s="10" t="str">
        <f ca="1">IFERROR(__xludf.DUMMYFUNCTION("""COMPUTED_VALUE"""),"Eduardo Velloso")</f>
        <v>Eduardo Velloso</v>
      </c>
      <c r="C198" s="10" t="str">
        <f ca="1">IFERROR(__xludf.DUMMYFUNCTION("""COMPUTED_VALUE"""),"AC")</f>
        <v>AC</v>
      </c>
      <c r="D198" s="6" t="str">
        <f t="shared" ca="1" si="0"/>
        <v>Masculino</v>
      </c>
      <c r="E198" s="10" t="str">
        <f ca="1">IFERROR(__xludf.DUMMYFUNCTION("""COMPUTED_VALUE"""),"M")</f>
        <v>M</v>
      </c>
      <c r="F198" s="11">
        <f ca="1">IFERROR(__xludf.DUMMYFUNCTION("""COMPUTED_VALUE"""),27949)</f>
        <v>27949</v>
      </c>
      <c r="G198" s="6">
        <f t="shared" ca="1" si="1"/>
        <v>49</v>
      </c>
      <c r="H198" s="6" t="b">
        <f ca="1">(COUNTIFS(Deputados!A198:A1000, A198, Deputados!D198:D1000, "&lt;&gt;57")) = 0</f>
        <v>1</v>
      </c>
    </row>
    <row r="199" spans="1:8" ht="17.399999999999999">
      <c r="A199" s="10">
        <f ca="1">IFERROR(__xludf.DUMMYFUNCTION("""COMPUTED_VALUE"""),198)</f>
        <v>198</v>
      </c>
      <c r="B199" s="10" t="str">
        <f ca="1">IFERROR(__xludf.DUMMYFUNCTION("""COMPUTED_VALUE"""),"Elcione Barbalho")</f>
        <v>Elcione Barbalho</v>
      </c>
      <c r="C199" s="10" t="str">
        <f ca="1">IFERROR(__xludf.DUMMYFUNCTION("""COMPUTED_VALUE"""),"PA")</f>
        <v>PA</v>
      </c>
      <c r="D199" s="6" t="str">
        <f t="shared" ca="1" si="0"/>
        <v>Feminino</v>
      </c>
      <c r="E199" s="10" t="str">
        <f ca="1">IFERROR(__xludf.DUMMYFUNCTION("""COMPUTED_VALUE"""),"F")</f>
        <v>F</v>
      </c>
      <c r="F199" s="11">
        <f ca="1">IFERROR(__xludf.DUMMYFUNCTION("""COMPUTED_VALUE"""),16350)</f>
        <v>16350</v>
      </c>
      <c r="G199" s="6">
        <f t="shared" ca="1" si="1"/>
        <v>80</v>
      </c>
      <c r="H199" s="6" t="b">
        <f ca="1">(COUNTIFS(Deputados!A199:A1000, A199, Deputados!D199:D1000, "&lt;&gt;57")) = 0</f>
        <v>0</v>
      </c>
    </row>
    <row r="200" spans="1:8" ht="17.399999999999999">
      <c r="A200" s="10">
        <f ca="1">IFERROR(__xludf.DUMMYFUNCTION("""COMPUTED_VALUE"""),199)</f>
        <v>199</v>
      </c>
      <c r="B200" s="10" t="str">
        <f ca="1">IFERROR(__xludf.DUMMYFUNCTION("""COMPUTED_VALUE"""),"Eli Borges")</f>
        <v>Eli Borges</v>
      </c>
      <c r="C200" s="10" t="str">
        <f ca="1">IFERROR(__xludf.DUMMYFUNCTION("""COMPUTED_VALUE"""),"GO")</f>
        <v>GO</v>
      </c>
      <c r="D200" s="6" t="str">
        <f t="shared" ca="1" si="0"/>
        <v>Masculino</v>
      </c>
      <c r="E200" s="10" t="str">
        <f ca="1">IFERROR(__xludf.DUMMYFUNCTION("""COMPUTED_VALUE"""),"M")</f>
        <v>M</v>
      </c>
      <c r="F200" s="11">
        <f ca="1">IFERROR(__xludf.DUMMYFUNCTION("""COMPUTED_VALUE"""),22160)</f>
        <v>22160</v>
      </c>
      <c r="G200" s="6">
        <f t="shared" ca="1" si="1"/>
        <v>65</v>
      </c>
      <c r="H200" s="6" t="b">
        <f ca="1">(COUNTIFS(Deputados!A200:A1000, A200, Deputados!D200:D1000, "&lt;&gt;57")) = 0</f>
        <v>0</v>
      </c>
    </row>
    <row r="201" spans="1:8" ht="17.399999999999999">
      <c r="A201" s="10">
        <f ca="1">IFERROR(__xludf.DUMMYFUNCTION("""COMPUTED_VALUE"""),200)</f>
        <v>200</v>
      </c>
      <c r="B201" s="10" t="str">
        <f ca="1">IFERROR(__xludf.DUMMYFUNCTION("""COMPUTED_VALUE"""),"Eliane Braz")</f>
        <v>Eliane Braz</v>
      </c>
      <c r="C201" s="10" t="str">
        <f ca="1">IFERROR(__xludf.DUMMYFUNCTION("""COMPUTED_VALUE"""),"CE")</f>
        <v>CE</v>
      </c>
      <c r="D201" s="6" t="str">
        <f t="shared" ca="1" si="0"/>
        <v>Feminino</v>
      </c>
      <c r="E201" s="10" t="str">
        <f ca="1">IFERROR(__xludf.DUMMYFUNCTION("""COMPUTED_VALUE"""),"F")</f>
        <v>F</v>
      </c>
      <c r="F201" s="11">
        <f ca="1">IFERROR(__xludf.DUMMYFUNCTION("""COMPUTED_VALUE"""),28011)</f>
        <v>28011</v>
      </c>
      <c r="G201" s="6">
        <f t="shared" ca="1" si="1"/>
        <v>49</v>
      </c>
      <c r="H201" s="6" t="b">
        <f ca="1">(COUNTIFS(Deputados!A201:A1000, A201, Deputados!D201:D1000, "&lt;&gt;57")) = 0</f>
        <v>1</v>
      </c>
    </row>
    <row r="202" spans="1:8" ht="17.399999999999999">
      <c r="A202" s="10">
        <f ca="1">IFERROR(__xludf.DUMMYFUNCTION("""COMPUTED_VALUE"""),201)</f>
        <v>201</v>
      </c>
      <c r="B202" s="10" t="str">
        <f ca="1">IFERROR(__xludf.DUMMYFUNCTION("""COMPUTED_VALUE"""),"Elisangela Araujo")</f>
        <v>Elisangela Araujo</v>
      </c>
      <c r="C202" s="10" t="str">
        <f ca="1">IFERROR(__xludf.DUMMYFUNCTION("""COMPUTED_VALUE"""),"BA")</f>
        <v>BA</v>
      </c>
      <c r="D202" s="6" t="str">
        <f t="shared" ca="1" si="0"/>
        <v>Feminino</v>
      </c>
      <c r="E202" s="10" t="str">
        <f ca="1">IFERROR(__xludf.DUMMYFUNCTION("""COMPUTED_VALUE"""),"F")</f>
        <v>F</v>
      </c>
      <c r="F202" s="11">
        <f ca="1">IFERROR(__xludf.DUMMYFUNCTION("""COMPUTED_VALUE"""),26905)</f>
        <v>26905</v>
      </c>
      <c r="G202" s="6">
        <f t="shared" ca="1" si="1"/>
        <v>52</v>
      </c>
      <c r="H202" s="6" t="b">
        <f ca="1">(COUNTIFS(Deputados!A202:A1000, A202, Deputados!D202:D1000, "&lt;&gt;57")) = 0</f>
        <v>1</v>
      </c>
    </row>
    <row r="203" spans="1:8" ht="17.399999999999999">
      <c r="A203" s="10">
        <f ca="1">IFERROR(__xludf.DUMMYFUNCTION("""COMPUTED_VALUE"""),202)</f>
        <v>202</v>
      </c>
      <c r="B203" s="10" t="str">
        <f ca="1">IFERROR(__xludf.DUMMYFUNCTION("""COMPUTED_VALUE"""),"Eliza Virgínia")</f>
        <v>Eliza Virgínia</v>
      </c>
      <c r="C203" s="10" t="str">
        <f ca="1">IFERROR(__xludf.DUMMYFUNCTION("""COMPUTED_VALUE"""),"PB")</f>
        <v>PB</v>
      </c>
      <c r="D203" s="6" t="str">
        <f t="shared" ca="1" si="0"/>
        <v>Feminino</v>
      </c>
      <c r="E203" s="10" t="str">
        <f ca="1">IFERROR(__xludf.DUMMYFUNCTION("""COMPUTED_VALUE"""),"F")</f>
        <v>F</v>
      </c>
      <c r="F203" s="11">
        <f ca="1">IFERROR(__xludf.DUMMYFUNCTION("""COMPUTED_VALUE"""),26391)</f>
        <v>26391</v>
      </c>
      <c r="G203" s="6">
        <f t="shared" ca="1" si="1"/>
        <v>53</v>
      </c>
      <c r="H203" s="6" t="b">
        <f ca="1">(COUNTIFS(Deputados!A203:A1000, A203, Deputados!D203:D1000, "&lt;&gt;57")) = 0</f>
        <v>0</v>
      </c>
    </row>
    <row r="204" spans="1:8" ht="17.399999999999999">
      <c r="A204" s="10">
        <f ca="1">IFERROR(__xludf.DUMMYFUNCTION("""COMPUTED_VALUE"""),203)</f>
        <v>203</v>
      </c>
      <c r="B204" s="10" t="str">
        <f ca="1">IFERROR(__xludf.DUMMYFUNCTION("""COMPUTED_VALUE"""),"Elmar Nascimento")</f>
        <v>Elmar Nascimento</v>
      </c>
      <c r="C204" s="10" t="str">
        <f ca="1">IFERROR(__xludf.DUMMYFUNCTION("""COMPUTED_VALUE"""),"BA")</f>
        <v>BA</v>
      </c>
      <c r="D204" s="6" t="str">
        <f t="shared" ca="1" si="0"/>
        <v>Masculino</v>
      </c>
      <c r="E204" s="10" t="str">
        <f ca="1">IFERROR(__xludf.DUMMYFUNCTION("""COMPUTED_VALUE"""),"M")</f>
        <v>M</v>
      </c>
      <c r="F204" s="11">
        <f ca="1">IFERROR(__xludf.DUMMYFUNCTION("""COMPUTED_VALUE"""),25755)</f>
        <v>25755</v>
      </c>
      <c r="G204" s="6">
        <f t="shared" ca="1" si="1"/>
        <v>55</v>
      </c>
      <c r="H204" s="6" t="b">
        <f ca="1">(COUNTIFS(Deputados!A204:A1000, A204, Deputados!D204:D1000, "&lt;&gt;57")) = 0</f>
        <v>0</v>
      </c>
    </row>
    <row r="205" spans="1:8" ht="17.399999999999999">
      <c r="A205" s="10">
        <f ca="1">IFERROR(__xludf.DUMMYFUNCTION("""COMPUTED_VALUE"""),204)</f>
        <v>204</v>
      </c>
      <c r="B205" s="10" t="str">
        <f ca="1">IFERROR(__xludf.DUMMYFUNCTION("""COMPUTED_VALUE"""),"Ely Santos")</f>
        <v>Ely Santos</v>
      </c>
      <c r="C205" s="10" t="str">
        <f ca="1">IFERROR(__xludf.DUMMYFUNCTION("""COMPUTED_VALUE"""),"SP")</f>
        <v>SP</v>
      </c>
      <c r="D205" s="6" t="str">
        <f t="shared" ca="1" si="0"/>
        <v>Feminino</v>
      </c>
      <c r="E205" s="10" t="str">
        <f ca="1">IFERROR(__xludf.DUMMYFUNCTION("""COMPUTED_VALUE"""),"F")</f>
        <v>F</v>
      </c>
      <c r="F205" s="11">
        <f ca="1">IFERROR(__xludf.DUMMYFUNCTION("""COMPUTED_VALUE"""),28138)</f>
        <v>28138</v>
      </c>
      <c r="G205" s="6">
        <f t="shared" ca="1" si="1"/>
        <v>48</v>
      </c>
      <c r="H205" s="6" t="b">
        <f ca="1">(COUNTIFS(Deputados!A205:A1000, A205, Deputados!D205:D1000, "&lt;&gt;57")) = 0</f>
        <v>0</v>
      </c>
    </row>
    <row r="206" spans="1:8" ht="17.399999999999999">
      <c r="A206" s="10">
        <f ca="1">IFERROR(__xludf.DUMMYFUNCTION("""COMPUTED_VALUE"""),205)</f>
        <v>205</v>
      </c>
      <c r="B206" s="10" t="str">
        <f ca="1">IFERROR(__xludf.DUMMYFUNCTION("""COMPUTED_VALUE"""),"Emanuel Pinheiro Neto")</f>
        <v>Emanuel Pinheiro Neto</v>
      </c>
      <c r="C206" s="10" t="str">
        <f ca="1">IFERROR(__xludf.DUMMYFUNCTION("""COMPUTED_VALUE"""),"MT")</f>
        <v>MT</v>
      </c>
      <c r="D206" s="6" t="str">
        <f t="shared" ca="1" si="0"/>
        <v>Masculino</v>
      </c>
      <c r="E206" s="10" t="str">
        <f ca="1">IFERROR(__xludf.DUMMYFUNCTION("""COMPUTED_VALUE"""),"M")</f>
        <v>M</v>
      </c>
      <c r="F206" s="11">
        <f ca="1">IFERROR(__xludf.DUMMYFUNCTION("""COMPUTED_VALUE"""),34704)</f>
        <v>34704</v>
      </c>
      <c r="G206" s="6">
        <f t="shared" ca="1" si="1"/>
        <v>30</v>
      </c>
      <c r="H206" s="6" t="b">
        <f ca="1">(COUNTIFS(Deputados!A206:A1000, A206, Deputados!D206:D1000, "&lt;&gt;57")) = 0</f>
        <v>0</v>
      </c>
    </row>
    <row r="207" spans="1:8" ht="17.399999999999999">
      <c r="A207" s="10">
        <f ca="1">IFERROR(__xludf.DUMMYFUNCTION("""COMPUTED_VALUE"""),206)</f>
        <v>206</v>
      </c>
      <c r="B207" s="10" t="str">
        <f ca="1">IFERROR(__xludf.DUMMYFUNCTION("""COMPUTED_VALUE"""),"Emidinho Madeira")</f>
        <v>Emidinho Madeira</v>
      </c>
      <c r="C207" s="10" t="str">
        <f ca="1">IFERROR(__xludf.DUMMYFUNCTION("""COMPUTED_VALUE"""),"MG")</f>
        <v>MG</v>
      </c>
      <c r="D207" s="6" t="str">
        <f t="shared" ca="1" si="0"/>
        <v>Masculino</v>
      </c>
      <c r="E207" s="10" t="str">
        <f ca="1">IFERROR(__xludf.DUMMYFUNCTION("""COMPUTED_VALUE"""),"M")</f>
        <v>M</v>
      </c>
      <c r="F207" s="11">
        <f ca="1">IFERROR(__xludf.DUMMYFUNCTION("""COMPUTED_VALUE"""),24541)</f>
        <v>24541</v>
      </c>
      <c r="G207" s="6">
        <f t="shared" ca="1" si="1"/>
        <v>58</v>
      </c>
      <c r="H207" s="6" t="b">
        <f ca="1">(COUNTIFS(Deputados!A207:A1000, A207, Deputados!D207:D1000, "&lt;&gt;57")) = 0</f>
        <v>0</v>
      </c>
    </row>
    <row r="208" spans="1:8" ht="17.399999999999999">
      <c r="A208" s="10">
        <f ca="1">IFERROR(__xludf.DUMMYFUNCTION("""COMPUTED_VALUE"""),207)</f>
        <v>207</v>
      </c>
      <c r="B208" s="10" t="str">
        <f ca="1">IFERROR(__xludf.DUMMYFUNCTION("""COMPUTED_VALUE"""),"Enfermeira Ana Paula")</f>
        <v>Enfermeira Ana Paula</v>
      </c>
      <c r="C208" s="10" t="str">
        <f ca="1">IFERROR(__xludf.DUMMYFUNCTION("""COMPUTED_VALUE"""),"CE")</f>
        <v>CE</v>
      </c>
      <c r="D208" s="6" t="str">
        <f t="shared" ca="1" si="0"/>
        <v>Feminino</v>
      </c>
      <c r="E208" s="10" t="str">
        <f ca="1">IFERROR(__xludf.DUMMYFUNCTION("""COMPUTED_VALUE"""),"F")</f>
        <v>F</v>
      </c>
      <c r="F208" s="11">
        <f ca="1">IFERROR(__xludf.DUMMYFUNCTION("""COMPUTED_VALUE"""),30637)</f>
        <v>30637</v>
      </c>
      <c r="G208" s="6">
        <f t="shared" ca="1" si="1"/>
        <v>41</v>
      </c>
      <c r="H208" s="6" t="b">
        <f ca="1">(COUNTIFS(Deputados!A208:A1000, A208, Deputados!D208:D1000, "&lt;&gt;57")) = 0</f>
        <v>1</v>
      </c>
    </row>
    <row r="209" spans="1:8" ht="17.399999999999999">
      <c r="A209" s="10">
        <f ca="1">IFERROR(__xludf.DUMMYFUNCTION("""COMPUTED_VALUE"""),208)</f>
        <v>208</v>
      </c>
      <c r="B209" s="10" t="str">
        <f ca="1">IFERROR(__xludf.DUMMYFUNCTION("""COMPUTED_VALUE"""),"Enfermeira Rejane")</f>
        <v>Enfermeira Rejane</v>
      </c>
      <c r="C209" s="10" t="str">
        <f ca="1">IFERROR(__xludf.DUMMYFUNCTION("""COMPUTED_VALUE"""),"RJ")</f>
        <v>RJ</v>
      </c>
      <c r="D209" s="6" t="str">
        <f t="shared" ca="1" si="0"/>
        <v>Feminino</v>
      </c>
      <c r="E209" s="10" t="str">
        <f ca="1">IFERROR(__xludf.DUMMYFUNCTION("""COMPUTED_VALUE"""),"F")</f>
        <v>F</v>
      </c>
      <c r="F209" s="11">
        <f ca="1">IFERROR(__xludf.DUMMYFUNCTION("""COMPUTED_VALUE"""),23247)</f>
        <v>23247</v>
      </c>
      <c r="G209" s="6">
        <f t="shared" ca="1" si="1"/>
        <v>62</v>
      </c>
      <c r="H209" s="6" t="b">
        <f ca="1">(COUNTIFS(Deputados!A209:A1000, A209, Deputados!D209:D1000, "&lt;&gt;57")) = 0</f>
        <v>1</v>
      </c>
    </row>
    <row r="210" spans="1:8" ht="17.399999999999999">
      <c r="A210" s="10">
        <f ca="1">IFERROR(__xludf.DUMMYFUNCTION("""COMPUTED_VALUE"""),209)</f>
        <v>209</v>
      </c>
      <c r="B210" s="10" t="str">
        <f ca="1">IFERROR(__xludf.DUMMYFUNCTION("""COMPUTED_VALUE"""),"Enio Verri")</f>
        <v>Enio Verri</v>
      </c>
      <c r="C210" s="10" t="str">
        <f ca="1">IFERROR(__xludf.DUMMYFUNCTION("""COMPUTED_VALUE"""),"PR")</f>
        <v>PR</v>
      </c>
      <c r="D210" s="6" t="str">
        <f t="shared" ca="1" si="0"/>
        <v>Masculino</v>
      </c>
      <c r="E210" s="10" t="str">
        <f ca="1">IFERROR(__xludf.DUMMYFUNCTION("""COMPUTED_VALUE"""),"M")</f>
        <v>M</v>
      </c>
      <c r="F210" s="11">
        <f ca="1">IFERROR(__xludf.DUMMYFUNCTION("""COMPUTED_VALUE"""),22367)</f>
        <v>22367</v>
      </c>
      <c r="G210" s="6">
        <f t="shared" ca="1" si="1"/>
        <v>64</v>
      </c>
      <c r="H210" s="6" t="b">
        <f ca="1">(COUNTIFS(Deputados!A210:A1000, A210, Deputados!D210:D1000, "&lt;&gt;57")) = 0</f>
        <v>0</v>
      </c>
    </row>
    <row r="211" spans="1:8" ht="17.399999999999999">
      <c r="A211" s="10">
        <f ca="1">IFERROR(__xludf.DUMMYFUNCTION("""COMPUTED_VALUE"""),210)</f>
        <v>210</v>
      </c>
      <c r="B211" s="10" t="str">
        <f ca="1">IFERROR(__xludf.DUMMYFUNCTION("""COMPUTED_VALUE"""),"Eriberto Medeiros")</f>
        <v>Eriberto Medeiros</v>
      </c>
      <c r="C211" s="10" t="str">
        <f ca="1">IFERROR(__xludf.DUMMYFUNCTION("""COMPUTED_VALUE"""),"PE")</f>
        <v>PE</v>
      </c>
      <c r="D211" s="6" t="str">
        <f t="shared" ca="1" si="0"/>
        <v>Masculino</v>
      </c>
      <c r="E211" s="10" t="str">
        <f ca="1">IFERROR(__xludf.DUMMYFUNCTION("""COMPUTED_VALUE"""),"M")</f>
        <v>M</v>
      </c>
      <c r="F211" s="11">
        <f ca="1">IFERROR(__xludf.DUMMYFUNCTION("""COMPUTED_VALUE"""),24011)</f>
        <v>24011</v>
      </c>
      <c r="G211" s="6">
        <f t="shared" ca="1" si="1"/>
        <v>59</v>
      </c>
      <c r="H211" s="6" t="b">
        <f ca="1">(COUNTIFS(Deputados!A211:A1000, A211, Deputados!D211:D1000, "&lt;&gt;57")) = 0</f>
        <v>1</v>
      </c>
    </row>
    <row r="212" spans="1:8" ht="17.399999999999999">
      <c r="A212" s="10">
        <f ca="1">IFERROR(__xludf.DUMMYFUNCTION("""COMPUTED_VALUE"""),211)</f>
        <v>211</v>
      </c>
      <c r="B212" s="10" t="str">
        <f ca="1">IFERROR(__xludf.DUMMYFUNCTION("""COMPUTED_VALUE"""),"Erika Hilton")</f>
        <v>Erika Hilton</v>
      </c>
      <c r="C212" s="10" t="str">
        <f ca="1">IFERROR(__xludf.DUMMYFUNCTION("""COMPUTED_VALUE"""),"SP")</f>
        <v>SP</v>
      </c>
      <c r="D212" s="6" t="str">
        <f t="shared" ca="1" si="0"/>
        <v>Feminino</v>
      </c>
      <c r="E212" s="10" t="str">
        <f ca="1">IFERROR(__xludf.DUMMYFUNCTION("""COMPUTED_VALUE"""),"F")</f>
        <v>F</v>
      </c>
      <c r="F212" s="11">
        <f ca="1">IFERROR(__xludf.DUMMYFUNCTION("""COMPUTED_VALUE"""),33947)</f>
        <v>33947</v>
      </c>
      <c r="G212" s="6">
        <f t="shared" ca="1" si="1"/>
        <v>32</v>
      </c>
      <c r="H212" s="6" t="b">
        <f ca="1">(COUNTIFS(Deputados!A212:A1000, A212, Deputados!D212:D1000, "&lt;&gt;57")) = 0</f>
        <v>1</v>
      </c>
    </row>
    <row r="213" spans="1:8" ht="17.399999999999999">
      <c r="A213" s="10">
        <f ca="1">IFERROR(__xludf.DUMMYFUNCTION("""COMPUTED_VALUE"""),212)</f>
        <v>212</v>
      </c>
      <c r="B213" s="10" t="str">
        <f ca="1">IFERROR(__xludf.DUMMYFUNCTION("""COMPUTED_VALUE"""),"Erika Kokay")</f>
        <v>Erika Kokay</v>
      </c>
      <c r="C213" s="10" t="str">
        <f ca="1">IFERROR(__xludf.DUMMYFUNCTION("""COMPUTED_VALUE"""),"CE")</f>
        <v>CE</v>
      </c>
      <c r="D213" s="6" t="str">
        <f t="shared" ca="1" si="0"/>
        <v>Feminino</v>
      </c>
      <c r="E213" s="10" t="str">
        <f ca="1">IFERROR(__xludf.DUMMYFUNCTION("""COMPUTED_VALUE"""),"F")</f>
        <v>F</v>
      </c>
      <c r="F213" s="11">
        <f ca="1">IFERROR(__xludf.DUMMYFUNCTION("""COMPUTED_VALUE"""),21047)</f>
        <v>21047</v>
      </c>
      <c r="G213" s="6">
        <f t="shared" ca="1" si="1"/>
        <v>68</v>
      </c>
      <c r="H213" s="6" t="b">
        <f ca="1">(COUNTIFS(Deputados!A213:A1000, A213, Deputados!D213:D1000, "&lt;&gt;57")) = 0</f>
        <v>0</v>
      </c>
    </row>
    <row r="214" spans="1:8" ht="17.399999999999999">
      <c r="A214" s="10">
        <f ca="1">IFERROR(__xludf.DUMMYFUNCTION("""COMPUTED_VALUE"""),213)</f>
        <v>213</v>
      </c>
      <c r="B214" s="10" t="str">
        <f ca="1">IFERROR(__xludf.DUMMYFUNCTION("""COMPUTED_VALUE"""),"Eros Biondini")</f>
        <v>Eros Biondini</v>
      </c>
      <c r="C214" s="10" t="str">
        <f ca="1">IFERROR(__xludf.DUMMYFUNCTION("""COMPUTED_VALUE"""),"MG")</f>
        <v>MG</v>
      </c>
      <c r="D214" s="6" t="str">
        <f t="shared" ca="1" si="0"/>
        <v>Masculino</v>
      </c>
      <c r="E214" s="10" t="str">
        <f ca="1">IFERROR(__xludf.DUMMYFUNCTION("""COMPUTED_VALUE"""),"M")</f>
        <v>M</v>
      </c>
      <c r="F214" s="11">
        <f ca="1">IFERROR(__xludf.DUMMYFUNCTION("""COMPUTED_VALUE"""),26073)</f>
        <v>26073</v>
      </c>
      <c r="G214" s="6">
        <f t="shared" ca="1" si="1"/>
        <v>54</v>
      </c>
      <c r="H214" s="6" t="b">
        <f ca="1">(COUNTIFS(Deputados!A214:A1000, A214, Deputados!D214:D1000, "&lt;&gt;57")) = 0</f>
        <v>0</v>
      </c>
    </row>
    <row r="215" spans="1:8" ht="17.399999999999999">
      <c r="A215" s="10">
        <f ca="1">IFERROR(__xludf.DUMMYFUNCTION("""COMPUTED_VALUE"""),214)</f>
        <v>214</v>
      </c>
      <c r="B215" s="10" t="str">
        <f ca="1">IFERROR(__xludf.DUMMYFUNCTION("""COMPUTED_VALUE"""),"Euclydes Pettersen")</f>
        <v>Euclydes Pettersen</v>
      </c>
      <c r="C215" s="10" t="str">
        <f ca="1">IFERROR(__xludf.DUMMYFUNCTION("""COMPUTED_VALUE"""),"MG")</f>
        <v>MG</v>
      </c>
      <c r="D215" s="6" t="str">
        <f t="shared" ca="1" si="0"/>
        <v>Masculino</v>
      </c>
      <c r="E215" s="10" t="str">
        <f ca="1">IFERROR(__xludf.DUMMYFUNCTION("""COMPUTED_VALUE"""),"M")</f>
        <v>M</v>
      </c>
      <c r="F215" s="11">
        <f ca="1">IFERROR(__xludf.DUMMYFUNCTION("""COMPUTED_VALUE"""),30909)</f>
        <v>30909</v>
      </c>
      <c r="G215" s="6">
        <f t="shared" ca="1" si="1"/>
        <v>41</v>
      </c>
      <c r="H215" s="6" t="b">
        <f ca="1">(COUNTIFS(Deputados!A215:A1000, A215, Deputados!D215:D1000, "&lt;&gt;57")) = 0</f>
        <v>0</v>
      </c>
    </row>
    <row r="216" spans="1:8" ht="17.399999999999999">
      <c r="A216" s="10">
        <f ca="1">IFERROR(__xludf.DUMMYFUNCTION("""COMPUTED_VALUE"""),215)</f>
        <v>215</v>
      </c>
      <c r="B216" s="10" t="str">
        <f ca="1">IFERROR(__xludf.DUMMYFUNCTION("""COMPUTED_VALUE"""),"Eunício Oliveira")</f>
        <v>Eunício Oliveira</v>
      </c>
      <c r="C216" s="10" t="str">
        <f ca="1">IFERROR(__xludf.DUMMYFUNCTION("""COMPUTED_VALUE"""),"CE")</f>
        <v>CE</v>
      </c>
      <c r="D216" s="6" t="str">
        <f t="shared" ca="1" si="0"/>
        <v>Masculino</v>
      </c>
      <c r="E216" s="10" t="str">
        <f ca="1">IFERROR(__xludf.DUMMYFUNCTION("""COMPUTED_VALUE"""),"M")</f>
        <v>M</v>
      </c>
      <c r="F216" s="11">
        <f ca="1">IFERROR(__xludf.DUMMYFUNCTION("""COMPUTED_VALUE"""),19267)</f>
        <v>19267</v>
      </c>
      <c r="G216" s="6">
        <f t="shared" ca="1" si="1"/>
        <v>72</v>
      </c>
      <c r="H216" s="6" t="b">
        <f ca="1">(COUNTIFS(Deputados!A216:A1000, A216, Deputados!D216:D1000, "&lt;&gt;57")) = 0</f>
        <v>0</v>
      </c>
    </row>
    <row r="217" spans="1:8" ht="17.399999999999999">
      <c r="A217" s="10">
        <f ca="1">IFERROR(__xludf.DUMMYFUNCTION("""COMPUTED_VALUE"""),216)</f>
        <v>216</v>
      </c>
      <c r="B217" s="10" t="str">
        <f ca="1">IFERROR(__xludf.DUMMYFUNCTION("""COMPUTED_VALUE"""),"Evair Vieira de Melo")</f>
        <v>Evair Vieira de Melo</v>
      </c>
      <c r="C217" s="10" t="str">
        <f ca="1">IFERROR(__xludf.DUMMYFUNCTION("""COMPUTED_VALUE"""),"ES")</f>
        <v>ES</v>
      </c>
      <c r="D217" s="6" t="str">
        <f t="shared" ca="1" si="0"/>
        <v>Masculino</v>
      </c>
      <c r="E217" s="10" t="str">
        <f ca="1">IFERROR(__xludf.DUMMYFUNCTION("""COMPUTED_VALUE"""),"M")</f>
        <v>M</v>
      </c>
      <c r="F217" s="11">
        <f ca="1">IFERROR(__xludf.DUMMYFUNCTION("""COMPUTED_VALUE"""),26391)</f>
        <v>26391</v>
      </c>
      <c r="G217" s="6">
        <f t="shared" ca="1" si="1"/>
        <v>53</v>
      </c>
      <c r="H217" s="6" t="b">
        <f ca="1">(COUNTIFS(Deputados!A217:A1000, A217, Deputados!D217:D1000, "&lt;&gt;57")) = 0</f>
        <v>0</v>
      </c>
    </row>
    <row r="218" spans="1:8" ht="17.399999999999999">
      <c r="A218" s="10">
        <f ca="1">IFERROR(__xludf.DUMMYFUNCTION("""COMPUTED_VALUE"""),217)</f>
        <v>217</v>
      </c>
      <c r="B218" s="10" t="str">
        <f ca="1">IFERROR(__xludf.DUMMYFUNCTION("""COMPUTED_VALUE"""),"Fabio Garcia")</f>
        <v>Fabio Garcia</v>
      </c>
      <c r="C218" s="10" t="str">
        <f ca="1">IFERROR(__xludf.DUMMYFUNCTION("""COMPUTED_VALUE"""),"DF")</f>
        <v>DF</v>
      </c>
      <c r="D218" s="6" t="str">
        <f t="shared" ca="1" si="0"/>
        <v>Masculino</v>
      </c>
      <c r="E218" s="10" t="str">
        <f ca="1">IFERROR(__xludf.DUMMYFUNCTION("""COMPUTED_VALUE"""),"M")</f>
        <v>M</v>
      </c>
      <c r="F218" s="11">
        <f ca="1">IFERROR(__xludf.DUMMYFUNCTION("""COMPUTED_VALUE"""),28305)</f>
        <v>28305</v>
      </c>
      <c r="G218" s="6">
        <f t="shared" ca="1" si="1"/>
        <v>48</v>
      </c>
      <c r="H218" s="6" t="b">
        <f ca="1">(COUNTIFS(Deputados!A218:A1000, A218, Deputados!D218:D1000, "&lt;&gt;57")) = 0</f>
        <v>0</v>
      </c>
    </row>
    <row r="219" spans="1:8" ht="17.399999999999999">
      <c r="A219" s="10">
        <f ca="1">IFERROR(__xludf.DUMMYFUNCTION("""COMPUTED_VALUE"""),218)</f>
        <v>218</v>
      </c>
      <c r="B219" s="10" t="str">
        <f ca="1">IFERROR(__xludf.DUMMYFUNCTION("""COMPUTED_VALUE"""),"Fábio Henrique")</f>
        <v>Fábio Henrique</v>
      </c>
      <c r="C219" s="10" t="str">
        <f ca="1">IFERROR(__xludf.DUMMYFUNCTION("""COMPUTED_VALUE"""),"SE")</f>
        <v>SE</v>
      </c>
      <c r="D219" s="6" t="str">
        <f t="shared" ca="1" si="0"/>
        <v>Masculino</v>
      </c>
      <c r="E219" s="10" t="str">
        <f ca="1">IFERROR(__xludf.DUMMYFUNCTION("""COMPUTED_VALUE"""),"M")</f>
        <v>M</v>
      </c>
      <c r="F219" s="11">
        <f ca="1">IFERROR(__xludf.DUMMYFUNCTION("""COMPUTED_VALUE"""),26469)</f>
        <v>26469</v>
      </c>
      <c r="G219" s="6">
        <f t="shared" ca="1" si="1"/>
        <v>53</v>
      </c>
      <c r="H219" s="6" t="b">
        <f ca="1">(COUNTIFS(Deputados!A219:A1000, A219, Deputados!D219:D1000, "&lt;&gt;57")) = 0</f>
        <v>0</v>
      </c>
    </row>
    <row r="220" spans="1:8" ht="17.399999999999999">
      <c r="A220" s="10">
        <f ca="1">IFERROR(__xludf.DUMMYFUNCTION("""COMPUTED_VALUE"""),219)</f>
        <v>219</v>
      </c>
      <c r="B220" s="10" t="str">
        <f ca="1">IFERROR(__xludf.DUMMYFUNCTION("""COMPUTED_VALUE"""),"Fábio Macedo")</f>
        <v>Fábio Macedo</v>
      </c>
      <c r="C220" s="10" t="str">
        <f ca="1">IFERROR(__xludf.DUMMYFUNCTION("""COMPUTED_VALUE"""),"MA")</f>
        <v>MA</v>
      </c>
      <c r="D220" s="6" t="str">
        <f t="shared" ca="1" si="0"/>
        <v>Masculino</v>
      </c>
      <c r="E220" s="10" t="str">
        <f ca="1">IFERROR(__xludf.DUMMYFUNCTION("""COMPUTED_VALUE"""),"M")</f>
        <v>M</v>
      </c>
      <c r="F220" s="11">
        <f ca="1">IFERROR(__xludf.DUMMYFUNCTION("""COMPUTED_VALUE"""),29847)</f>
        <v>29847</v>
      </c>
      <c r="G220" s="6">
        <f t="shared" ca="1" si="1"/>
        <v>43</v>
      </c>
      <c r="H220" s="6" t="b">
        <f ca="1">(COUNTIFS(Deputados!A220:A1000, A220, Deputados!D220:D1000, "&lt;&gt;57")) = 0</f>
        <v>1</v>
      </c>
    </row>
    <row r="221" spans="1:8" ht="17.399999999999999">
      <c r="A221" s="10">
        <f ca="1">IFERROR(__xludf.DUMMYFUNCTION("""COMPUTED_VALUE"""),220)</f>
        <v>220</v>
      </c>
      <c r="B221" s="10" t="str">
        <f ca="1">IFERROR(__xludf.DUMMYFUNCTION("""COMPUTED_VALUE"""),"Fabio Reis")</f>
        <v>Fabio Reis</v>
      </c>
      <c r="C221" s="10" t="str">
        <f ca="1">IFERROR(__xludf.DUMMYFUNCTION("""COMPUTED_VALUE"""),"SE")</f>
        <v>SE</v>
      </c>
      <c r="D221" s="6" t="str">
        <f t="shared" ca="1" si="0"/>
        <v>Masculino</v>
      </c>
      <c r="E221" s="10" t="str">
        <f ca="1">IFERROR(__xludf.DUMMYFUNCTION("""COMPUTED_VALUE"""),"M")</f>
        <v>M</v>
      </c>
      <c r="F221" s="11">
        <f ca="1">IFERROR(__xludf.DUMMYFUNCTION("""COMPUTED_VALUE"""),28230)</f>
        <v>28230</v>
      </c>
      <c r="G221" s="6">
        <f t="shared" ca="1" si="1"/>
        <v>48</v>
      </c>
      <c r="H221" s="6" t="b">
        <f ca="1">(COUNTIFS(Deputados!A221:A1000, A221, Deputados!D221:D1000, "&lt;&gt;57")) = 0</f>
        <v>0</v>
      </c>
    </row>
    <row r="222" spans="1:8" ht="17.399999999999999">
      <c r="A222" s="10">
        <f ca="1">IFERROR(__xludf.DUMMYFUNCTION("""COMPUTED_VALUE"""),221)</f>
        <v>221</v>
      </c>
      <c r="B222" s="10" t="str">
        <f ca="1">IFERROR(__xludf.DUMMYFUNCTION("""COMPUTED_VALUE"""),"Fabio Schiochet")</f>
        <v>Fabio Schiochet</v>
      </c>
      <c r="C222" s="10" t="str">
        <f ca="1">IFERROR(__xludf.DUMMYFUNCTION("""COMPUTED_VALUE"""),"SC")</f>
        <v>SC</v>
      </c>
      <c r="D222" s="6" t="str">
        <f t="shared" ca="1" si="0"/>
        <v>Masculino</v>
      </c>
      <c r="E222" s="10" t="str">
        <f ca="1">IFERROR(__xludf.DUMMYFUNCTION("""COMPUTED_VALUE"""),"M")</f>
        <v>M</v>
      </c>
      <c r="F222" s="11">
        <f ca="1">IFERROR(__xludf.DUMMYFUNCTION("""COMPUTED_VALUE"""),32294)</f>
        <v>32294</v>
      </c>
      <c r="G222" s="6">
        <f t="shared" ca="1" si="1"/>
        <v>37</v>
      </c>
      <c r="H222" s="6" t="b">
        <f ca="1">(COUNTIFS(Deputados!A222:A1000, A222, Deputados!D222:D1000, "&lt;&gt;57")) = 0</f>
        <v>0</v>
      </c>
    </row>
    <row r="223" spans="1:8" ht="17.399999999999999">
      <c r="A223" s="10">
        <f ca="1">IFERROR(__xludf.DUMMYFUNCTION("""COMPUTED_VALUE"""),222)</f>
        <v>222</v>
      </c>
      <c r="B223" s="10" t="str">
        <f ca="1">IFERROR(__xludf.DUMMYFUNCTION("""COMPUTED_VALUE"""),"Fábio Teruel")</f>
        <v>Fábio Teruel</v>
      </c>
      <c r="C223" s="10" t="str">
        <f ca="1">IFERROR(__xludf.DUMMYFUNCTION("""COMPUTED_VALUE"""),"SP")</f>
        <v>SP</v>
      </c>
      <c r="D223" s="6" t="str">
        <f t="shared" ca="1" si="0"/>
        <v>Masculino</v>
      </c>
      <c r="E223" s="10" t="str">
        <f ca="1">IFERROR(__xludf.DUMMYFUNCTION("""COMPUTED_VALUE"""),"M")</f>
        <v>M</v>
      </c>
      <c r="F223" s="11">
        <f ca="1">IFERROR(__xludf.DUMMYFUNCTION("""COMPUTED_VALUE"""),26228)</f>
        <v>26228</v>
      </c>
      <c r="G223" s="6">
        <f t="shared" ca="1" si="1"/>
        <v>53</v>
      </c>
      <c r="H223" s="6" t="b">
        <f ca="1">(COUNTIFS(Deputados!A223:A1000, A223, Deputados!D223:D1000, "&lt;&gt;57")) = 0</f>
        <v>1</v>
      </c>
    </row>
    <row r="224" spans="1:8" ht="17.399999999999999">
      <c r="A224" s="10">
        <f ca="1">IFERROR(__xludf.DUMMYFUNCTION("""COMPUTED_VALUE"""),223)</f>
        <v>223</v>
      </c>
      <c r="B224" s="10" t="str">
        <f ca="1">IFERROR(__xludf.DUMMYFUNCTION("""COMPUTED_VALUE"""),"Fausto Pinato")</f>
        <v>Fausto Pinato</v>
      </c>
      <c r="C224" s="10" t="str">
        <f ca="1">IFERROR(__xludf.DUMMYFUNCTION("""COMPUTED_VALUE"""),"SP")</f>
        <v>SP</v>
      </c>
      <c r="D224" s="6" t="str">
        <f t="shared" ca="1" si="0"/>
        <v>Masculino</v>
      </c>
      <c r="E224" s="10" t="str">
        <f ca="1">IFERROR(__xludf.DUMMYFUNCTION("""COMPUTED_VALUE"""),"M")</f>
        <v>M</v>
      </c>
      <c r="F224" s="11">
        <f ca="1">IFERROR(__xludf.DUMMYFUNCTION("""COMPUTED_VALUE"""),28277)</f>
        <v>28277</v>
      </c>
      <c r="G224" s="6">
        <f t="shared" ca="1" si="1"/>
        <v>48</v>
      </c>
      <c r="H224" s="6" t="b">
        <f ca="1">(COUNTIFS(Deputados!A224:A1000, A224, Deputados!D224:D1000, "&lt;&gt;57")) = 0</f>
        <v>0</v>
      </c>
    </row>
    <row r="225" spans="1:8" ht="17.399999999999999">
      <c r="A225" s="10">
        <f ca="1">IFERROR(__xludf.DUMMYFUNCTION("""COMPUTED_VALUE"""),224)</f>
        <v>224</v>
      </c>
      <c r="B225" s="10" t="str">
        <f ca="1">IFERROR(__xludf.DUMMYFUNCTION("""COMPUTED_VALUE"""),"Fausto Santos Jr.")</f>
        <v>Fausto Santos Jr.</v>
      </c>
      <c r="C225" s="10" t="str">
        <f ca="1">IFERROR(__xludf.DUMMYFUNCTION("""COMPUTED_VALUE"""),"AM")</f>
        <v>AM</v>
      </c>
      <c r="D225" s="6" t="str">
        <f t="shared" ca="1" si="0"/>
        <v>Masculino</v>
      </c>
      <c r="E225" s="10" t="str">
        <f ca="1">IFERROR(__xludf.DUMMYFUNCTION("""COMPUTED_VALUE"""),"M")</f>
        <v>M</v>
      </c>
      <c r="F225" s="11">
        <f ca="1">IFERROR(__xludf.DUMMYFUNCTION("""COMPUTED_VALUE"""),33958)</f>
        <v>33958</v>
      </c>
      <c r="G225" s="6">
        <f t="shared" ca="1" si="1"/>
        <v>32</v>
      </c>
      <c r="H225" s="6" t="b">
        <f ca="1">(COUNTIFS(Deputados!A225:A1000, A225, Deputados!D225:D1000, "&lt;&gt;57")) = 0</f>
        <v>1</v>
      </c>
    </row>
    <row r="226" spans="1:8" ht="17.399999999999999">
      <c r="A226" s="10">
        <f ca="1">IFERROR(__xludf.DUMMYFUNCTION("""COMPUTED_VALUE"""),225)</f>
        <v>225</v>
      </c>
      <c r="B226" s="10" t="str">
        <f ca="1">IFERROR(__xludf.DUMMYFUNCTION("""COMPUTED_VALUE"""),"Felipe Becari")</f>
        <v>Felipe Becari</v>
      </c>
      <c r="C226" s="10" t="str">
        <f ca="1">IFERROR(__xludf.DUMMYFUNCTION("""COMPUTED_VALUE"""),"SP")</f>
        <v>SP</v>
      </c>
      <c r="D226" s="6" t="str">
        <f t="shared" ca="1" si="0"/>
        <v>Masculino</v>
      </c>
      <c r="E226" s="10" t="str">
        <f ca="1">IFERROR(__xludf.DUMMYFUNCTION("""COMPUTED_VALUE"""),"M")</f>
        <v>M</v>
      </c>
      <c r="F226" s="11">
        <f ca="1">IFERROR(__xludf.DUMMYFUNCTION("""COMPUTED_VALUE"""),31842)</f>
        <v>31842</v>
      </c>
      <c r="G226" s="6">
        <f t="shared" ca="1" si="1"/>
        <v>38</v>
      </c>
      <c r="H226" s="6" t="b">
        <f ca="1">(COUNTIFS(Deputados!A226:A1000, A226, Deputados!D226:D1000, "&lt;&gt;57")) = 0</f>
        <v>1</v>
      </c>
    </row>
    <row r="227" spans="1:8" ht="17.399999999999999">
      <c r="A227" s="10">
        <f ca="1">IFERROR(__xludf.DUMMYFUNCTION("""COMPUTED_VALUE"""),226)</f>
        <v>226</v>
      </c>
      <c r="B227" s="10" t="str">
        <f ca="1">IFERROR(__xludf.DUMMYFUNCTION("""COMPUTED_VALUE"""),"Felipe Carreras")</f>
        <v>Felipe Carreras</v>
      </c>
      <c r="C227" s="10" t="str">
        <f ca="1">IFERROR(__xludf.DUMMYFUNCTION("""COMPUTED_VALUE"""),"PE")</f>
        <v>PE</v>
      </c>
      <c r="D227" s="6" t="str">
        <f t="shared" ca="1" si="0"/>
        <v>Masculino</v>
      </c>
      <c r="E227" s="10" t="str">
        <f ca="1">IFERROR(__xludf.DUMMYFUNCTION("""COMPUTED_VALUE"""),"M")</f>
        <v>M</v>
      </c>
      <c r="F227" s="11">
        <f ca="1">IFERROR(__xludf.DUMMYFUNCTION("""COMPUTED_VALUE"""),27500)</f>
        <v>27500</v>
      </c>
      <c r="G227" s="6">
        <f t="shared" ca="1" si="1"/>
        <v>50</v>
      </c>
      <c r="H227" s="6" t="b">
        <f ca="1">(COUNTIFS(Deputados!A227:A1000, A227, Deputados!D227:D1000, "&lt;&gt;57")) = 0</f>
        <v>0</v>
      </c>
    </row>
    <row r="228" spans="1:8" ht="17.399999999999999">
      <c r="A228" s="10">
        <f ca="1">IFERROR(__xludf.DUMMYFUNCTION("""COMPUTED_VALUE"""),227)</f>
        <v>227</v>
      </c>
      <c r="B228" s="10" t="str">
        <f ca="1">IFERROR(__xludf.DUMMYFUNCTION("""COMPUTED_VALUE"""),"Felipe Francischini")</f>
        <v>Felipe Francischini</v>
      </c>
      <c r="C228" s="10" t="str">
        <f ca="1">IFERROR(__xludf.DUMMYFUNCTION("""COMPUTED_VALUE"""),"PR")</f>
        <v>PR</v>
      </c>
      <c r="D228" s="6" t="str">
        <f t="shared" ca="1" si="0"/>
        <v>Masculino</v>
      </c>
      <c r="E228" s="10" t="str">
        <f ca="1">IFERROR(__xludf.DUMMYFUNCTION("""COMPUTED_VALUE"""),"M")</f>
        <v>M</v>
      </c>
      <c r="F228" s="11">
        <f ca="1">IFERROR(__xludf.DUMMYFUNCTION("""COMPUTED_VALUE"""),33513)</f>
        <v>33513</v>
      </c>
      <c r="G228" s="6">
        <f t="shared" ca="1" si="1"/>
        <v>33</v>
      </c>
      <c r="H228" s="6" t="b">
        <f ca="1">(COUNTIFS(Deputados!A228:A1000, A228, Deputados!D228:D1000, "&lt;&gt;57")) = 0</f>
        <v>0</v>
      </c>
    </row>
    <row r="229" spans="1:8" ht="17.399999999999999">
      <c r="A229" s="10">
        <f ca="1">IFERROR(__xludf.DUMMYFUNCTION("""COMPUTED_VALUE"""),228)</f>
        <v>228</v>
      </c>
      <c r="B229" s="10" t="str">
        <f ca="1">IFERROR(__xludf.DUMMYFUNCTION("""COMPUTED_VALUE"""),"Felipe Saliba")</f>
        <v>Felipe Saliba</v>
      </c>
      <c r="C229" s="10" t="str">
        <f ca="1">IFERROR(__xludf.DUMMYFUNCTION("""COMPUTED_VALUE"""),"MG")</f>
        <v>MG</v>
      </c>
      <c r="D229" s="6" t="str">
        <f t="shared" ca="1" si="0"/>
        <v>Masculino</v>
      </c>
      <c r="E229" s="10" t="str">
        <f ca="1">IFERROR(__xludf.DUMMYFUNCTION("""COMPUTED_VALUE"""),"M")</f>
        <v>M</v>
      </c>
      <c r="F229" s="11">
        <f ca="1">IFERROR(__xludf.DUMMYFUNCTION("""COMPUTED_VALUE"""),29384)</f>
        <v>29384</v>
      </c>
      <c r="G229" s="6">
        <f t="shared" ca="1" si="1"/>
        <v>45</v>
      </c>
      <c r="H229" s="6" t="b">
        <f ca="1">(COUNTIFS(Deputados!A229:A1000, A229, Deputados!D229:D1000, "&lt;&gt;57")) = 0</f>
        <v>1</v>
      </c>
    </row>
    <row r="230" spans="1:8" ht="17.399999999999999">
      <c r="A230" s="10">
        <f ca="1">IFERROR(__xludf.DUMMYFUNCTION("""COMPUTED_VALUE"""),229)</f>
        <v>229</v>
      </c>
      <c r="B230" s="10" t="str">
        <f ca="1">IFERROR(__xludf.DUMMYFUNCTION("""COMPUTED_VALUE"""),"Félix Mendonça Júnior")</f>
        <v>Félix Mendonça Júnior</v>
      </c>
      <c r="C230" s="10" t="str">
        <f ca="1">IFERROR(__xludf.DUMMYFUNCTION("""COMPUTED_VALUE"""),"BA")</f>
        <v>BA</v>
      </c>
      <c r="D230" s="6" t="str">
        <f t="shared" ca="1" si="0"/>
        <v>Masculino</v>
      </c>
      <c r="E230" s="10" t="str">
        <f ca="1">IFERROR(__xludf.DUMMYFUNCTION("""COMPUTED_VALUE"""),"M")</f>
        <v>M</v>
      </c>
      <c r="F230" s="11">
        <f ca="1">IFERROR(__xludf.DUMMYFUNCTION("""COMPUTED_VALUE"""),23344)</f>
        <v>23344</v>
      </c>
      <c r="G230" s="6">
        <f t="shared" ca="1" si="1"/>
        <v>61</v>
      </c>
      <c r="H230" s="6" t="b">
        <f ca="1">(COUNTIFS(Deputados!A230:A1000, A230, Deputados!D230:D1000, "&lt;&gt;57")) = 0</f>
        <v>0</v>
      </c>
    </row>
    <row r="231" spans="1:8" ht="17.399999999999999">
      <c r="A231" s="10">
        <f ca="1">IFERROR(__xludf.DUMMYFUNCTION("""COMPUTED_VALUE"""),230)</f>
        <v>230</v>
      </c>
      <c r="B231" s="10" t="str">
        <f ca="1">IFERROR(__xludf.DUMMYFUNCTION("""COMPUTED_VALUE"""),"Fernanda Melchionna")</f>
        <v>Fernanda Melchionna</v>
      </c>
      <c r="C231" s="10" t="str">
        <f ca="1">IFERROR(__xludf.DUMMYFUNCTION("""COMPUTED_VALUE"""),"RS")</f>
        <v>RS</v>
      </c>
      <c r="D231" s="6" t="str">
        <f t="shared" ca="1" si="0"/>
        <v>Feminino</v>
      </c>
      <c r="E231" s="10" t="str">
        <f ca="1">IFERROR(__xludf.DUMMYFUNCTION("""COMPUTED_VALUE"""),"F")</f>
        <v>F</v>
      </c>
      <c r="F231" s="11">
        <f ca="1">IFERROR(__xludf.DUMMYFUNCTION("""COMPUTED_VALUE"""),30714)</f>
        <v>30714</v>
      </c>
      <c r="G231" s="6">
        <f t="shared" ca="1" si="1"/>
        <v>41</v>
      </c>
      <c r="H231" s="6" t="b">
        <f ca="1">(COUNTIFS(Deputados!A231:A1000, A231, Deputados!D231:D1000, "&lt;&gt;57")) = 0</f>
        <v>0</v>
      </c>
    </row>
    <row r="232" spans="1:8" ht="17.399999999999999">
      <c r="A232" s="10">
        <f ca="1">IFERROR(__xludf.DUMMYFUNCTION("""COMPUTED_VALUE"""),231)</f>
        <v>231</v>
      </c>
      <c r="B232" s="10" t="str">
        <f ca="1">IFERROR(__xludf.DUMMYFUNCTION("""COMPUTED_VALUE"""),"Fernanda Pessoa")</f>
        <v>Fernanda Pessoa</v>
      </c>
      <c r="C232" s="10" t="str">
        <f ca="1">IFERROR(__xludf.DUMMYFUNCTION("""COMPUTED_VALUE"""),"CE")</f>
        <v>CE</v>
      </c>
      <c r="D232" s="6" t="str">
        <f t="shared" ca="1" si="0"/>
        <v>Feminino</v>
      </c>
      <c r="E232" s="10" t="str">
        <f ca="1">IFERROR(__xludf.DUMMYFUNCTION("""COMPUTED_VALUE"""),"F")</f>
        <v>F</v>
      </c>
      <c r="F232" s="11">
        <f ca="1">IFERROR(__xludf.DUMMYFUNCTION("""COMPUTED_VALUE"""),24266)</f>
        <v>24266</v>
      </c>
      <c r="G232" s="6">
        <f t="shared" ca="1" si="1"/>
        <v>59</v>
      </c>
      <c r="H232" s="6" t="b">
        <f ca="1">(COUNTIFS(Deputados!A232:A1000, A232, Deputados!D232:D1000, "&lt;&gt;57")) = 0</f>
        <v>1</v>
      </c>
    </row>
    <row r="233" spans="1:8" ht="17.399999999999999">
      <c r="A233" s="10">
        <f ca="1">IFERROR(__xludf.DUMMYFUNCTION("""COMPUTED_VALUE"""),232)</f>
        <v>232</v>
      </c>
      <c r="B233" s="10" t="str">
        <f ca="1">IFERROR(__xludf.DUMMYFUNCTION("""COMPUTED_VALUE"""),"Fernando Coelho Filho")</f>
        <v>Fernando Coelho Filho</v>
      </c>
      <c r="C233" s="10" t="str">
        <f ca="1">IFERROR(__xludf.DUMMYFUNCTION("""COMPUTED_VALUE"""),"PE")</f>
        <v>PE</v>
      </c>
      <c r="D233" s="6" t="str">
        <f t="shared" ca="1" si="0"/>
        <v>Masculino</v>
      </c>
      <c r="E233" s="10" t="str">
        <f ca="1">IFERROR(__xludf.DUMMYFUNCTION("""COMPUTED_VALUE"""),"M")</f>
        <v>M</v>
      </c>
      <c r="F233" s="11">
        <f ca="1">IFERROR(__xludf.DUMMYFUNCTION("""COMPUTED_VALUE"""),30740)</f>
        <v>30740</v>
      </c>
      <c r="G233" s="6">
        <f t="shared" ca="1" si="1"/>
        <v>41</v>
      </c>
      <c r="H233" s="6" t="b">
        <f ca="1">(COUNTIFS(Deputados!A233:A1000, A233, Deputados!D233:D1000, "&lt;&gt;57")) = 0</f>
        <v>0</v>
      </c>
    </row>
    <row r="234" spans="1:8" ht="17.399999999999999">
      <c r="A234" s="10">
        <f ca="1">IFERROR(__xludf.DUMMYFUNCTION("""COMPUTED_VALUE"""),233)</f>
        <v>233</v>
      </c>
      <c r="B234" s="10" t="str">
        <f ca="1">IFERROR(__xludf.DUMMYFUNCTION("""COMPUTED_VALUE"""),"Fernando Mineiro")</f>
        <v>Fernando Mineiro</v>
      </c>
      <c r="C234" s="10" t="str">
        <f ca="1">IFERROR(__xludf.DUMMYFUNCTION("""COMPUTED_VALUE"""),"MG")</f>
        <v>MG</v>
      </c>
      <c r="D234" s="6" t="str">
        <f t="shared" ca="1" si="0"/>
        <v>Masculino</v>
      </c>
      <c r="E234" s="10" t="str">
        <f ca="1">IFERROR(__xludf.DUMMYFUNCTION("""COMPUTED_VALUE"""),"M")</f>
        <v>M</v>
      </c>
      <c r="F234" s="11">
        <f ca="1">IFERROR(__xludf.DUMMYFUNCTION("""COMPUTED_VALUE"""),20795)</f>
        <v>20795</v>
      </c>
      <c r="G234" s="6">
        <f t="shared" ca="1" si="1"/>
        <v>68</v>
      </c>
      <c r="H234" s="6" t="b">
        <f ca="1">(COUNTIFS(Deputados!A234:A1000, A234, Deputados!D234:D1000, "&lt;&gt;57")) = 0</f>
        <v>1</v>
      </c>
    </row>
    <row r="235" spans="1:8" ht="17.399999999999999">
      <c r="A235" s="10">
        <f ca="1">IFERROR(__xludf.DUMMYFUNCTION("""COMPUTED_VALUE"""),234)</f>
        <v>234</v>
      </c>
      <c r="B235" s="10" t="str">
        <f ca="1">IFERROR(__xludf.DUMMYFUNCTION("""COMPUTED_VALUE"""),"Fernando Monteiro")</f>
        <v>Fernando Monteiro</v>
      </c>
      <c r="C235" s="10" t="str">
        <f ca="1">IFERROR(__xludf.DUMMYFUNCTION("""COMPUTED_VALUE"""),"PE")</f>
        <v>PE</v>
      </c>
      <c r="D235" s="6" t="str">
        <f t="shared" ca="1" si="0"/>
        <v>Masculino</v>
      </c>
      <c r="E235" s="10" t="str">
        <f ca="1">IFERROR(__xludf.DUMMYFUNCTION("""COMPUTED_VALUE"""),"M")</f>
        <v>M</v>
      </c>
      <c r="F235" s="11">
        <f ca="1">IFERROR(__xludf.DUMMYFUNCTION("""COMPUTED_VALUE"""),28020)</f>
        <v>28020</v>
      </c>
      <c r="G235" s="6">
        <f t="shared" ca="1" si="1"/>
        <v>48</v>
      </c>
      <c r="H235" s="6" t="b">
        <f ca="1">(COUNTIFS(Deputados!A235:A1000, A235, Deputados!D235:D1000, "&lt;&gt;57")) = 0</f>
        <v>0</v>
      </c>
    </row>
    <row r="236" spans="1:8" ht="17.399999999999999">
      <c r="A236" s="10">
        <f ca="1">IFERROR(__xludf.DUMMYFUNCTION("""COMPUTED_VALUE"""),235)</f>
        <v>235</v>
      </c>
      <c r="B236" s="10" t="str">
        <f ca="1">IFERROR(__xludf.DUMMYFUNCTION("""COMPUTED_VALUE"""),"Fernando Rodolfo")</f>
        <v>Fernando Rodolfo</v>
      </c>
      <c r="C236" s="10" t="str">
        <f ca="1">IFERROR(__xludf.DUMMYFUNCTION("""COMPUTED_VALUE"""),"PE")</f>
        <v>PE</v>
      </c>
      <c r="D236" s="6" t="str">
        <f t="shared" ca="1" si="0"/>
        <v>Masculino</v>
      </c>
      <c r="E236" s="10" t="str">
        <f ca="1">IFERROR(__xludf.DUMMYFUNCTION("""COMPUTED_VALUE"""),"M")</f>
        <v>M</v>
      </c>
      <c r="F236" s="11">
        <f ca="1">IFERROR(__xludf.DUMMYFUNCTION("""COMPUTED_VALUE"""),30637)</f>
        <v>30637</v>
      </c>
      <c r="G236" s="6">
        <f t="shared" ca="1" si="1"/>
        <v>41</v>
      </c>
      <c r="H236" s="6" t="b">
        <f ca="1">(COUNTIFS(Deputados!A236:A1000, A236, Deputados!D236:D1000, "&lt;&gt;57")) = 0</f>
        <v>0</v>
      </c>
    </row>
    <row r="237" spans="1:8" ht="17.399999999999999">
      <c r="A237" s="10">
        <f ca="1">IFERROR(__xludf.DUMMYFUNCTION("""COMPUTED_VALUE"""),236)</f>
        <v>236</v>
      </c>
      <c r="B237" s="10" t="str">
        <f ca="1">IFERROR(__xludf.DUMMYFUNCTION("""COMPUTED_VALUE"""),"Filipe Barros")</f>
        <v>Filipe Barros</v>
      </c>
      <c r="C237" s="10" t="str">
        <f ca="1">IFERROR(__xludf.DUMMYFUNCTION("""COMPUTED_VALUE"""),"PR")</f>
        <v>PR</v>
      </c>
      <c r="D237" s="6" t="str">
        <f t="shared" ca="1" si="0"/>
        <v>Masculino</v>
      </c>
      <c r="E237" s="10" t="str">
        <f ca="1">IFERROR(__xludf.DUMMYFUNCTION("""COMPUTED_VALUE"""),"M")</f>
        <v>M</v>
      </c>
      <c r="F237" s="11">
        <f ca="1">IFERROR(__xludf.DUMMYFUNCTION("""COMPUTED_VALUE"""),33387)</f>
        <v>33387</v>
      </c>
      <c r="G237" s="6">
        <f t="shared" ca="1" si="1"/>
        <v>34</v>
      </c>
      <c r="H237" s="6" t="b">
        <f ca="1">(COUNTIFS(Deputados!A237:A1000, A237, Deputados!D237:D1000, "&lt;&gt;57")) = 0</f>
        <v>0</v>
      </c>
    </row>
    <row r="238" spans="1:8" ht="17.399999999999999">
      <c r="A238" s="10">
        <f ca="1">IFERROR(__xludf.DUMMYFUNCTION("""COMPUTED_VALUE"""),237)</f>
        <v>237</v>
      </c>
      <c r="B238" s="10" t="str">
        <f ca="1">IFERROR(__xludf.DUMMYFUNCTION("""COMPUTED_VALUE"""),"Filipe Martins")</f>
        <v>Filipe Martins</v>
      </c>
      <c r="C238" s="10" t="str">
        <f ca="1">IFERROR(__xludf.DUMMYFUNCTION("""COMPUTED_VALUE"""),"GO")</f>
        <v>GO</v>
      </c>
      <c r="D238" s="6" t="str">
        <f t="shared" ca="1" si="0"/>
        <v>Masculino</v>
      </c>
      <c r="E238" s="10" t="str">
        <f ca="1">IFERROR(__xludf.DUMMYFUNCTION("""COMPUTED_VALUE"""),"M")</f>
        <v>M</v>
      </c>
      <c r="F238" s="11">
        <f ca="1">IFERROR(__xludf.DUMMYFUNCTION("""COMPUTED_VALUE"""),30773)</f>
        <v>30773</v>
      </c>
      <c r="G238" s="6">
        <f t="shared" ca="1" si="1"/>
        <v>41</v>
      </c>
      <c r="H238" s="6" t="b">
        <f ca="1">(COUNTIFS(Deputados!A238:A1000, A238, Deputados!D238:D1000, "&lt;&gt;57")) = 0</f>
        <v>1</v>
      </c>
    </row>
    <row r="239" spans="1:8" ht="17.399999999999999">
      <c r="A239" s="10">
        <f ca="1">IFERROR(__xludf.DUMMYFUNCTION("""COMPUTED_VALUE"""),238)</f>
        <v>238</v>
      </c>
      <c r="B239" s="10" t="str">
        <f ca="1">IFERROR(__xludf.DUMMYFUNCTION("""COMPUTED_VALUE"""),"Flávia Morais")</f>
        <v>Flávia Morais</v>
      </c>
      <c r="C239" s="10" t="str">
        <f ca="1">IFERROR(__xludf.DUMMYFUNCTION("""COMPUTED_VALUE"""),"MG")</f>
        <v>MG</v>
      </c>
      <c r="D239" s="6" t="str">
        <f t="shared" ca="1" si="0"/>
        <v>Feminino</v>
      </c>
      <c r="E239" s="10" t="str">
        <f ca="1">IFERROR(__xludf.DUMMYFUNCTION("""COMPUTED_VALUE"""),"F")</f>
        <v>F</v>
      </c>
      <c r="F239" s="11">
        <f ca="1">IFERROR(__xludf.DUMMYFUNCTION("""COMPUTED_VALUE"""),25319)</f>
        <v>25319</v>
      </c>
      <c r="G239" s="6">
        <f t="shared" ca="1" si="1"/>
        <v>56</v>
      </c>
      <c r="H239" s="6" t="b">
        <f ca="1">(COUNTIFS(Deputados!A239:A1000, A239, Deputados!D239:D1000, "&lt;&gt;57")) = 0</f>
        <v>0</v>
      </c>
    </row>
    <row r="240" spans="1:8" ht="17.399999999999999">
      <c r="A240" s="10">
        <f ca="1">IFERROR(__xludf.DUMMYFUNCTION("""COMPUTED_VALUE"""),239)</f>
        <v>239</v>
      </c>
      <c r="B240" s="10" t="str">
        <f ca="1">IFERROR(__xludf.DUMMYFUNCTION("""COMPUTED_VALUE"""),"Flavinha")</f>
        <v>Flavinha</v>
      </c>
      <c r="C240" s="10" t="str">
        <f ca="1">IFERROR(__xludf.DUMMYFUNCTION("""COMPUTED_VALUE"""),"MT")</f>
        <v>MT</v>
      </c>
      <c r="D240" s="6" t="str">
        <f t="shared" ca="1" si="0"/>
        <v>Feminino</v>
      </c>
      <c r="E240" s="10" t="str">
        <f ca="1">IFERROR(__xludf.DUMMYFUNCTION("""COMPUTED_VALUE"""),"F")</f>
        <v>F</v>
      </c>
      <c r="F240" s="11">
        <f ca="1">IFERROR(__xludf.DUMMYFUNCTION("""COMPUTED_VALUE"""),33185)</f>
        <v>33185</v>
      </c>
      <c r="G240" s="6">
        <f t="shared" ca="1" si="1"/>
        <v>34</v>
      </c>
      <c r="H240" s="6" t="b">
        <f ca="1">(COUNTIFS(Deputados!A240:A1000, A240, Deputados!D240:D1000, "&lt;&gt;57")) = 0</f>
        <v>1</v>
      </c>
    </row>
    <row r="241" spans="1:8" ht="17.399999999999999">
      <c r="A241" s="10">
        <f ca="1">IFERROR(__xludf.DUMMYFUNCTION("""COMPUTED_VALUE"""),240)</f>
        <v>240</v>
      </c>
      <c r="B241" s="10" t="str">
        <f ca="1">IFERROR(__xludf.DUMMYFUNCTION("""COMPUTED_VALUE"""),"Flávio Nogueira")</f>
        <v>Flávio Nogueira</v>
      </c>
      <c r="C241" s="10" t="str">
        <f ca="1">IFERROR(__xludf.DUMMYFUNCTION("""COMPUTED_VALUE"""),"CE")</f>
        <v>CE</v>
      </c>
      <c r="D241" s="6" t="str">
        <f t="shared" ca="1" si="0"/>
        <v>Masculino</v>
      </c>
      <c r="E241" s="10" t="str">
        <f ca="1">IFERROR(__xludf.DUMMYFUNCTION("""COMPUTED_VALUE"""),"M")</f>
        <v>M</v>
      </c>
      <c r="F241" s="11">
        <f ca="1">IFERROR(__xludf.DUMMYFUNCTION("""COMPUTED_VALUE"""),19417)</f>
        <v>19417</v>
      </c>
      <c r="G241" s="6">
        <f t="shared" ca="1" si="1"/>
        <v>72</v>
      </c>
      <c r="H241" s="6" t="b">
        <f ca="1">(COUNTIFS(Deputados!A241:A1000, A241, Deputados!D241:D1000, "&lt;&gt;57")) = 0</f>
        <v>0</v>
      </c>
    </row>
    <row r="242" spans="1:8" ht="17.399999999999999">
      <c r="A242" s="10">
        <f ca="1">IFERROR(__xludf.DUMMYFUNCTION("""COMPUTED_VALUE"""),241)</f>
        <v>241</v>
      </c>
      <c r="B242" s="10" t="str">
        <f ca="1">IFERROR(__xludf.DUMMYFUNCTION("""COMPUTED_VALUE"""),"Florentino Neto")</f>
        <v>Florentino Neto</v>
      </c>
      <c r="C242" s="10" t="str">
        <f ca="1">IFERROR(__xludf.DUMMYFUNCTION("""COMPUTED_VALUE"""),"PI")</f>
        <v>PI</v>
      </c>
      <c r="D242" s="6" t="str">
        <f t="shared" ca="1" si="0"/>
        <v>Masculino</v>
      </c>
      <c r="E242" s="10" t="str">
        <f ca="1">IFERROR(__xludf.DUMMYFUNCTION("""COMPUTED_VALUE"""),"M")</f>
        <v>M</v>
      </c>
      <c r="F242" s="11">
        <f ca="1">IFERROR(__xludf.DUMMYFUNCTION("""COMPUTED_VALUE"""),25481)</f>
        <v>25481</v>
      </c>
      <c r="G242" s="6">
        <f t="shared" ca="1" si="1"/>
        <v>55</v>
      </c>
      <c r="H242" s="6" t="b">
        <f ca="1">(COUNTIFS(Deputados!A242:A1000, A242, Deputados!D242:D1000, "&lt;&gt;57")) = 0</f>
        <v>1</v>
      </c>
    </row>
    <row r="243" spans="1:8" ht="17.399999999999999">
      <c r="A243" s="10">
        <f ca="1">IFERROR(__xludf.DUMMYFUNCTION("""COMPUTED_VALUE"""),242)</f>
        <v>242</v>
      </c>
      <c r="B243" s="10" t="str">
        <f ca="1">IFERROR(__xludf.DUMMYFUNCTION("""COMPUTED_VALUE"""),"Franciane Bayer")</f>
        <v>Franciane Bayer</v>
      </c>
      <c r="C243" s="10" t="str">
        <f ca="1">IFERROR(__xludf.DUMMYFUNCTION("""COMPUTED_VALUE"""),"RS")</f>
        <v>RS</v>
      </c>
      <c r="D243" s="6" t="str">
        <f t="shared" ca="1" si="0"/>
        <v>Feminino</v>
      </c>
      <c r="E243" s="10" t="str">
        <f ca="1">IFERROR(__xludf.DUMMYFUNCTION("""COMPUTED_VALUE"""),"F")</f>
        <v>F</v>
      </c>
      <c r="F243" s="11">
        <f ca="1">IFERROR(__xludf.DUMMYFUNCTION("""COMPUTED_VALUE"""),32059)</f>
        <v>32059</v>
      </c>
      <c r="G243" s="6">
        <f t="shared" ca="1" si="1"/>
        <v>37</v>
      </c>
      <c r="H243" s="6" t="b">
        <f ca="1">(COUNTIFS(Deputados!A243:A1000, A243, Deputados!D243:D1000, "&lt;&gt;57")) = 0</f>
        <v>1</v>
      </c>
    </row>
    <row r="244" spans="1:8" ht="17.399999999999999">
      <c r="A244" s="10">
        <f ca="1">IFERROR(__xludf.DUMMYFUNCTION("""COMPUTED_VALUE"""),243)</f>
        <v>243</v>
      </c>
      <c r="B244" s="10" t="str">
        <f ca="1">IFERROR(__xludf.DUMMYFUNCTION("""COMPUTED_VALUE"""),"Fred Costa")</f>
        <v>Fred Costa</v>
      </c>
      <c r="C244" s="10" t="str">
        <f ca="1">IFERROR(__xludf.DUMMYFUNCTION("""COMPUTED_VALUE"""),"MG")</f>
        <v>MG</v>
      </c>
      <c r="D244" s="6" t="str">
        <f t="shared" ca="1" si="0"/>
        <v>Masculino</v>
      </c>
      <c r="E244" s="10" t="str">
        <f ca="1">IFERROR(__xludf.DUMMYFUNCTION("""COMPUTED_VALUE"""),"M")</f>
        <v>M</v>
      </c>
      <c r="F244" s="11">
        <f ca="1">IFERROR(__xludf.DUMMYFUNCTION("""COMPUTED_VALUE"""),28318)</f>
        <v>28318</v>
      </c>
      <c r="G244" s="6">
        <f t="shared" ca="1" si="1"/>
        <v>48</v>
      </c>
      <c r="H244" s="6" t="b">
        <f ca="1">(COUNTIFS(Deputados!A244:A1000, A244, Deputados!D244:D1000, "&lt;&gt;57")) = 0</f>
        <v>0</v>
      </c>
    </row>
    <row r="245" spans="1:8" ht="17.399999999999999">
      <c r="A245" s="10">
        <f ca="1">IFERROR(__xludf.DUMMYFUNCTION("""COMPUTED_VALUE"""),244)</f>
        <v>244</v>
      </c>
      <c r="B245" s="10" t="str">
        <f ca="1">IFERROR(__xludf.DUMMYFUNCTION("""COMPUTED_VALUE"""),"Fred Linhares")</f>
        <v>Fred Linhares</v>
      </c>
      <c r="C245" s="10" t="str">
        <f ca="1">IFERROR(__xludf.DUMMYFUNCTION("""COMPUTED_VALUE"""),"DF")</f>
        <v>DF</v>
      </c>
      <c r="D245" s="6" t="str">
        <f t="shared" ca="1" si="0"/>
        <v>Masculino</v>
      </c>
      <c r="E245" s="10" t="str">
        <f ca="1">IFERROR(__xludf.DUMMYFUNCTION("""COMPUTED_VALUE"""),"M")</f>
        <v>M</v>
      </c>
      <c r="F245" s="11">
        <f ca="1">IFERROR(__xludf.DUMMYFUNCTION("""COMPUTED_VALUE"""),29246)</f>
        <v>29246</v>
      </c>
      <c r="G245" s="6">
        <f t="shared" ca="1" si="1"/>
        <v>45</v>
      </c>
      <c r="H245" s="6" t="b">
        <f ca="1">(COUNTIFS(Deputados!A245:A1000, A245, Deputados!D245:D1000, "&lt;&gt;57")) = 0</f>
        <v>1</v>
      </c>
    </row>
    <row r="246" spans="1:8" ht="17.399999999999999">
      <c r="A246" s="10">
        <f ca="1">IFERROR(__xludf.DUMMYFUNCTION("""COMPUTED_VALUE"""),245)</f>
        <v>245</v>
      </c>
      <c r="B246" s="10" t="str">
        <f ca="1">IFERROR(__xludf.DUMMYFUNCTION("""COMPUTED_VALUE"""),"Gabriel Mota")</f>
        <v>Gabriel Mota</v>
      </c>
      <c r="C246" s="10" t="str">
        <f ca="1">IFERROR(__xludf.DUMMYFUNCTION("""COMPUTED_VALUE"""),"RR")</f>
        <v>RR</v>
      </c>
      <c r="D246" s="6" t="str">
        <f t="shared" ca="1" si="0"/>
        <v>Masculino</v>
      </c>
      <c r="E246" s="10" t="str">
        <f ca="1">IFERROR(__xludf.DUMMYFUNCTION("""COMPUTED_VALUE"""),"M")</f>
        <v>M</v>
      </c>
      <c r="F246" s="11">
        <f ca="1">IFERROR(__xludf.DUMMYFUNCTION("""COMPUTED_VALUE"""),30309)</f>
        <v>30309</v>
      </c>
      <c r="G246" s="6">
        <f t="shared" ca="1" si="1"/>
        <v>42</v>
      </c>
      <c r="H246" s="6" t="b">
        <f ca="1">(COUNTIFS(Deputados!A246:A1000, A246, Deputados!D246:D1000, "&lt;&gt;57")) = 0</f>
        <v>1</v>
      </c>
    </row>
    <row r="247" spans="1:8" ht="17.399999999999999">
      <c r="A247" s="10">
        <f ca="1">IFERROR(__xludf.DUMMYFUNCTION("""COMPUTED_VALUE"""),246)</f>
        <v>246</v>
      </c>
      <c r="B247" s="10" t="str">
        <f ca="1">IFERROR(__xludf.DUMMYFUNCTION("""COMPUTED_VALUE"""),"Gabriel Nunes")</f>
        <v>Gabriel Nunes</v>
      </c>
      <c r="C247" s="10" t="str">
        <f ca="1">IFERROR(__xludf.DUMMYFUNCTION("""COMPUTED_VALUE"""),"PE")</f>
        <v>PE</v>
      </c>
      <c r="D247" s="6" t="str">
        <f t="shared" ca="1" si="0"/>
        <v>Masculino</v>
      </c>
      <c r="E247" s="10" t="str">
        <f ca="1">IFERROR(__xludf.DUMMYFUNCTION("""COMPUTED_VALUE"""),"M")</f>
        <v>M</v>
      </c>
      <c r="F247" s="11">
        <f ca="1">IFERROR(__xludf.DUMMYFUNCTION("""COMPUTED_VALUE"""),30520)</f>
        <v>30520</v>
      </c>
      <c r="G247" s="6">
        <f t="shared" ca="1" si="1"/>
        <v>42</v>
      </c>
      <c r="H247" s="6" t="b">
        <f ca="1">(COUNTIFS(Deputados!A247:A1000, A247, Deputados!D247:D1000, "&lt;&gt;57")) = 0</f>
        <v>1</v>
      </c>
    </row>
    <row r="248" spans="1:8" ht="17.399999999999999">
      <c r="A248" s="10">
        <f ca="1">IFERROR(__xludf.DUMMYFUNCTION("""COMPUTED_VALUE"""),247)</f>
        <v>247</v>
      </c>
      <c r="B248" s="10" t="str">
        <f ca="1">IFERROR(__xludf.DUMMYFUNCTION("""COMPUTED_VALUE"""),"General Girão")</f>
        <v>General Girão</v>
      </c>
      <c r="C248" s="10" t="str">
        <f ca="1">IFERROR(__xludf.DUMMYFUNCTION("""COMPUTED_VALUE"""),"CE")</f>
        <v>CE</v>
      </c>
      <c r="D248" s="6" t="str">
        <f t="shared" ca="1" si="0"/>
        <v>Masculino</v>
      </c>
      <c r="E248" s="10" t="str">
        <f ca="1">IFERROR(__xludf.DUMMYFUNCTION("""COMPUTED_VALUE"""),"M")</f>
        <v>M</v>
      </c>
      <c r="F248" s="11">
        <f ca="1">IFERROR(__xludf.DUMMYFUNCTION("""COMPUTED_VALUE"""),20217)</f>
        <v>20217</v>
      </c>
      <c r="G248" s="6">
        <f t="shared" ca="1" si="1"/>
        <v>70</v>
      </c>
      <c r="H248" s="6" t="b">
        <f ca="1">(COUNTIFS(Deputados!A248:A1000, A248, Deputados!D248:D1000, "&lt;&gt;57")) = 0</f>
        <v>0</v>
      </c>
    </row>
    <row r="249" spans="1:8" ht="17.399999999999999">
      <c r="A249" s="10">
        <f ca="1">IFERROR(__xludf.DUMMYFUNCTION("""COMPUTED_VALUE"""),248)</f>
        <v>248</v>
      </c>
      <c r="B249" s="10" t="str">
        <f ca="1">IFERROR(__xludf.DUMMYFUNCTION("""COMPUTED_VALUE"""),"General Pazuello")</f>
        <v>General Pazuello</v>
      </c>
      <c r="C249" s="10" t="str">
        <f ca="1">IFERROR(__xludf.DUMMYFUNCTION("""COMPUTED_VALUE"""),"RJ")</f>
        <v>RJ</v>
      </c>
      <c r="D249" s="6" t="str">
        <f t="shared" ca="1" si="0"/>
        <v>Masculino</v>
      </c>
      <c r="E249" s="10" t="str">
        <f ca="1">IFERROR(__xludf.DUMMYFUNCTION("""COMPUTED_VALUE"""),"M")</f>
        <v>M</v>
      </c>
      <c r="F249" s="11">
        <f ca="1">IFERROR(__xludf.DUMMYFUNCTION("""COMPUTED_VALUE"""),23211)</f>
        <v>23211</v>
      </c>
      <c r="G249" s="6">
        <f t="shared" ca="1" si="1"/>
        <v>62</v>
      </c>
      <c r="H249" s="6" t="b">
        <f ca="1">(COUNTIFS(Deputados!A249:A1000, A249, Deputados!D249:D1000, "&lt;&gt;57")) = 0</f>
        <v>1</v>
      </c>
    </row>
    <row r="250" spans="1:8" ht="17.399999999999999">
      <c r="A250" s="10">
        <f ca="1">IFERROR(__xludf.DUMMYFUNCTION("""COMPUTED_VALUE"""),249)</f>
        <v>249</v>
      </c>
      <c r="B250" s="10" t="str">
        <f ca="1">IFERROR(__xludf.DUMMYFUNCTION("""COMPUTED_VALUE"""),"Geovania de Sá")</f>
        <v>Geovania de Sá</v>
      </c>
      <c r="C250" s="10" t="str">
        <f ca="1">IFERROR(__xludf.DUMMYFUNCTION("""COMPUTED_VALUE"""),"SC")</f>
        <v>SC</v>
      </c>
      <c r="D250" s="6" t="str">
        <f t="shared" ca="1" si="0"/>
        <v>Feminino</v>
      </c>
      <c r="E250" s="10" t="str">
        <f ca="1">IFERROR(__xludf.DUMMYFUNCTION("""COMPUTED_VALUE"""),"F")</f>
        <v>F</v>
      </c>
      <c r="F250" s="11">
        <f ca="1">IFERROR(__xludf.DUMMYFUNCTION("""COMPUTED_VALUE"""),26388)</f>
        <v>26388</v>
      </c>
      <c r="G250" s="6">
        <f t="shared" ca="1" si="1"/>
        <v>53</v>
      </c>
      <c r="H250" s="6" t="b">
        <f ca="1">(COUNTIFS(Deputados!A250:A1000, A250, Deputados!D250:D1000, "&lt;&gt;57")) = 0</f>
        <v>0</v>
      </c>
    </row>
    <row r="251" spans="1:8" ht="17.399999999999999">
      <c r="A251" s="10">
        <f ca="1">IFERROR(__xludf.DUMMYFUNCTION("""COMPUTED_VALUE"""),250)</f>
        <v>250</v>
      </c>
      <c r="B251" s="10" t="str">
        <f ca="1">IFERROR(__xludf.DUMMYFUNCTION("""COMPUTED_VALUE"""),"Geraldo Mendes")</f>
        <v>Geraldo Mendes</v>
      </c>
      <c r="C251" s="10" t="str">
        <f ca="1">IFERROR(__xludf.DUMMYFUNCTION("""COMPUTED_VALUE"""),"SC")</f>
        <v>SC</v>
      </c>
      <c r="D251" s="6" t="str">
        <f t="shared" ca="1" si="0"/>
        <v>Masculino</v>
      </c>
      <c r="E251" s="10" t="str">
        <f ca="1">IFERROR(__xludf.DUMMYFUNCTION("""COMPUTED_VALUE"""),"M")</f>
        <v>M</v>
      </c>
      <c r="F251" s="11">
        <f ca="1">IFERROR(__xludf.DUMMYFUNCTION("""COMPUTED_VALUE"""),31386)</f>
        <v>31386</v>
      </c>
      <c r="G251" s="6">
        <f t="shared" ca="1" si="1"/>
        <v>39</v>
      </c>
      <c r="H251" s="6" t="b">
        <f ca="1">(COUNTIFS(Deputados!A251:A1000, A251, Deputados!D251:D1000, "&lt;&gt;57")) = 0</f>
        <v>1</v>
      </c>
    </row>
    <row r="252" spans="1:8" ht="17.399999999999999">
      <c r="A252" s="10">
        <f ca="1">IFERROR(__xludf.DUMMYFUNCTION("""COMPUTED_VALUE"""),251)</f>
        <v>251</v>
      </c>
      <c r="B252" s="10" t="str">
        <f ca="1">IFERROR(__xludf.DUMMYFUNCTION("""COMPUTED_VALUE"""),"Geraldo Resende")</f>
        <v>Geraldo Resende</v>
      </c>
      <c r="C252" s="10" t="str">
        <f ca="1">IFERROR(__xludf.DUMMYFUNCTION("""COMPUTED_VALUE"""),"MG")</f>
        <v>MG</v>
      </c>
      <c r="D252" s="6" t="str">
        <f t="shared" ca="1" si="0"/>
        <v>Masculino</v>
      </c>
      <c r="E252" s="10" t="str">
        <f ca="1">IFERROR(__xludf.DUMMYFUNCTION("""COMPUTED_VALUE"""),"M")</f>
        <v>M</v>
      </c>
      <c r="F252" s="11">
        <f ca="1">IFERROR(__xludf.DUMMYFUNCTION("""COMPUTED_VALUE"""),20199)</f>
        <v>20199</v>
      </c>
      <c r="G252" s="6">
        <f t="shared" ca="1" si="1"/>
        <v>70</v>
      </c>
      <c r="H252" s="6" t="b">
        <f ca="1">(COUNTIFS(Deputados!A252:A1000, A252, Deputados!D252:D1000, "&lt;&gt;57")) = 0</f>
        <v>0</v>
      </c>
    </row>
    <row r="253" spans="1:8" ht="17.399999999999999">
      <c r="A253" s="10">
        <f ca="1">IFERROR(__xludf.DUMMYFUNCTION("""COMPUTED_VALUE"""),252)</f>
        <v>252</v>
      </c>
      <c r="B253" s="10" t="str">
        <f ca="1">IFERROR(__xludf.DUMMYFUNCTION("""COMPUTED_VALUE"""),"Gerlen Diniz")</f>
        <v>Gerlen Diniz</v>
      </c>
      <c r="C253" s="10" t="str">
        <f ca="1">IFERROR(__xludf.DUMMYFUNCTION("""COMPUTED_VALUE"""),"AC")</f>
        <v>AC</v>
      </c>
      <c r="D253" s="6" t="str">
        <f t="shared" ca="1" si="0"/>
        <v>Masculino</v>
      </c>
      <c r="E253" s="10" t="str">
        <f ca="1">IFERROR(__xludf.DUMMYFUNCTION("""COMPUTED_VALUE"""),"M")</f>
        <v>M</v>
      </c>
      <c r="F253" s="11">
        <f ca="1">IFERROR(__xludf.DUMMYFUNCTION("""COMPUTED_VALUE"""),27127)</f>
        <v>27127</v>
      </c>
      <c r="G253" s="6">
        <f t="shared" ca="1" si="1"/>
        <v>51</v>
      </c>
      <c r="H253" s="6" t="b">
        <f ca="1">(COUNTIFS(Deputados!A253:A1000, A253, Deputados!D253:D1000, "&lt;&gt;57")) = 0</f>
        <v>1</v>
      </c>
    </row>
    <row r="254" spans="1:8" ht="17.399999999999999">
      <c r="A254" s="10">
        <f ca="1">IFERROR(__xludf.DUMMYFUNCTION("""COMPUTED_VALUE"""),253)</f>
        <v>253</v>
      </c>
      <c r="B254" s="10" t="str">
        <f ca="1">IFERROR(__xludf.DUMMYFUNCTION("""COMPUTED_VALUE"""),"Gervásio Maia")</f>
        <v>Gervásio Maia</v>
      </c>
      <c r="C254" s="10" t="str">
        <f ca="1">IFERROR(__xludf.DUMMYFUNCTION("""COMPUTED_VALUE"""),"SP")</f>
        <v>SP</v>
      </c>
      <c r="D254" s="6" t="str">
        <f t="shared" ca="1" si="0"/>
        <v>Masculino</v>
      </c>
      <c r="E254" s="10" t="str">
        <f ca="1">IFERROR(__xludf.DUMMYFUNCTION("""COMPUTED_VALUE"""),"M")</f>
        <v>M</v>
      </c>
      <c r="F254" s="11">
        <f ca="1">IFERROR(__xludf.DUMMYFUNCTION("""COMPUTED_VALUE"""),27498)</f>
        <v>27498</v>
      </c>
      <c r="G254" s="6">
        <f t="shared" ca="1" si="1"/>
        <v>50</v>
      </c>
      <c r="H254" s="6" t="b">
        <f ca="1">(COUNTIFS(Deputados!A254:A1000, A254, Deputados!D254:D1000, "&lt;&gt;57")) = 0</f>
        <v>0</v>
      </c>
    </row>
    <row r="255" spans="1:8" ht="17.399999999999999">
      <c r="A255" s="10">
        <f ca="1">IFERROR(__xludf.DUMMYFUNCTION("""COMPUTED_VALUE"""),254)</f>
        <v>254</v>
      </c>
      <c r="B255" s="10" t="str">
        <f ca="1">IFERROR(__xludf.DUMMYFUNCTION("""COMPUTED_VALUE"""),"Giacobo")</f>
        <v>Giacobo</v>
      </c>
      <c r="C255" s="10" t="str">
        <f ca="1">IFERROR(__xludf.DUMMYFUNCTION("""COMPUTED_VALUE"""),"PR")</f>
        <v>PR</v>
      </c>
      <c r="D255" s="6" t="str">
        <f t="shared" ca="1" si="0"/>
        <v>Masculino</v>
      </c>
      <c r="E255" s="10" t="str">
        <f ca="1">IFERROR(__xludf.DUMMYFUNCTION("""COMPUTED_VALUE"""),"M")</f>
        <v>M</v>
      </c>
      <c r="F255" s="11">
        <f ca="1">IFERROR(__xludf.DUMMYFUNCTION("""COMPUTED_VALUE"""),25919)</f>
        <v>25919</v>
      </c>
      <c r="G255" s="6">
        <f t="shared" ca="1" si="1"/>
        <v>54</v>
      </c>
      <c r="H255" s="6" t="b">
        <f ca="1">(COUNTIFS(Deputados!A255:A1000, A255, Deputados!D255:D1000, "&lt;&gt;57")) = 0</f>
        <v>0</v>
      </c>
    </row>
    <row r="256" spans="1:8" ht="17.399999999999999">
      <c r="A256" s="10">
        <f ca="1">IFERROR(__xludf.DUMMYFUNCTION("""COMPUTED_VALUE"""),255)</f>
        <v>255</v>
      </c>
      <c r="B256" s="10" t="str">
        <f ca="1">IFERROR(__xludf.DUMMYFUNCTION("""COMPUTED_VALUE"""),"Gilberto Abramo")</f>
        <v>Gilberto Abramo</v>
      </c>
      <c r="C256" s="10" t="str">
        <f ca="1">IFERROR(__xludf.DUMMYFUNCTION("""COMPUTED_VALUE"""),"SP")</f>
        <v>SP</v>
      </c>
      <c r="D256" s="6" t="str">
        <f t="shared" ca="1" si="0"/>
        <v>Masculino</v>
      </c>
      <c r="E256" s="10" t="str">
        <f ca="1">IFERROR(__xludf.DUMMYFUNCTION("""COMPUTED_VALUE"""),"M")</f>
        <v>M</v>
      </c>
      <c r="F256" s="11">
        <f ca="1">IFERROR(__xludf.DUMMYFUNCTION("""COMPUTED_VALUE"""),24325)</f>
        <v>24325</v>
      </c>
      <c r="G256" s="6">
        <f t="shared" ca="1" si="1"/>
        <v>59</v>
      </c>
      <c r="H256" s="6" t="b">
        <f ca="1">(COUNTIFS(Deputados!A256:A1000, A256, Deputados!D256:D1000, "&lt;&gt;57")) = 0</f>
        <v>0</v>
      </c>
    </row>
    <row r="257" spans="1:8" ht="17.399999999999999">
      <c r="A257" s="10">
        <f ca="1">IFERROR(__xludf.DUMMYFUNCTION("""COMPUTED_VALUE"""),256)</f>
        <v>256</v>
      </c>
      <c r="B257" s="10" t="str">
        <f ca="1">IFERROR(__xludf.DUMMYFUNCTION("""COMPUTED_VALUE"""),"Gilberto Nascimento")</f>
        <v>Gilberto Nascimento</v>
      </c>
      <c r="C257" s="10" t="str">
        <f ca="1">IFERROR(__xludf.DUMMYFUNCTION("""COMPUTED_VALUE"""),"SP")</f>
        <v>SP</v>
      </c>
      <c r="D257" s="6" t="str">
        <f t="shared" ref="D257:D511" ca="1" si="4">IF(E257 = "F", "Feminino", "Masculino")</f>
        <v>Masculino</v>
      </c>
      <c r="E257" s="10" t="str">
        <f ca="1">IFERROR(__xludf.DUMMYFUNCTION("""COMPUTED_VALUE"""),"M")</f>
        <v>M</v>
      </c>
      <c r="F257" s="11">
        <f ca="1">IFERROR(__xludf.DUMMYFUNCTION("""COMPUTED_VALUE"""),20645)</f>
        <v>20645</v>
      </c>
      <c r="G257" s="6">
        <f t="shared" ref="G257:G511" ca="1" si="5">DATEDIF(F257:F1255, TODAY(), "Y")</f>
        <v>69</v>
      </c>
      <c r="H257" s="6" t="b">
        <f ca="1">(COUNTIFS(Deputados!A257:A1000, A257, Deputados!D257:D1000, "&lt;&gt;57")) = 0</f>
        <v>0</v>
      </c>
    </row>
    <row r="258" spans="1:8" ht="17.399999999999999">
      <c r="A258" s="10">
        <f ca="1">IFERROR(__xludf.DUMMYFUNCTION("""COMPUTED_VALUE"""),257)</f>
        <v>257</v>
      </c>
      <c r="B258" s="10" t="str">
        <f ca="1">IFERROR(__xludf.DUMMYFUNCTION("""COMPUTED_VALUE"""),"Gilson Daniel")</f>
        <v>Gilson Daniel</v>
      </c>
      <c r="C258" s="10" t="str">
        <f ca="1">IFERROR(__xludf.DUMMYFUNCTION("""COMPUTED_VALUE"""),"RJ")</f>
        <v>RJ</v>
      </c>
      <c r="D258" s="6" t="str">
        <f t="shared" ca="1" si="4"/>
        <v>Masculino</v>
      </c>
      <c r="E258" s="10" t="str">
        <f ca="1">IFERROR(__xludf.DUMMYFUNCTION("""COMPUTED_VALUE"""),"M")</f>
        <v>M</v>
      </c>
      <c r="F258" s="11">
        <f ca="1">IFERROR(__xludf.DUMMYFUNCTION("""COMPUTED_VALUE"""),28688)</f>
        <v>28688</v>
      </c>
      <c r="G258" s="6">
        <f t="shared" ca="1" si="5"/>
        <v>47</v>
      </c>
      <c r="H258" s="6" t="b">
        <f ca="1">(COUNTIFS(Deputados!A258:A1000, A258, Deputados!D258:D1000, "&lt;&gt;57")) = 0</f>
        <v>1</v>
      </c>
    </row>
    <row r="259" spans="1:8" ht="17.399999999999999">
      <c r="A259" s="10">
        <f ca="1">IFERROR(__xludf.DUMMYFUNCTION("""COMPUTED_VALUE"""),258)</f>
        <v>258</v>
      </c>
      <c r="B259" s="10" t="str">
        <f ca="1">IFERROR(__xludf.DUMMYFUNCTION("""COMPUTED_VALUE"""),"Gilson Marques")</f>
        <v>Gilson Marques</v>
      </c>
      <c r="C259" s="10" t="str">
        <f ca="1">IFERROR(__xludf.DUMMYFUNCTION("""COMPUTED_VALUE"""),"SC")</f>
        <v>SC</v>
      </c>
      <c r="D259" s="6" t="str">
        <f t="shared" ca="1" si="4"/>
        <v>Masculino</v>
      </c>
      <c r="E259" s="10" t="str">
        <f ca="1">IFERROR(__xludf.DUMMYFUNCTION("""COMPUTED_VALUE"""),"M")</f>
        <v>M</v>
      </c>
      <c r="F259" s="11">
        <f ca="1">IFERROR(__xludf.DUMMYFUNCTION("""COMPUTED_VALUE"""),29688)</f>
        <v>29688</v>
      </c>
      <c r="G259" s="6">
        <f t="shared" ca="1" si="5"/>
        <v>44</v>
      </c>
      <c r="H259" s="6" t="b">
        <f ca="1">(COUNTIFS(Deputados!A259:A1000, A259, Deputados!D259:D1000, "&lt;&gt;57")) = 0</f>
        <v>0</v>
      </c>
    </row>
    <row r="260" spans="1:8" ht="17.399999999999999">
      <c r="A260" s="10">
        <f ca="1">IFERROR(__xludf.DUMMYFUNCTION("""COMPUTED_VALUE"""),259)</f>
        <v>259</v>
      </c>
      <c r="B260" s="10" t="str">
        <f ca="1">IFERROR(__xludf.DUMMYFUNCTION("""COMPUTED_VALUE"""),"Gilvan da Federal")</f>
        <v>Gilvan da Federal</v>
      </c>
      <c r="C260" s="10" t="str">
        <f ca="1">IFERROR(__xludf.DUMMYFUNCTION("""COMPUTED_VALUE"""),"MA")</f>
        <v>MA</v>
      </c>
      <c r="D260" s="6" t="str">
        <f t="shared" ca="1" si="4"/>
        <v>Masculino</v>
      </c>
      <c r="E260" s="10" t="str">
        <f ca="1">IFERROR(__xludf.DUMMYFUNCTION("""COMPUTED_VALUE"""),"M")</f>
        <v>M</v>
      </c>
      <c r="F260" s="11">
        <f ca="1">IFERROR(__xludf.DUMMYFUNCTION("""COMPUTED_VALUE"""),28027)</f>
        <v>28027</v>
      </c>
      <c r="G260" s="6">
        <f t="shared" ca="1" si="5"/>
        <v>48</v>
      </c>
      <c r="H260" s="6" t="b">
        <f ca="1">(COUNTIFS(Deputados!A260:A1000, A260, Deputados!D260:D1000, "&lt;&gt;57")) = 0</f>
        <v>1</v>
      </c>
    </row>
    <row r="261" spans="1:8" ht="17.399999999999999">
      <c r="A261" s="10">
        <f ca="1">IFERROR(__xludf.DUMMYFUNCTION("""COMPUTED_VALUE"""),260)</f>
        <v>260</v>
      </c>
      <c r="B261" s="10" t="str">
        <f ca="1">IFERROR(__xludf.DUMMYFUNCTION("""COMPUTED_VALUE"""),"Gilvan Maximo")</f>
        <v>Gilvan Maximo</v>
      </c>
      <c r="C261" s="10" t="str">
        <f ca="1">IFERROR(__xludf.DUMMYFUNCTION("""COMPUTED_VALUE"""),"GO")</f>
        <v>GO</v>
      </c>
      <c r="D261" s="6" t="str">
        <f t="shared" ca="1" si="4"/>
        <v>Masculino</v>
      </c>
      <c r="E261" s="10" t="str">
        <f ca="1">IFERROR(__xludf.DUMMYFUNCTION("""COMPUTED_VALUE"""),"M")</f>
        <v>M</v>
      </c>
      <c r="F261" s="11">
        <f ca="1">IFERROR(__xludf.DUMMYFUNCTION("""COMPUTED_VALUE"""),25333)</f>
        <v>25333</v>
      </c>
      <c r="G261" s="6">
        <f t="shared" ca="1" si="5"/>
        <v>56</v>
      </c>
      <c r="H261" s="6" t="b">
        <f ca="1">(COUNTIFS(Deputados!A261:A1000, A261, Deputados!D261:D1000, "&lt;&gt;57")) = 0</f>
        <v>1</v>
      </c>
    </row>
    <row r="262" spans="1:8" ht="17.399999999999999">
      <c r="A262" s="10">
        <f ca="1">IFERROR(__xludf.DUMMYFUNCTION("""COMPUTED_VALUE"""),261)</f>
        <v>261</v>
      </c>
      <c r="B262" s="10" t="str">
        <f ca="1">IFERROR(__xludf.DUMMYFUNCTION("""COMPUTED_VALUE"""),"Giovani Cherini")</f>
        <v>Giovani Cherini</v>
      </c>
      <c r="C262" s="10" t="str">
        <f ca="1">IFERROR(__xludf.DUMMYFUNCTION("""COMPUTED_VALUE"""),"RS")</f>
        <v>RS</v>
      </c>
      <c r="D262" s="6" t="str">
        <f t="shared" ca="1" si="4"/>
        <v>Masculino</v>
      </c>
      <c r="E262" s="10" t="str">
        <f ca="1">IFERROR(__xludf.DUMMYFUNCTION("""COMPUTED_VALUE"""),"M")</f>
        <v>M</v>
      </c>
      <c r="F262" s="11">
        <f ca="1">IFERROR(__xludf.DUMMYFUNCTION("""COMPUTED_VALUE"""),22090)</f>
        <v>22090</v>
      </c>
      <c r="G262" s="6">
        <f t="shared" ca="1" si="5"/>
        <v>65</v>
      </c>
      <c r="H262" s="6" t="b">
        <f ca="1">(COUNTIFS(Deputados!A262:A1000, A262, Deputados!D262:D1000, "&lt;&gt;57")) = 0</f>
        <v>0</v>
      </c>
    </row>
    <row r="263" spans="1:8" ht="17.399999999999999">
      <c r="A263" s="10">
        <f ca="1">IFERROR(__xludf.DUMMYFUNCTION("""COMPUTED_VALUE"""),262)</f>
        <v>262</v>
      </c>
      <c r="B263" s="10" t="str">
        <f ca="1">IFERROR(__xludf.DUMMYFUNCTION("""COMPUTED_VALUE"""),"Gisela Simona")</f>
        <v>Gisela Simona</v>
      </c>
      <c r="C263" s="10" t="str">
        <f ca="1">IFERROR(__xludf.DUMMYFUNCTION("""COMPUTED_VALUE"""),"MT")</f>
        <v>MT</v>
      </c>
      <c r="D263" s="6" t="str">
        <f t="shared" ca="1" si="4"/>
        <v>Feminino</v>
      </c>
      <c r="E263" s="10" t="str">
        <f ca="1">IFERROR(__xludf.DUMMYFUNCTION("""COMPUTED_VALUE"""),"F")</f>
        <v>F</v>
      </c>
      <c r="F263" s="11">
        <f ca="1">IFERROR(__xludf.DUMMYFUNCTION("""COMPUTED_VALUE"""),28243)</f>
        <v>28243</v>
      </c>
      <c r="G263" s="6">
        <f t="shared" ca="1" si="5"/>
        <v>48</v>
      </c>
      <c r="H263" s="6" t="b">
        <f ca="1">(COUNTIFS(Deputados!A263:A1000, A263, Deputados!D263:D1000, "&lt;&gt;57")) = 0</f>
        <v>1</v>
      </c>
    </row>
    <row r="264" spans="1:8" ht="17.399999999999999">
      <c r="A264" s="10">
        <f ca="1">IFERROR(__xludf.DUMMYFUNCTION("""COMPUTED_VALUE"""),263)</f>
        <v>263</v>
      </c>
      <c r="B264" s="10" t="str">
        <f ca="1">IFERROR(__xludf.DUMMYFUNCTION("""COMPUTED_VALUE"""),"Glauber Braga")</f>
        <v>Glauber Braga</v>
      </c>
      <c r="C264" s="10" t="str">
        <f ca="1">IFERROR(__xludf.DUMMYFUNCTION("""COMPUTED_VALUE"""),"RJ")</f>
        <v>RJ</v>
      </c>
      <c r="D264" s="6" t="str">
        <f t="shared" ca="1" si="4"/>
        <v>Masculino</v>
      </c>
      <c r="E264" s="10" t="str">
        <f ca="1">IFERROR(__xludf.DUMMYFUNCTION("""COMPUTED_VALUE"""),"M")</f>
        <v>M</v>
      </c>
      <c r="F264" s="11">
        <f ca="1">IFERROR(__xludf.DUMMYFUNCTION("""COMPUTED_VALUE"""),30128)</f>
        <v>30128</v>
      </c>
      <c r="G264" s="6">
        <f t="shared" ca="1" si="5"/>
        <v>43</v>
      </c>
      <c r="H264" s="6" t="b">
        <f ca="1">(COUNTIFS(Deputados!A264:A1000, A264, Deputados!D264:D1000, "&lt;&gt;57")) = 0</f>
        <v>0</v>
      </c>
    </row>
    <row r="265" spans="1:8" ht="17.399999999999999">
      <c r="A265" s="10">
        <f ca="1">IFERROR(__xludf.DUMMYFUNCTION("""COMPUTED_VALUE"""),264)</f>
        <v>264</v>
      </c>
      <c r="B265" s="10" t="str">
        <f ca="1">IFERROR(__xludf.DUMMYFUNCTION("""COMPUTED_VALUE"""),"Gláucia Santiago")</f>
        <v>Gláucia Santiago</v>
      </c>
      <c r="C265" s="10" t="str">
        <f ca="1">IFERROR(__xludf.DUMMYFUNCTION("""COMPUTED_VALUE"""),"MG")</f>
        <v>MG</v>
      </c>
      <c r="D265" s="6" t="str">
        <f t="shared" ca="1" si="4"/>
        <v>Feminino</v>
      </c>
      <c r="E265" s="10" t="str">
        <f ca="1">IFERROR(__xludf.DUMMYFUNCTION("""COMPUTED_VALUE"""),"F")</f>
        <v>F</v>
      </c>
      <c r="F265" s="11">
        <f ca="1">IFERROR(__xludf.DUMMYFUNCTION("""COMPUTED_VALUE"""),21966)</f>
        <v>21966</v>
      </c>
      <c r="G265" s="6">
        <f t="shared" ca="1" si="5"/>
        <v>65</v>
      </c>
      <c r="H265" s="6" t="b">
        <f ca="1">(COUNTIFS(Deputados!A265:A1000, A265, Deputados!D265:D1000, "&lt;&gt;57")) = 0</f>
        <v>1</v>
      </c>
    </row>
    <row r="266" spans="1:8" ht="17.399999999999999">
      <c r="A266" s="10">
        <f ca="1">IFERROR(__xludf.DUMMYFUNCTION("""COMPUTED_VALUE"""),265)</f>
        <v>265</v>
      </c>
      <c r="B266" s="10" t="str">
        <f ca="1">IFERROR(__xludf.DUMMYFUNCTION("""COMPUTED_VALUE"""),"Glaustin da Fokus")</f>
        <v>Glaustin da Fokus</v>
      </c>
      <c r="C266" s="10" t="str">
        <f ca="1">IFERROR(__xludf.DUMMYFUNCTION("""COMPUTED_VALUE"""),"GO")</f>
        <v>GO</v>
      </c>
      <c r="D266" s="6" t="str">
        <f t="shared" ca="1" si="4"/>
        <v>Masculino</v>
      </c>
      <c r="E266" s="10" t="str">
        <f ca="1">IFERROR(__xludf.DUMMYFUNCTION("""COMPUTED_VALUE"""),"M")</f>
        <v>M</v>
      </c>
      <c r="F266" s="11">
        <f ca="1">IFERROR(__xludf.DUMMYFUNCTION("""COMPUTED_VALUE"""),27020)</f>
        <v>27020</v>
      </c>
      <c r="G266" s="6">
        <f t="shared" ca="1" si="5"/>
        <v>51</v>
      </c>
      <c r="H266" s="6" t="b">
        <f ca="1">(COUNTIFS(Deputados!A266:A1000, A266, Deputados!D266:D1000, "&lt;&gt;57")) = 0</f>
        <v>0</v>
      </c>
    </row>
    <row r="267" spans="1:8" ht="17.399999999999999">
      <c r="A267" s="10">
        <f ca="1">IFERROR(__xludf.DUMMYFUNCTION("""COMPUTED_VALUE"""),266)</f>
        <v>266</v>
      </c>
      <c r="B267" s="10" t="str">
        <f ca="1">IFERROR(__xludf.DUMMYFUNCTION("""COMPUTED_VALUE"""),"Gleisi Hoffmann")</f>
        <v>Gleisi Hoffmann</v>
      </c>
      <c r="C267" s="10" t="str">
        <f ca="1">IFERROR(__xludf.DUMMYFUNCTION("""COMPUTED_VALUE"""),"PR")</f>
        <v>PR</v>
      </c>
      <c r="D267" s="6" t="str">
        <f t="shared" ca="1" si="4"/>
        <v>Feminino</v>
      </c>
      <c r="E267" s="10" t="str">
        <f ca="1">IFERROR(__xludf.DUMMYFUNCTION("""COMPUTED_VALUE"""),"F")</f>
        <v>F</v>
      </c>
      <c r="F267" s="11">
        <f ca="1">IFERROR(__xludf.DUMMYFUNCTION("""COMPUTED_VALUE"""),23991)</f>
        <v>23991</v>
      </c>
      <c r="G267" s="6">
        <f t="shared" ca="1" si="5"/>
        <v>60</v>
      </c>
      <c r="H267" s="6" t="b">
        <f ca="1">(COUNTIFS(Deputados!A267:A1000, A267, Deputados!D267:D1000, "&lt;&gt;57")) = 0</f>
        <v>0</v>
      </c>
    </row>
    <row r="268" spans="1:8" ht="17.399999999999999">
      <c r="A268" s="10">
        <f ca="1">IFERROR(__xludf.DUMMYFUNCTION("""COMPUTED_VALUE"""),267)</f>
        <v>267</v>
      </c>
      <c r="B268" s="10" t="str">
        <f ca="1">IFERROR(__xludf.DUMMYFUNCTION("""COMPUTED_VALUE"""),"Greyce Elias")</f>
        <v>Greyce Elias</v>
      </c>
      <c r="C268" s="10" t="str">
        <f ca="1">IFERROR(__xludf.DUMMYFUNCTION("""COMPUTED_VALUE"""),"MG")</f>
        <v>MG</v>
      </c>
      <c r="D268" s="6" t="str">
        <f t="shared" ca="1" si="4"/>
        <v>Feminino</v>
      </c>
      <c r="E268" s="10" t="str">
        <f ca="1">IFERROR(__xludf.DUMMYFUNCTION("""COMPUTED_VALUE"""),"F")</f>
        <v>F</v>
      </c>
      <c r="F268" s="11">
        <f ca="1">IFERROR(__xludf.DUMMYFUNCTION("""COMPUTED_VALUE"""),29935)</f>
        <v>29935</v>
      </c>
      <c r="G268" s="6">
        <f t="shared" ca="1" si="5"/>
        <v>43</v>
      </c>
      <c r="H268" s="6" t="b">
        <f ca="1">(COUNTIFS(Deputados!A268:A1000, A268, Deputados!D268:D1000, "&lt;&gt;57")) = 0</f>
        <v>0</v>
      </c>
    </row>
    <row r="269" spans="1:8" ht="17.399999999999999">
      <c r="A269" s="10">
        <f ca="1">IFERROR(__xludf.DUMMYFUNCTION("""COMPUTED_VALUE"""),268)</f>
        <v>268</v>
      </c>
      <c r="B269" s="10" t="str">
        <f ca="1">IFERROR(__xludf.DUMMYFUNCTION("""COMPUTED_VALUE"""),"Guilherme Boulos")</f>
        <v>Guilherme Boulos</v>
      </c>
      <c r="C269" s="10" t="str">
        <f ca="1">IFERROR(__xludf.DUMMYFUNCTION("""COMPUTED_VALUE"""),"SP")</f>
        <v>SP</v>
      </c>
      <c r="D269" s="6" t="str">
        <f t="shared" ca="1" si="4"/>
        <v>Masculino</v>
      </c>
      <c r="E269" s="10" t="str">
        <f ca="1">IFERROR(__xludf.DUMMYFUNCTION("""COMPUTED_VALUE"""),"M")</f>
        <v>M</v>
      </c>
      <c r="F269" s="11">
        <f ca="1">IFERROR(__xludf.DUMMYFUNCTION("""COMPUTED_VALUE"""),30121)</f>
        <v>30121</v>
      </c>
      <c r="G269" s="6">
        <f t="shared" ca="1" si="5"/>
        <v>43</v>
      </c>
      <c r="H269" s="6" t="b">
        <f ca="1">(COUNTIFS(Deputados!A269:A1000, A269, Deputados!D269:D1000, "&lt;&gt;57")) = 0</f>
        <v>1</v>
      </c>
    </row>
    <row r="270" spans="1:8" ht="17.399999999999999">
      <c r="A270" s="10">
        <f ca="1">IFERROR(__xludf.DUMMYFUNCTION("""COMPUTED_VALUE"""),269)</f>
        <v>269</v>
      </c>
      <c r="B270" s="10" t="str">
        <f ca="1">IFERROR(__xludf.DUMMYFUNCTION("""COMPUTED_VALUE"""),"Guilherme Derrite")</f>
        <v>Guilherme Derrite</v>
      </c>
      <c r="C270" s="10" t="str">
        <f ca="1">IFERROR(__xludf.DUMMYFUNCTION("""COMPUTED_VALUE"""),"SP")</f>
        <v>SP</v>
      </c>
      <c r="D270" s="6" t="str">
        <f t="shared" ca="1" si="4"/>
        <v>Masculino</v>
      </c>
      <c r="E270" s="10" t="str">
        <f ca="1">IFERROR(__xludf.DUMMYFUNCTION("""COMPUTED_VALUE"""),"M")</f>
        <v>M</v>
      </c>
      <c r="F270" s="11">
        <f ca="1">IFERROR(__xludf.DUMMYFUNCTION("""COMPUTED_VALUE"""),30965)</f>
        <v>30965</v>
      </c>
      <c r="G270" s="6">
        <f t="shared" ca="1" si="5"/>
        <v>40</v>
      </c>
      <c r="H270" s="6" t="b">
        <f ca="1">(COUNTIFS(Deputados!A270:A1000, A270, Deputados!D270:D1000, "&lt;&gt;57")) = 0</f>
        <v>0</v>
      </c>
    </row>
    <row r="271" spans="1:8" ht="17.399999999999999">
      <c r="A271" s="10">
        <f ca="1">IFERROR(__xludf.DUMMYFUNCTION("""COMPUTED_VALUE"""),270)</f>
        <v>270</v>
      </c>
      <c r="B271" s="10" t="str">
        <f ca="1">IFERROR(__xludf.DUMMYFUNCTION("""COMPUTED_VALUE"""),"Guilherme Uchoa")</f>
        <v>Guilherme Uchoa</v>
      </c>
      <c r="C271" s="10" t="str">
        <f ca="1">IFERROR(__xludf.DUMMYFUNCTION("""COMPUTED_VALUE"""),"PE")</f>
        <v>PE</v>
      </c>
      <c r="D271" s="6" t="str">
        <f t="shared" ca="1" si="4"/>
        <v>Masculino</v>
      </c>
      <c r="E271" s="10" t="str">
        <f ca="1">IFERROR(__xludf.DUMMYFUNCTION("""COMPUTED_VALUE"""),"M")</f>
        <v>M</v>
      </c>
      <c r="F271" s="11">
        <f ca="1">IFERROR(__xludf.DUMMYFUNCTION("""COMPUTED_VALUE"""),26050)</f>
        <v>26050</v>
      </c>
      <c r="G271" s="6">
        <f t="shared" ca="1" si="5"/>
        <v>54</v>
      </c>
      <c r="H271" s="6" t="b">
        <f ca="1">(COUNTIFS(Deputados!A271:A1000, A271, Deputados!D271:D1000, "&lt;&gt;57")) = 0</f>
        <v>1</v>
      </c>
    </row>
    <row r="272" spans="1:8" ht="17.399999999999999">
      <c r="A272" s="10">
        <f ca="1">IFERROR(__xludf.DUMMYFUNCTION("""COMPUTED_VALUE"""),271)</f>
        <v>271</v>
      </c>
      <c r="B272" s="10" t="str">
        <f ca="1">IFERROR(__xludf.DUMMYFUNCTION("""COMPUTED_VALUE"""),"Gustavo Gayer")</f>
        <v>Gustavo Gayer</v>
      </c>
      <c r="C272" s="10" t="str">
        <f ca="1">IFERROR(__xludf.DUMMYFUNCTION("""COMPUTED_VALUE"""),"GO")</f>
        <v>GO</v>
      </c>
      <c r="D272" s="6" t="str">
        <f t="shared" ca="1" si="4"/>
        <v>Masculino</v>
      </c>
      <c r="E272" s="10" t="str">
        <f ca="1">IFERROR(__xludf.DUMMYFUNCTION("""COMPUTED_VALUE"""),"M")</f>
        <v>M</v>
      </c>
      <c r="F272" s="11">
        <f ca="1">IFERROR(__xludf.DUMMYFUNCTION("""COMPUTED_VALUE"""),29689)</f>
        <v>29689</v>
      </c>
      <c r="G272" s="6">
        <f t="shared" ca="1" si="5"/>
        <v>44</v>
      </c>
      <c r="H272" s="6" t="b">
        <f ca="1">(COUNTIFS(Deputados!A272:A1000, A272, Deputados!D272:D1000, "&lt;&gt;57")) = 0</f>
        <v>1</v>
      </c>
    </row>
    <row r="273" spans="1:8" ht="17.399999999999999">
      <c r="A273" s="10">
        <f ca="1">IFERROR(__xludf.DUMMYFUNCTION("""COMPUTED_VALUE"""),272)</f>
        <v>272</v>
      </c>
      <c r="B273" s="10" t="str">
        <f ca="1">IFERROR(__xludf.DUMMYFUNCTION("""COMPUTED_VALUE"""),"Gustinho Ribeiro")</f>
        <v>Gustinho Ribeiro</v>
      </c>
      <c r="C273" s="10" t="str">
        <f ca="1">IFERROR(__xludf.DUMMYFUNCTION("""COMPUTED_VALUE"""),"SE")</f>
        <v>SE</v>
      </c>
      <c r="D273" s="6" t="str">
        <f t="shared" ca="1" si="4"/>
        <v>Masculino</v>
      </c>
      <c r="E273" s="10" t="str">
        <f ca="1">IFERROR(__xludf.DUMMYFUNCTION("""COMPUTED_VALUE"""),"M")</f>
        <v>M</v>
      </c>
      <c r="F273" s="11">
        <f ca="1">IFERROR(__xludf.DUMMYFUNCTION("""COMPUTED_VALUE"""),29998)</f>
        <v>29998</v>
      </c>
      <c r="G273" s="6">
        <f t="shared" ca="1" si="5"/>
        <v>43</v>
      </c>
      <c r="H273" s="6" t="b">
        <f ca="1">(COUNTIFS(Deputados!A273:A1000, A273, Deputados!D273:D1000, "&lt;&gt;57")) = 0</f>
        <v>0</v>
      </c>
    </row>
    <row r="274" spans="1:8" ht="17.399999999999999">
      <c r="A274" s="10">
        <f ca="1">IFERROR(__xludf.DUMMYFUNCTION("""COMPUTED_VALUE"""),273)</f>
        <v>273</v>
      </c>
      <c r="B274" s="10" t="str">
        <f ca="1">IFERROR(__xludf.DUMMYFUNCTION("""COMPUTED_VALUE"""),"Gutemberg Reis")</f>
        <v>Gutemberg Reis</v>
      </c>
      <c r="C274" s="10" t="str">
        <f ca="1">IFERROR(__xludf.DUMMYFUNCTION("""COMPUTED_VALUE"""),"RJ")</f>
        <v>RJ</v>
      </c>
      <c r="D274" s="6" t="str">
        <f t="shared" ca="1" si="4"/>
        <v>Masculino</v>
      </c>
      <c r="E274" s="10" t="str">
        <f ca="1">IFERROR(__xludf.DUMMYFUNCTION("""COMPUTED_VALUE"""),"M")</f>
        <v>M</v>
      </c>
      <c r="F274" s="11">
        <f ca="1">IFERROR(__xludf.DUMMYFUNCTION("""COMPUTED_VALUE"""),29107)</f>
        <v>29107</v>
      </c>
      <c r="G274" s="6">
        <f t="shared" ca="1" si="5"/>
        <v>46</v>
      </c>
      <c r="H274" s="6" t="b">
        <f ca="1">(COUNTIFS(Deputados!A274:A1000, A274, Deputados!D274:D1000, "&lt;&gt;57")) = 0</f>
        <v>0</v>
      </c>
    </row>
    <row r="275" spans="1:8" ht="17.399999999999999">
      <c r="A275" s="10">
        <f ca="1">IFERROR(__xludf.DUMMYFUNCTION("""COMPUTED_VALUE"""),274)</f>
        <v>274</v>
      </c>
      <c r="B275" s="10" t="str">
        <f ca="1">IFERROR(__xludf.DUMMYFUNCTION("""COMPUTED_VALUE"""),"Heitor Schuch")</f>
        <v>Heitor Schuch</v>
      </c>
      <c r="C275" s="10" t="str">
        <f ca="1">IFERROR(__xludf.DUMMYFUNCTION("""COMPUTED_VALUE"""),"RS")</f>
        <v>RS</v>
      </c>
      <c r="D275" s="6" t="str">
        <f t="shared" ca="1" si="4"/>
        <v>Masculino</v>
      </c>
      <c r="E275" s="10" t="str">
        <f ca="1">IFERROR(__xludf.DUMMYFUNCTION("""COMPUTED_VALUE"""),"M")</f>
        <v>M</v>
      </c>
      <c r="F275" s="11">
        <f ca="1">IFERROR(__xludf.DUMMYFUNCTION("""COMPUTED_VALUE"""),22730)</f>
        <v>22730</v>
      </c>
      <c r="G275" s="6">
        <f t="shared" ca="1" si="5"/>
        <v>63</v>
      </c>
      <c r="H275" s="6" t="b">
        <f ca="1">(COUNTIFS(Deputados!A275:A1000, A275, Deputados!D275:D1000, "&lt;&gt;57")) = 0</f>
        <v>0</v>
      </c>
    </row>
    <row r="276" spans="1:8" ht="17.399999999999999">
      <c r="A276" s="10">
        <f ca="1">IFERROR(__xludf.DUMMYFUNCTION("""COMPUTED_VALUE"""),275)</f>
        <v>275</v>
      </c>
      <c r="B276" s="10" t="str">
        <f ca="1">IFERROR(__xludf.DUMMYFUNCTION("""COMPUTED_VALUE"""),"Helder Salomão")</f>
        <v>Helder Salomão</v>
      </c>
      <c r="C276" s="10" t="str">
        <f ca="1">IFERROR(__xludf.DUMMYFUNCTION("""COMPUTED_VALUE"""),"ES")</f>
        <v>ES</v>
      </c>
      <c r="D276" s="6" t="str">
        <f t="shared" ca="1" si="4"/>
        <v>Masculino</v>
      </c>
      <c r="E276" s="10" t="str">
        <f ca="1">IFERROR(__xludf.DUMMYFUNCTION("""COMPUTED_VALUE"""),"M")</f>
        <v>M</v>
      </c>
      <c r="F276" s="11">
        <f ca="1">IFERROR(__xludf.DUMMYFUNCTION("""COMPUTED_VALUE"""),23444)</f>
        <v>23444</v>
      </c>
      <c r="G276" s="6">
        <f t="shared" ca="1" si="5"/>
        <v>61</v>
      </c>
      <c r="H276" s="6" t="b">
        <f ca="1">(COUNTIFS(Deputados!A276:A1000, A276, Deputados!D276:D1000, "&lt;&gt;57")) = 0</f>
        <v>0</v>
      </c>
    </row>
    <row r="277" spans="1:8" ht="17.399999999999999">
      <c r="A277" s="10">
        <f ca="1">IFERROR(__xludf.DUMMYFUNCTION("""COMPUTED_VALUE"""),276)</f>
        <v>276</v>
      </c>
      <c r="B277" s="10" t="str">
        <f ca="1">IFERROR(__xludf.DUMMYFUNCTION("""COMPUTED_VALUE"""),"Helena Lima")</f>
        <v>Helena Lima</v>
      </c>
      <c r="C277" s="10" t="str">
        <f ca="1">IFERROR(__xludf.DUMMYFUNCTION("""COMPUTED_VALUE"""),"TO")</f>
        <v>TO</v>
      </c>
      <c r="D277" s="6" t="str">
        <f t="shared" ca="1" si="4"/>
        <v>Feminino</v>
      </c>
      <c r="E277" s="10" t="str">
        <f ca="1">IFERROR(__xludf.DUMMYFUNCTION("""COMPUTED_VALUE"""),"F")</f>
        <v>F</v>
      </c>
      <c r="F277" s="11">
        <f ca="1">IFERROR(__xludf.DUMMYFUNCTION("""COMPUTED_VALUE"""),27849)</f>
        <v>27849</v>
      </c>
      <c r="G277" s="6">
        <f t="shared" ca="1" si="5"/>
        <v>49</v>
      </c>
      <c r="H277" s="6" t="b">
        <f ca="1">(COUNTIFS(Deputados!A277:A1000, A277, Deputados!D277:D1000, "&lt;&gt;57")) = 0</f>
        <v>1</v>
      </c>
    </row>
    <row r="278" spans="1:8" ht="17.399999999999999">
      <c r="A278" s="10">
        <f ca="1">IFERROR(__xludf.DUMMYFUNCTION("""COMPUTED_VALUE"""),277)</f>
        <v>277</v>
      </c>
      <c r="B278" s="10" t="str">
        <f ca="1">IFERROR(__xludf.DUMMYFUNCTION("""COMPUTED_VALUE"""),"Hélio Leite")</f>
        <v>Hélio Leite</v>
      </c>
      <c r="C278" s="10" t="str">
        <f ca="1">IFERROR(__xludf.DUMMYFUNCTION("""COMPUTED_VALUE"""),"PA")</f>
        <v>PA</v>
      </c>
      <c r="D278" s="6" t="str">
        <f t="shared" ca="1" si="4"/>
        <v>Masculino</v>
      </c>
      <c r="E278" s="10" t="str">
        <f ca="1">IFERROR(__xludf.DUMMYFUNCTION("""COMPUTED_VALUE"""),"M")</f>
        <v>M</v>
      </c>
      <c r="F278" s="11">
        <f ca="1">IFERROR(__xludf.DUMMYFUNCTION("""COMPUTED_VALUE"""),21163)</f>
        <v>21163</v>
      </c>
      <c r="G278" s="6">
        <f t="shared" ca="1" si="5"/>
        <v>67</v>
      </c>
      <c r="H278" s="6" t="b">
        <f ca="1">(COUNTIFS(Deputados!A278:A1000, A278, Deputados!D278:D1000, "&lt;&gt;57")) = 0</f>
        <v>0</v>
      </c>
    </row>
    <row r="279" spans="1:8" ht="17.399999999999999">
      <c r="A279" s="10">
        <f ca="1">IFERROR(__xludf.DUMMYFUNCTION("""COMPUTED_VALUE"""),278)</f>
        <v>278</v>
      </c>
      <c r="B279" s="10" t="str">
        <f ca="1">IFERROR(__xludf.DUMMYFUNCTION("""COMPUTED_VALUE"""),"Helio Lopes")</f>
        <v>Helio Lopes</v>
      </c>
      <c r="C279" s="10" t="str">
        <f ca="1">IFERROR(__xludf.DUMMYFUNCTION("""COMPUTED_VALUE"""),"RJ")</f>
        <v>RJ</v>
      </c>
      <c r="D279" s="6" t="str">
        <f t="shared" ca="1" si="4"/>
        <v>Masculino</v>
      </c>
      <c r="E279" s="10" t="str">
        <f ca="1">IFERROR(__xludf.DUMMYFUNCTION("""COMPUTED_VALUE"""),"M")</f>
        <v>M</v>
      </c>
      <c r="F279" s="11">
        <f ca="1">IFERROR(__xludf.DUMMYFUNCTION("""COMPUTED_VALUE"""),25290)</f>
        <v>25290</v>
      </c>
      <c r="G279" s="6">
        <f t="shared" ca="1" si="5"/>
        <v>56</v>
      </c>
      <c r="H279" s="6" t="b">
        <f ca="1">(COUNTIFS(Deputados!A279:A1000, A279, Deputados!D279:D1000, "&lt;&gt;57")) = 0</f>
        <v>0</v>
      </c>
    </row>
    <row r="280" spans="1:8" ht="17.399999999999999">
      <c r="A280" s="10">
        <f ca="1">IFERROR(__xludf.DUMMYFUNCTION("""COMPUTED_VALUE"""),279)</f>
        <v>279</v>
      </c>
      <c r="B280" s="10" t="str">
        <f ca="1">IFERROR(__xludf.DUMMYFUNCTION("""COMPUTED_VALUE"""),"Henderson Pinto")</f>
        <v>Henderson Pinto</v>
      </c>
      <c r="C280" s="10" t="str">
        <f ca="1">IFERROR(__xludf.DUMMYFUNCTION("""COMPUTED_VALUE"""),"PA")</f>
        <v>PA</v>
      </c>
      <c r="D280" s="6" t="str">
        <f t="shared" ca="1" si="4"/>
        <v>Masculino</v>
      </c>
      <c r="E280" s="10" t="str">
        <f ca="1">IFERROR(__xludf.DUMMYFUNCTION("""COMPUTED_VALUE"""),"M")</f>
        <v>M</v>
      </c>
      <c r="F280" s="11">
        <f ca="1">IFERROR(__xludf.DUMMYFUNCTION("""COMPUTED_VALUE"""),27875)</f>
        <v>27875</v>
      </c>
      <c r="G280" s="6">
        <f t="shared" ca="1" si="5"/>
        <v>49</v>
      </c>
      <c r="H280" s="6" t="b">
        <f ca="1">(COUNTIFS(Deputados!A280:A1000, A280, Deputados!D280:D1000, "&lt;&gt;57")) = 0</f>
        <v>1</v>
      </c>
    </row>
    <row r="281" spans="1:8" ht="17.399999999999999">
      <c r="A281" s="10">
        <f ca="1">IFERROR(__xludf.DUMMYFUNCTION("""COMPUTED_VALUE"""),280)</f>
        <v>280</v>
      </c>
      <c r="B281" s="10" t="str">
        <f ca="1">IFERROR(__xludf.DUMMYFUNCTION("""COMPUTED_VALUE"""),"Henrique Júnior")</f>
        <v>Henrique Júnior</v>
      </c>
      <c r="C281" s="10" t="str">
        <f ca="1">IFERROR(__xludf.DUMMYFUNCTION("""COMPUTED_VALUE"""),"PI")</f>
        <v>PI</v>
      </c>
      <c r="D281" s="6" t="str">
        <f t="shared" ca="1" si="4"/>
        <v>Masculino</v>
      </c>
      <c r="E281" s="10" t="str">
        <f ca="1">IFERROR(__xludf.DUMMYFUNCTION("""COMPUTED_VALUE"""),"M")</f>
        <v>M</v>
      </c>
      <c r="F281" s="11">
        <f ca="1">IFERROR(__xludf.DUMMYFUNCTION("""COMPUTED_VALUE"""),31308)</f>
        <v>31308</v>
      </c>
      <c r="G281" s="6">
        <f t="shared" ca="1" si="5"/>
        <v>39</v>
      </c>
      <c r="H281" s="6" t="b">
        <f ca="1">(COUNTIFS(Deputados!A281:A1000, A281, Deputados!D281:D1000, "&lt;&gt;57")) = 0</f>
        <v>1</v>
      </c>
    </row>
    <row r="282" spans="1:8" ht="17.399999999999999">
      <c r="A282" s="10">
        <f ca="1">IFERROR(__xludf.DUMMYFUNCTION("""COMPUTED_VALUE"""),281)</f>
        <v>281</v>
      </c>
      <c r="B282" s="10" t="str">
        <f ca="1">IFERROR(__xludf.DUMMYFUNCTION("""COMPUTED_VALUE"""),"Hercílio Coelho Diniz")</f>
        <v>Hercílio Coelho Diniz</v>
      </c>
      <c r="C282" s="10" t="str">
        <f ca="1">IFERROR(__xludf.DUMMYFUNCTION("""COMPUTED_VALUE"""),"MG")</f>
        <v>MG</v>
      </c>
      <c r="D282" s="6" t="str">
        <f t="shared" ca="1" si="4"/>
        <v>Masculino</v>
      </c>
      <c r="E282" s="10" t="str">
        <f ca="1">IFERROR(__xludf.DUMMYFUNCTION("""COMPUTED_VALUE"""),"M")</f>
        <v>M</v>
      </c>
      <c r="F282" s="11">
        <f ca="1">IFERROR(__xludf.DUMMYFUNCTION("""COMPUTED_VALUE"""),23268)</f>
        <v>23268</v>
      </c>
      <c r="G282" s="6">
        <f t="shared" ca="1" si="5"/>
        <v>61</v>
      </c>
      <c r="H282" s="6" t="b">
        <f ca="1">(COUNTIFS(Deputados!A282:A1000, A282, Deputados!D282:D1000, "&lt;&gt;57")) = 0</f>
        <v>0</v>
      </c>
    </row>
    <row r="283" spans="1:8" ht="17.399999999999999">
      <c r="A283" s="10">
        <f ca="1">IFERROR(__xludf.DUMMYFUNCTION("""COMPUTED_VALUE"""),282)</f>
        <v>282</v>
      </c>
      <c r="B283" s="10" t="str">
        <f ca="1">IFERROR(__xludf.DUMMYFUNCTION("""COMPUTED_VALUE"""),"Hildo do Candango")</f>
        <v>Hildo do Candango</v>
      </c>
      <c r="C283" s="10" t="str">
        <f ca="1">IFERROR(__xludf.DUMMYFUNCTION("""COMPUTED_VALUE"""),"BA")</f>
        <v>BA</v>
      </c>
      <c r="D283" s="6" t="str">
        <f t="shared" ca="1" si="4"/>
        <v>Masculino</v>
      </c>
      <c r="E283" s="10" t="str">
        <f ca="1">IFERROR(__xludf.DUMMYFUNCTION("""COMPUTED_VALUE"""),"M")</f>
        <v>M</v>
      </c>
      <c r="F283" s="11">
        <f ca="1">IFERROR(__xludf.DUMMYFUNCTION("""COMPUTED_VALUE"""),25908)</f>
        <v>25908</v>
      </c>
      <c r="G283" s="6">
        <f t="shared" ca="1" si="5"/>
        <v>54</v>
      </c>
      <c r="H283" s="6" t="b">
        <f ca="1">(COUNTIFS(Deputados!A283:A1000, A283, Deputados!D283:D1000, "&lt;&gt;57")) = 0</f>
        <v>1</v>
      </c>
    </row>
    <row r="284" spans="1:8" ht="17.399999999999999">
      <c r="A284" s="10">
        <f ca="1">IFERROR(__xludf.DUMMYFUNCTION("""COMPUTED_VALUE"""),283)</f>
        <v>283</v>
      </c>
      <c r="B284" s="10" t="str">
        <f ca="1">IFERROR(__xludf.DUMMYFUNCTION("""COMPUTED_VALUE"""),"Hildo Rocha")</f>
        <v>Hildo Rocha</v>
      </c>
      <c r="C284" s="10" t="str">
        <f ca="1">IFERROR(__xludf.DUMMYFUNCTION("""COMPUTED_VALUE"""),"MA")</f>
        <v>MA</v>
      </c>
      <c r="D284" s="6" t="str">
        <f t="shared" ca="1" si="4"/>
        <v>Masculino</v>
      </c>
      <c r="E284" s="10" t="str">
        <f ca="1">IFERROR(__xludf.DUMMYFUNCTION("""COMPUTED_VALUE"""),"M")</f>
        <v>M</v>
      </c>
      <c r="F284" s="11">
        <f ca="1">IFERROR(__xludf.DUMMYFUNCTION("""COMPUTED_VALUE"""),22028)</f>
        <v>22028</v>
      </c>
      <c r="G284" s="6">
        <f t="shared" ca="1" si="5"/>
        <v>65</v>
      </c>
      <c r="H284" s="6" t="b">
        <f ca="1">(COUNTIFS(Deputados!A284:A1000, A284, Deputados!D284:D1000, "&lt;&gt;57")) = 0</f>
        <v>0</v>
      </c>
    </row>
    <row r="285" spans="1:8" ht="17.399999999999999">
      <c r="A285" s="10">
        <f ca="1">IFERROR(__xludf.DUMMYFUNCTION("""COMPUTED_VALUE"""),284)</f>
        <v>284</v>
      </c>
      <c r="B285" s="10" t="str">
        <f ca="1">IFERROR(__xludf.DUMMYFUNCTION("""COMPUTED_VALUE"""),"Hugo Leal")</f>
        <v>Hugo Leal</v>
      </c>
      <c r="C285" s="10" t="str">
        <f ca="1">IFERROR(__xludf.DUMMYFUNCTION("""COMPUTED_VALUE"""),"MG")</f>
        <v>MG</v>
      </c>
      <c r="D285" s="6" t="str">
        <f t="shared" ca="1" si="4"/>
        <v>Masculino</v>
      </c>
      <c r="E285" s="10" t="str">
        <f ca="1">IFERROR(__xludf.DUMMYFUNCTION("""COMPUTED_VALUE"""),"M")</f>
        <v>M</v>
      </c>
      <c r="F285" s="11">
        <f ca="1">IFERROR(__xludf.DUMMYFUNCTION("""COMPUTED_VALUE"""),22864)</f>
        <v>22864</v>
      </c>
      <c r="G285" s="6">
        <f t="shared" ca="1" si="5"/>
        <v>63</v>
      </c>
      <c r="H285" s="6" t="b">
        <f ca="1">(COUNTIFS(Deputados!A285:A1000, A285, Deputados!D285:D1000, "&lt;&gt;57")) = 0</f>
        <v>0</v>
      </c>
    </row>
    <row r="286" spans="1:8" ht="17.399999999999999">
      <c r="A286" s="10">
        <f ca="1">IFERROR(__xludf.DUMMYFUNCTION("""COMPUTED_VALUE"""),285)</f>
        <v>285</v>
      </c>
      <c r="B286" s="10" t="str">
        <f ca="1">IFERROR(__xludf.DUMMYFUNCTION("""COMPUTED_VALUE"""),"Hugo Motta")</f>
        <v>Hugo Motta</v>
      </c>
      <c r="C286" s="10" t="str">
        <f ca="1">IFERROR(__xludf.DUMMYFUNCTION("""COMPUTED_VALUE"""),"PB")</f>
        <v>PB</v>
      </c>
      <c r="D286" s="6" t="str">
        <f t="shared" ca="1" si="4"/>
        <v>Masculino</v>
      </c>
      <c r="E286" s="10" t="str">
        <f ca="1">IFERROR(__xludf.DUMMYFUNCTION("""COMPUTED_VALUE"""),"M")</f>
        <v>M</v>
      </c>
      <c r="F286" s="11">
        <f ca="1">IFERROR(__xludf.DUMMYFUNCTION("""COMPUTED_VALUE"""),32762)</f>
        <v>32762</v>
      </c>
      <c r="G286" s="6">
        <f t="shared" ca="1" si="5"/>
        <v>36</v>
      </c>
      <c r="H286" s="6" t="b">
        <f ca="1">(COUNTIFS(Deputados!A286:A1000, A286, Deputados!D286:D1000, "&lt;&gt;57")) = 0</f>
        <v>0</v>
      </c>
    </row>
    <row r="287" spans="1:8" ht="17.399999999999999">
      <c r="A287" s="10">
        <f ca="1">IFERROR(__xludf.DUMMYFUNCTION("""COMPUTED_VALUE"""),286)</f>
        <v>286</v>
      </c>
      <c r="B287" s="10" t="str">
        <f ca="1">IFERROR(__xludf.DUMMYFUNCTION("""COMPUTED_VALUE"""),"Icaro de Valmir")</f>
        <v>Icaro de Valmir</v>
      </c>
      <c r="C287" s="10" t="str">
        <f ca="1">IFERROR(__xludf.DUMMYFUNCTION("""COMPUTED_VALUE"""),"SE")</f>
        <v>SE</v>
      </c>
      <c r="D287" s="6" t="str">
        <f t="shared" ca="1" si="4"/>
        <v>Masculino</v>
      </c>
      <c r="E287" s="10" t="str">
        <f ca="1">IFERROR(__xludf.DUMMYFUNCTION("""COMPUTED_VALUE"""),"M")</f>
        <v>M</v>
      </c>
      <c r="F287" s="11">
        <f ca="1">IFERROR(__xludf.DUMMYFUNCTION("""COMPUTED_VALUE"""),36991)</f>
        <v>36991</v>
      </c>
      <c r="G287" s="6">
        <f t="shared" ca="1" si="5"/>
        <v>24</v>
      </c>
      <c r="H287" s="6" t="b">
        <f ca="1">(COUNTIFS(Deputados!A287:A1000, A287, Deputados!D287:D1000, "&lt;&gt;57")) = 0</f>
        <v>1</v>
      </c>
    </row>
    <row r="288" spans="1:8" ht="17.399999999999999">
      <c r="A288" s="10">
        <f ca="1">IFERROR(__xludf.DUMMYFUNCTION("""COMPUTED_VALUE"""),287)</f>
        <v>287</v>
      </c>
      <c r="B288" s="10" t="str">
        <f ca="1">IFERROR(__xludf.DUMMYFUNCTION("""COMPUTED_VALUE"""),"Idilvan Alencar")</f>
        <v>Idilvan Alencar</v>
      </c>
      <c r="C288" s="10" t="str">
        <f ca="1">IFERROR(__xludf.DUMMYFUNCTION("""COMPUTED_VALUE"""),"CE")</f>
        <v>CE</v>
      </c>
      <c r="D288" s="6" t="str">
        <f t="shared" ca="1" si="4"/>
        <v>Masculino</v>
      </c>
      <c r="E288" s="10" t="str">
        <f ca="1">IFERROR(__xludf.DUMMYFUNCTION("""COMPUTED_VALUE"""),"M")</f>
        <v>M</v>
      </c>
      <c r="F288" s="11">
        <f ca="1">IFERROR(__xludf.DUMMYFUNCTION("""COMPUTED_VALUE"""),25104)</f>
        <v>25104</v>
      </c>
      <c r="G288" s="6">
        <f t="shared" ca="1" si="5"/>
        <v>56</v>
      </c>
      <c r="H288" s="6" t="b">
        <f ca="1">(COUNTIFS(Deputados!A288:A1000, A288, Deputados!D288:D1000, "&lt;&gt;57")) = 0</f>
        <v>0</v>
      </c>
    </row>
    <row r="289" spans="1:8" ht="17.399999999999999">
      <c r="A289" s="10">
        <f ca="1">IFERROR(__xludf.DUMMYFUNCTION("""COMPUTED_VALUE"""),288)</f>
        <v>288</v>
      </c>
      <c r="B289" s="10" t="str">
        <f ca="1">IFERROR(__xludf.DUMMYFUNCTION("""COMPUTED_VALUE"""),"Igor Timo")</f>
        <v>Igor Timo</v>
      </c>
      <c r="C289" s="10" t="str">
        <f ca="1">IFERROR(__xludf.DUMMYFUNCTION("""COMPUTED_VALUE"""),"MG")</f>
        <v>MG</v>
      </c>
      <c r="D289" s="6" t="str">
        <f t="shared" ca="1" si="4"/>
        <v>Masculino</v>
      </c>
      <c r="E289" s="10" t="str">
        <f ca="1">IFERROR(__xludf.DUMMYFUNCTION("""COMPUTED_VALUE"""),"M")</f>
        <v>M</v>
      </c>
      <c r="F289" s="11">
        <f ca="1">IFERROR(__xludf.DUMMYFUNCTION("""COMPUTED_VALUE"""),30051)</f>
        <v>30051</v>
      </c>
      <c r="G289" s="6">
        <f t="shared" ca="1" si="5"/>
        <v>43</v>
      </c>
      <c r="H289" s="6" t="b">
        <f ca="1">(COUNTIFS(Deputados!A289:A1000, A289, Deputados!D289:D1000, "&lt;&gt;57")) = 0</f>
        <v>0</v>
      </c>
    </row>
    <row r="290" spans="1:8" ht="17.399999999999999">
      <c r="A290" s="10">
        <f ca="1">IFERROR(__xludf.DUMMYFUNCTION("""COMPUTED_VALUE"""),289)</f>
        <v>289</v>
      </c>
      <c r="B290" s="10" t="str">
        <f ca="1">IFERROR(__xludf.DUMMYFUNCTION("""COMPUTED_VALUE"""),"Ismael")</f>
        <v>Ismael</v>
      </c>
      <c r="C290" s="10" t="str">
        <f ca="1">IFERROR(__xludf.DUMMYFUNCTION("""COMPUTED_VALUE"""),"SC")</f>
        <v>SC</v>
      </c>
      <c r="D290" s="6" t="str">
        <f t="shared" ca="1" si="4"/>
        <v>Masculino</v>
      </c>
      <c r="E290" s="10" t="str">
        <f ca="1">IFERROR(__xludf.DUMMYFUNCTION("""COMPUTED_VALUE"""),"M")</f>
        <v>M</v>
      </c>
      <c r="F290" s="11">
        <f ca="1">IFERROR(__xludf.DUMMYFUNCTION("""COMPUTED_VALUE"""),23939)</f>
        <v>23939</v>
      </c>
      <c r="G290" s="6">
        <f t="shared" ca="1" si="5"/>
        <v>60</v>
      </c>
      <c r="H290" s="6" t="b">
        <f ca="1">(COUNTIFS(Deputados!A290:A1000, A290, Deputados!D290:D1000, "&lt;&gt;57")) = 0</f>
        <v>1</v>
      </c>
    </row>
    <row r="291" spans="1:8" ht="17.399999999999999">
      <c r="A291" s="10">
        <f ca="1">IFERROR(__xludf.DUMMYFUNCTION("""COMPUTED_VALUE"""),290)</f>
        <v>290</v>
      </c>
      <c r="B291" s="10" t="str">
        <f ca="1">IFERROR(__xludf.DUMMYFUNCTION("""COMPUTED_VALUE"""),"Isnaldo Bulhões Jr.")</f>
        <v>Isnaldo Bulhões Jr.</v>
      </c>
      <c r="C291" s="10" t="str">
        <f ca="1">IFERROR(__xludf.DUMMYFUNCTION("""COMPUTED_VALUE"""),"AL")</f>
        <v>AL</v>
      </c>
      <c r="D291" s="6" t="str">
        <f t="shared" ca="1" si="4"/>
        <v>Masculino</v>
      </c>
      <c r="E291" s="10" t="str">
        <f ca="1">IFERROR(__xludf.DUMMYFUNCTION("""COMPUTED_VALUE"""),"M")</f>
        <v>M</v>
      </c>
      <c r="F291" s="11">
        <f ca="1">IFERROR(__xludf.DUMMYFUNCTION("""COMPUTED_VALUE"""),28063)</f>
        <v>28063</v>
      </c>
      <c r="G291" s="6">
        <f t="shared" ca="1" si="5"/>
        <v>48</v>
      </c>
      <c r="H291" s="6" t="b">
        <f ca="1">(COUNTIFS(Deputados!A291:A1000, A291, Deputados!D291:D1000, "&lt;&gt;57")) = 0</f>
        <v>0</v>
      </c>
    </row>
    <row r="292" spans="1:8" ht="17.399999999999999">
      <c r="A292" s="10">
        <f ca="1">IFERROR(__xludf.DUMMYFUNCTION("""COMPUTED_VALUE"""),291)</f>
        <v>291</v>
      </c>
      <c r="B292" s="10" t="str">
        <f ca="1">IFERROR(__xludf.DUMMYFUNCTION("""COMPUTED_VALUE"""),"Ivan Junior")</f>
        <v>Ivan Junior</v>
      </c>
      <c r="C292" s="10" t="str">
        <f ca="1">IFERROR(__xludf.DUMMYFUNCTION("""COMPUTED_VALUE"""),"CE")</f>
        <v>CE</v>
      </c>
      <c r="D292" s="6" t="str">
        <f t="shared" ca="1" si="4"/>
        <v>Masculino</v>
      </c>
      <c r="E292" s="10" t="str">
        <f ca="1">IFERROR(__xludf.DUMMYFUNCTION("""COMPUTED_VALUE"""),"M")</f>
        <v>M</v>
      </c>
      <c r="F292" s="11">
        <f ca="1">IFERROR(__xludf.DUMMYFUNCTION("""COMPUTED_VALUE"""),30137)</f>
        <v>30137</v>
      </c>
      <c r="G292" s="6">
        <f t="shared" ca="1" si="5"/>
        <v>43</v>
      </c>
      <c r="H292" s="6" t="b">
        <f ca="1">(COUNTIFS(Deputados!A292:A1000, A292, Deputados!D292:D1000, "&lt;&gt;57")) = 0</f>
        <v>1</v>
      </c>
    </row>
    <row r="293" spans="1:8" ht="17.399999999999999">
      <c r="A293" s="10">
        <f ca="1">IFERROR(__xludf.DUMMYFUNCTION("""COMPUTED_VALUE"""),292)</f>
        <v>292</v>
      </c>
      <c r="B293" s="10" t="str">
        <f ca="1">IFERROR(__xludf.DUMMYFUNCTION("""COMPUTED_VALUE"""),"Ivan Valente")</f>
        <v>Ivan Valente</v>
      </c>
      <c r="C293" s="10" t="str">
        <f ca="1">IFERROR(__xludf.DUMMYFUNCTION("""COMPUTED_VALUE"""),"SP")</f>
        <v>SP</v>
      </c>
      <c r="D293" s="6" t="str">
        <f t="shared" ca="1" si="4"/>
        <v>Masculino</v>
      </c>
      <c r="E293" s="10" t="str">
        <f ca="1">IFERROR(__xludf.DUMMYFUNCTION("""COMPUTED_VALUE"""),"M")</f>
        <v>M</v>
      </c>
      <c r="F293" s="11">
        <f ca="1">IFERROR(__xludf.DUMMYFUNCTION("""COMPUTED_VALUE"""),16988)</f>
        <v>16988</v>
      </c>
      <c r="G293" s="6">
        <f t="shared" ca="1" si="5"/>
        <v>79</v>
      </c>
      <c r="H293" s="6" t="b">
        <f ca="1">(COUNTIFS(Deputados!A293:A1000, A293, Deputados!D293:D1000, "&lt;&gt;57")) = 0</f>
        <v>0</v>
      </c>
    </row>
    <row r="294" spans="1:8" ht="17.399999999999999">
      <c r="A294" s="10">
        <f ca="1">IFERROR(__xludf.DUMMYFUNCTION("""COMPUTED_VALUE"""),293)</f>
        <v>293</v>
      </c>
      <c r="B294" s="10" t="str">
        <f ca="1">IFERROR(__xludf.DUMMYFUNCTION("""COMPUTED_VALUE"""),"Ivoneide Caetano")</f>
        <v>Ivoneide Caetano</v>
      </c>
      <c r="C294" s="10" t="str">
        <f ca="1">IFERROR(__xludf.DUMMYFUNCTION("""COMPUTED_VALUE"""),"BA")</f>
        <v>BA</v>
      </c>
      <c r="D294" s="6" t="str">
        <f t="shared" ca="1" si="4"/>
        <v>Feminino</v>
      </c>
      <c r="E294" s="10" t="str">
        <f ca="1">IFERROR(__xludf.DUMMYFUNCTION("""COMPUTED_VALUE"""),"F")</f>
        <v>F</v>
      </c>
      <c r="F294" s="11">
        <f ca="1">IFERROR(__xludf.DUMMYFUNCTION("""COMPUTED_VALUE"""),26552)</f>
        <v>26552</v>
      </c>
      <c r="G294" s="6">
        <f t="shared" ca="1" si="5"/>
        <v>53</v>
      </c>
      <c r="H294" s="6" t="b">
        <f ca="1">(COUNTIFS(Deputados!A294:A1000, A294, Deputados!D294:D1000, "&lt;&gt;57")) = 0</f>
        <v>1</v>
      </c>
    </row>
    <row r="295" spans="1:8" ht="17.399999999999999">
      <c r="A295" s="10">
        <f ca="1">IFERROR(__xludf.DUMMYFUNCTION("""COMPUTED_VALUE"""),294)</f>
        <v>294</v>
      </c>
      <c r="B295" s="10" t="str">
        <f ca="1">IFERROR(__xludf.DUMMYFUNCTION("""COMPUTED_VALUE"""),"Iza Arruda")</f>
        <v>Iza Arruda</v>
      </c>
      <c r="C295" s="10" t="str">
        <f ca="1">IFERROR(__xludf.DUMMYFUNCTION("""COMPUTED_VALUE"""),"PE")</f>
        <v>PE</v>
      </c>
      <c r="D295" s="6" t="str">
        <f t="shared" ca="1" si="4"/>
        <v>Feminino</v>
      </c>
      <c r="E295" s="10" t="str">
        <f ca="1">IFERROR(__xludf.DUMMYFUNCTION("""COMPUTED_VALUE"""),"F")</f>
        <v>F</v>
      </c>
      <c r="F295" s="11">
        <f ca="1">IFERROR(__xludf.DUMMYFUNCTION("""COMPUTED_VALUE"""),32026)</f>
        <v>32026</v>
      </c>
      <c r="G295" s="6">
        <f t="shared" ca="1" si="5"/>
        <v>38</v>
      </c>
      <c r="H295" s="6" t="b">
        <f ca="1">(COUNTIFS(Deputados!A295:A1000, A295, Deputados!D295:D1000, "&lt;&gt;57")) = 0</f>
        <v>1</v>
      </c>
    </row>
    <row r="296" spans="1:8" ht="17.399999999999999">
      <c r="A296" s="10">
        <f ca="1">IFERROR(__xludf.DUMMYFUNCTION("""COMPUTED_VALUE"""),295)</f>
        <v>295</v>
      </c>
      <c r="B296" s="10" t="str">
        <f ca="1">IFERROR(__xludf.DUMMYFUNCTION("""COMPUTED_VALUE"""),"Jack Rocha")</f>
        <v>Jack Rocha</v>
      </c>
      <c r="C296" s="10" t="str">
        <f ca="1">IFERROR(__xludf.DUMMYFUNCTION("""COMPUTED_VALUE"""),"ES")</f>
        <v>ES</v>
      </c>
      <c r="D296" s="6" t="str">
        <f t="shared" ca="1" si="4"/>
        <v>Feminino</v>
      </c>
      <c r="E296" s="10" t="str">
        <f ca="1">IFERROR(__xludf.DUMMYFUNCTION("""COMPUTED_VALUE"""),"F")</f>
        <v>F</v>
      </c>
      <c r="F296" s="11">
        <f ca="1">IFERROR(__xludf.DUMMYFUNCTION("""COMPUTED_VALUE"""),30554)</f>
        <v>30554</v>
      </c>
      <c r="G296" s="6">
        <f t="shared" ca="1" si="5"/>
        <v>42</v>
      </c>
      <c r="H296" s="6" t="b">
        <f ca="1">(COUNTIFS(Deputados!A296:A1000, A296, Deputados!D296:D1000, "&lt;&gt;57")) = 0</f>
        <v>1</v>
      </c>
    </row>
    <row r="297" spans="1:8" ht="17.399999999999999">
      <c r="A297" s="10">
        <f ca="1">IFERROR(__xludf.DUMMYFUNCTION("""COMPUTED_VALUE"""),296)</f>
        <v>296</v>
      </c>
      <c r="B297" s="10" t="str">
        <f ca="1">IFERROR(__xludf.DUMMYFUNCTION("""COMPUTED_VALUE"""),"Jadyel Alencar")</f>
        <v>Jadyel Alencar</v>
      </c>
      <c r="C297" s="10" t="str">
        <f ca="1">IFERROR(__xludf.DUMMYFUNCTION("""COMPUTED_VALUE"""),"PI")</f>
        <v>PI</v>
      </c>
      <c r="D297" s="6" t="str">
        <f t="shared" ca="1" si="4"/>
        <v>Masculino</v>
      </c>
      <c r="E297" s="10" t="str">
        <f ca="1">IFERROR(__xludf.DUMMYFUNCTION("""COMPUTED_VALUE"""),"M")</f>
        <v>M</v>
      </c>
      <c r="F297" s="11">
        <f ca="1">IFERROR(__xludf.DUMMYFUNCTION("""COMPUTED_VALUE"""),31981)</f>
        <v>31981</v>
      </c>
      <c r="G297" s="6">
        <f t="shared" ca="1" si="5"/>
        <v>38</v>
      </c>
      <c r="H297" s="6" t="b">
        <f ca="1">(COUNTIFS(Deputados!A297:A1000, A297, Deputados!D297:D1000, "&lt;&gt;57")) = 0</f>
        <v>1</v>
      </c>
    </row>
    <row r="298" spans="1:8" ht="17.399999999999999">
      <c r="A298" s="10">
        <f ca="1">IFERROR(__xludf.DUMMYFUNCTION("""COMPUTED_VALUE"""),297)</f>
        <v>297</v>
      </c>
      <c r="B298" s="10" t="str">
        <f ca="1">IFERROR(__xludf.DUMMYFUNCTION("""COMPUTED_VALUE"""),"Jandira Feghali")</f>
        <v>Jandira Feghali</v>
      </c>
      <c r="C298" s="10" t="str">
        <f ca="1">IFERROR(__xludf.DUMMYFUNCTION("""COMPUTED_VALUE"""),"PR")</f>
        <v>PR</v>
      </c>
      <c r="D298" s="6" t="str">
        <f t="shared" ca="1" si="4"/>
        <v>Feminino</v>
      </c>
      <c r="E298" s="10" t="str">
        <f ca="1">IFERROR(__xludf.DUMMYFUNCTION("""COMPUTED_VALUE"""),"F")</f>
        <v>F</v>
      </c>
      <c r="F298" s="11">
        <f ca="1">IFERROR(__xludf.DUMMYFUNCTION("""COMPUTED_VALUE"""),20957)</f>
        <v>20957</v>
      </c>
      <c r="G298" s="6">
        <f t="shared" ca="1" si="5"/>
        <v>68</v>
      </c>
      <c r="H298" s="6" t="b">
        <f ca="1">(COUNTIFS(Deputados!A298:A1000, A298, Deputados!D298:D1000, "&lt;&gt;57")) = 0</f>
        <v>0</v>
      </c>
    </row>
    <row r="299" spans="1:8" ht="17.399999999999999">
      <c r="A299" s="10">
        <f ca="1">IFERROR(__xludf.DUMMYFUNCTION("""COMPUTED_VALUE"""),298)</f>
        <v>298</v>
      </c>
      <c r="B299" s="10" t="str">
        <f ca="1">IFERROR(__xludf.DUMMYFUNCTION("""COMPUTED_VALUE"""),"Jeferson Rodrigues")</f>
        <v>Jeferson Rodrigues</v>
      </c>
      <c r="C299" s="10" t="str">
        <f ca="1">IFERROR(__xludf.DUMMYFUNCTION("""COMPUTED_VALUE"""),"GO")</f>
        <v>GO</v>
      </c>
      <c r="D299" s="6" t="str">
        <f t="shared" ca="1" si="4"/>
        <v>Masculino</v>
      </c>
      <c r="E299" s="10" t="str">
        <f ca="1">IFERROR(__xludf.DUMMYFUNCTION("""COMPUTED_VALUE"""),"M")</f>
        <v>M</v>
      </c>
      <c r="F299" s="11">
        <f ca="1">IFERROR(__xludf.DUMMYFUNCTION("""COMPUTED_VALUE"""),27515)</f>
        <v>27515</v>
      </c>
      <c r="G299" s="6">
        <f t="shared" ca="1" si="5"/>
        <v>50</v>
      </c>
      <c r="H299" s="6" t="b">
        <f ca="1">(COUNTIFS(Deputados!A299:A1000, A299, Deputados!D299:D1000, "&lt;&gt;57")) = 0</f>
        <v>1</v>
      </c>
    </row>
    <row r="300" spans="1:8" ht="17.399999999999999">
      <c r="A300" s="10">
        <f ca="1">IFERROR(__xludf.DUMMYFUNCTION("""COMPUTED_VALUE"""),299)</f>
        <v>299</v>
      </c>
      <c r="B300" s="10" t="str">
        <f ca="1">IFERROR(__xludf.DUMMYFUNCTION("""COMPUTED_VALUE"""),"Jefferson Campos")</f>
        <v>Jefferson Campos</v>
      </c>
      <c r="C300" s="10" t="str">
        <f ca="1">IFERROR(__xludf.DUMMYFUNCTION("""COMPUTED_VALUE"""),"SP")</f>
        <v>SP</v>
      </c>
      <c r="D300" s="6" t="str">
        <f t="shared" ca="1" si="4"/>
        <v>Masculino</v>
      </c>
      <c r="E300" s="10" t="str">
        <f ca="1">IFERROR(__xludf.DUMMYFUNCTION("""COMPUTED_VALUE"""),"M")</f>
        <v>M</v>
      </c>
      <c r="F300" s="11">
        <f ca="1">IFERROR(__xludf.DUMMYFUNCTION("""COMPUTED_VALUE"""),23676)</f>
        <v>23676</v>
      </c>
      <c r="G300" s="6">
        <f t="shared" ca="1" si="5"/>
        <v>60</v>
      </c>
      <c r="H300" s="6" t="b">
        <f ca="1">(COUNTIFS(Deputados!A300:A1000, A300, Deputados!D300:D1000, "&lt;&gt;57")) = 0</f>
        <v>0</v>
      </c>
    </row>
    <row r="301" spans="1:8" ht="17.399999999999999">
      <c r="A301" s="10">
        <f ca="1">IFERROR(__xludf.DUMMYFUNCTION("""COMPUTED_VALUE"""),300)</f>
        <v>300</v>
      </c>
      <c r="B301" s="10" t="str">
        <f ca="1">IFERROR(__xludf.DUMMYFUNCTION("""COMPUTED_VALUE"""),"Jhonatan de Jesus")</f>
        <v>Jhonatan de Jesus</v>
      </c>
      <c r="C301" s="10" t="str">
        <f ca="1">IFERROR(__xludf.DUMMYFUNCTION("""COMPUTED_VALUE"""),"RR")</f>
        <v>RR</v>
      </c>
      <c r="D301" s="6" t="str">
        <f t="shared" ca="1" si="4"/>
        <v>Masculino</v>
      </c>
      <c r="E301" s="10" t="str">
        <f ca="1">IFERROR(__xludf.DUMMYFUNCTION("""COMPUTED_VALUE"""),"M")</f>
        <v>M</v>
      </c>
      <c r="F301" s="11">
        <f ca="1">IFERROR(__xludf.DUMMYFUNCTION("""COMPUTED_VALUE"""),30562)</f>
        <v>30562</v>
      </c>
      <c r="G301" s="6">
        <f t="shared" ca="1" si="5"/>
        <v>42</v>
      </c>
      <c r="H301" s="6" t="b">
        <f ca="1">(COUNTIFS(Deputados!A301:A1000, A301, Deputados!D301:D1000, "&lt;&gt;57")) = 0</f>
        <v>0</v>
      </c>
    </row>
    <row r="302" spans="1:8" ht="17.399999999999999">
      <c r="A302" s="10">
        <f ca="1">IFERROR(__xludf.DUMMYFUNCTION("""COMPUTED_VALUE"""),301)</f>
        <v>301</v>
      </c>
      <c r="B302" s="10" t="str">
        <f ca="1">IFERROR(__xludf.DUMMYFUNCTION("""COMPUTED_VALUE"""),"Jilmar Tatto")</f>
        <v>Jilmar Tatto</v>
      </c>
      <c r="C302" s="10" t="str">
        <f ca="1">IFERROR(__xludf.DUMMYFUNCTION("""COMPUTED_VALUE"""),"PR")</f>
        <v>PR</v>
      </c>
      <c r="D302" s="6" t="str">
        <f t="shared" ca="1" si="4"/>
        <v>Masculino</v>
      </c>
      <c r="E302" s="10" t="str">
        <f ca="1">IFERROR(__xludf.DUMMYFUNCTION("""COMPUTED_VALUE"""),"M")</f>
        <v>M</v>
      </c>
      <c r="F302" s="11">
        <f ca="1">IFERROR(__xludf.DUMMYFUNCTION("""COMPUTED_VALUE"""),23918)</f>
        <v>23918</v>
      </c>
      <c r="G302" s="6">
        <f t="shared" ca="1" si="5"/>
        <v>60</v>
      </c>
      <c r="H302" s="6" t="b">
        <f ca="1">(COUNTIFS(Deputados!A302:A1000, A302, Deputados!D302:D1000, "&lt;&gt;57")) = 0</f>
        <v>0</v>
      </c>
    </row>
    <row r="303" spans="1:8" ht="17.399999999999999">
      <c r="A303" s="10">
        <f ca="1">IFERROR(__xludf.DUMMYFUNCTION("""COMPUTED_VALUE"""),302)</f>
        <v>302</v>
      </c>
      <c r="B303" s="10" t="str">
        <f ca="1">IFERROR(__xludf.DUMMYFUNCTION("""COMPUTED_VALUE"""),"João Carlos Bacelar")</f>
        <v>João Carlos Bacelar</v>
      </c>
      <c r="C303" s="10" t="str">
        <f ca="1">IFERROR(__xludf.DUMMYFUNCTION("""COMPUTED_VALUE"""),"BA")</f>
        <v>BA</v>
      </c>
      <c r="D303" s="6" t="str">
        <f t="shared" ca="1" si="4"/>
        <v>Masculino</v>
      </c>
      <c r="E303" s="10" t="str">
        <f ca="1">IFERROR(__xludf.DUMMYFUNCTION("""COMPUTED_VALUE"""),"M")</f>
        <v>M</v>
      </c>
      <c r="F303" s="11">
        <f ca="1">IFERROR(__xludf.DUMMYFUNCTION("""COMPUTED_VALUE"""),26580)</f>
        <v>26580</v>
      </c>
      <c r="G303" s="6">
        <f t="shared" ca="1" si="5"/>
        <v>52</v>
      </c>
      <c r="H303" s="6" t="b">
        <f ca="1">(COUNTIFS(Deputados!A303:A1000, A303, Deputados!D303:D1000, "&lt;&gt;57")) = 0</f>
        <v>0</v>
      </c>
    </row>
    <row r="304" spans="1:8" ht="17.399999999999999">
      <c r="A304" s="10">
        <f ca="1">IFERROR(__xludf.DUMMYFUNCTION("""COMPUTED_VALUE"""),303)</f>
        <v>303</v>
      </c>
      <c r="B304" s="10" t="str">
        <f ca="1">IFERROR(__xludf.DUMMYFUNCTION("""COMPUTED_VALUE"""),"João Cury")</f>
        <v>João Cury</v>
      </c>
      <c r="C304" s="10" t="str">
        <f ca="1">IFERROR(__xludf.DUMMYFUNCTION("""COMPUTED_VALUE"""),"SP")</f>
        <v>SP</v>
      </c>
      <c r="D304" s="6" t="str">
        <f t="shared" ca="1" si="4"/>
        <v>Masculino</v>
      </c>
      <c r="E304" s="10" t="str">
        <f ca="1">IFERROR(__xludf.DUMMYFUNCTION("""COMPUTED_VALUE"""),"M")</f>
        <v>M</v>
      </c>
      <c r="F304" s="11">
        <f ca="1">IFERROR(__xludf.DUMMYFUNCTION("""COMPUTED_VALUE"""),26959)</f>
        <v>26959</v>
      </c>
      <c r="G304" s="6">
        <f t="shared" ca="1" si="5"/>
        <v>51</v>
      </c>
      <c r="H304" s="6" t="b">
        <f ca="1">(COUNTIFS(Deputados!A304:A1000, A304, Deputados!D304:D1000, "&lt;&gt;57")) = 0</f>
        <v>1</v>
      </c>
    </row>
    <row r="305" spans="1:8" ht="17.399999999999999">
      <c r="A305" s="10">
        <f ca="1">IFERROR(__xludf.DUMMYFUNCTION("""COMPUTED_VALUE"""),304)</f>
        <v>304</v>
      </c>
      <c r="B305" s="10" t="str">
        <f ca="1">IFERROR(__xludf.DUMMYFUNCTION("""COMPUTED_VALUE"""),"João Daniel")</f>
        <v>João Daniel</v>
      </c>
      <c r="C305" s="10" t="str">
        <f ca="1">IFERROR(__xludf.DUMMYFUNCTION("""COMPUTED_VALUE"""),"SC")</f>
        <v>SC</v>
      </c>
      <c r="D305" s="6" t="str">
        <f t="shared" ca="1" si="4"/>
        <v>Masculino</v>
      </c>
      <c r="E305" s="10" t="str">
        <f ca="1">IFERROR(__xludf.DUMMYFUNCTION("""COMPUTED_VALUE"""),"M")</f>
        <v>M</v>
      </c>
      <c r="F305" s="11">
        <f ca="1">IFERROR(__xludf.DUMMYFUNCTION("""COMPUTED_VALUE"""),24706)</f>
        <v>24706</v>
      </c>
      <c r="G305" s="6">
        <f t="shared" ca="1" si="5"/>
        <v>58</v>
      </c>
      <c r="H305" s="6" t="b">
        <f ca="1">(COUNTIFS(Deputados!A305:A1000, A305, Deputados!D305:D1000, "&lt;&gt;57")) = 0</f>
        <v>0</v>
      </c>
    </row>
    <row r="306" spans="1:8" ht="17.399999999999999">
      <c r="A306" s="10">
        <f ca="1">IFERROR(__xludf.DUMMYFUNCTION("""COMPUTED_VALUE"""),305)</f>
        <v>305</v>
      </c>
      <c r="B306" s="10" t="str">
        <f ca="1">IFERROR(__xludf.DUMMYFUNCTION("""COMPUTED_VALUE"""),"João Leão")</f>
        <v>João Leão</v>
      </c>
      <c r="C306" s="10" t="str">
        <f ca="1">IFERROR(__xludf.DUMMYFUNCTION("""COMPUTED_VALUE"""),"PE")</f>
        <v>PE</v>
      </c>
      <c r="D306" s="6" t="str">
        <f t="shared" ca="1" si="4"/>
        <v>Masculino</v>
      </c>
      <c r="E306" s="10" t="str">
        <f ca="1">IFERROR(__xludf.DUMMYFUNCTION("""COMPUTED_VALUE"""),"M")</f>
        <v>M</v>
      </c>
      <c r="F306" s="11">
        <f ca="1">IFERROR(__xludf.DUMMYFUNCTION("""COMPUTED_VALUE"""),16860)</f>
        <v>16860</v>
      </c>
      <c r="G306" s="6">
        <f t="shared" ca="1" si="5"/>
        <v>79</v>
      </c>
      <c r="H306" s="6" t="b">
        <f ca="1">(COUNTIFS(Deputados!A306:A1000, A306, Deputados!D306:D1000, "&lt;&gt;57")) = 0</f>
        <v>0</v>
      </c>
    </row>
    <row r="307" spans="1:8" ht="17.399999999999999">
      <c r="A307" s="10">
        <f ca="1">IFERROR(__xludf.DUMMYFUNCTION("""COMPUTED_VALUE"""),306)</f>
        <v>306</v>
      </c>
      <c r="B307" s="10" t="str">
        <f ca="1">IFERROR(__xludf.DUMMYFUNCTION("""COMPUTED_VALUE"""),"João Maia")</f>
        <v>João Maia</v>
      </c>
      <c r="C307" s="10" t="str">
        <f ca="1">IFERROR(__xludf.DUMMYFUNCTION("""COMPUTED_VALUE"""),"PB")</f>
        <v>PB</v>
      </c>
      <c r="D307" s="6" t="str">
        <f t="shared" ca="1" si="4"/>
        <v>Masculino</v>
      </c>
      <c r="E307" s="10" t="str">
        <f ca="1">IFERROR(__xludf.DUMMYFUNCTION("""COMPUTED_VALUE"""),"M")</f>
        <v>M</v>
      </c>
      <c r="F307" s="11">
        <f ca="1">IFERROR(__xludf.DUMMYFUNCTION("""COMPUTED_VALUE"""),19622)</f>
        <v>19622</v>
      </c>
      <c r="G307" s="6">
        <f t="shared" ca="1" si="5"/>
        <v>71</v>
      </c>
      <c r="H307" s="6" t="b">
        <f ca="1">(COUNTIFS(Deputados!A307:A1000, A307, Deputados!D307:D1000, "&lt;&gt;57")) = 0</f>
        <v>0</v>
      </c>
    </row>
    <row r="308" spans="1:8" ht="17.399999999999999">
      <c r="A308" s="10">
        <f ca="1">IFERROR(__xludf.DUMMYFUNCTION("""COMPUTED_VALUE"""),307)</f>
        <v>307</v>
      </c>
      <c r="B308" s="10" t="str">
        <f ca="1">IFERROR(__xludf.DUMMYFUNCTION("""COMPUTED_VALUE"""),"Joaquim Passarinho")</f>
        <v>Joaquim Passarinho</v>
      </c>
      <c r="C308" s="10" t="str">
        <f ca="1">IFERROR(__xludf.DUMMYFUNCTION("""COMPUTED_VALUE"""),"PA")</f>
        <v>PA</v>
      </c>
      <c r="D308" s="6" t="str">
        <f t="shared" ca="1" si="4"/>
        <v>Masculino</v>
      </c>
      <c r="E308" s="10" t="str">
        <f ca="1">IFERROR(__xludf.DUMMYFUNCTION("""COMPUTED_VALUE"""),"M")</f>
        <v>M</v>
      </c>
      <c r="F308" s="11">
        <f ca="1">IFERROR(__xludf.DUMMYFUNCTION("""COMPUTED_VALUE"""),22617)</f>
        <v>22617</v>
      </c>
      <c r="G308" s="6">
        <f t="shared" ca="1" si="5"/>
        <v>63</v>
      </c>
      <c r="H308" s="6" t="b">
        <f ca="1">(COUNTIFS(Deputados!A308:A1000, A308, Deputados!D308:D1000, "&lt;&gt;57")) = 0</f>
        <v>0</v>
      </c>
    </row>
    <row r="309" spans="1:8" ht="17.399999999999999">
      <c r="A309" s="10">
        <f ca="1">IFERROR(__xludf.DUMMYFUNCTION("""COMPUTED_VALUE"""),308)</f>
        <v>308</v>
      </c>
      <c r="B309" s="10" t="str">
        <f ca="1">IFERROR(__xludf.DUMMYFUNCTION("""COMPUTED_VALUE"""),"Jonas Donizette")</f>
        <v>Jonas Donizette</v>
      </c>
      <c r="C309" s="10" t="str">
        <f ca="1">IFERROR(__xludf.DUMMYFUNCTION("""COMPUTED_VALUE"""),"MG")</f>
        <v>MG</v>
      </c>
      <c r="D309" s="6" t="str">
        <f t="shared" ca="1" si="4"/>
        <v>Masculino</v>
      </c>
      <c r="E309" s="10" t="str">
        <f ca="1">IFERROR(__xludf.DUMMYFUNCTION("""COMPUTED_VALUE"""),"M")</f>
        <v>M</v>
      </c>
      <c r="F309" s="11">
        <f ca="1">IFERROR(__xludf.DUMMYFUNCTION("""COMPUTED_VALUE"""),23918)</f>
        <v>23918</v>
      </c>
      <c r="G309" s="6">
        <f t="shared" ca="1" si="5"/>
        <v>60</v>
      </c>
      <c r="H309" s="6" t="b">
        <f ca="1">(COUNTIFS(Deputados!A309:A1000, A309, Deputados!D309:D1000, "&lt;&gt;57")) = 0</f>
        <v>0</v>
      </c>
    </row>
    <row r="310" spans="1:8" ht="17.399999999999999">
      <c r="A310" s="10">
        <f ca="1">IFERROR(__xludf.DUMMYFUNCTION("""COMPUTED_VALUE"""),309)</f>
        <v>309</v>
      </c>
      <c r="B310" s="10" t="str">
        <f ca="1">IFERROR(__xludf.DUMMYFUNCTION("""COMPUTED_VALUE"""),"Jones Moura")</f>
        <v>Jones Moura</v>
      </c>
      <c r="C310" s="10" t="str">
        <f ca="1">IFERROR(__xludf.DUMMYFUNCTION("""COMPUTED_VALUE"""),"RJ")</f>
        <v>RJ</v>
      </c>
      <c r="D310" s="6" t="str">
        <f t="shared" ca="1" si="4"/>
        <v>Masculino</v>
      </c>
      <c r="E310" s="10" t="str">
        <f ca="1">IFERROR(__xludf.DUMMYFUNCTION("""COMPUTED_VALUE"""),"M")</f>
        <v>M</v>
      </c>
      <c r="F310" s="11">
        <f ca="1">IFERROR(__xludf.DUMMYFUNCTION("""COMPUTED_VALUE"""),27196)</f>
        <v>27196</v>
      </c>
      <c r="G310" s="6">
        <f t="shared" ca="1" si="5"/>
        <v>51</v>
      </c>
      <c r="H310" s="6" t="b">
        <f ca="1">(COUNTIFS(Deputados!A310:A1000, A310, Deputados!D310:D1000, "&lt;&gt;57")) = 0</f>
        <v>0</v>
      </c>
    </row>
    <row r="311" spans="1:8" ht="17.399999999999999">
      <c r="A311" s="10">
        <f ca="1">IFERROR(__xludf.DUMMYFUNCTION("""COMPUTED_VALUE"""),310)</f>
        <v>310</v>
      </c>
      <c r="B311" s="10" t="str">
        <f ca="1">IFERROR(__xludf.DUMMYFUNCTION("""COMPUTED_VALUE"""),"Jorge Braz")</f>
        <v>Jorge Braz</v>
      </c>
      <c r="C311" s="10" t="str">
        <f ca="1">IFERROR(__xludf.DUMMYFUNCTION("""COMPUTED_VALUE"""),"MG")</f>
        <v>MG</v>
      </c>
      <c r="D311" s="6" t="str">
        <f t="shared" ca="1" si="4"/>
        <v>Masculino</v>
      </c>
      <c r="E311" s="10" t="str">
        <f ca="1">IFERROR(__xludf.DUMMYFUNCTION("""COMPUTED_VALUE"""),"M")</f>
        <v>M</v>
      </c>
      <c r="F311" s="11">
        <f ca="1">IFERROR(__xludf.DUMMYFUNCTION("""COMPUTED_VALUE"""),19553)</f>
        <v>19553</v>
      </c>
      <c r="G311" s="6">
        <f t="shared" ca="1" si="5"/>
        <v>72</v>
      </c>
      <c r="H311" s="6" t="b">
        <f ca="1">(COUNTIFS(Deputados!A311:A1000, A311, Deputados!D311:D1000, "&lt;&gt;57")) = 0</f>
        <v>0</v>
      </c>
    </row>
    <row r="312" spans="1:8" ht="17.399999999999999">
      <c r="A312" s="10">
        <f ca="1">IFERROR(__xludf.DUMMYFUNCTION("""COMPUTED_VALUE"""),311)</f>
        <v>311</v>
      </c>
      <c r="B312" s="10" t="str">
        <f ca="1">IFERROR(__xludf.DUMMYFUNCTION("""COMPUTED_VALUE"""),"Jorge Goetten")</f>
        <v>Jorge Goetten</v>
      </c>
      <c r="C312" s="10" t="str">
        <f ca="1">IFERROR(__xludf.DUMMYFUNCTION("""COMPUTED_VALUE"""),"SC")</f>
        <v>SC</v>
      </c>
      <c r="D312" s="6" t="str">
        <f t="shared" ca="1" si="4"/>
        <v>Masculino</v>
      </c>
      <c r="E312" s="10" t="str">
        <f ca="1">IFERROR(__xludf.DUMMYFUNCTION("""COMPUTED_VALUE"""),"M")</f>
        <v>M</v>
      </c>
      <c r="F312" s="11">
        <f ca="1">IFERROR(__xludf.DUMMYFUNCTION("""COMPUTED_VALUE"""),22746)</f>
        <v>22746</v>
      </c>
      <c r="G312" s="6">
        <f t="shared" ca="1" si="5"/>
        <v>63</v>
      </c>
      <c r="H312" s="6" t="b">
        <f ca="1">(COUNTIFS(Deputados!A312:A1000, A312, Deputados!D312:D1000, "&lt;&gt;57")) = 0</f>
        <v>0</v>
      </c>
    </row>
    <row r="313" spans="1:8" ht="17.399999999999999">
      <c r="A313" s="10">
        <f ca="1">IFERROR(__xludf.DUMMYFUNCTION("""COMPUTED_VALUE"""),312)</f>
        <v>312</v>
      </c>
      <c r="B313" s="10" t="str">
        <f ca="1">IFERROR(__xludf.DUMMYFUNCTION("""COMPUTED_VALUE"""),"Jorge Solla")</f>
        <v>Jorge Solla</v>
      </c>
      <c r="C313" s="10" t="str">
        <f ca="1">IFERROR(__xludf.DUMMYFUNCTION("""COMPUTED_VALUE"""),"BA")</f>
        <v>BA</v>
      </c>
      <c r="D313" s="6" t="str">
        <f t="shared" ca="1" si="4"/>
        <v>Masculino</v>
      </c>
      <c r="E313" s="10" t="str">
        <f ca="1">IFERROR(__xludf.DUMMYFUNCTION("""COMPUTED_VALUE"""),"M")</f>
        <v>M</v>
      </c>
      <c r="F313" s="11">
        <f ca="1">IFERROR(__xludf.DUMMYFUNCTION("""COMPUTED_VALUE"""),22382)</f>
        <v>22382</v>
      </c>
      <c r="G313" s="6">
        <f t="shared" ca="1" si="5"/>
        <v>64</v>
      </c>
      <c r="H313" s="6" t="b">
        <f ca="1">(COUNTIFS(Deputados!A313:A1000, A313, Deputados!D313:D1000, "&lt;&gt;57")) = 0</f>
        <v>0</v>
      </c>
    </row>
    <row r="314" spans="1:8" ht="17.399999999999999">
      <c r="A314" s="10">
        <f ca="1">IFERROR(__xludf.DUMMYFUNCTION("""COMPUTED_VALUE"""),313)</f>
        <v>313</v>
      </c>
      <c r="B314" s="10" t="str">
        <f ca="1">IFERROR(__xludf.DUMMYFUNCTION("""COMPUTED_VALUE"""),"José Airton Félix Cirilo")</f>
        <v>José Airton Félix Cirilo</v>
      </c>
      <c r="C314" s="10" t="str">
        <f ca="1">IFERROR(__xludf.DUMMYFUNCTION("""COMPUTED_VALUE"""),"CE")</f>
        <v>CE</v>
      </c>
      <c r="D314" s="6" t="str">
        <f t="shared" ca="1" si="4"/>
        <v>Masculino</v>
      </c>
      <c r="E314" s="10" t="str">
        <f ca="1">IFERROR(__xludf.DUMMYFUNCTION("""COMPUTED_VALUE"""),"M")</f>
        <v>M</v>
      </c>
      <c r="F314" s="11">
        <f ca="1">IFERROR(__xludf.DUMMYFUNCTION("""COMPUTED_VALUE"""),20872)</f>
        <v>20872</v>
      </c>
      <c r="G314" s="6">
        <f t="shared" ca="1" si="5"/>
        <v>68</v>
      </c>
      <c r="H314" s="6" t="b">
        <f ca="1">(COUNTIFS(Deputados!A314:A1000, A314, Deputados!D314:D1000, "&lt;&gt;57")) = 0</f>
        <v>0</v>
      </c>
    </row>
    <row r="315" spans="1:8" ht="17.399999999999999">
      <c r="A315" s="10">
        <f ca="1">IFERROR(__xludf.DUMMYFUNCTION("""COMPUTED_VALUE"""),314)</f>
        <v>314</v>
      </c>
      <c r="B315" s="10" t="str">
        <f ca="1">IFERROR(__xludf.DUMMYFUNCTION("""COMPUTED_VALUE"""),"José Guimarães")</f>
        <v>José Guimarães</v>
      </c>
      <c r="C315" s="10" t="str">
        <f ca="1">IFERROR(__xludf.DUMMYFUNCTION("""COMPUTED_VALUE"""),"CE")</f>
        <v>CE</v>
      </c>
      <c r="D315" s="6" t="str">
        <f t="shared" ca="1" si="4"/>
        <v>Masculino</v>
      </c>
      <c r="E315" s="10" t="str">
        <f ca="1">IFERROR(__xludf.DUMMYFUNCTION("""COMPUTED_VALUE"""),"M")</f>
        <v>M</v>
      </c>
      <c r="F315" s="11">
        <f ca="1">IFERROR(__xludf.DUMMYFUNCTION("""COMPUTED_VALUE"""),20864)</f>
        <v>20864</v>
      </c>
      <c r="G315" s="6">
        <f t="shared" ca="1" si="5"/>
        <v>68</v>
      </c>
      <c r="H315" s="6" t="b">
        <f ca="1">(COUNTIFS(Deputados!A315:A1000, A315, Deputados!D315:D1000, "&lt;&gt;57")) = 0</f>
        <v>0</v>
      </c>
    </row>
    <row r="316" spans="1:8" ht="17.399999999999999">
      <c r="A316" s="10">
        <f ca="1">IFERROR(__xludf.DUMMYFUNCTION("""COMPUTED_VALUE"""),315)</f>
        <v>315</v>
      </c>
      <c r="B316" s="10" t="str">
        <f ca="1">IFERROR(__xludf.DUMMYFUNCTION("""COMPUTED_VALUE"""),"José Medeiros")</f>
        <v>José Medeiros</v>
      </c>
      <c r="C316" s="10" t="str">
        <f ca="1">IFERROR(__xludf.DUMMYFUNCTION("""COMPUTED_VALUE"""),"RN")</f>
        <v>RN</v>
      </c>
      <c r="D316" s="6" t="str">
        <f t="shared" ca="1" si="4"/>
        <v>Masculino</v>
      </c>
      <c r="E316" s="10" t="str">
        <f ca="1">IFERROR(__xludf.DUMMYFUNCTION("""COMPUTED_VALUE"""),"M")</f>
        <v>M</v>
      </c>
      <c r="F316" s="11">
        <f ca="1">IFERROR(__xludf.DUMMYFUNCTION("""COMPUTED_VALUE"""),25646)</f>
        <v>25646</v>
      </c>
      <c r="G316" s="6">
        <f t="shared" ca="1" si="5"/>
        <v>55</v>
      </c>
      <c r="H316" s="6" t="b">
        <f ca="1">(COUNTIFS(Deputados!A316:A1000, A316, Deputados!D316:D1000, "&lt;&gt;57")) = 0</f>
        <v>0</v>
      </c>
    </row>
    <row r="317" spans="1:8" ht="17.399999999999999">
      <c r="A317" s="10">
        <f ca="1">IFERROR(__xludf.DUMMYFUNCTION("""COMPUTED_VALUE"""),316)</f>
        <v>316</v>
      </c>
      <c r="B317" s="10" t="str">
        <f ca="1">IFERROR(__xludf.DUMMYFUNCTION("""COMPUTED_VALUE"""),"José Nelto")</f>
        <v>José Nelto</v>
      </c>
      <c r="C317" s="10" t="str">
        <f ca="1">IFERROR(__xludf.DUMMYFUNCTION("""COMPUTED_VALUE"""),"MG")</f>
        <v>MG</v>
      </c>
      <c r="D317" s="6" t="str">
        <f t="shared" ca="1" si="4"/>
        <v>Masculino</v>
      </c>
      <c r="E317" s="10" t="str">
        <f ca="1">IFERROR(__xludf.DUMMYFUNCTION("""COMPUTED_VALUE"""),"M")</f>
        <v>M</v>
      </c>
      <c r="F317" s="11">
        <f ca="1">IFERROR(__xludf.DUMMYFUNCTION("""COMPUTED_VALUE"""),22178)</f>
        <v>22178</v>
      </c>
      <c r="G317" s="6">
        <f t="shared" ca="1" si="5"/>
        <v>64</v>
      </c>
      <c r="H317" s="6" t="b">
        <f ca="1">(COUNTIFS(Deputados!A317:A1000, A317, Deputados!D317:D1000, "&lt;&gt;57")) = 0</f>
        <v>0</v>
      </c>
    </row>
    <row r="318" spans="1:8" ht="17.399999999999999">
      <c r="A318" s="10">
        <f ca="1">IFERROR(__xludf.DUMMYFUNCTION("""COMPUTED_VALUE"""),317)</f>
        <v>317</v>
      </c>
      <c r="B318" s="10" t="str">
        <f ca="1">IFERROR(__xludf.DUMMYFUNCTION("""COMPUTED_VALUE"""),"José Priante")</f>
        <v>José Priante</v>
      </c>
      <c r="C318" s="10" t="str">
        <f ca="1">IFERROR(__xludf.DUMMYFUNCTION("""COMPUTED_VALUE"""),"PA")</f>
        <v>PA</v>
      </c>
      <c r="D318" s="6" t="str">
        <f t="shared" ca="1" si="4"/>
        <v>Masculino</v>
      </c>
      <c r="E318" s="10" t="str">
        <f ca="1">IFERROR(__xludf.DUMMYFUNCTION("""COMPUTED_VALUE"""),"M")</f>
        <v>M</v>
      </c>
      <c r="F318" s="11">
        <f ca="1">IFERROR(__xludf.DUMMYFUNCTION("""COMPUTED_VALUE"""),23347)</f>
        <v>23347</v>
      </c>
      <c r="G318" s="6">
        <f t="shared" ca="1" si="5"/>
        <v>61</v>
      </c>
      <c r="H318" s="6" t="b">
        <f ca="1">(COUNTIFS(Deputados!A318:A1000, A318, Deputados!D318:D1000, "&lt;&gt;57")) = 0</f>
        <v>0</v>
      </c>
    </row>
    <row r="319" spans="1:8" ht="17.399999999999999">
      <c r="A319" s="10">
        <f ca="1">IFERROR(__xludf.DUMMYFUNCTION("""COMPUTED_VALUE"""),318)</f>
        <v>318</v>
      </c>
      <c r="B319" s="10" t="str">
        <f ca="1">IFERROR(__xludf.DUMMYFUNCTION("""COMPUTED_VALUE"""),"José Rocha")</f>
        <v>José Rocha</v>
      </c>
      <c r="C319" s="10" t="str">
        <f ca="1">IFERROR(__xludf.DUMMYFUNCTION("""COMPUTED_VALUE"""),"BA")</f>
        <v>BA</v>
      </c>
      <c r="D319" s="6" t="str">
        <f t="shared" ca="1" si="4"/>
        <v>Masculino</v>
      </c>
      <c r="E319" s="10" t="str">
        <f ca="1">IFERROR(__xludf.DUMMYFUNCTION("""COMPUTED_VALUE"""),"M")</f>
        <v>M</v>
      </c>
      <c r="F319" s="11">
        <f ca="1">IFERROR(__xludf.DUMMYFUNCTION("""COMPUTED_VALUE"""),17763)</f>
        <v>17763</v>
      </c>
      <c r="G319" s="6">
        <f t="shared" ca="1" si="5"/>
        <v>77</v>
      </c>
      <c r="H319" s="6" t="b">
        <f ca="1">(COUNTIFS(Deputados!A319:A1000, A319, Deputados!D319:D1000, "&lt;&gt;57")) = 0</f>
        <v>0</v>
      </c>
    </row>
    <row r="320" spans="1:8" ht="17.399999999999999">
      <c r="A320" s="10">
        <f ca="1">IFERROR(__xludf.DUMMYFUNCTION("""COMPUTED_VALUE"""),319)</f>
        <v>319</v>
      </c>
      <c r="B320" s="10" t="str">
        <f ca="1">IFERROR(__xludf.DUMMYFUNCTION("""COMPUTED_VALUE"""),"Joseildo Ramos")</f>
        <v>Joseildo Ramos</v>
      </c>
      <c r="C320" s="10" t="str">
        <f ca="1">IFERROR(__xludf.DUMMYFUNCTION("""COMPUTED_VALUE"""),"BA")</f>
        <v>BA</v>
      </c>
      <c r="D320" s="6" t="str">
        <f t="shared" ca="1" si="4"/>
        <v>Masculino</v>
      </c>
      <c r="E320" s="10" t="str">
        <f ca="1">IFERROR(__xludf.DUMMYFUNCTION("""COMPUTED_VALUE"""),"M")</f>
        <v>M</v>
      </c>
      <c r="F320" s="11">
        <f ca="1">IFERROR(__xludf.DUMMYFUNCTION("""COMPUTED_VALUE"""),21055)</f>
        <v>21055</v>
      </c>
      <c r="G320" s="6">
        <f t="shared" ca="1" si="5"/>
        <v>68</v>
      </c>
      <c r="H320" s="6" t="b">
        <f ca="1">(COUNTIFS(Deputados!A320:A1000, A320, Deputados!D320:D1000, "&lt;&gt;57")) = 0</f>
        <v>0</v>
      </c>
    </row>
    <row r="321" spans="1:8" ht="17.399999999999999">
      <c r="A321" s="10">
        <f ca="1">IFERROR(__xludf.DUMMYFUNCTION("""COMPUTED_VALUE"""),320)</f>
        <v>320</v>
      </c>
      <c r="B321" s="10" t="str">
        <f ca="1">IFERROR(__xludf.DUMMYFUNCTION("""COMPUTED_VALUE"""),"Josenildo")</f>
        <v>Josenildo</v>
      </c>
      <c r="C321" s="10" t="str">
        <f ca="1">IFERROR(__xludf.DUMMYFUNCTION("""COMPUTED_VALUE"""),"AP")</f>
        <v>AP</v>
      </c>
      <c r="D321" s="6" t="str">
        <f t="shared" ca="1" si="4"/>
        <v>Masculino</v>
      </c>
      <c r="E321" s="10" t="str">
        <f ca="1">IFERROR(__xludf.DUMMYFUNCTION("""COMPUTED_VALUE"""),"M")</f>
        <v>M</v>
      </c>
      <c r="F321" s="11">
        <f ca="1">IFERROR(__xludf.DUMMYFUNCTION("""COMPUTED_VALUE"""),26752)</f>
        <v>26752</v>
      </c>
      <c r="G321" s="6">
        <f t="shared" ca="1" si="5"/>
        <v>52</v>
      </c>
      <c r="H321" s="6" t="b">
        <f ca="1">(COUNTIFS(Deputados!A321:A1000, A321, Deputados!D321:D1000, "&lt;&gt;57")) = 0</f>
        <v>1</v>
      </c>
    </row>
    <row r="322" spans="1:8" ht="17.399999999999999">
      <c r="A322" s="10">
        <f ca="1">IFERROR(__xludf.DUMMYFUNCTION("""COMPUTED_VALUE"""),321)</f>
        <v>321</v>
      </c>
      <c r="B322" s="10" t="str">
        <f ca="1">IFERROR(__xludf.DUMMYFUNCTION("""COMPUTED_VALUE"""),"Josias Gomes")</f>
        <v>Josias Gomes</v>
      </c>
      <c r="C322" s="10" t="str">
        <f ca="1">IFERROR(__xludf.DUMMYFUNCTION("""COMPUTED_VALUE"""),"PE")</f>
        <v>PE</v>
      </c>
      <c r="D322" s="6" t="str">
        <f t="shared" ca="1" si="4"/>
        <v>Masculino</v>
      </c>
      <c r="E322" s="10" t="str">
        <f ca="1">IFERROR(__xludf.DUMMYFUNCTION("""COMPUTED_VALUE"""),"M")</f>
        <v>M</v>
      </c>
      <c r="F322" s="11">
        <f ca="1">IFERROR(__xludf.DUMMYFUNCTION("""COMPUTED_VALUE"""),20742)</f>
        <v>20742</v>
      </c>
      <c r="G322" s="6">
        <f t="shared" ca="1" si="5"/>
        <v>68</v>
      </c>
      <c r="H322" s="6" t="b">
        <f ca="1">(COUNTIFS(Deputados!A322:A1000, A322, Deputados!D322:D1000, "&lt;&gt;57")) = 0</f>
        <v>0</v>
      </c>
    </row>
    <row r="323" spans="1:8" ht="17.399999999999999">
      <c r="A323" s="10">
        <f ca="1">IFERROR(__xludf.DUMMYFUNCTION("""COMPUTED_VALUE"""),322)</f>
        <v>322</v>
      </c>
      <c r="B323" s="10" t="str">
        <f ca="1">IFERROR(__xludf.DUMMYFUNCTION("""COMPUTED_VALUE"""),"Josimar Maranhãozinho")</f>
        <v>Josimar Maranhãozinho</v>
      </c>
      <c r="C323" s="10" t="str">
        <f ca="1">IFERROR(__xludf.DUMMYFUNCTION("""COMPUTED_VALUE"""),"CE")</f>
        <v>CE</v>
      </c>
      <c r="D323" s="6" t="str">
        <f t="shared" ca="1" si="4"/>
        <v>Masculino</v>
      </c>
      <c r="E323" s="10" t="str">
        <f ca="1">IFERROR(__xludf.DUMMYFUNCTION("""COMPUTED_VALUE"""),"M")</f>
        <v>M</v>
      </c>
      <c r="F323" s="11">
        <f ca="1">IFERROR(__xludf.DUMMYFUNCTION("""COMPUTED_VALUE"""),28077)</f>
        <v>28077</v>
      </c>
      <c r="G323" s="6">
        <f t="shared" ca="1" si="5"/>
        <v>48</v>
      </c>
      <c r="H323" s="6" t="b">
        <f ca="1">(COUNTIFS(Deputados!A323:A1000, A323, Deputados!D323:D1000, "&lt;&gt;57")) = 0</f>
        <v>0</v>
      </c>
    </row>
    <row r="324" spans="1:8" ht="17.399999999999999">
      <c r="A324" s="10">
        <f ca="1">IFERROR(__xludf.DUMMYFUNCTION("""COMPUTED_VALUE"""),323)</f>
        <v>323</v>
      </c>
      <c r="B324" s="10" t="str">
        <f ca="1">IFERROR(__xludf.DUMMYFUNCTION("""COMPUTED_VALUE"""),"Josivaldo JP")</f>
        <v>Josivaldo JP</v>
      </c>
      <c r="C324" s="10" t="str">
        <f ca="1">IFERROR(__xludf.DUMMYFUNCTION("""COMPUTED_VALUE"""),"PA")</f>
        <v>PA</v>
      </c>
      <c r="D324" s="6" t="str">
        <f t="shared" ca="1" si="4"/>
        <v>Masculino</v>
      </c>
      <c r="E324" s="10" t="str">
        <f ca="1">IFERROR(__xludf.DUMMYFUNCTION("""COMPUTED_VALUE"""),"M")</f>
        <v>M</v>
      </c>
      <c r="F324" s="11">
        <f ca="1">IFERROR(__xludf.DUMMYFUNCTION("""COMPUTED_VALUE"""),30649)</f>
        <v>30649</v>
      </c>
      <c r="G324" s="6">
        <f t="shared" ca="1" si="5"/>
        <v>41</v>
      </c>
      <c r="H324" s="6" t="b">
        <f ca="1">(COUNTIFS(Deputados!A324:A1000, A324, Deputados!D324:D1000, "&lt;&gt;57")) = 0</f>
        <v>0</v>
      </c>
    </row>
    <row r="325" spans="1:8" ht="17.399999999999999">
      <c r="A325" s="10">
        <f ca="1">IFERROR(__xludf.DUMMYFUNCTION("""COMPUTED_VALUE"""),324)</f>
        <v>324</v>
      </c>
      <c r="B325" s="10" t="str">
        <f ca="1">IFERROR(__xludf.DUMMYFUNCTION("""COMPUTED_VALUE"""),"Juarez Costa")</f>
        <v>Juarez Costa</v>
      </c>
      <c r="C325" s="10" t="str">
        <f ca="1">IFERROR(__xludf.DUMMYFUNCTION("""COMPUTED_VALUE"""),"PR")</f>
        <v>PR</v>
      </c>
      <c r="D325" s="6" t="str">
        <f t="shared" ca="1" si="4"/>
        <v>Masculino</v>
      </c>
      <c r="E325" s="10" t="str">
        <f ca="1">IFERROR(__xludf.DUMMYFUNCTION("""COMPUTED_VALUE"""),"M")</f>
        <v>M</v>
      </c>
      <c r="F325" s="11">
        <f ca="1">IFERROR(__xludf.DUMMYFUNCTION("""COMPUTED_VALUE"""),21935)</f>
        <v>21935</v>
      </c>
      <c r="G325" s="6">
        <f t="shared" ca="1" si="5"/>
        <v>65</v>
      </c>
      <c r="H325" s="6" t="b">
        <f ca="1">(COUNTIFS(Deputados!A325:A1000, A325, Deputados!D325:D1000, "&lt;&gt;57")) = 0</f>
        <v>0</v>
      </c>
    </row>
    <row r="326" spans="1:8" ht="17.399999999999999">
      <c r="A326" s="10">
        <f ca="1">IFERROR(__xludf.DUMMYFUNCTION("""COMPUTED_VALUE"""),325)</f>
        <v>325</v>
      </c>
      <c r="B326" s="10" t="str">
        <f ca="1">IFERROR(__xludf.DUMMYFUNCTION("""COMPUTED_VALUE"""),"Julia Zanatta")</f>
        <v>Julia Zanatta</v>
      </c>
      <c r="C326" s="10" t="str">
        <f ca="1">IFERROR(__xludf.DUMMYFUNCTION("""COMPUTED_VALUE"""),"SC")</f>
        <v>SC</v>
      </c>
      <c r="D326" s="6" t="str">
        <f t="shared" ca="1" si="4"/>
        <v>Feminino</v>
      </c>
      <c r="E326" s="10" t="str">
        <f ca="1">IFERROR(__xludf.DUMMYFUNCTION("""COMPUTED_VALUE"""),"F")</f>
        <v>F</v>
      </c>
      <c r="F326" s="11">
        <f ca="1">IFERROR(__xludf.DUMMYFUNCTION("""COMPUTED_VALUE"""),31126)</f>
        <v>31126</v>
      </c>
      <c r="G326" s="6">
        <f t="shared" ca="1" si="5"/>
        <v>40</v>
      </c>
      <c r="H326" s="6" t="b">
        <f ca="1">(COUNTIFS(Deputados!A326:A1000, A326, Deputados!D326:D1000, "&lt;&gt;57")) = 0</f>
        <v>1</v>
      </c>
    </row>
    <row r="327" spans="1:8" ht="17.399999999999999">
      <c r="A327" s="10">
        <f ca="1">IFERROR(__xludf.DUMMYFUNCTION("""COMPUTED_VALUE"""),326)</f>
        <v>326</v>
      </c>
      <c r="B327" s="10" t="str">
        <f ca="1">IFERROR(__xludf.DUMMYFUNCTION("""COMPUTED_VALUE"""),"Juliana Cardoso")</f>
        <v>Juliana Cardoso</v>
      </c>
      <c r="C327" s="10" t="str">
        <f ca="1">IFERROR(__xludf.DUMMYFUNCTION("""COMPUTED_VALUE"""),"SP")</f>
        <v>SP</v>
      </c>
      <c r="D327" s="6" t="str">
        <f t="shared" ca="1" si="4"/>
        <v>Feminino</v>
      </c>
      <c r="E327" s="10" t="str">
        <f ca="1">IFERROR(__xludf.DUMMYFUNCTION("""COMPUTED_VALUE"""),"F")</f>
        <v>F</v>
      </c>
      <c r="F327" s="11">
        <f ca="1">IFERROR(__xludf.DUMMYFUNCTION("""COMPUTED_VALUE"""),29150)</f>
        <v>29150</v>
      </c>
      <c r="G327" s="6">
        <f t="shared" ca="1" si="5"/>
        <v>45</v>
      </c>
      <c r="H327" s="6" t="b">
        <f ca="1">(COUNTIFS(Deputados!A327:A1000, A327, Deputados!D327:D1000, "&lt;&gt;57")) = 0</f>
        <v>1</v>
      </c>
    </row>
    <row r="328" spans="1:8" ht="17.399999999999999">
      <c r="A328" s="10">
        <f ca="1">IFERROR(__xludf.DUMMYFUNCTION("""COMPUTED_VALUE"""),327)</f>
        <v>327</v>
      </c>
      <c r="B328" s="10" t="str">
        <f ca="1">IFERROR(__xludf.DUMMYFUNCTION("""COMPUTED_VALUE"""),"Juliana Kolankiewicz")</f>
        <v>Juliana Kolankiewicz</v>
      </c>
      <c r="C328" s="10" t="str">
        <f ca="1">IFERROR(__xludf.DUMMYFUNCTION("""COMPUTED_VALUE"""),"PR")</f>
        <v>PR</v>
      </c>
      <c r="D328" s="6" t="str">
        <f t="shared" ca="1" si="4"/>
        <v>Feminino</v>
      </c>
      <c r="E328" s="10" t="str">
        <f ca="1">IFERROR(__xludf.DUMMYFUNCTION("""COMPUTED_VALUE"""),"F")</f>
        <v>F</v>
      </c>
      <c r="F328" s="11">
        <f ca="1">IFERROR(__xludf.DUMMYFUNCTION("""COMPUTED_VALUE"""),29078)</f>
        <v>29078</v>
      </c>
      <c r="G328" s="6">
        <f t="shared" ca="1" si="5"/>
        <v>46</v>
      </c>
      <c r="H328" s="6" t="b">
        <f ca="1">(COUNTIFS(Deputados!A328:A1000, A328, Deputados!D328:D1000, "&lt;&gt;57")) = 0</f>
        <v>1</v>
      </c>
    </row>
    <row r="329" spans="1:8" ht="17.399999999999999">
      <c r="A329" s="10">
        <f ca="1">IFERROR(__xludf.DUMMYFUNCTION("""COMPUTED_VALUE"""),328)</f>
        <v>328</v>
      </c>
      <c r="B329" s="10" t="str">
        <f ca="1">IFERROR(__xludf.DUMMYFUNCTION("""COMPUTED_VALUE"""),"Julio Arcoverde")</f>
        <v>Julio Arcoverde</v>
      </c>
      <c r="C329" s="10" t="str">
        <f ca="1">IFERROR(__xludf.DUMMYFUNCTION("""COMPUTED_VALUE"""),"PI")</f>
        <v>PI</v>
      </c>
      <c r="D329" s="6" t="str">
        <f t="shared" ca="1" si="4"/>
        <v>Masculino</v>
      </c>
      <c r="E329" s="10" t="str">
        <f ca="1">IFERROR(__xludf.DUMMYFUNCTION("""COMPUTED_VALUE"""),"M")</f>
        <v>M</v>
      </c>
      <c r="F329" s="11">
        <f ca="1">IFERROR(__xludf.DUMMYFUNCTION("""COMPUTED_VALUE"""),24152)</f>
        <v>24152</v>
      </c>
      <c r="G329" s="6">
        <f t="shared" ca="1" si="5"/>
        <v>59</v>
      </c>
      <c r="H329" s="6" t="b">
        <f ca="1">(COUNTIFS(Deputados!A329:A1000, A329, Deputados!D329:D1000, "&lt;&gt;57")) = 0</f>
        <v>1</v>
      </c>
    </row>
    <row r="330" spans="1:8" ht="17.399999999999999">
      <c r="A330" s="10">
        <f ca="1">IFERROR(__xludf.DUMMYFUNCTION("""COMPUTED_VALUE"""),329)</f>
        <v>329</v>
      </c>
      <c r="B330" s="10" t="str">
        <f ca="1">IFERROR(__xludf.DUMMYFUNCTION("""COMPUTED_VALUE"""),"Júlio Cesar")</f>
        <v>Júlio Cesar</v>
      </c>
      <c r="C330" s="10" t="str">
        <f ca="1">IFERROR(__xludf.DUMMYFUNCTION("""COMPUTED_VALUE"""),"PI")</f>
        <v>PI</v>
      </c>
      <c r="D330" s="6" t="str">
        <f t="shared" ca="1" si="4"/>
        <v>Masculino</v>
      </c>
      <c r="E330" s="10" t="str">
        <f ca="1">IFERROR(__xludf.DUMMYFUNCTION("""COMPUTED_VALUE"""),"M")</f>
        <v>M</v>
      </c>
      <c r="F330" s="11">
        <f ca="1">IFERROR(__xludf.DUMMYFUNCTION("""COMPUTED_VALUE"""),17770)</f>
        <v>17770</v>
      </c>
      <c r="G330" s="6">
        <f t="shared" ca="1" si="5"/>
        <v>77</v>
      </c>
      <c r="H330" s="6" t="b">
        <f ca="1">(COUNTIFS(Deputados!A330:A1000, A330, Deputados!D330:D1000, "&lt;&gt;57")) = 0</f>
        <v>0</v>
      </c>
    </row>
    <row r="331" spans="1:8" ht="17.399999999999999">
      <c r="A331" s="10">
        <f ca="1">IFERROR(__xludf.DUMMYFUNCTION("""COMPUTED_VALUE"""),330)</f>
        <v>330</v>
      </c>
      <c r="B331" s="10" t="str">
        <f ca="1">IFERROR(__xludf.DUMMYFUNCTION("""COMPUTED_VALUE"""),"Julio Cesar Ribeiro")</f>
        <v>Julio Cesar Ribeiro</v>
      </c>
      <c r="C331" s="10" t="str">
        <f ca="1">IFERROR(__xludf.DUMMYFUNCTION("""COMPUTED_VALUE"""),"SP")</f>
        <v>SP</v>
      </c>
      <c r="D331" s="6" t="str">
        <f t="shared" ca="1" si="4"/>
        <v>Masculino</v>
      </c>
      <c r="E331" s="10" t="str">
        <f ca="1">IFERROR(__xludf.DUMMYFUNCTION("""COMPUTED_VALUE"""),"M")</f>
        <v>M</v>
      </c>
      <c r="F331" s="11">
        <f ca="1">IFERROR(__xludf.DUMMYFUNCTION("""COMPUTED_VALUE"""),27449)</f>
        <v>27449</v>
      </c>
      <c r="G331" s="6">
        <f t="shared" ca="1" si="5"/>
        <v>50</v>
      </c>
      <c r="H331" s="6" t="b">
        <f ca="1">(COUNTIFS(Deputados!A331:A1000, A331, Deputados!D331:D1000, "&lt;&gt;57")) = 0</f>
        <v>0</v>
      </c>
    </row>
    <row r="332" spans="1:8" ht="17.399999999999999">
      <c r="A332" s="10">
        <f ca="1">IFERROR(__xludf.DUMMYFUNCTION("""COMPUTED_VALUE"""),331)</f>
        <v>331</v>
      </c>
      <c r="B332" s="10" t="str">
        <f ca="1">IFERROR(__xludf.DUMMYFUNCTION("""COMPUTED_VALUE"""),"Julio Lopes")</f>
        <v>Julio Lopes</v>
      </c>
      <c r="C332" s="10" t="str">
        <f ca="1">IFERROR(__xludf.DUMMYFUNCTION("""COMPUTED_VALUE"""),"RJ")</f>
        <v>RJ</v>
      </c>
      <c r="D332" s="6" t="str">
        <f t="shared" ca="1" si="4"/>
        <v>Masculino</v>
      </c>
      <c r="E332" s="10" t="str">
        <f ca="1">IFERROR(__xludf.DUMMYFUNCTION("""COMPUTED_VALUE"""),"M")</f>
        <v>M</v>
      </c>
      <c r="F332" s="11">
        <f ca="1">IFERROR(__xludf.DUMMYFUNCTION("""COMPUTED_VALUE"""),21646)</f>
        <v>21646</v>
      </c>
      <c r="G332" s="6">
        <f t="shared" ca="1" si="5"/>
        <v>66</v>
      </c>
      <c r="H332" s="6" t="b">
        <f ca="1">(COUNTIFS(Deputados!A332:A1000, A332, Deputados!D332:D1000, "&lt;&gt;57")) = 0</f>
        <v>0</v>
      </c>
    </row>
    <row r="333" spans="1:8" ht="17.399999999999999">
      <c r="A333" s="10">
        <f ca="1">IFERROR(__xludf.DUMMYFUNCTION("""COMPUTED_VALUE"""),332)</f>
        <v>332</v>
      </c>
      <c r="B333" s="10" t="str">
        <f ca="1">IFERROR(__xludf.DUMMYFUNCTION("""COMPUTED_VALUE"""),"Júlio Oliveira")</f>
        <v>Júlio Oliveira</v>
      </c>
      <c r="C333" s="10" t="str">
        <f ca="1">IFERROR(__xludf.DUMMYFUNCTION("""COMPUTED_VALUE"""),"PI")</f>
        <v>PI</v>
      </c>
      <c r="D333" s="6" t="str">
        <f t="shared" ca="1" si="4"/>
        <v>Masculino</v>
      </c>
      <c r="E333" s="10" t="str">
        <f ca="1">IFERROR(__xludf.DUMMYFUNCTION("""COMPUTED_VALUE"""),"M")</f>
        <v>M</v>
      </c>
      <c r="F333" s="11">
        <f ca="1">IFERROR(__xludf.DUMMYFUNCTION("""COMPUTED_VALUE"""),27091)</f>
        <v>27091</v>
      </c>
      <c r="G333" s="6">
        <f t="shared" ca="1" si="5"/>
        <v>51</v>
      </c>
      <c r="H333" s="6" t="b">
        <f ca="1">(COUNTIFS(Deputados!A333:A1000, A333, Deputados!D333:D1000, "&lt;&gt;57")) = 0</f>
        <v>1</v>
      </c>
    </row>
    <row r="334" spans="1:8" ht="17.399999999999999">
      <c r="A334" s="10">
        <f ca="1">IFERROR(__xludf.DUMMYFUNCTION("""COMPUTED_VALUE"""),333)</f>
        <v>333</v>
      </c>
      <c r="B334" s="10" t="str">
        <f ca="1">IFERROR(__xludf.DUMMYFUNCTION("""COMPUTED_VALUE"""),"Juninho do Pneu")</f>
        <v>Juninho do Pneu</v>
      </c>
      <c r="C334" s="10" t="str">
        <f ca="1">IFERROR(__xludf.DUMMYFUNCTION("""COMPUTED_VALUE"""),"RJ")</f>
        <v>RJ</v>
      </c>
      <c r="D334" s="6" t="str">
        <f t="shared" ca="1" si="4"/>
        <v>Masculino</v>
      </c>
      <c r="E334" s="10" t="str">
        <f ca="1">IFERROR(__xludf.DUMMYFUNCTION("""COMPUTED_VALUE"""),"M")</f>
        <v>M</v>
      </c>
      <c r="F334" s="11">
        <f ca="1">IFERROR(__xludf.DUMMYFUNCTION("""COMPUTED_VALUE"""),28056)</f>
        <v>28056</v>
      </c>
      <c r="G334" s="6">
        <f t="shared" ca="1" si="5"/>
        <v>48</v>
      </c>
      <c r="H334" s="6" t="b">
        <f ca="1">(COUNTIFS(Deputados!A334:A1000, A334, Deputados!D334:D1000, "&lt;&gt;57")) = 0</f>
        <v>0</v>
      </c>
    </row>
    <row r="335" spans="1:8" ht="17.399999999999999">
      <c r="A335" s="10">
        <f ca="1">IFERROR(__xludf.DUMMYFUNCTION("""COMPUTED_VALUE"""),334)</f>
        <v>334</v>
      </c>
      <c r="B335" s="10" t="str">
        <f ca="1">IFERROR(__xludf.DUMMYFUNCTION("""COMPUTED_VALUE"""),"Junio Amaral")</f>
        <v>Junio Amaral</v>
      </c>
      <c r="C335" s="10" t="str">
        <f ca="1">IFERROR(__xludf.DUMMYFUNCTION("""COMPUTED_VALUE"""),"MG")</f>
        <v>MG</v>
      </c>
      <c r="D335" s="6" t="str">
        <f t="shared" ca="1" si="4"/>
        <v>Masculino</v>
      </c>
      <c r="E335" s="10" t="str">
        <f ca="1">IFERROR(__xludf.DUMMYFUNCTION("""COMPUTED_VALUE"""),"M")</f>
        <v>M</v>
      </c>
      <c r="F335" s="11">
        <f ca="1">IFERROR(__xludf.DUMMYFUNCTION("""COMPUTED_VALUE"""),31958)</f>
        <v>31958</v>
      </c>
      <c r="G335" s="6">
        <f t="shared" ca="1" si="5"/>
        <v>38</v>
      </c>
      <c r="H335" s="6" t="b">
        <f ca="1">(COUNTIFS(Deputados!A335:A1000, A335, Deputados!D335:D1000, "&lt;&gt;57")) = 0</f>
        <v>0</v>
      </c>
    </row>
    <row r="336" spans="1:8" ht="17.399999999999999">
      <c r="A336" s="10">
        <f ca="1">IFERROR(__xludf.DUMMYFUNCTION("""COMPUTED_VALUE"""),335)</f>
        <v>335</v>
      </c>
      <c r="B336" s="10" t="str">
        <f ca="1">IFERROR(__xludf.DUMMYFUNCTION("""COMPUTED_VALUE"""),"Júnior Ferrari")</f>
        <v>Júnior Ferrari</v>
      </c>
      <c r="C336" s="10" t="str">
        <f ca="1">IFERROR(__xludf.DUMMYFUNCTION("""COMPUTED_VALUE"""),"PA")</f>
        <v>PA</v>
      </c>
      <c r="D336" s="6" t="str">
        <f t="shared" ca="1" si="4"/>
        <v>Masculino</v>
      </c>
      <c r="E336" s="10" t="str">
        <f ca="1">IFERROR(__xludf.DUMMYFUNCTION("""COMPUTED_VALUE"""),"M")</f>
        <v>M</v>
      </c>
      <c r="F336" s="11">
        <f ca="1">IFERROR(__xludf.DUMMYFUNCTION("""COMPUTED_VALUE"""),24666)</f>
        <v>24666</v>
      </c>
      <c r="G336" s="6">
        <f t="shared" ca="1" si="5"/>
        <v>58</v>
      </c>
      <c r="H336" s="6" t="b">
        <f ca="1">(COUNTIFS(Deputados!A336:A1000, A336, Deputados!D336:D1000, "&lt;&gt;57")) = 0</f>
        <v>0</v>
      </c>
    </row>
    <row r="337" spans="1:8" ht="17.399999999999999">
      <c r="A337" s="10">
        <f ca="1">IFERROR(__xludf.DUMMYFUNCTION("""COMPUTED_VALUE"""),336)</f>
        <v>336</v>
      </c>
      <c r="B337" s="10" t="str">
        <f ca="1">IFERROR(__xludf.DUMMYFUNCTION("""COMPUTED_VALUE"""),"Junior Lourenço")</f>
        <v>Junior Lourenço</v>
      </c>
      <c r="C337" s="10" t="str">
        <f ca="1">IFERROR(__xludf.DUMMYFUNCTION("""COMPUTED_VALUE"""),"MA")</f>
        <v>MA</v>
      </c>
      <c r="D337" s="6" t="str">
        <f t="shared" ca="1" si="4"/>
        <v>Masculino</v>
      </c>
      <c r="E337" s="10" t="str">
        <f ca="1">IFERROR(__xludf.DUMMYFUNCTION("""COMPUTED_VALUE"""),"M")</f>
        <v>M</v>
      </c>
      <c r="F337" s="11">
        <f ca="1">IFERROR(__xludf.DUMMYFUNCTION("""COMPUTED_VALUE"""),28781)</f>
        <v>28781</v>
      </c>
      <c r="G337" s="6">
        <f t="shared" ca="1" si="5"/>
        <v>46</v>
      </c>
      <c r="H337" s="6" t="b">
        <f ca="1">(COUNTIFS(Deputados!A337:A1000, A337, Deputados!D337:D1000, "&lt;&gt;57")) = 0</f>
        <v>0</v>
      </c>
    </row>
    <row r="338" spans="1:8" ht="17.399999999999999">
      <c r="A338" s="10">
        <f ca="1">IFERROR(__xludf.DUMMYFUNCTION("""COMPUTED_VALUE"""),337)</f>
        <v>337</v>
      </c>
      <c r="B338" s="10" t="str">
        <f ca="1">IFERROR(__xludf.DUMMYFUNCTION("""COMPUTED_VALUE"""),"Júnior Mano")</f>
        <v>Júnior Mano</v>
      </c>
      <c r="C338" s="10" t="str">
        <f ca="1">IFERROR(__xludf.DUMMYFUNCTION("""COMPUTED_VALUE"""),"CE")</f>
        <v>CE</v>
      </c>
      <c r="D338" s="6" t="str">
        <f t="shared" ca="1" si="4"/>
        <v>Masculino</v>
      </c>
      <c r="E338" s="10" t="str">
        <f ca="1">IFERROR(__xludf.DUMMYFUNCTION("""COMPUTED_VALUE"""),"M")</f>
        <v>M</v>
      </c>
      <c r="F338" s="11">
        <f ca="1">IFERROR(__xludf.DUMMYFUNCTION("""COMPUTED_VALUE"""),31153)</f>
        <v>31153</v>
      </c>
      <c r="G338" s="6">
        <f t="shared" ca="1" si="5"/>
        <v>40</v>
      </c>
      <c r="H338" s="6" t="b">
        <f ca="1">(COUNTIFS(Deputados!A338:A1000, A338, Deputados!D338:D1000, "&lt;&gt;57")) = 0</f>
        <v>0</v>
      </c>
    </row>
    <row r="339" spans="1:8" ht="17.399999999999999">
      <c r="A339" s="10">
        <f ca="1">IFERROR(__xludf.DUMMYFUNCTION("""COMPUTED_VALUE"""),338)</f>
        <v>338</v>
      </c>
      <c r="B339" s="10" t="str">
        <f ca="1">IFERROR(__xludf.DUMMYFUNCTION("""COMPUTED_VALUE"""),"Juscelino Filho")</f>
        <v>Juscelino Filho</v>
      </c>
      <c r="C339" s="10" t="str">
        <f ca="1">IFERROR(__xludf.DUMMYFUNCTION("""COMPUTED_VALUE"""),"MA")</f>
        <v>MA</v>
      </c>
      <c r="D339" s="6" t="str">
        <f t="shared" ca="1" si="4"/>
        <v>Masculino</v>
      </c>
      <c r="E339" s="10" t="str">
        <f ca="1">IFERROR(__xludf.DUMMYFUNCTION("""COMPUTED_VALUE"""),"M")</f>
        <v>M</v>
      </c>
      <c r="F339" s="11">
        <f ca="1">IFERROR(__xludf.DUMMYFUNCTION("""COMPUTED_VALUE"""),30992)</f>
        <v>30992</v>
      </c>
      <c r="G339" s="6">
        <f t="shared" ca="1" si="5"/>
        <v>40</v>
      </c>
      <c r="H339" s="6" t="b">
        <f ca="1">(COUNTIFS(Deputados!A339:A1000, A339, Deputados!D339:D1000, "&lt;&gt;57")) = 0</f>
        <v>0</v>
      </c>
    </row>
    <row r="340" spans="1:8" ht="17.399999999999999">
      <c r="A340" s="10">
        <f ca="1">IFERROR(__xludf.DUMMYFUNCTION("""COMPUTED_VALUE"""),339)</f>
        <v>339</v>
      </c>
      <c r="B340" s="10" t="str">
        <f ca="1">IFERROR(__xludf.DUMMYFUNCTION("""COMPUTED_VALUE"""),"Katia Dias")</f>
        <v>Katia Dias</v>
      </c>
      <c r="C340" s="10" t="str">
        <f ca="1">IFERROR(__xludf.DUMMYFUNCTION("""COMPUTED_VALUE"""),"MG")</f>
        <v>MG</v>
      </c>
      <c r="D340" s="6" t="str">
        <f t="shared" ca="1" si="4"/>
        <v>Feminino</v>
      </c>
      <c r="E340" s="10" t="str">
        <f ca="1">IFERROR(__xludf.DUMMYFUNCTION("""COMPUTED_VALUE"""),"F")</f>
        <v>F</v>
      </c>
      <c r="F340" s="11">
        <f ca="1">IFERROR(__xludf.DUMMYFUNCTION("""COMPUTED_VALUE"""),28548)</f>
        <v>28548</v>
      </c>
      <c r="G340" s="6">
        <f t="shared" ca="1" si="5"/>
        <v>47</v>
      </c>
      <c r="H340" s="6" t="b">
        <f ca="1">(COUNTIFS(Deputados!A340:A1000, A340, Deputados!D340:D1000, "&lt;&gt;57")) = 0</f>
        <v>1</v>
      </c>
    </row>
    <row r="341" spans="1:8" ht="17.399999999999999">
      <c r="A341" s="10">
        <f ca="1">IFERROR(__xludf.DUMMYFUNCTION("""COMPUTED_VALUE"""),340)</f>
        <v>340</v>
      </c>
      <c r="B341" s="10" t="str">
        <f ca="1">IFERROR(__xludf.DUMMYFUNCTION("""COMPUTED_VALUE"""),"Keniston Braga")</f>
        <v>Keniston Braga</v>
      </c>
      <c r="C341" s="10" t="str">
        <f ca="1">IFERROR(__xludf.DUMMYFUNCTION("""COMPUTED_VALUE"""),"PA")</f>
        <v>PA</v>
      </c>
      <c r="D341" s="6" t="str">
        <f t="shared" ca="1" si="4"/>
        <v>Masculino</v>
      </c>
      <c r="E341" s="10" t="str">
        <f ca="1">IFERROR(__xludf.DUMMYFUNCTION("""COMPUTED_VALUE"""),"M")</f>
        <v>M</v>
      </c>
      <c r="F341" s="11">
        <f ca="1">IFERROR(__xludf.DUMMYFUNCTION("""COMPUTED_VALUE"""),24625)</f>
        <v>24625</v>
      </c>
      <c r="G341" s="6">
        <f t="shared" ca="1" si="5"/>
        <v>58</v>
      </c>
      <c r="H341" s="6" t="b">
        <f ca="1">(COUNTIFS(Deputados!A341:A1000, A341, Deputados!D341:D1000, "&lt;&gt;57")) = 0</f>
        <v>1</v>
      </c>
    </row>
    <row r="342" spans="1:8" ht="17.399999999999999">
      <c r="A342" s="10">
        <f ca="1">IFERROR(__xludf.DUMMYFUNCTION("""COMPUTED_VALUE"""),341)</f>
        <v>341</v>
      </c>
      <c r="B342" s="10" t="str">
        <f ca="1">IFERROR(__xludf.DUMMYFUNCTION("""COMPUTED_VALUE"""),"Kiko Celeguim")</f>
        <v>Kiko Celeguim</v>
      </c>
      <c r="C342" s="10" t="str">
        <f ca="1">IFERROR(__xludf.DUMMYFUNCTION("""COMPUTED_VALUE"""),"SP")</f>
        <v>SP</v>
      </c>
      <c r="D342" s="6" t="str">
        <f t="shared" ca="1" si="4"/>
        <v>Masculino</v>
      </c>
      <c r="E342" s="10" t="str">
        <f ca="1">IFERROR(__xludf.DUMMYFUNCTION("""COMPUTED_VALUE"""),"M")</f>
        <v>M</v>
      </c>
      <c r="F342" s="11">
        <f ca="1">IFERROR(__xludf.DUMMYFUNCTION("""COMPUTED_VALUE"""),30807)</f>
        <v>30807</v>
      </c>
      <c r="G342" s="6">
        <f t="shared" ca="1" si="5"/>
        <v>41</v>
      </c>
      <c r="H342" s="6" t="b">
        <f ca="1">(COUNTIFS(Deputados!A342:A1000, A342, Deputados!D342:D1000, "&lt;&gt;57")) = 0</f>
        <v>1</v>
      </c>
    </row>
    <row r="343" spans="1:8" ht="17.399999999999999">
      <c r="A343" s="10">
        <f ca="1">IFERROR(__xludf.DUMMYFUNCTION("""COMPUTED_VALUE"""),342)</f>
        <v>342</v>
      </c>
      <c r="B343" s="10" t="str">
        <f ca="1">IFERROR(__xludf.DUMMYFUNCTION("""COMPUTED_VALUE"""),"Kim Kataguiri")</f>
        <v>Kim Kataguiri</v>
      </c>
      <c r="C343" s="10" t="str">
        <f ca="1">IFERROR(__xludf.DUMMYFUNCTION("""COMPUTED_VALUE"""),"SP")</f>
        <v>SP</v>
      </c>
      <c r="D343" s="6" t="str">
        <f t="shared" ca="1" si="4"/>
        <v>Masculino</v>
      </c>
      <c r="E343" s="10" t="str">
        <f ca="1">IFERROR(__xludf.DUMMYFUNCTION("""COMPUTED_VALUE"""),"M")</f>
        <v>M</v>
      </c>
      <c r="F343" s="11">
        <f ca="1">IFERROR(__xludf.DUMMYFUNCTION("""COMPUTED_VALUE"""),35092)</f>
        <v>35092</v>
      </c>
      <c r="G343" s="6">
        <f t="shared" ca="1" si="5"/>
        <v>29</v>
      </c>
      <c r="H343" s="6" t="b">
        <f ca="1">(COUNTIFS(Deputados!A343:A1000, A343, Deputados!D343:D1000, "&lt;&gt;57")) = 0</f>
        <v>0</v>
      </c>
    </row>
    <row r="344" spans="1:8" ht="17.399999999999999">
      <c r="A344" s="10">
        <f ca="1">IFERROR(__xludf.DUMMYFUNCTION("""COMPUTED_VALUE"""),343)</f>
        <v>343</v>
      </c>
      <c r="B344" s="10" t="str">
        <f ca="1">IFERROR(__xludf.DUMMYFUNCTION("""COMPUTED_VALUE"""),"Lafayette de Andrada")</f>
        <v>Lafayette de Andrada</v>
      </c>
      <c r="C344" s="10" t="str">
        <f ca="1">IFERROR(__xludf.DUMMYFUNCTION("""COMPUTED_VALUE"""),"MG")</f>
        <v>MG</v>
      </c>
      <c r="D344" s="6" t="str">
        <f t="shared" ca="1" si="4"/>
        <v>Masculino</v>
      </c>
      <c r="E344" s="10" t="str">
        <f ca="1">IFERROR(__xludf.DUMMYFUNCTION("""COMPUTED_VALUE"""),"M")</f>
        <v>M</v>
      </c>
      <c r="F344" s="11">
        <f ca="1">IFERROR(__xludf.DUMMYFUNCTION("""COMPUTED_VALUE"""),24397)</f>
        <v>24397</v>
      </c>
      <c r="G344" s="6">
        <f t="shared" ca="1" si="5"/>
        <v>58</v>
      </c>
      <c r="H344" s="6" t="b">
        <f ca="1">(COUNTIFS(Deputados!A344:A1000, A344, Deputados!D344:D1000, "&lt;&gt;57")) = 0</f>
        <v>0</v>
      </c>
    </row>
    <row r="345" spans="1:8" ht="17.399999999999999">
      <c r="A345" s="10">
        <f ca="1">IFERROR(__xludf.DUMMYFUNCTION("""COMPUTED_VALUE"""),344)</f>
        <v>344</v>
      </c>
      <c r="B345" s="10" t="str">
        <f ca="1">IFERROR(__xludf.DUMMYFUNCTION("""COMPUTED_VALUE"""),"Laura Carneiro")</f>
        <v>Laura Carneiro</v>
      </c>
      <c r="C345" s="10" t="str">
        <f ca="1">IFERROR(__xludf.DUMMYFUNCTION("""COMPUTED_VALUE"""),"RJ")</f>
        <v>RJ</v>
      </c>
      <c r="D345" s="6" t="str">
        <f t="shared" ca="1" si="4"/>
        <v>Feminino</v>
      </c>
      <c r="E345" s="10" t="str">
        <f ca="1">IFERROR(__xludf.DUMMYFUNCTION("""COMPUTED_VALUE"""),"F")</f>
        <v>F</v>
      </c>
      <c r="F345" s="11">
        <f ca="1">IFERROR(__xludf.DUMMYFUNCTION("""COMPUTED_VALUE"""),23132)</f>
        <v>23132</v>
      </c>
      <c r="G345" s="6">
        <f t="shared" ca="1" si="5"/>
        <v>62</v>
      </c>
      <c r="H345" s="6" t="b">
        <f ca="1">(COUNTIFS(Deputados!A345:A1000, A345, Deputados!D345:D1000, "&lt;&gt;57")) = 0</f>
        <v>0</v>
      </c>
    </row>
    <row r="346" spans="1:8" ht="17.399999999999999">
      <c r="A346" s="10">
        <f ca="1">IFERROR(__xludf.DUMMYFUNCTION("""COMPUTED_VALUE"""),345)</f>
        <v>345</v>
      </c>
      <c r="B346" s="10" t="str">
        <f ca="1">IFERROR(__xludf.DUMMYFUNCTION("""COMPUTED_VALUE"""),"Lázaro Botelho")</f>
        <v>Lázaro Botelho</v>
      </c>
      <c r="C346" s="10" t="str">
        <f ca="1">IFERROR(__xludf.DUMMYFUNCTION("""COMPUTED_VALUE"""),"MA")</f>
        <v>MA</v>
      </c>
      <c r="D346" s="6" t="str">
        <f t="shared" ca="1" si="4"/>
        <v>Masculino</v>
      </c>
      <c r="E346" s="10" t="str">
        <f ca="1">IFERROR(__xludf.DUMMYFUNCTION("""COMPUTED_VALUE"""),"M")</f>
        <v>M</v>
      </c>
      <c r="F346" s="11">
        <f ca="1">IFERROR(__xludf.DUMMYFUNCTION("""COMPUTED_VALUE"""),17209)</f>
        <v>17209</v>
      </c>
      <c r="G346" s="6">
        <f t="shared" ca="1" si="5"/>
        <v>78</v>
      </c>
      <c r="H346" s="6" t="b">
        <f ca="1">(COUNTIFS(Deputados!A346:A1000, A346, Deputados!D346:D1000, "&lt;&gt;57")) = 0</f>
        <v>0</v>
      </c>
    </row>
    <row r="347" spans="1:8" ht="17.399999999999999">
      <c r="A347" s="10">
        <f ca="1">IFERROR(__xludf.DUMMYFUNCTION("""COMPUTED_VALUE"""),346)</f>
        <v>346</v>
      </c>
      <c r="B347" s="10" t="str">
        <f ca="1">IFERROR(__xludf.DUMMYFUNCTION("""COMPUTED_VALUE"""),"Leandre")</f>
        <v>Leandre</v>
      </c>
      <c r="C347" s="10" t="str">
        <f ca="1">IFERROR(__xludf.DUMMYFUNCTION("""COMPUTED_VALUE"""),"PR")</f>
        <v>PR</v>
      </c>
      <c r="D347" s="6" t="str">
        <f t="shared" ca="1" si="4"/>
        <v>Feminino</v>
      </c>
      <c r="E347" s="10" t="str">
        <f ca="1">IFERROR(__xludf.DUMMYFUNCTION("""COMPUTED_VALUE"""),"F")</f>
        <v>F</v>
      </c>
      <c r="F347" s="11">
        <f ca="1">IFERROR(__xludf.DUMMYFUNCTION("""COMPUTED_VALUE"""),27748)</f>
        <v>27748</v>
      </c>
      <c r="G347" s="6">
        <f t="shared" ca="1" si="5"/>
        <v>49</v>
      </c>
      <c r="H347" s="6" t="b">
        <f ca="1">(COUNTIFS(Deputados!A347:A1000, A347, Deputados!D347:D1000, "&lt;&gt;57")) = 0</f>
        <v>0</v>
      </c>
    </row>
    <row r="348" spans="1:8" ht="17.399999999999999">
      <c r="A348" s="10">
        <f ca="1">IFERROR(__xludf.DUMMYFUNCTION("""COMPUTED_VALUE"""),347)</f>
        <v>347</v>
      </c>
      <c r="B348" s="10" t="str">
        <f ca="1">IFERROR(__xludf.DUMMYFUNCTION("""COMPUTED_VALUE"""),"Lebrão")</f>
        <v>Lebrão</v>
      </c>
      <c r="C348" s="10" t="str">
        <f ca="1">IFERROR(__xludf.DUMMYFUNCTION("""COMPUTED_VALUE"""),"SP")</f>
        <v>SP</v>
      </c>
      <c r="D348" s="6" t="str">
        <f t="shared" ca="1" si="4"/>
        <v>Masculino</v>
      </c>
      <c r="E348" s="10" t="str">
        <f ca="1">IFERROR(__xludf.DUMMYFUNCTION("""COMPUTED_VALUE"""),"M")</f>
        <v>M</v>
      </c>
      <c r="F348" s="11">
        <f ca="1">IFERROR(__xludf.DUMMYFUNCTION("""COMPUTED_VALUE"""),20158)</f>
        <v>20158</v>
      </c>
      <c r="G348" s="6">
        <f t="shared" ca="1" si="5"/>
        <v>70</v>
      </c>
      <c r="H348" s="6" t="b">
        <f ca="1">(COUNTIFS(Deputados!A348:A1000, A348, Deputados!D348:D1000, "&lt;&gt;57")) = 0</f>
        <v>1</v>
      </c>
    </row>
    <row r="349" spans="1:8" ht="17.399999999999999">
      <c r="A349" s="10">
        <f ca="1">IFERROR(__xludf.DUMMYFUNCTION("""COMPUTED_VALUE"""),348)</f>
        <v>348</v>
      </c>
      <c r="B349" s="10" t="str">
        <f ca="1">IFERROR(__xludf.DUMMYFUNCTION("""COMPUTED_VALUE"""),"Lêda Borges")</f>
        <v>Lêda Borges</v>
      </c>
      <c r="C349" s="10" t="str">
        <f ca="1">IFERROR(__xludf.DUMMYFUNCTION("""COMPUTED_VALUE"""),"MG")</f>
        <v>MG</v>
      </c>
      <c r="D349" s="6" t="str">
        <f t="shared" ca="1" si="4"/>
        <v>Feminino</v>
      </c>
      <c r="E349" s="10" t="str">
        <f ca="1">IFERROR(__xludf.DUMMYFUNCTION("""COMPUTED_VALUE"""),"F")</f>
        <v>F</v>
      </c>
      <c r="F349" s="11">
        <f ca="1">IFERROR(__xludf.DUMMYFUNCTION("""COMPUTED_VALUE"""),22587)</f>
        <v>22587</v>
      </c>
      <c r="G349" s="6">
        <f t="shared" ca="1" si="5"/>
        <v>63</v>
      </c>
      <c r="H349" s="6" t="b">
        <f ca="1">(COUNTIFS(Deputados!A349:A1000, A349, Deputados!D349:D1000, "&lt;&gt;57")) = 0</f>
        <v>1</v>
      </c>
    </row>
    <row r="350" spans="1:8" ht="17.399999999999999">
      <c r="A350" s="10">
        <f ca="1">IFERROR(__xludf.DUMMYFUNCTION("""COMPUTED_VALUE"""),349)</f>
        <v>349</v>
      </c>
      <c r="B350" s="10" t="str">
        <f ca="1">IFERROR(__xludf.DUMMYFUNCTION("""COMPUTED_VALUE"""),"Lenir de Assis")</f>
        <v>Lenir de Assis</v>
      </c>
      <c r="C350" s="10" t="str">
        <f ca="1">IFERROR(__xludf.DUMMYFUNCTION("""COMPUTED_VALUE"""),"PR")</f>
        <v>PR</v>
      </c>
      <c r="D350" s="6" t="str">
        <f t="shared" ca="1" si="4"/>
        <v>Feminino</v>
      </c>
      <c r="E350" s="10" t="str">
        <f ca="1">IFERROR(__xludf.DUMMYFUNCTION("""COMPUTED_VALUE"""),"F")</f>
        <v>F</v>
      </c>
      <c r="F350" s="11">
        <f ca="1">IFERROR(__xludf.DUMMYFUNCTION("""COMPUTED_VALUE"""),25464)</f>
        <v>25464</v>
      </c>
      <c r="G350" s="6">
        <f t="shared" ca="1" si="5"/>
        <v>55</v>
      </c>
      <c r="H350" s="6" t="b">
        <f ca="1">(COUNTIFS(Deputados!A350:A1000, A350, Deputados!D350:D1000, "&lt;&gt;57")) = 0</f>
        <v>1</v>
      </c>
    </row>
    <row r="351" spans="1:8" ht="17.399999999999999">
      <c r="A351" s="10">
        <f ca="1">IFERROR(__xludf.DUMMYFUNCTION("""COMPUTED_VALUE"""),350)</f>
        <v>350</v>
      </c>
      <c r="B351" s="10" t="str">
        <f ca="1">IFERROR(__xludf.DUMMYFUNCTION("""COMPUTED_VALUE"""),"Leo Prates")</f>
        <v>Leo Prates</v>
      </c>
      <c r="C351" s="10" t="str">
        <f ca="1">IFERROR(__xludf.DUMMYFUNCTION("""COMPUTED_VALUE"""),"BA")</f>
        <v>BA</v>
      </c>
      <c r="D351" s="6" t="str">
        <f t="shared" ca="1" si="4"/>
        <v>Masculino</v>
      </c>
      <c r="E351" s="10" t="str">
        <f ca="1">IFERROR(__xludf.DUMMYFUNCTION("""COMPUTED_VALUE"""),"M")</f>
        <v>M</v>
      </c>
      <c r="F351" s="11">
        <f ca="1">IFERROR(__xludf.DUMMYFUNCTION("""COMPUTED_VALUE"""),28585)</f>
        <v>28585</v>
      </c>
      <c r="G351" s="6">
        <f t="shared" ca="1" si="5"/>
        <v>47</v>
      </c>
      <c r="H351" s="6" t="b">
        <f ca="1">(COUNTIFS(Deputados!A351:A1000, A351, Deputados!D351:D1000, "&lt;&gt;57")) = 0</f>
        <v>1</v>
      </c>
    </row>
    <row r="352" spans="1:8" ht="17.399999999999999">
      <c r="A352" s="10">
        <f ca="1">IFERROR(__xludf.DUMMYFUNCTION("""COMPUTED_VALUE"""),351)</f>
        <v>351</v>
      </c>
      <c r="B352" s="10" t="str">
        <f ca="1">IFERROR(__xludf.DUMMYFUNCTION("""COMPUTED_VALUE"""),"Leonardo Gadelha")</f>
        <v>Leonardo Gadelha</v>
      </c>
      <c r="C352" s="10" t="str">
        <f ca="1">IFERROR(__xludf.DUMMYFUNCTION("""COMPUTED_VALUE"""),"DF")</f>
        <v>DF</v>
      </c>
      <c r="D352" s="6" t="str">
        <f t="shared" ca="1" si="4"/>
        <v>Masculino</v>
      </c>
      <c r="E352" s="10" t="str">
        <f ca="1">IFERROR(__xludf.DUMMYFUNCTION("""COMPUTED_VALUE"""),"M")</f>
        <v>M</v>
      </c>
      <c r="F352" s="11">
        <f ca="1">IFERROR(__xludf.DUMMYFUNCTION("""COMPUTED_VALUE"""),27526)</f>
        <v>27526</v>
      </c>
      <c r="G352" s="6">
        <f t="shared" ca="1" si="5"/>
        <v>50</v>
      </c>
      <c r="H352" s="6" t="b">
        <f ca="1">(COUNTIFS(Deputados!A352:A1000, A352, Deputados!D352:D1000, "&lt;&gt;57")) = 0</f>
        <v>0</v>
      </c>
    </row>
    <row r="353" spans="1:8" ht="17.399999999999999">
      <c r="A353" s="10">
        <f ca="1">IFERROR(__xludf.DUMMYFUNCTION("""COMPUTED_VALUE"""),352)</f>
        <v>352</v>
      </c>
      <c r="B353" s="10" t="str">
        <f ca="1">IFERROR(__xludf.DUMMYFUNCTION("""COMPUTED_VALUE"""),"Leonardo Monteiro")</f>
        <v>Leonardo Monteiro</v>
      </c>
      <c r="C353" s="10" t="str">
        <f ca="1">IFERROR(__xludf.DUMMYFUNCTION("""COMPUTED_VALUE"""),"MG")</f>
        <v>MG</v>
      </c>
      <c r="D353" s="6" t="str">
        <f t="shared" ca="1" si="4"/>
        <v>Masculino</v>
      </c>
      <c r="E353" s="10" t="str">
        <f ca="1">IFERROR(__xludf.DUMMYFUNCTION("""COMPUTED_VALUE"""),"M")</f>
        <v>M</v>
      </c>
      <c r="F353" s="11">
        <f ca="1">IFERROR(__xludf.DUMMYFUNCTION("""COMPUTED_VALUE"""),18910)</f>
        <v>18910</v>
      </c>
      <c r="G353" s="6">
        <f t="shared" ca="1" si="5"/>
        <v>73</v>
      </c>
      <c r="H353" s="6" t="b">
        <f ca="1">(COUNTIFS(Deputados!A353:A1000, A353, Deputados!D353:D1000, "&lt;&gt;57")) = 0</f>
        <v>0</v>
      </c>
    </row>
    <row r="354" spans="1:8" ht="17.399999999999999">
      <c r="A354" s="10">
        <f ca="1">IFERROR(__xludf.DUMMYFUNCTION("""COMPUTED_VALUE"""),353)</f>
        <v>353</v>
      </c>
      <c r="B354" s="10" t="str">
        <f ca="1">IFERROR(__xludf.DUMMYFUNCTION("""COMPUTED_VALUE"""),"Leônidas Cristino")</f>
        <v>Leônidas Cristino</v>
      </c>
      <c r="C354" s="10" t="str">
        <f ca="1">IFERROR(__xludf.DUMMYFUNCTION("""COMPUTED_VALUE"""),"CE")</f>
        <v>CE</v>
      </c>
      <c r="D354" s="6" t="str">
        <f t="shared" ca="1" si="4"/>
        <v>Masculino</v>
      </c>
      <c r="E354" s="10" t="str">
        <f ca="1">IFERROR(__xludf.DUMMYFUNCTION("""COMPUTED_VALUE"""),"M")</f>
        <v>M</v>
      </c>
      <c r="F354" s="11">
        <f ca="1">IFERROR(__xludf.DUMMYFUNCTION("""COMPUTED_VALUE"""),20974)</f>
        <v>20974</v>
      </c>
      <c r="G354" s="6">
        <f t="shared" ca="1" si="5"/>
        <v>68</v>
      </c>
      <c r="H354" s="6" t="b">
        <f ca="1">(COUNTIFS(Deputados!A354:A1000, A354, Deputados!D354:D1000, "&lt;&gt;57")) = 0</f>
        <v>0</v>
      </c>
    </row>
    <row r="355" spans="1:8" ht="17.399999999999999">
      <c r="A355" s="10">
        <f ca="1">IFERROR(__xludf.DUMMYFUNCTION("""COMPUTED_VALUE"""),354)</f>
        <v>354</v>
      </c>
      <c r="B355" s="10" t="str">
        <f ca="1">IFERROR(__xludf.DUMMYFUNCTION("""COMPUTED_VALUE"""),"Leur Lomanto Júnior")</f>
        <v>Leur Lomanto Júnior</v>
      </c>
      <c r="C355" s="10" t="str">
        <f ca="1">IFERROR(__xludf.DUMMYFUNCTION("""COMPUTED_VALUE"""),"BA")</f>
        <v>BA</v>
      </c>
      <c r="D355" s="6" t="str">
        <f t="shared" ca="1" si="4"/>
        <v>Masculino</v>
      </c>
      <c r="E355" s="10" t="str">
        <f ca="1">IFERROR(__xludf.DUMMYFUNCTION("""COMPUTED_VALUE"""),"M")</f>
        <v>M</v>
      </c>
      <c r="F355" s="11">
        <f ca="1">IFERROR(__xludf.DUMMYFUNCTION("""COMPUTED_VALUE"""),28061)</f>
        <v>28061</v>
      </c>
      <c r="G355" s="6">
        <f t="shared" ca="1" si="5"/>
        <v>48</v>
      </c>
      <c r="H355" s="6" t="b">
        <f ca="1">(COUNTIFS(Deputados!A355:A1000, A355, Deputados!D355:D1000, "&lt;&gt;57")) = 0</f>
        <v>0</v>
      </c>
    </row>
    <row r="356" spans="1:8" ht="17.399999999999999">
      <c r="A356" s="10">
        <f ca="1">IFERROR(__xludf.DUMMYFUNCTION("""COMPUTED_VALUE"""),355)</f>
        <v>355</v>
      </c>
      <c r="B356" s="10" t="str">
        <f ca="1">IFERROR(__xludf.DUMMYFUNCTION("""COMPUTED_VALUE"""),"Lídice da Mata")</f>
        <v>Lídice da Mata</v>
      </c>
      <c r="C356" s="10" t="str">
        <f ca="1">IFERROR(__xludf.DUMMYFUNCTION("""COMPUTED_VALUE"""),"BA")</f>
        <v>BA</v>
      </c>
      <c r="D356" s="6" t="str">
        <f t="shared" ca="1" si="4"/>
        <v>Feminino</v>
      </c>
      <c r="E356" s="10" t="str">
        <f ca="1">IFERROR(__xludf.DUMMYFUNCTION("""COMPUTED_VALUE"""),"F")</f>
        <v>F</v>
      </c>
      <c r="F356" s="11">
        <f ca="1">IFERROR(__xludf.DUMMYFUNCTION("""COMPUTED_VALUE"""),20526)</f>
        <v>20526</v>
      </c>
      <c r="G356" s="6">
        <f t="shared" ca="1" si="5"/>
        <v>69</v>
      </c>
      <c r="H356" s="6" t="b">
        <f ca="1">(COUNTIFS(Deputados!A356:A1000, A356, Deputados!D356:D1000, "&lt;&gt;57")) = 0</f>
        <v>0</v>
      </c>
    </row>
    <row r="357" spans="1:8" ht="17.399999999999999">
      <c r="A357" s="10">
        <f ca="1">IFERROR(__xludf.DUMMYFUNCTION("""COMPUTED_VALUE"""),356)</f>
        <v>356</v>
      </c>
      <c r="B357" s="10" t="str">
        <f ca="1">IFERROR(__xludf.DUMMYFUNCTION("""COMPUTED_VALUE"""),"Lincoln Portela")</f>
        <v>Lincoln Portela</v>
      </c>
      <c r="C357" s="10" t="str">
        <f ca="1">IFERROR(__xludf.DUMMYFUNCTION("""COMPUTED_VALUE"""),"MG")</f>
        <v>MG</v>
      </c>
      <c r="D357" s="6" t="str">
        <f t="shared" ca="1" si="4"/>
        <v>Masculino</v>
      </c>
      <c r="E357" s="10" t="str">
        <f ca="1">IFERROR(__xludf.DUMMYFUNCTION("""COMPUTED_VALUE"""),"M")</f>
        <v>M</v>
      </c>
      <c r="F357" s="11">
        <f ca="1">IFERROR(__xludf.DUMMYFUNCTION("""COMPUTED_VALUE"""),19666)</f>
        <v>19666</v>
      </c>
      <c r="G357" s="6">
        <f t="shared" ca="1" si="5"/>
        <v>71</v>
      </c>
      <c r="H357" s="6" t="b">
        <f ca="1">(COUNTIFS(Deputados!A357:A1000, A357, Deputados!D357:D1000, "&lt;&gt;57")) = 0</f>
        <v>0</v>
      </c>
    </row>
    <row r="358" spans="1:8" ht="17.399999999999999">
      <c r="A358" s="10">
        <f ca="1">IFERROR(__xludf.DUMMYFUNCTION("""COMPUTED_VALUE"""),357)</f>
        <v>357</v>
      </c>
      <c r="B358" s="10" t="str">
        <f ca="1">IFERROR(__xludf.DUMMYFUNCTION("""COMPUTED_VALUE"""),"Lindbergh Farias")</f>
        <v>Lindbergh Farias</v>
      </c>
      <c r="C358" s="10" t="str">
        <f ca="1">IFERROR(__xludf.DUMMYFUNCTION("""COMPUTED_VALUE"""),"PB")</f>
        <v>PB</v>
      </c>
      <c r="D358" s="6" t="str">
        <f t="shared" ca="1" si="4"/>
        <v>Masculino</v>
      </c>
      <c r="E358" s="10" t="str">
        <f ca="1">IFERROR(__xludf.DUMMYFUNCTION("""COMPUTED_VALUE"""),"M")</f>
        <v>M</v>
      </c>
      <c r="F358" s="11">
        <f ca="1">IFERROR(__xludf.DUMMYFUNCTION("""COMPUTED_VALUE"""),25545)</f>
        <v>25545</v>
      </c>
      <c r="G358" s="6">
        <f t="shared" ca="1" si="5"/>
        <v>55</v>
      </c>
      <c r="H358" s="6" t="b">
        <f ca="1">(COUNTIFS(Deputados!A358:A1000, A358, Deputados!D358:D1000, "&lt;&gt;57")) = 0</f>
        <v>0</v>
      </c>
    </row>
    <row r="359" spans="1:8" ht="17.399999999999999">
      <c r="A359" s="10">
        <f ca="1">IFERROR(__xludf.DUMMYFUNCTION("""COMPUTED_VALUE"""),358)</f>
        <v>358</v>
      </c>
      <c r="B359" s="10" t="str">
        <f ca="1">IFERROR(__xludf.DUMMYFUNCTION("""COMPUTED_VALUE"""),"Loreny")</f>
        <v>Loreny</v>
      </c>
      <c r="C359" s="10" t="str">
        <f ca="1">IFERROR(__xludf.DUMMYFUNCTION("""COMPUTED_VALUE"""),"SP")</f>
        <v>SP</v>
      </c>
      <c r="D359" s="6" t="str">
        <f t="shared" ca="1" si="4"/>
        <v>Feminino</v>
      </c>
      <c r="E359" s="10" t="str">
        <f ca="1">IFERROR(__xludf.DUMMYFUNCTION("""COMPUTED_VALUE"""),"F")</f>
        <v>F</v>
      </c>
      <c r="F359" s="11">
        <f ca="1">IFERROR(__xludf.DUMMYFUNCTION("""COMPUTED_VALUE"""),33430)</f>
        <v>33430</v>
      </c>
      <c r="G359" s="6">
        <f t="shared" ca="1" si="5"/>
        <v>34</v>
      </c>
      <c r="H359" s="6" t="b">
        <f ca="1">(COUNTIFS(Deputados!A359:A1000, A359, Deputados!D359:D1000, "&lt;&gt;57")) = 0</f>
        <v>1</v>
      </c>
    </row>
    <row r="360" spans="1:8" ht="17.399999999999999">
      <c r="A360" s="10">
        <f ca="1">IFERROR(__xludf.DUMMYFUNCTION("""COMPUTED_VALUE"""),359)</f>
        <v>359</v>
      </c>
      <c r="B360" s="10" t="str">
        <f ca="1">IFERROR(__xludf.DUMMYFUNCTION("""COMPUTED_VALUE"""),"Lucas Ramos")</f>
        <v>Lucas Ramos</v>
      </c>
      <c r="C360" s="10" t="str">
        <f ca="1">IFERROR(__xludf.DUMMYFUNCTION("""COMPUTED_VALUE"""),"PE")</f>
        <v>PE</v>
      </c>
      <c r="D360" s="6" t="str">
        <f t="shared" ca="1" si="4"/>
        <v>Masculino</v>
      </c>
      <c r="E360" s="10" t="str">
        <f ca="1">IFERROR(__xludf.DUMMYFUNCTION("""COMPUTED_VALUE"""),"M")</f>
        <v>M</v>
      </c>
      <c r="F360" s="11">
        <f ca="1">IFERROR(__xludf.DUMMYFUNCTION("""COMPUTED_VALUE"""),31457)</f>
        <v>31457</v>
      </c>
      <c r="G360" s="6">
        <f t="shared" ca="1" si="5"/>
        <v>39</v>
      </c>
      <c r="H360" s="6" t="b">
        <f ca="1">(COUNTIFS(Deputados!A360:A1000, A360, Deputados!D360:D1000, "&lt;&gt;57")) = 0</f>
        <v>1</v>
      </c>
    </row>
    <row r="361" spans="1:8" ht="17.399999999999999">
      <c r="A361" s="10">
        <f ca="1">IFERROR(__xludf.DUMMYFUNCTION("""COMPUTED_VALUE"""),360)</f>
        <v>360</v>
      </c>
      <c r="B361" s="10" t="str">
        <f ca="1">IFERROR(__xludf.DUMMYFUNCTION("""COMPUTED_VALUE"""),"Lucas Redecker")</f>
        <v>Lucas Redecker</v>
      </c>
      <c r="C361" s="10" t="str">
        <f ca="1">IFERROR(__xludf.DUMMYFUNCTION("""COMPUTED_VALUE"""),"RS")</f>
        <v>RS</v>
      </c>
      <c r="D361" s="6" t="str">
        <f t="shared" ca="1" si="4"/>
        <v>Masculino</v>
      </c>
      <c r="E361" s="10" t="str">
        <f ca="1">IFERROR(__xludf.DUMMYFUNCTION("""COMPUTED_VALUE"""),"M")</f>
        <v>M</v>
      </c>
      <c r="F361" s="11">
        <f ca="1">IFERROR(__xludf.DUMMYFUNCTION("""COMPUTED_VALUE"""),29732)</f>
        <v>29732</v>
      </c>
      <c r="G361" s="6">
        <f t="shared" ca="1" si="5"/>
        <v>44</v>
      </c>
      <c r="H361" s="6" t="b">
        <f ca="1">(COUNTIFS(Deputados!A361:A1000, A361, Deputados!D361:D1000, "&lt;&gt;57")) = 0</f>
        <v>0</v>
      </c>
    </row>
    <row r="362" spans="1:8" ht="17.399999999999999">
      <c r="A362" s="10">
        <f ca="1">IFERROR(__xludf.DUMMYFUNCTION("""COMPUTED_VALUE"""),361)</f>
        <v>361</v>
      </c>
      <c r="B362" s="10" t="str">
        <f ca="1">IFERROR(__xludf.DUMMYFUNCTION("""COMPUTED_VALUE"""),"Luciano Alves")</f>
        <v>Luciano Alves</v>
      </c>
      <c r="C362" s="10" t="str">
        <f ca="1">IFERROR(__xludf.DUMMYFUNCTION("""COMPUTED_VALUE"""),"PR")</f>
        <v>PR</v>
      </c>
      <c r="D362" s="6" t="str">
        <f t="shared" ca="1" si="4"/>
        <v>Masculino</v>
      </c>
      <c r="E362" s="10" t="str">
        <f ca="1">IFERROR(__xludf.DUMMYFUNCTION("""COMPUTED_VALUE"""),"M")</f>
        <v>M</v>
      </c>
      <c r="F362" s="11">
        <f ca="1">IFERROR(__xludf.DUMMYFUNCTION("""COMPUTED_VALUE"""),26672)</f>
        <v>26672</v>
      </c>
      <c r="G362" s="6">
        <f t="shared" ca="1" si="5"/>
        <v>52</v>
      </c>
      <c r="H362" s="6" t="b">
        <f ca="1">(COUNTIFS(Deputados!A362:A1000, A362, Deputados!D362:D1000, "&lt;&gt;57")) = 0</f>
        <v>1</v>
      </c>
    </row>
    <row r="363" spans="1:8" ht="17.399999999999999">
      <c r="A363" s="10">
        <f ca="1">IFERROR(__xludf.DUMMYFUNCTION("""COMPUTED_VALUE"""),362)</f>
        <v>362</v>
      </c>
      <c r="B363" s="10" t="str">
        <f ca="1">IFERROR(__xludf.DUMMYFUNCTION("""COMPUTED_VALUE"""),"Luciano Amaral")</f>
        <v>Luciano Amaral</v>
      </c>
      <c r="C363" s="10" t="str">
        <f ca="1">IFERROR(__xludf.DUMMYFUNCTION("""COMPUTED_VALUE"""),"AL")</f>
        <v>AL</v>
      </c>
      <c r="D363" s="6" t="str">
        <f t="shared" ca="1" si="4"/>
        <v>Masculino</v>
      </c>
      <c r="E363" s="10" t="str">
        <f ca="1">IFERROR(__xludf.DUMMYFUNCTION("""COMPUTED_VALUE"""),"M")</f>
        <v>M</v>
      </c>
      <c r="F363" s="11">
        <f ca="1">IFERROR(__xludf.DUMMYFUNCTION("""COMPUTED_VALUE"""),31590)</f>
        <v>31590</v>
      </c>
      <c r="G363" s="6">
        <f t="shared" ca="1" si="5"/>
        <v>39</v>
      </c>
      <c r="H363" s="6" t="b">
        <f ca="1">(COUNTIFS(Deputados!A363:A1000, A363, Deputados!D363:D1000, "&lt;&gt;57")) = 0</f>
        <v>1</v>
      </c>
    </row>
    <row r="364" spans="1:8" ht="17.399999999999999">
      <c r="A364" s="10">
        <f ca="1">IFERROR(__xludf.DUMMYFUNCTION("""COMPUTED_VALUE"""),363)</f>
        <v>363</v>
      </c>
      <c r="B364" s="10" t="str">
        <f ca="1">IFERROR(__xludf.DUMMYFUNCTION("""COMPUTED_VALUE"""),"Luciano Azevedo")</f>
        <v>Luciano Azevedo</v>
      </c>
      <c r="C364" s="10" t="str">
        <f ca="1">IFERROR(__xludf.DUMMYFUNCTION("""COMPUTED_VALUE"""),"RS")</f>
        <v>RS</v>
      </c>
      <c r="D364" s="6" t="str">
        <f t="shared" ca="1" si="4"/>
        <v>Masculino</v>
      </c>
      <c r="E364" s="10" t="str">
        <f ca="1">IFERROR(__xludf.DUMMYFUNCTION("""COMPUTED_VALUE"""),"M")</f>
        <v>M</v>
      </c>
      <c r="F364" s="11">
        <f ca="1">IFERROR(__xludf.DUMMYFUNCTION("""COMPUTED_VALUE"""),25347)</f>
        <v>25347</v>
      </c>
      <c r="G364" s="6">
        <f t="shared" ca="1" si="5"/>
        <v>56</v>
      </c>
      <c r="H364" s="6" t="b">
        <f ca="1">(COUNTIFS(Deputados!A364:A1000, A364, Deputados!D364:D1000, "&lt;&gt;57")) = 0</f>
        <v>1</v>
      </c>
    </row>
    <row r="365" spans="1:8" ht="17.399999999999999">
      <c r="A365" s="10">
        <f ca="1">IFERROR(__xludf.DUMMYFUNCTION("""COMPUTED_VALUE"""),364)</f>
        <v>364</v>
      </c>
      <c r="B365" s="10" t="str">
        <f ca="1">IFERROR(__xludf.DUMMYFUNCTION("""COMPUTED_VALUE"""),"Luciano Bivar")</f>
        <v>Luciano Bivar</v>
      </c>
      <c r="C365" s="10" t="str">
        <f ca="1">IFERROR(__xludf.DUMMYFUNCTION("""COMPUTED_VALUE"""),"PE")</f>
        <v>PE</v>
      </c>
      <c r="D365" s="6" t="str">
        <f t="shared" ca="1" si="4"/>
        <v>Masculino</v>
      </c>
      <c r="E365" s="10" t="str">
        <f ca="1">IFERROR(__xludf.DUMMYFUNCTION("""COMPUTED_VALUE"""),"M")</f>
        <v>M</v>
      </c>
      <c r="F365" s="11">
        <f ca="1">IFERROR(__xludf.DUMMYFUNCTION("""COMPUTED_VALUE"""),16405)</f>
        <v>16405</v>
      </c>
      <c r="G365" s="6">
        <f t="shared" ca="1" si="5"/>
        <v>80</v>
      </c>
      <c r="H365" s="6" t="b">
        <f ca="1">(COUNTIFS(Deputados!A365:A1000, A365, Deputados!D365:D1000, "&lt;&gt;57")) = 0</f>
        <v>0</v>
      </c>
    </row>
    <row r="366" spans="1:8" ht="17.399999999999999">
      <c r="A366" s="10">
        <f ca="1">IFERROR(__xludf.DUMMYFUNCTION("""COMPUTED_VALUE"""),365)</f>
        <v>365</v>
      </c>
      <c r="B366" s="10" t="str">
        <f ca="1">IFERROR(__xludf.DUMMYFUNCTION("""COMPUTED_VALUE"""),"Luciano Ducci")</f>
        <v>Luciano Ducci</v>
      </c>
      <c r="C366" s="10" t="str">
        <f ca="1">IFERROR(__xludf.DUMMYFUNCTION("""COMPUTED_VALUE"""),"PR")</f>
        <v>PR</v>
      </c>
      <c r="D366" s="6" t="str">
        <f t="shared" ca="1" si="4"/>
        <v>Masculino</v>
      </c>
      <c r="E366" s="10" t="str">
        <f ca="1">IFERROR(__xludf.DUMMYFUNCTION("""COMPUTED_VALUE"""),"M")</f>
        <v>M</v>
      </c>
      <c r="F366" s="11">
        <f ca="1">IFERROR(__xludf.DUMMYFUNCTION("""COMPUTED_VALUE"""),20171)</f>
        <v>20171</v>
      </c>
      <c r="G366" s="6">
        <f t="shared" ca="1" si="5"/>
        <v>70</v>
      </c>
      <c r="H366" s="6" t="b">
        <f ca="1">(COUNTIFS(Deputados!A366:A1000, A366, Deputados!D366:D1000, "&lt;&gt;57")) = 0</f>
        <v>0</v>
      </c>
    </row>
    <row r="367" spans="1:8" ht="17.399999999999999">
      <c r="A367" s="10">
        <f ca="1">IFERROR(__xludf.DUMMYFUNCTION("""COMPUTED_VALUE"""),366)</f>
        <v>366</v>
      </c>
      <c r="B367" s="10" t="str">
        <f ca="1">IFERROR(__xludf.DUMMYFUNCTION("""COMPUTED_VALUE"""),"Luciano Galego")</f>
        <v>Luciano Galego</v>
      </c>
      <c r="C367" s="10" t="str">
        <f ca="1">IFERROR(__xludf.DUMMYFUNCTION("""COMPUTED_VALUE"""),"MA")</f>
        <v>MA</v>
      </c>
      <c r="D367" s="6" t="str">
        <f t="shared" ca="1" si="4"/>
        <v>Masculino</v>
      </c>
      <c r="E367" s="10" t="str">
        <f ca="1">IFERROR(__xludf.DUMMYFUNCTION("""COMPUTED_VALUE"""),"M")</f>
        <v>M</v>
      </c>
      <c r="F367" s="11">
        <f ca="1">IFERROR(__xludf.DUMMYFUNCTION("""COMPUTED_VALUE"""),30879)</f>
        <v>30879</v>
      </c>
      <c r="G367" s="6">
        <f t="shared" ca="1" si="5"/>
        <v>41</v>
      </c>
      <c r="H367" s="6" t="b">
        <f ca="1">(COUNTIFS(Deputados!A367:A1000, A367, Deputados!D367:D1000, "&lt;&gt;57")) = 0</f>
        <v>1</v>
      </c>
    </row>
    <row r="368" spans="1:8" ht="17.399999999999999">
      <c r="A368" s="10">
        <f ca="1">IFERROR(__xludf.DUMMYFUNCTION("""COMPUTED_VALUE"""),367)</f>
        <v>367</v>
      </c>
      <c r="B368" s="10" t="str">
        <f ca="1">IFERROR(__xludf.DUMMYFUNCTION("""COMPUTED_VALUE"""),"Luciano Vieira")</f>
        <v>Luciano Vieira</v>
      </c>
      <c r="C368" s="10" t="str">
        <f ca="1">IFERROR(__xludf.DUMMYFUNCTION("""COMPUTED_VALUE"""),"RJ")</f>
        <v>RJ</v>
      </c>
      <c r="D368" s="6" t="str">
        <f t="shared" ca="1" si="4"/>
        <v>Masculino</v>
      </c>
      <c r="E368" s="10" t="str">
        <f ca="1">IFERROR(__xludf.DUMMYFUNCTION("""COMPUTED_VALUE"""),"M")</f>
        <v>M</v>
      </c>
      <c r="F368" s="11">
        <f ca="1">IFERROR(__xludf.DUMMYFUNCTION("""COMPUTED_VALUE"""),32259)</f>
        <v>32259</v>
      </c>
      <c r="G368" s="6">
        <f t="shared" ca="1" si="5"/>
        <v>37</v>
      </c>
      <c r="H368" s="6" t="b">
        <f ca="1">(COUNTIFS(Deputados!A368:A1000, A368, Deputados!D368:D1000, "&lt;&gt;57")) = 0</f>
        <v>1</v>
      </c>
    </row>
    <row r="369" spans="1:8" ht="17.399999999999999">
      <c r="A369" s="10">
        <f ca="1">IFERROR(__xludf.DUMMYFUNCTION("""COMPUTED_VALUE"""),368)</f>
        <v>368</v>
      </c>
      <c r="B369" s="10" t="str">
        <f ca="1">IFERROR(__xludf.DUMMYFUNCTION("""COMPUTED_VALUE"""),"Lucio Mosquini")</f>
        <v>Lucio Mosquini</v>
      </c>
      <c r="C369" s="10" t="str">
        <f ca="1">IFERROR(__xludf.DUMMYFUNCTION("""COMPUTED_VALUE"""),"MT")</f>
        <v>MT</v>
      </c>
      <c r="D369" s="6" t="str">
        <f t="shared" ca="1" si="4"/>
        <v>Masculino</v>
      </c>
      <c r="E369" s="10" t="str">
        <f ca="1">IFERROR(__xludf.DUMMYFUNCTION("""COMPUTED_VALUE"""),"M")</f>
        <v>M</v>
      </c>
      <c r="F369" s="11">
        <f ca="1">IFERROR(__xludf.DUMMYFUNCTION("""COMPUTED_VALUE"""),25407)</f>
        <v>25407</v>
      </c>
      <c r="G369" s="6">
        <f t="shared" ca="1" si="5"/>
        <v>56</v>
      </c>
      <c r="H369" s="6" t="b">
        <f ca="1">(COUNTIFS(Deputados!A369:A1000, A369, Deputados!D369:D1000, "&lt;&gt;57")) = 0</f>
        <v>0</v>
      </c>
    </row>
    <row r="370" spans="1:8" ht="17.399999999999999">
      <c r="A370" s="10">
        <f ca="1">IFERROR(__xludf.DUMMYFUNCTION("""COMPUTED_VALUE"""),369)</f>
        <v>369</v>
      </c>
      <c r="B370" s="10" t="str">
        <f ca="1">IFERROR(__xludf.DUMMYFUNCTION("""COMPUTED_VALUE"""),"Lucyana Genésio")</f>
        <v>Lucyana Genésio</v>
      </c>
      <c r="C370" s="10" t="str">
        <f ca="1">IFERROR(__xludf.DUMMYFUNCTION("""COMPUTED_VALUE"""),"MA")</f>
        <v>MA</v>
      </c>
      <c r="D370" s="6" t="str">
        <f t="shared" ca="1" si="4"/>
        <v>Feminino</v>
      </c>
      <c r="E370" s="10" t="str">
        <f ca="1">IFERROR(__xludf.DUMMYFUNCTION("""COMPUTED_VALUE"""),"F")</f>
        <v>F</v>
      </c>
      <c r="F370" s="11">
        <f ca="1">IFERROR(__xludf.DUMMYFUNCTION("""COMPUTED_VALUE"""),29136)</f>
        <v>29136</v>
      </c>
      <c r="G370" s="6">
        <f t="shared" ca="1" si="5"/>
        <v>45</v>
      </c>
      <c r="H370" s="6" t="b">
        <f ca="1">(COUNTIFS(Deputados!A370:A1000, A370, Deputados!D370:D1000, "&lt;&gt;57")) = 0</f>
        <v>1</v>
      </c>
    </row>
    <row r="371" spans="1:8" ht="17.399999999999999">
      <c r="A371" s="10">
        <f ca="1">IFERROR(__xludf.DUMMYFUNCTION("""COMPUTED_VALUE"""),370)</f>
        <v>370</v>
      </c>
      <c r="B371" s="10" t="str">
        <f ca="1">IFERROR(__xludf.DUMMYFUNCTION("""COMPUTED_VALUE"""),"Luis Carlos Gomes")</f>
        <v>Luis Carlos Gomes</v>
      </c>
      <c r="C371" s="10" t="str">
        <f ca="1">IFERROR(__xludf.DUMMYFUNCTION("""COMPUTED_VALUE"""),"RJ")</f>
        <v>RJ</v>
      </c>
      <c r="D371" s="6" t="str">
        <f t="shared" ca="1" si="4"/>
        <v>Masculino</v>
      </c>
      <c r="E371" s="10" t="str">
        <f ca="1">IFERROR(__xludf.DUMMYFUNCTION("""COMPUTED_VALUE"""),"M")</f>
        <v>M</v>
      </c>
      <c r="F371" s="11">
        <f ca="1">IFERROR(__xludf.DUMMYFUNCTION("""COMPUTED_VALUE"""),24232)</f>
        <v>24232</v>
      </c>
      <c r="G371" s="6">
        <f t="shared" ca="1" si="5"/>
        <v>59</v>
      </c>
      <c r="H371" s="6" t="b">
        <f ca="1">(COUNTIFS(Deputados!A371:A1000, A371, Deputados!D371:D1000, "&lt;&gt;57")) = 0</f>
        <v>1</v>
      </c>
    </row>
    <row r="372" spans="1:8" ht="17.399999999999999">
      <c r="A372" s="10">
        <f ca="1">IFERROR(__xludf.DUMMYFUNCTION("""COMPUTED_VALUE"""),371)</f>
        <v>371</v>
      </c>
      <c r="B372" s="10" t="str">
        <f ca="1">IFERROR(__xludf.DUMMYFUNCTION("""COMPUTED_VALUE"""),"Luis Tibé")</f>
        <v>Luis Tibé</v>
      </c>
      <c r="C372" s="10" t="str">
        <f ca="1">IFERROR(__xludf.DUMMYFUNCTION("""COMPUTED_VALUE"""),"MG")</f>
        <v>MG</v>
      </c>
      <c r="D372" s="6" t="str">
        <f t="shared" ca="1" si="4"/>
        <v>Masculino</v>
      </c>
      <c r="E372" s="10" t="str">
        <f ca="1">IFERROR(__xludf.DUMMYFUNCTION("""COMPUTED_VALUE"""),"M")</f>
        <v>M</v>
      </c>
      <c r="F372" s="11">
        <f ca="1">IFERROR(__xludf.DUMMYFUNCTION("""COMPUTED_VALUE"""),26137)</f>
        <v>26137</v>
      </c>
      <c r="G372" s="6">
        <f t="shared" ca="1" si="5"/>
        <v>54</v>
      </c>
      <c r="H372" s="6" t="b">
        <f ca="1">(COUNTIFS(Deputados!A372:A1000, A372, Deputados!D372:D1000, "&lt;&gt;57")) = 0</f>
        <v>0</v>
      </c>
    </row>
    <row r="373" spans="1:8" ht="17.399999999999999">
      <c r="A373" s="10">
        <f ca="1">IFERROR(__xludf.DUMMYFUNCTION("""COMPUTED_VALUE"""),372)</f>
        <v>372</v>
      </c>
      <c r="B373" s="10" t="str">
        <f ca="1">IFERROR(__xludf.DUMMYFUNCTION("""COMPUTED_VALUE"""),"Luisa Canziani")</f>
        <v>Luisa Canziani</v>
      </c>
      <c r="C373" s="10" t="str">
        <f ca="1">IFERROR(__xludf.DUMMYFUNCTION("""COMPUTED_VALUE"""),"PR")</f>
        <v>PR</v>
      </c>
      <c r="D373" s="6" t="str">
        <f t="shared" ca="1" si="4"/>
        <v>Feminino</v>
      </c>
      <c r="E373" s="10" t="str">
        <f ca="1">IFERROR(__xludf.DUMMYFUNCTION("""COMPUTED_VALUE"""),"F")</f>
        <v>F</v>
      </c>
      <c r="F373" s="11">
        <f ca="1">IFERROR(__xludf.DUMMYFUNCTION("""COMPUTED_VALUE"""),35166)</f>
        <v>35166</v>
      </c>
      <c r="G373" s="6">
        <f t="shared" ca="1" si="5"/>
        <v>29</v>
      </c>
      <c r="H373" s="6" t="b">
        <f ca="1">(COUNTIFS(Deputados!A373:A1000, A373, Deputados!D373:D1000, "&lt;&gt;57")) = 0</f>
        <v>0</v>
      </c>
    </row>
    <row r="374" spans="1:8" ht="17.399999999999999">
      <c r="A374" s="10">
        <f ca="1">IFERROR(__xludf.DUMMYFUNCTION("""COMPUTED_VALUE"""),373)</f>
        <v>373</v>
      </c>
      <c r="B374" s="10" t="str">
        <f ca="1">IFERROR(__xludf.DUMMYFUNCTION("""COMPUTED_VALUE"""),"Luiz Antonio Corrêa")</f>
        <v>Luiz Antonio Corrêa</v>
      </c>
      <c r="C374" s="10" t="str">
        <f ca="1">IFERROR(__xludf.DUMMYFUNCTION("""COMPUTED_VALUE"""),"RJ")</f>
        <v>RJ</v>
      </c>
      <c r="D374" s="6" t="str">
        <f t="shared" ca="1" si="4"/>
        <v>Masculino</v>
      </c>
      <c r="E374" s="10" t="str">
        <f ca="1">IFERROR(__xludf.DUMMYFUNCTION("""COMPUTED_VALUE"""),"M")</f>
        <v>M</v>
      </c>
      <c r="F374" s="11">
        <f ca="1">IFERROR(__xludf.DUMMYFUNCTION("""COMPUTED_VALUE"""),14972)</f>
        <v>14972</v>
      </c>
      <c r="G374" s="6">
        <f t="shared" ca="1" si="5"/>
        <v>84</v>
      </c>
      <c r="H374" s="6" t="b">
        <f ca="1">(COUNTIFS(Deputados!A374:A1000, A374, Deputados!D374:D1000, "&lt;&gt;57")) = 0</f>
        <v>0</v>
      </c>
    </row>
    <row r="375" spans="1:8" ht="17.399999999999999">
      <c r="A375" s="10">
        <f ca="1">IFERROR(__xludf.DUMMYFUNCTION("""COMPUTED_VALUE"""),374)</f>
        <v>374</v>
      </c>
      <c r="B375" s="10" t="str">
        <f ca="1">IFERROR(__xludf.DUMMYFUNCTION("""COMPUTED_VALUE"""),"Luiz Carlos Busato")</f>
        <v>Luiz Carlos Busato</v>
      </c>
      <c r="C375" s="10" t="str">
        <f ca="1">IFERROR(__xludf.DUMMYFUNCTION("""COMPUTED_VALUE"""),"SC")</f>
        <v>SC</v>
      </c>
      <c r="D375" s="6" t="str">
        <f t="shared" ca="1" si="4"/>
        <v>Masculino</v>
      </c>
      <c r="E375" s="10" t="str">
        <f ca="1">IFERROR(__xludf.DUMMYFUNCTION("""COMPUTED_VALUE"""),"M")</f>
        <v>M</v>
      </c>
      <c r="F375" s="11">
        <f ca="1">IFERROR(__xludf.DUMMYFUNCTION("""COMPUTED_VALUE"""),17843)</f>
        <v>17843</v>
      </c>
      <c r="G375" s="6">
        <f t="shared" ca="1" si="5"/>
        <v>76</v>
      </c>
      <c r="H375" s="6" t="b">
        <f ca="1">(COUNTIFS(Deputados!A375:A1000, A375, Deputados!D375:D1000, "&lt;&gt;57")) = 0</f>
        <v>0</v>
      </c>
    </row>
    <row r="376" spans="1:8" ht="17.399999999999999">
      <c r="A376" s="10">
        <f ca="1">IFERROR(__xludf.DUMMYFUNCTION("""COMPUTED_VALUE"""),375)</f>
        <v>375</v>
      </c>
      <c r="B376" s="10" t="str">
        <f ca="1">IFERROR(__xludf.DUMMYFUNCTION("""COMPUTED_VALUE"""),"Luiz Carlos Hauly")</f>
        <v>Luiz Carlos Hauly</v>
      </c>
      <c r="C376" s="10" t="str">
        <f ca="1">IFERROR(__xludf.DUMMYFUNCTION("""COMPUTED_VALUE"""),"PR")</f>
        <v>PR</v>
      </c>
      <c r="D376" s="6" t="str">
        <f t="shared" ca="1" si="4"/>
        <v>Masculino</v>
      </c>
      <c r="E376" s="10" t="str">
        <f ca="1">IFERROR(__xludf.DUMMYFUNCTION("""COMPUTED_VALUE"""),"M")</f>
        <v>M</v>
      </c>
      <c r="F376" s="11">
        <f ca="1">IFERROR(__xludf.DUMMYFUNCTION("""COMPUTED_VALUE"""),18544)</f>
        <v>18544</v>
      </c>
      <c r="G376" s="6">
        <f t="shared" ca="1" si="5"/>
        <v>74</v>
      </c>
      <c r="H376" s="6" t="b">
        <f ca="1">(COUNTIFS(Deputados!A376:A1000, A376, Deputados!D376:D1000, "&lt;&gt;57")) = 0</f>
        <v>0</v>
      </c>
    </row>
    <row r="377" spans="1:8" ht="17.399999999999999">
      <c r="A377" s="10">
        <f ca="1">IFERROR(__xludf.DUMMYFUNCTION("""COMPUTED_VALUE"""),376)</f>
        <v>376</v>
      </c>
      <c r="B377" s="10" t="str">
        <f ca="1">IFERROR(__xludf.DUMMYFUNCTION("""COMPUTED_VALUE"""),"Luiz Carlos Motta")</f>
        <v>Luiz Carlos Motta</v>
      </c>
      <c r="C377" s="10" t="str">
        <f ca="1">IFERROR(__xludf.DUMMYFUNCTION("""COMPUTED_VALUE"""),"SP")</f>
        <v>SP</v>
      </c>
      <c r="D377" s="6" t="str">
        <f t="shared" ca="1" si="4"/>
        <v>Masculino</v>
      </c>
      <c r="E377" s="10" t="str">
        <f ca="1">IFERROR(__xludf.DUMMYFUNCTION("""COMPUTED_VALUE"""),"M")</f>
        <v>M</v>
      </c>
      <c r="F377" s="11">
        <f ca="1">IFERROR(__xludf.DUMMYFUNCTION("""COMPUTED_VALUE"""),21664)</f>
        <v>21664</v>
      </c>
      <c r="G377" s="6">
        <f t="shared" ca="1" si="5"/>
        <v>66</v>
      </c>
      <c r="H377" s="6" t="b">
        <f ca="1">(COUNTIFS(Deputados!A377:A1000, A377, Deputados!D377:D1000, "&lt;&gt;57")) = 0</f>
        <v>0</v>
      </c>
    </row>
    <row r="378" spans="1:8" ht="17.399999999999999">
      <c r="A378" s="10">
        <f ca="1">IFERROR(__xludf.DUMMYFUNCTION("""COMPUTED_VALUE"""),377)</f>
        <v>377</v>
      </c>
      <c r="B378" s="10" t="str">
        <f ca="1">IFERROR(__xludf.DUMMYFUNCTION("""COMPUTED_VALUE"""),"Luiz Couto")</f>
        <v>Luiz Couto</v>
      </c>
      <c r="C378" s="10" t="str">
        <f ca="1">IFERROR(__xludf.DUMMYFUNCTION("""COMPUTED_VALUE"""),"PB")</f>
        <v>PB</v>
      </c>
      <c r="D378" s="6" t="str">
        <f t="shared" ca="1" si="4"/>
        <v>Masculino</v>
      </c>
      <c r="E378" s="10" t="str">
        <f ca="1">IFERROR(__xludf.DUMMYFUNCTION("""COMPUTED_VALUE"""),"M")</f>
        <v>M</v>
      </c>
      <c r="F378" s="11">
        <f ca="1">IFERROR(__xludf.DUMMYFUNCTION("""COMPUTED_VALUE"""),16481)</f>
        <v>16481</v>
      </c>
      <c r="G378" s="6">
        <f t="shared" ca="1" si="5"/>
        <v>80</v>
      </c>
      <c r="H378" s="6" t="b">
        <f ca="1">(COUNTIFS(Deputados!A378:A1000, A378, Deputados!D378:D1000, "&lt;&gt;57")) = 0</f>
        <v>0</v>
      </c>
    </row>
    <row r="379" spans="1:8" ht="17.399999999999999">
      <c r="A379" s="10">
        <f ca="1">IFERROR(__xludf.DUMMYFUNCTION("""COMPUTED_VALUE"""),378)</f>
        <v>378</v>
      </c>
      <c r="B379" s="10" t="str">
        <f ca="1">IFERROR(__xludf.DUMMYFUNCTION("""COMPUTED_VALUE"""),"Luiz Fernando Faria")</f>
        <v>Luiz Fernando Faria</v>
      </c>
      <c r="C379" s="10" t="str">
        <f ca="1">IFERROR(__xludf.DUMMYFUNCTION("""COMPUTED_VALUE"""),"MG")</f>
        <v>MG</v>
      </c>
      <c r="D379" s="6" t="str">
        <f t="shared" ca="1" si="4"/>
        <v>Masculino</v>
      </c>
      <c r="E379" s="10" t="str">
        <f ca="1">IFERROR(__xludf.DUMMYFUNCTION("""COMPUTED_VALUE"""),"M")</f>
        <v>M</v>
      </c>
      <c r="F379" s="11">
        <f ca="1">IFERROR(__xludf.DUMMYFUNCTION("""COMPUTED_VALUE"""),21075)</f>
        <v>21075</v>
      </c>
      <c r="G379" s="6">
        <f t="shared" ca="1" si="5"/>
        <v>67</v>
      </c>
      <c r="H379" s="6" t="b">
        <f ca="1">(COUNTIFS(Deputados!A379:A1000, A379, Deputados!D379:D1000, "&lt;&gt;57")) = 0</f>
        <v>0</v>
      </c>
    </row>
    <row r="380" spans="1:8" ht="17.399999999999999">
      <c r="A380" s="10">
        <f ca="1">IFERROR(__xludf.DUMMYFUNCTION("""COMPUTED_VALUE"""),379)</f>
        <v>379</v>
      </c>
      <c r="B380" s="10" t="str">
        <f ca="1">IFERROR(__xludf.DUMMYFUNCTION("""COMPUTED_VALUE"""),"Luiz Fernando Vampiro")</f>
        <v>Luiz Fernando Vampiro</v>
      </c>
      <c r="C380" s="10" t="str">
        <f ca="1">IFERROR(__xludf.DUMMYFUNCTION("""COMPUTED_VALUE"""),"SC")</f>
        <v>SC</v>
      </c>
      <c r="D380" s="6" t="str">
        <f t="shared" ca="1" si="4"/>
        <v>Masculino</v>
      </c>
      <c r="E380" s="10" t="str">
        <f ca="1">IFERROR(__xludf.DUMMYFUNCTION("""COMPUTED_VALUE"""),"M")</f>
        <v>M</v>
      </c>
      <c r="F380" s="11">
        <f ca="1">IFERROR(__xludf.DUMMYFUNCTION("""COMPUTED_VALUE"""),26975)</f>
        <v>26975</v>
      </c>
      <c r="G380" s="6">
        <f t="shared" ca="1" si="5"/>
        <v>51</v>
      </c>
      <c r="H380" s="6" t="b">
        <f ca="1">(COUNTIFS(Deputados!A380:A1000, A380, Deputados!D380:D1000, "&lt;&gt;57")) = 0</f>
        <v>1</v>
      </c>
    </row>
    <row r="381" spans="1:8" ht="17.399999999999999">
      <c r="A381" s="10">
        <f ca="1">IFERROR(__xludf.DUMMYFUNCTION("""COMPUTED_VALUE"""),380)</f>
        <v>380</v>
      </c>
      <c r="B381" s="10" t="str">
        <f ca="1">IFERROR(__xludf.DUMMYFUNCTION("""COMPUTED_VALUE"""),"Luiz Gastão")</f>
        <v>Luiz Gastão</v>
      </c>
      <c r="C381" s="10" t="str">
        <f ca="1">IFERROR(__xludf.DUMMYFUNCTION("""COMPUTED_VALUE"""),"RJ")</f>
        <v>RJ</v>
      </c>
      <c r="D381" s="6" t="str">
        <f t="shared" ca="1" si="4"/>
        <v>Masculino</v>
      </c>
      <c r="E381" s="10" t="str">
        <f ca="1">IFERROR(__xludf.DUMMYFUNCTION("""COMPUTED_VALUE"""),"M")</f>
        <v>M</v>
      </c>
      <c r="F381" s="11">
        <f ca="1">IFERROR(__xludf.DUMMYFUNCTION("""COMPUTED_VALUE"""),22877)</f>
        <v>22877</v>
      </c>
      <c r="G381" s="6">
        <f t="shared" ca="1" si="5"/>
        <v>63</v>
      </c>
      <c r="H381" s="6" t="b">
        <f ca="1">(COUNTIFS(Deputados!A381:A1000, A381, Deputados!D381:D1000, "&lt;&gt;57")) = 0</f>
        <v>1</v>
      </c>
    </row>
    <row r="382" spans="1:8" ht="17.399999999999999">
      <c r="A382" s="10">
        <f ca="1">IFERROR(__xludf.DUMMYFUNCTION("""COMPUTED_VALUE"""),381)</f>
        <v>381</v>
      </c>
      <c r="B382" s="10" t="str">
        <f ca="1">IFERROR(__xludf.DUMMYFUNCTION("""COMPUTED_VALUE"""),"Luiz Lima")</f>
        <v>Luiz Lima</v>
      </c>
      <c r="C382" s="10" t="str">
        <f ca="1">IFERROR(__xludf.DUMMYFUNCTION("""COMPUTED_VALUE"""),"RJ")</f>
        <v>RJ</v>
      </c>
      <c r="D382" s="6" t="str">
        <f t="shared" ca="1" si="4"/>
        <v>Masculino</v>
      </c>
      <c r="E382" s="10" t="str">
        <f ca="1">IFERROR(__xludf.DUMMYFUNCTION("""COMPUTED_VALUE"""),"M")</f>
        <v>M</v>
      </c>
      <c r="F382" s="11">
        <f ca="1">IFERROR(__xludf.DUMMYFUNCTION("""COMPUTED_VALUE"""),28469)</f>
        <v>28469</v>
      </c>
      <c r="G382" s="6">
        <f t="shared" ca="1" si="5"/>
        <v>47</v>
      </c>
      <c r="H382" s="6" t="b">
        <f ca="1">(COUNTIFS(Deputados!A382:A1000, A382, Deputados!D382:D1000, "&lt;&gt;57")) = 0</f>
        <v>0</v>
      </c>
    </row>
    <row r="383" spans="1:8" ht="17.399999999999999">
      <c r="A383" s="10">
        <f ca="1">IFERROR(__xludf.DUMMYFUNCTION("""COMPUTED_VALUE"""),382)</f>
        <v>382</v>
      </c>
      <c r="B383" s="10" t="str">
        <f ca="1">IFERROR(__xludf.DUMMYFUNCTION("""COMPUTED_VALUE"""),"Luiz Marinho")</f>
        <v>Luiz Marinho</v>
      </c>
      <c r="C383" s="10" t="str">
        <f ca="1">IFERROR(__xludf.DUMMYFUNCTION("""COMPUTED_VALUE"""),"SP")</f>
        <v>SP</v>
      </c>
      <c r="D383" s="6" t="str">
        <f t="shared" ca="1" si="4"/>
        <v>Masculino</v>
      </c>
      <c r="E383" s="10" t="str">
        <f ca="1">IFERROR(__xludf.DUMMYFUNCTION("""COMPUTED_VALUE"""),"M")</f>
        <v>M</v>
      </c>
      <c r="F383" s="11">
        <f ca="1">IFERROR(__xludf.DUMMYFUNCTION("""COMPUTED_VALUE"""),21690)</f>
        <v>21690</v>
      </c>
      <c r="G383" s="6">
        <f t="shared" ca="1" si="5"/>
        <v>66</v>
      </c>
      <c r="H383" s="6" t="b">
        <f ca="1">(COUNTIFS(Deputados!A383:A1000, A383, Deputados!D383:D1000, "&lt;&gt;57")) = 0</f>
        <v>1</v>
      </c>
    </row>
    <row r="384" spans="1:8" ht="17.399999999999999">
      <c r="A384" s="10">
        <f ca="1">IFERROR(__xludf.DUMMYFUNCTION("""COMPUTED_VALUE"""),383)</f>
        <v>383</v>
      </c>
      <c r="B384" s="10" t="str">
        <f ca="1">IFERROR(__xludf.DUMMYFUNCTION("""COMPUTED_VALUE"""),"Luiz Nishimori")</f>
        <v>Luiz Nishimori</v>
      </c>
      <c r="C384" s="10" t="str">
        <f ca="1">IFERROR(__xludf.DUMMYFUNCTION("""COMPUTED_VALUE"""),"PR")</f>
        <v>PR</v>
      </c>
      <c r="D384" s="6" t="str">
        <f t="shared" ca="1" si="4"/>
        <v>Masculino</v>
      </c>
      <c r="E384" s="10" t="str">
        <f ca="1">IFERROR(__xludf.DUMMYFUNCTION("""COMPUTED_VALUE"""),"M")</f>
        <v>M</v>
      </c>
      <c r="F384" s="11">
        <f ca="1">IFERROR(__xludf.DUMMYFUNCTION("""COMPUTED_VALUE"""),17997)</f>
        <v>17997</v>
      </c>
      <c r="G384" s="6">
        <f t="shared" ca="1" si="5"/>
        <v>76</v>
      </c>
      <c r="H384" s="6" t="b">
        <f ca="1">(COUNTIFS(Deputados!A384:A1000, A384, Deputados!D384:D1000, "&lt;&gt;57")) = 0</f>
        <v>0</v>
      </c>
    </row>
    <row r="385" spans="1:8" ht="17.399999999999999">
      <c r="A385" s="10">
        <f ca="1">IFERROR(__xludf.DUMMYFUNCTION("""COMPUTED_VALUE"""),384)</f>
        <v>384</v>
      </c>
      <c r="B385" s="10" t="str">
        <f ca="1">IFERROR(__xludf.DUMMYFUNCTION("""COMPUTED_VALUE"""),"Luiz Philippe de Orleans e Bragança")</f>
        <v>Luiz Philippe de Orleans e Bragança</v>
      </c>
      <c r="C385" s="10" t="str">
        <f ca="1">IFERROR(__xludf.DUMMYFUNCTION("""COMPUTED_VALUE"""),"RJ")</f>
        <v>RJ</v>
      </c>
      <c r="D385" s="6" t="str">
        <f t="shared" ca="1" si="4"/>
        <v>Masculino</v>
      </c>
      <c r="E385" s="10" t="str">
        <f ca="1">IFERROR(__xludf.DUMMYFUNCTION("""COMPUTED_VALUE"""),"M")</f>
        <v>M</v>
      </c>
      <c r="F385" s="11">
        <f ca="1">IFERROR(__xludf.DUMMYFUNCTION("""COMPUTED_VALUE"""),25296)</f>
        <v>25296</v>
      </c>
      <c r="G385" s="6">
        <f t="shared" ca="1" si="5"/>
        <v>56</v>
      </c>
      <c r="H385" s="6" t="b">
        <f ca="1">(COUNTIFS(Deputados!A385:A1000, A385, Deputados!D385:D1000, "&lt;&gt;57")) = 0</f>
        <v>0</v>
      </c>
    </row>
    <row r="386" spans="1:8" ht="17.399999999999999">
      <c r="A386" s="10">
        <f ca="1">IFERROR(__xludf.DUMMYFUNCTION("""COMPUTED_VALUE"""),385)</f>
        <v>385</v>
      </c>
      <c r="B386" s="10" t="str">
        <f ca="1">IFERROR(__xludf.DUMMYFUNCTION("""COMPUTED_VALUE"""),"Luiza Erundina")</f>
        <v>Luiza Erundina</v>
      </c>
      <c r="C386" s="10" t="str">
        <f ca="1">IFERROR(__xludf.DUMMYFUNCTION("""COMPUTED_VALUE"""),"PB")</f>
        <v>PB</v>
      </c>
      <c r="D386" s="6" t="str">
        <f t="shared" ca="1" si="4"/>
        <v>Feminino</v>
      </c>
      <c r="E386" s="10" t="str">
        <f ca="1">IFERROR(__xludf.DUMMYFUNCTION("""COMPUTED_VALUE"""),"F")</f>
        <v>F</v>
      </c>
      <c r="F386" s="11">
        <f ca="1">IFERROR(__xludf.DUMMYFUNCTION("""COMPUTED_VALUE"""),12753)</f>
        <v>12753</v>
      </c>
      <c r="G386" s="6">
        <f t="shared" ca="1" si="5"/>
        <v>90</v>
      </c>
      <c r="H386" s="6" t="b">
        <f ca="1">(COUNTIFS(Deputados!A386:A1000, A386, Deputados!D386:D1000, "&lt;&gt;57")) = 0</f>
        <v>0</v>
      </c>
    </row>
    <row r="387" spans="1:8" ht="17.399999999999999">
      <c r="A387" s="10">
        <f ca="1">IFERROR(__xludf.DUMMYFUNCTION("""COMPUTED_VALUE"""),386)</f>
        <v>386</v>
      </c>
      <c r="B387" s="10" t="str">
        <f ca="1">IFERROR(__xludf.DUMMYFUNCTION("""COMPUTED_VALUE"""),"Luizianne Lins")</f>
        <v>Luizianne Lins</v>
      </c>
      <c r="C387" s="10" t="str">
        <f ca="1">IFERROR(__xludf.DUMMYFUNCTION("""COMPUTED_VALUE"""),"CE")</f>
        <v>CE</v>
      </c>
      <c r="D387" s="6" t="str">
        <f t="shared" ca="1" si="4"/>
        <v>Feminino</v>
      </c>
      <c r="E387" s="10" t="str">
        <f ca="1">IFERROR(__xludf.DUMMYFUNCTION("""COMPUTED_VALUE"""),"F")</f>
        <v>F</v>
      </c>
      <c r="F387" s="11">
        <f ca="1">IFERROR(__xludf.DUMMYFUNCTION("""COMPUTED_VALUE"""),25160)</f>
        <v>25160</v>
      </c>
      <c r="G387" s="6">
        <f t="shared" ca="1" si="5"/>
        <v>56</v>
      </c>
      <c r="H387" s="6" t="b">
        <f ca="1">(COUNTIFS(Deputados!A387:A1000, A387, Deputados!D387:D1000, "&lt;&gt;57")) = 0</f>
        <v>0</v>
      </c>
    </row>
    <row r="388" spans="1:8" ht="17.399999999999999">
      <c r="A388" s="10">
        <f ca="1">IFERROR(__xludf.DUMMYFUNCTION("""COMPUTED_VALUE"""),387)</f>
        <v>387</v>
      </c>
      <c r="B388" s="10" t="str">
        <f ca="1">IFERROR(__xludf.DUMMYFUNCTION("""COMPUTED_VALUE"""),"Lula da Fonte")</f>
        <v>Lula da Fonte</v>
      </c>
      <c r="C388" s="10" t="str">
        <f ca="1">IFERROR(__xludf.DUMMYFUNCTION("""COMPUTED_VALUE"""),"PE")</f>
        <v>PE</v>
      </c>
      <c r="D388" s="6" t="str">
        <f t="shared" ca="1" si="4"/>
        <v>Masculino</v>
      </c>
      <c r="E388" s="10" t="str">
        <f ca="1">IFERROR(__xludf.DUMMYFUNCTION("""COMPUTED_VALUE"""),"M")</f>
        <v>M</v>
      </c>
      <c r="F388" s="11">
        <f ca="1">IFERROR(__xludf.DUMMYFUNCTION("""COMPUTED_VALUE"""),36868)</f>
        <v>36868</v>
      </c>
      <c r="G388" s="6">
        <f t="shared" ca="1" si="5"/>
        <v>24</v>
      </c>
      <c r="H388" s="6" t="b">
        <f ca="1">(COUNTIFS(Deputados!A388:A1000, A388, Deputados!D388:D1000, "&lt;&gt;57")) = 0</f>
        <v>1</v>
      </c>
    </row>
    <row r="389" spans="1:8" ht="17.399999999999999">
      <c r="A389" s="10">
        <f ca="1">IFERROR(__xludf.DUMMYFUNCTION("""COMPUTED_VALUE"""),388)</f>
        <v>388</v>
      </c>
      <c r="B389" s="10" t="str">
        <f ca="1">IFERROR(__xludf.DUMMYFUNCTION("""COMPUTED_VALUE"""),"Magda Mofatto")</f>
        <v>Magda Mofatto</v>
      </c>
      <c r="C389" s="10" t="str">
        <f ca="1">IFERROR(__xludf.DUMMYFUNCTION("""COMPUTED_VALUE"""),"SP")</f>
        <v>SP</v>
      </c>
      <c r="D389" s="6" t="str">
        <f t="shared" ca="1" si="4"/>
        <v>Feminino</v>
      </c>
      <c r="E389" s="10" t="str">
        <f ca="1">IFERROR(__xludf.DUMMYFUNCTION("""COMPUTED_VALUE"""),"F")</f>
        <v>F</v>
      </c>
      <c r="F389" s="11">
        <f ca="1">IFERROR(__xludf.DUMMYFUNCTION("""COMPUTED_VALUE"""),17832)</f>
        <v>17832</v>
      </c>
      <c r="G389" s="6">
        <f t="shared" ca="1" si="5"/>
        <v>76</v>
      </c>
      <c r="H389" s="6" t="b">
        <f ca="1">(COUNTIFS(Deputados!A389:A1000, A389, Deputados!D389:D1000, "&lt;&gt;57")) = 0</f>
        <v>0</v>
      </c>
    </row>
    <row r="390" spans="1:8" ht="17.399999999999999">
      <c r="A390" s="10">
        <f ca="1">IFERROR(__xludf.DUMMYFUNCTION("""COMPUTED_VALUE"""),389)</f>
        <v>389</v>
      </c>
      <c r="B390" s="10" t="str">
        <f ca="1">IFERROR(__xludf.DUMMYFUNCTION("""COMPUTED_VALUE"""),"Marangoni")</f>
        <v>Marangoni</v>
      </c>
      <c r="C390" s="10" t="str">
        <f ca="1">IFERROR(__xludf.DUMMYFUNCTION("""COMPUTED_VALUE"""),"SP")</f>
        <v>SP</v>
      </c>
      <c r="D390" s="6" t="str">
        <f t="shared" ca="1" si="4"/>
        <v>Masculino</v>
      </c>
      <c r="E390" s="10" t="str">
        <f ca="1">IFERROR(__xludf.DUMMYFUNCTION("""COMPUTED_VALUE"""),"M")</f>
        <v>M</v>
      </c>
      <c r="F390" s="11">
        <f ca="1">IFERROR(__xludf.DUMMYFUNCTION("""COMPUTED_VALUE"""),29242)</f>
        <v>29242</v>
      </c>
      <c r="G390" s="6">
        <f t="shared" ca="1" si="5"/>
        <v>45</v>
      </c>
      <c r="H390" s="6" t="b">
        <f ca="1">(COUNTIFS(Deputados!A390:A1000, A390, Deputados!D390:D1000, "&lt;&gt;57")) = 0</f>
        <v>1</v>
      </c>
    </row>
    <row r="391" spans="1:8" ht="17.399999999999999">
      <c r="A391" s="10">
        <f ca="1">IFERROR(__xludf.DUMMYFUNCTION("""COMPUTED_VALUE"""),390)</f>
        <v>390</v>
      </c>
      <c r="B391" s="10" t="str">
        <f ca="1">IFERROR(__xludf.DUMMYFUNCTION("""COMPUTED_VALUE"""),"Marcel van Hattem")</f>
        <v>Marcel van Hattem</v>
      </c>
      <c r="C391" s="10" t="str">
        <f ca="1">IFERROR(__xludf.DUMMYFUNCTION("""COMPUTED_VALUE"""),"RS")</f>
        <v>RS</v>
      </c>
      <c r="D391" s="6" t="str">
        <f t="shared" ca="1" si="4"/>
        <v>Masculino</v>
      </c>
      <c r="E391" s="10" t="str">
        <f ca="1">IFERROR(__xludf.DUMMYFUNCTION("""COMPUTED_VALUE"""),"M")</f>
        <v>M</v>
      </c>
      <c r="F391" s="11">
        <f ca="1">IFERROR(__xludf.DUMMYFUNCTION("""COMPUTED_VALUE"""),31359)</f>
        <v>31359</v>
      </c>
      <c r="G391" s="6">
        <f t="shared" ca="1" si="5"/>
        <v>39</v>
      </c>
      <c r="H391" s="6" t="b">
        <f ca="1">(COUNTIFS(Deputados!A391:A1000, A391, Deputados!D391:D1000, "&lt;&gt;57")) = 0</f>
        <v>0</v>
      </c>
    </row>
    <row r="392" spans="1:8" ht="17.399999999999999">
      <c r="A392" s="10">
        <f ca="1">IFERROR(__xludf.DUMMYFUNCTION("""COMPUTED_VALUE"""),391)</f>
        <v>391</v>
      </c>
      <c r="B392" s="10" t="str">
        <f ca="1">IFERROR(__xludf.DUMMYFUNCTION("""COMPUTED_VALUE"""),"Marcelo Álvaro Antônio")</f>
        <v>Marcelo Álvaro Antônio</v>
      </c>
      <c r="C392" s="10" t="str">
        <f ca="1">IFERROR(__xludf.DUMMYFUNCTION("""COMPUTED_VALUE"""),"MG")</f>
        <v>MG</v>
      </c>
      <c r="D392" s="6" t="str">
        <f t="shared" ca="1" si="4"/>
        <v>Masculino</v>
      </c>
      <c r="E392" s="10" t="str">
        <f ca="1">IFERROR(__xludf.DUMMYFUNCTION("""COMPUTED_VALUE"""),"M")</f>
        <v>M</v>
      </c>
      <c r="F392" s="11">
        <f ca="1">IFERROR(__xludf.DUMMYFUNCTION("""COMPUTED_VALUE"""),27076)</f>
        <v>27076</v>
      </c>
      <c r="G392" s="6">
        <f t="shared" ca="1" si="5"/>
        <v>51</v>
      </c>
      <c r="H392" s="6" t="b">
        <f ca="1">(COUNTIFS(Deputados!A392:A1000, A392, Deputados!D392:D1000, "&lt;&gt;57")) = 0</f>
        <v>0</v>
      </c>
    </row>
    <row r="393" spans="1:8" ht="17.399999999999999">
      <c r="A393" s="10">
        <f ca="1">IFERROR(__xludf.DUMMYFUNCTION("""COMPUTED_VALUE"""),392)</f>
        <v>392</v>
      </c>
      <c r="B393" s="10" t="str">
        <f ca="1">IFERROR(__xludf.DUMMYFUNCTION("""COMPUTED_VALUE"""),"Marcelo Calero")</f>
        <v>Marcelo Calero</v>
      </c>
      <c r="C393" s="10" t="str">
        <f ca="1">IFERROR(__xludf.DUMMYFUNCTION("""COMPUTED_VALUE"""),"RJ")</f>
        <v>RJ</v>
      </c>
      <c r="D393" s="6" t="str">
        <f t="shared" ca="1" si="4"/>
        <v>Masculino</v>
      </c>
      <c r="E393" s="10" t="str">
        <f ca="1">IFERROR(__xludf.DUMMYFUNCTION("""COMPUTED_VALUE"""),"M")</f>
        <v>M</v>
      </c>
      <c r="F393" s="11">
        <f ca="1">IFERROR(__xludf.DUMMYFUNCTION("""COMPUTED_VALUE"""),30139)</f>
        <v>30139</v>
      </c>
      <c r="G393" s="6">
        <f t="shared" ca="1" si="5"/>
        <v>43</v>
      </c>
      <c r="H393" s="6" t="b">
        <f ca="1">(COUNTIFS(Deputados!A393:A1000, A393, Deputados!D393:D1000, "&lt;&gt;57")) = 0</f>
        <v>0</v>
      </c>
    </row>
    <row r="394" spans="1:8" ht="17.399999999999999">
      <c r="A394" s="10">
        <f ca="1">IFERROR(__xludf.DUMMYFUNCTION("""COMPUTED_VALUE"""),393)</f>
        <v>393</v>
      </c>
      <c r="B394" s="10" t="str">
        <f ca="1">IFERROR(__xludf.DUMMYFUNCTION("""COMPUTED_VALUE"""),"Marcelo Crivella")</f>
        <v>Marcelo Crivella</v>
      </c>
      <c r="C394" s="10" t="str">
        <f ca="1">IFERROR(__xludf.DUMMYFUNCTION("""COMPUTED_VALUE"""),"RJ")</f>
        <v>RJ</v>
      </c>
      <c r="D394" s="6" t="str">
        <f t="shared" ca="1" si="4"/>
        <v>Masculino</v>
      </c>
      <c r="E394" s="10" t="str">
        <f ca="1">IFERROR(__xludf.DUMMYFUNCTION("""COMPUTED_VALUE"""),"M")</f>
        <v>M</v>
      </c>
      <c r="F394" s="11">
        <f ca="1">IFERROR(__xludf.DUMMYFUNCTION("""COMPUTED_VALUE"""),21102)</f>
        <v>21102</v>
      </c>
      <c r="G394" s="6">
        <f t="shared" ca="1" si="5"/>
        <v>67</v>
      </c>
      <c r="H394" s="6" t="b">
        <f ca="1">(COUNTIFS(Deputados!A394:A1000, A394, Deputados!D394:D1000, "&lt;&gt;57")) = 0</f>
        <v>1</v>
      </c>
    </row>
    <row r="395" spans="1:8" ht="17.399999999999999">
      <c r="A395" s="10">
        <f ca="1">IFERROR(__xludf.DUMMYFUNCTION("""COMPUTED_VALUE"""),394)</f>
        <v>394</v>
      </c>
      <c r="B395" s="10" t="str">
        <f ca="1">IFERROR(__xludf.DUMMYFUNCTION("""COMPUTED_VALUE"""),"Marcelo Lima")</f>
        <v>Marcelo Lima</v>
      </c>
      <c r="C395" s="10" t="str">
        <f ca="1">IFERROR(__xludf.DUMMYFUNCTION("""COMPUTED_VALUE"""),"SP")</f>
        <v>SP</v>
      </c>
      <c r="D395" s="6" t="str">
        <f t="shared" ca="1" si="4"/>
        <v>Masculino</v>
      </c>
      <c r="E395" s="10" t="str">
        <f ca="1">IFERROR(__xludf.DUMMYFUNCTION("""COMPUTED_VALUE"""),"M")</f>
        <v>M</v>
      </c>
      <c r="F395" s="11">
        <f ca="1">IFERROR(__xludf.DUMMYFUNCTION("""COMPUTED_VALUE"""),30396)</f>
        <v>30396</v>
      </c>
      <c r="G395" s="6">
        <f t="shared" ca="1" si="5"/>
        <v>42</v>
      </c>
      <c r="H395" s="6" t="b">
        <f ca="1">(COUNTIFS(Deputados!A395:A1000, A395, Deputados!D395:D1000, "&lt;&gt;57")) = 0</f>
        <v>1</v>
      </c>
    </row>
    <row r="396" spans="1:8" ht="17.399999999999999">
      <c r="A396" s="10">
        <f ca="1">IFERROR(__xludf.DUMMYFUNCTION("""COMPUTED_VALUE"""),395)</f>
        <v>395</v>
      </c>
      <c r="B396" s="10" t="str">
        <f ca="1">IFERROR(__xludf.DUMMYFUNCTION("""COMPUTED_VALUE"""),"Marcelo Moraes")</f>
        <v>Marcelo Moraes</v>
      </c>
      <c r="C396" s="10" t="str">
        <f ca="1">IFERROR(__xludf.DUMMYFUNCTION("""COMPUTED_VALUE"""),"RS")</f>
        <v>RS</v>
      </c>
      <c r="D396" s="6" t="str">
        <f t="shared" ca="1" si="4"/>
        <v>Masculino</v>
      </c>
      <c r="E396" s="10" t="str">
        <f ca="1">IFERROR(__xludf.DUMMYFUNCTION("""COMPUTED_VALUE"""),"M")</f>
        <v>M</v>
      </c>
      <c r="F396" s="11">
        <f ca="1">IFERROR(__xludf.DUMMYFUNCTION("""COMPUTED_VALUE"""),29074)</f>
        <v>29074</v>
      </c>
      <c r="G396" s="6">
        <f t="shared" ca="1" si="5"/>
        <v>46</v>
      </c>
      <c r="H396" s="6" t="b">
        <f ca="1">(COUNTIFS(Deputados!A396:A1000, A396, Deputados!D396:D1000, "&lt;&gt;57")) = 0</f>
        <v>0</v>
      </c>
    </row>
    <row r="397" spans="1:8" ht="17.399999999999999">
      <c r="A397" s="10">
        <f ca="1">IFERROR(__xludf.DUMMYFUNCTION("""COMPUTED_VALUE"""),396)</f>
        <v>396</v>
      </c>
      <c r="B397" s="10" t="str">
        <f ca="1">IFERROR(__xludf.DUMMYFUNCTION("""COMPUTED_VALUE"""),"Marcelo Queiroz")</f>
        <v>Marcelo Queiroz</v>
      </c>
      <c r="C397" s="10" t="str">
        <f ca="1">IFERROR(__xludf.DUMMYFUNCTION("""COMPUTED_VALUE"""),"RJ")</f>
        <v>RJ</v>
      </c>
      <c r="D397" s="6" t="str">
        <f t="shared" ca="1" si="4"/>
        <v>Masculino</v>
      </c>
      <c r="E397" s="10" t="str">
        <f ca="1">IFERROR(__xludf.DUMMYFUNCTION("""COMPUTED_VALUE"""),"M")</f>
        <v>M</v>
      </c>
      <c r="F397" s="11">
        <f ca="1">IFERROR(__xludf.DUMMYFUNCTION("""COMPUTED_VALUE"""),30989)</f>
        <v>30989</v>
      </c>
      <c r="G397" s="6">
        <f t="shared" ca="1" si="5"/>
        <v>40</v>
      </c>
      <c r="H397" s="6" t="b">
        <f ca="1">(COUNTIFS(Deputados!A397:A1000, A397, Deputados!D397:D1000, "&lt;&gt;57")) = 0</f>
        <v>1</v>
      </c>
    </row>
    <row r="398" spans="1:8" ht="17.399999999999999">
      <c r="A398" s="10">
        <f ca="1">IFERROR(__xludf.DUMMYFUNCTION("""COMPUTED_VALUE"""),397)</f>
        <v>397</v>
      </c>
      <c r="B398" s="10" t="str">
        <f ca="1">IFERROR(__xludf.DUMMYFUNCTION("""COMPUTED_VALUE"""),"Marcio Alvino")</f>
        <v>Marcio Alvino</v>
      </c>
      <c r="C398" s="10" t="str">
        <f ca="1">IFERROR(__xludf.DUMMYFUNCTION("""COMPUTED_VALUE"""),"SP")</f>
        <v>SP</v>
      </c>
      <c r="D398" s="6" t="str">
        <f t="shared" ca="1" si="4"/>
        <v>Masculino</v>
      </c>
      <c r="E398" s="10" t="str">
        <f ca="1">IFERROR(__xludf.DUMMYFUNCTION("""COMPUTED_VALUE"""),"M")</f>
        <v>M</v>
      </c>
      <c r="F398" s="11">
        <f ca="1">IFERROR(__xludf.DUMMYFUNCTION("""COMPUTED_VALUE"""),25368)</f>
        <v>25368</v>
      </c>
      <c r="G398" s="6">
        <f t="shared" ca="1" si="5"/>
        <v>56</v>
      </c>
      <c r="H398" s="6" t="b">
        <f ca="1">(COUNTIFS(Deputados!A398:A1000, A398, Deputados!D398:D1000, "&lt;&gt;57")) = 0</f>
        <v>0</v>
      </c>
    </row>
    <row r="399" spans="1:8" ht="17.399999999999999">
      <c r="A399" s="10">
        <f ca="1">IFERROR(__xludf.DUMMYFUNCTION("""COMPUTED_VALUE"""),398)</f>
        <v>398</v>
      </c>
      <c r="B399" s="10" t="str">
        <f ca="1">IFERROR(__xludf.DUMMYFUNCTION("""COMPUTED_VALUE"""),"Márcio Biolchi")</f>
        <v>Márcio Biolchi</v>
      </c>
      <c r="C399" s="10" t="str">
        <f ca="1">IFERROR(__xludf.DUMMYFUNCTION("""COMPUTED_VALUE"""),"RS")</f>
        <v>RS</v>
      </c>
      <c r="D399" s="6" t="str">
        <f t="shared" ca="1" si="4"/>
        <v>Masculino</v>
      </c>
      <c r="E399" s="10" t="str">
        <f ca="1">IFERROR(__xludf.DUMMYFUNCTION("""COMPUTED_VALUE"""),"M")</f>
        <v>M</v>
      </c>
      <c r="F399" s="11">
        <f ca="1">IFERROR(__xludf.DUMMYFUNCTION("""COMPUTED_VALUE"""),28998)</f>
        <v>28998</v>
      </c>
      <c r="G399" s="6">
        <f t="shared" ca="1" si="5"/>
        <v>46</v>
      </c>
      <c r="H399" s="6" t="b">
        <f ca="1">(COUNTIFS(Deputados!A399:A1000, A399, Deputados!D399:D1000, "&lt;&gt;57")) = 0</f>
        <v>0</v>
      </c>
    </row>
    <row r="400" spans="1:8" ht="17.399999999999999">
      <c r="A400" s="10">
        <f ca="1">IFERROR(__xludf.DUMMYFUNCTION("""COMPUTED_VALUE"""),399)</f>
        <v>399</v>
      </c>
      <c r="B400" s="10" t="str">
        <f ca="1">IFERROR(__xludf.DUMMYFUNCTION("""COMPUTED_VALUE"""),"Márcio Correa")</f>
        <v>Márcio Correa</v>
      </c>
      <c r="C400" s="10" t="str">
        <f ca="1">IFERROR(__xludf.DUMMYFUNCTION("""COMPUTED_VALUE"""),"GO")</f>
        <v>GO</v>
      </c>
      <c r="D400" s="6" t="str">
        <f t="shared" ca="1" si="4"/>
        <v>Masculino</v>
      </c>
      <c r="E400" s="10" t="str">
        <f ca="1">IFERROR(__xludf.DUMMYFUNCTION("""COMPUTED_VALUE"""),"M")</f>
        <v>M</v>
      </c>
      <c r="F400" s="11">
        <f ca="1">IFERROR(__xludf.DUMMYFUNCTION("""COMPUTED_VALUE"""),29372)</f>
        <v>29372</v>
      </c>
      <c r="G400" s="6">
        <f t="shared" ca="1" si="5"/>
        <v>45</v>
      </c>
      <c r="H400" s="6" t="b">
        <f ca="1">(COUNTIFS(Deputados!A400:A1000, A400, Deputados!D400:D1000, "&lt;&gt;57")) = 0</f>
        <v>1</v>
      </c>
    </row>
    <row r="401" spans="1:8" ht="17.399999999999999">
      <c r="A401" s="10">
        <f ca="1">IFERROR(__xludf.DUMMYFUNCTION("""COMPUTED_VALUE"""),400)</f>
        <v>400</v>
      </c>
      <c r="B401" s="10" t="str">
        <f ca="1">IFERROR(__xludf.DUMMYFUNCTION("""COMPUTED_VALUE"""),"Márcio Honaiser")</f>
        <v>Márcio Honaiser</v>
      </c>
      <c r="C401" s="10" t="str">
        <f ca="1">IFERROR(__xludf.DUMMYFUNCTION("""COMPUTED_VALUE"""),"RS")</f>
        <v>RS</v>
      </c>
      <c r="D401" s="6" t="str">
        <f t="shared" ca="1" si="4"/>
        <v>Masculino</v>
      </c>
      <c r="E401" s="10" t="str">
        <f ca="1">IFERROR(__xludf.DUMMYFUNCTION("""COMPUTED_VALUE"""),"M")</f>
        <v>M</v>
      </c>
      <c r="F401" s="11">
        <f ca="1">IFERROR(__xludf.DUMMYFUNCTION("""COMPUTED_VALUE"""),24566)</f>
        <v>24566</v>
      </c>
      <c r="G401" s="6">
        <f t="shared" ca="1" si="5"/>
        <v>58</v>
      </c>
      <c r="H401" s="6" t="b">
        <f ca="1">(COUNTIFS(Deputados!A401:A1000, A401, Deputados!D401:D1000, "&lt;&gt;57")) = 0</f>
        <v>1</v>
      </c>
    </row>
    <row r="402" spans="1:8" ht="17.399999999999999">
      <c r="A402" s="10">
        <f ca="1">IFERROR(__xludf.DUMMYFUNCTION("""COMPUTED_VALUE"""),401)</f>
        <v>401</v>
      </c>
      <c r="B402" s="10" t="str">
        <f ca="1">IFERROR(__xludf.DUMMYFUNCTION("""COMPUTED_VALUE"""),"Márcio Jerry")</f>
        <v>Márcio Jerry</v>
      </c>
      <c r="C402" s="10" t="str">
        <f ca="1">IFERROR(__xludf.DUMMYFUNCTION("""COMPUTED_VALUE"""),"MA")</f>
        <v>MA</v>
      </c>
      <c r="D402" s="6" t="str">
        <f t="shared" ca="1" si="4"/>
        <v>Masculino</v>
      </c>
      <c r="E402" s="10" t="str">
        <f ca="1">IFERROR(__xludf.DUMMYFUNCTION("""COMPUTED_VALUE"""),"M")</f>
        <v>M</v>
      </c>
      <c r="F402" s="11">
        <f ca="1">IFERROR(__xludf.DUMMYFUNCTION("""COMPUTED_VALUE"""),24425)</f>
        <v>24425</v>
      </c>
      <c r="G402" s="6">
        <f t="shared" ca="1" si="5"/>
        <v>58</v>
      </c>
      <c r="H402" s="6" t="b">
        <f ca="1">(COUNTIFS(Deputados!A402:A1000, A402, Deputados!D402:D1000, "&lt;&gt;57")) = 0</f>
        <v>0</v>
      </c>
    </row>
    <row r="403" spans="1:8" ht="17.399999999999999">
      <c r="A403" s="10">
        <f ca="1">IFERROR(__xludf.DUMMYFUNCTION("""COMPUTED_VALUE"""),402)</f>
        <v>402</v>
      </c>
      <c r="B403" s="10" t="str">
        <f ca="1">IFERROR(__xludf.DUMMYFUNCTION("""COMPUTED_VALUE"""),"Márcio Marinho")</f>
        <v>Márcio Marinho</v>
      </c>
      <c r="C403" s="10" t="str">
        <f ca="1">IFERROR(__xludf.DUMMYFUNCTION("""COMPUTED_VALUE"""),"RJ")</f>
        <v>RJ</v>
      </c>
      <c r="D403" s="6" t="str">
        <f t="shared" ca="1" si="4"/>
        <v>Masculino</v>
      </c>
      <c r="E403" s="10" t="str">
        <f ca="1">IFERROR(__xludf.DUMMYFUNCTION("""COMPUTED_VALUE"""),"M")</f>
        <v>M</v>
      </c>
      <c r="F403" s="11">
        <f ca="1">IFERROR(__xludf.DUMMYFUNCTION("""COMPUTED_VALUE"""),25914)</f>
        <v>25914</v>
      </c>
      <c r="G403" s="6">
        <f t="shared" ca="1" si="5"/>
        <v>54</v>
      </c>
      <c r="H403" s="6" t="b">
        <f ca="1">(COUNTIFS(Deputados!A403:A1000, A403, Deputados!D403:D1000, "&lt;&gt;57")) = 0</f>
        <v>0</v>
      </c>
    </row>
    <row r="404" spans="1:8" ht="17.399999999999999">
      <c r="A404" s="10">
        <f ca="1">IFERROR(__xludf.DUMMYFUNCTION("""COMPUTED_VALUE"""),403)</f>
        <v>403</v>
      </c>
      <c r="B404" s="10" t="str">
        <f ca="1">IFERROR(__xludf.DUMMYFUNCTION("""COMPUTED_VALUE"""),"Marco Bertaiolli")</f>
        <v>Marco Bertaiolli</v>
      </c>
      <c r="C404" s="10" t="str">
        <f ca="1">IFERROR(__xludf.DUMMYFUNCTION("""COMPUTED_VALUE"""),"SP")</f>
        <v>SP</v>
      </c>
      <c r="D404" s="6" t="str">
        <f t="shared" ca="1" si="4"/>
        <v>Masculino</v>
      </c>
      <c r="E404" s="10" t="str">
        <f ca="1">IFERROR(__xludf.DUMMYFUNCTION("""COMPUTED_VALUE"""),"M")</f>
        <v>M</v>
      </c>
      <c r="F404" s="11">
        <f ca="1">IFERROR(__xludf.DUMMYFUNCTION("""COMPUTED_VALUE"""),24958)</f>
        <v>24958</v>
      </c>
      <c r="G404" s="6">
        <f t="shared" ca="1" si="5"/>
        <v>57</v>
      </c>
      <c r="H404" s="6" t="b">
        <f ca="1">(COUNTIFS(Deputados!A404:A1000, A404, Deputados!D404:D1000, "&lt;&gt;57")) = 0</f>
        <v>0</v>
      </c>
    </row>
    <row r="405" spans="1:8" ht="17.399999999999999">
      <c r="A405" s="10">
        <f ca="1">IFERROR(__xludf.DUMMYFUNCTION("""COMPUTED_VALUE"""),404)</f>
        <v>404</v>
      </c>
      <c r="B405" s="10" t="str">
        <f ca="1">IFERROR(__xludf.DUMMYFUNCTION("""COMPUTED_VALUE"""),"Marco Brasil")</f>
        <v>Marco Brasil</v>
      </c>
      <c r="C405" s="10" t="str">
        <f ca="1">IFERROR(__xludf.DUMMYFUNCTION("""COMPUTED_VALUE"""),"SP")</f>
        <v>SP</v>
      </c>
      <c r="D405" s="6" t="str">
        <f t="shared" ca="1" si="4"/>
        <v>Masculino</v>
      </c>
      <c r="E405" s="10" t="str">
        <f ca="1">IFERROR(__xludf.DUMMYFUNCTION("""COMPUTED_VALUE"""),"M")</f>
        <v>M</v>
      </c>
      <c r="F405" s="11">
        <f ca="1">IFERROR(__xludf.DUMMYFUNCTION("""COMPUTED_VALUE"""),24135)</f>
        <v>24135</v>
      </c>
      <c r="G405" s="6">
        <f t="shared" ca="1" si="5"/>
        <v>59</v>
      </c>
      <c r="H405" s="6" t="b">
        <f ca="1">(COUNTIFS(Deputados!A405:A1000, A405, Deputados!D405:D1000, "&lt;&gt;57")) = 0</f>
        <v>0</v>
      </c>
    </row>
    <row r="406" spans="1:8" ht="17.399999999999999">
      <c r="A406" s="10">
        <f ca="1">IFERROR(__xludf.DUMMYFUNCTION("""COMPUTED_VALUE"""),405)</f>
        <v>405</v>
      </c>
      <c r="B406" s="10" t="str">
        <f ca="1">IFERROR(__xludf.DUMMYFUNCTION("""COMPUTED_VALUE"""),"Marcon")</f>
        <v>Marcon</v>
      </c>
      <c r="C406" s="10" t="str">
        <f ca="1">IFERROR(__xludf.DUMMYFUNCTION("""COMPUTED_VALUE"""),"RS")</f>
        <v>RS</v>
      </c>
      <c r="D406" s="6" t="str">
        <f t="shared" ca="1" si="4"/>
        <v>Masculino</v>
      </c>
      <c r="E406" s="10" t="str">
        <f ca="1">IFERROR(__xludf.DUMMYFUNCTION("""COMPUTED_VALUE"""),"M")</f>
        <v>M</v>
      </c>
      <c r="F406" s="11">
        <f ca="1">IFERROR(__xludf.DUMMYFUNCTION("""COMPUTED_VALUE"""),23641)</f>
        <v>23641</v>
      </c>
      <c r="G406" s="6">
        <f t="shared" ca="1" si="5"/>
        <v>60</v>
      </c>
      <c r="H406" s="6" t="b">
        <f ca="1">(COUNTIFS(Deputados!A406:A1000, A406, Deputados!D406:D1000, "&lt;&gt;57")) = 0</f>
        <v>0</v>
      </c>
    </row>
    <row r="407" spans="1:8" ht="17.399999999999999">
      <c r="A407" s="10">
        <f ca="1">IFERROR(__xludf.DUMMYFUNCTION("""COMPUTED_VALUE"""),406)</f>
        <v>406</v>
      </c>
      <c r="B407" s="10" t="str">
        <f ca="1">IFERROR(__xludf.DUMMYFUNCTION("""COMPUTED_VALUE"""),"Marcos Aurélio Sampaio")</f>
        <v>Marcos Aurélio Sampaio</v>
      </c>
      <c r="C407" s="10" t="str">
        <f ca="1">IFERROR(__xludf.DUMMYFUNCTION("""COMPUTED_VALUE"""),"PI")</f>
        <v>PI</v>
      </c>
      <c r="D407" s="6" t="str">
        <f t="shared" ca="1" si="4"/>
        <v>Masculino</v>
      </c>
      <c r="E407" s="10" t="str">
        <f ca="1">IFERROR(__xludf.DUMMYFUNCTION("""COMPUTED_VALUE"""),"M")</f>
        <v>M</v>
      </c>
      <c r="F407" s="11">
        <f ca="1">IFERROR(__xludf.DUMMYFUNCTION("""COMPUTED_VALUE"""),33500)</f>
        <v>33500</v>
      </c>
      <c r="G407" s="6">
        <f t="shared" ca="1" si="5"/>
        <v>33</v>
      </c>
      <c r="H407" s="6" t="b">
        <f ca="1">(COUNTIFS(Deputados!A407:A1000, A407, Deputados!D407:D1000, "&lt;&gt;57")) = 0</f>
        <v>0</v>
      </c>
    </row>
    <row r="408" spans="1:8" ht="17.399999999999999">
      <c r="A408" s="10">
        <f ca="1">IFERROR(__xludf.DUMMYFUNCTION("""COMPUTED_VALUE"""),407)</f>
        <v>407</v>
      </c>
      <c r="B408" s="10" t="str">
        <f ca="1">IFERROR(__xludf.DUMMYFUNCTION("""COMPUTED_VALUE"""),"Marcos Pereira")</f>
        <v>Marcos Pereira</v>
      </c>
      <c r="C408" s="10" t="str">
        <f ca="1">IFERROR(__xludf.DUMMYFUNCTION("""COMPUTED_VALUE"""),"ES")</f>
        <v>ES</v>
      </c>
      <c r="D408" s="6" t="str">
        <f t="shared" ca="1" si="4"/>
        <v>Masculino</v>
      </c>
      <c r="E408" s="10" t="str">
        <f ca="1">IFERROR(__xludf.DUMMYFUNCTION("""COMPUTED_VALUE"""),"M")</f>
        <v>M</v>
      </c>
      <c r="F408" s="11">
        <f ca="1">IFERROR(__xludf.DUMMYFUNCTION("""COMPUTED_VALUE"""),26393)</f>
        <v>26393</v>
      </c>
      <c r="G408" s="6">
        <f t="shared" ca="1" si="5"/>
        <v>53</v>
      </c>
      <c r="H408" s="6" t="b">
        <f ca="1">(COUNTIFS(Deputados!A408:A1000, A408, Deputados!D408:D1000, "&lt;&gt;57")) = 0</f>
        <v>0</v>
      </c>
    </row>
    <row r="409" spans="1:8" ht="17.399999999999999">
      <c r="A409" s="10">
        <f ca="1">IFERROR(__xludf.DUMMYFUNCTION("""COMPUTED_VALUE"""),408)</f>
        <v>408</v>
      </c>
      <c r="B409" s="10" t="str">
        <f ca="1">IFERROR(__xludf.DUMMYFUNCTION("""COMPUTED_VALUE"""),"Marcos Pollon")</f>
        <v>Marcos Pollon</v>
      </c>
      <c r="C409" s="10" t="str">
        <f ca="1">IFERROR(__xludf.DUMMYFUNCTION("""COMPUTED_VALUE"""),"MS")</f>
        <v>MS</v>
      </c>
      <c r="D409" s="6" t="str">
        <f t="shared" ca="1" si="4"/>
        <v>Masculino</v>
      </c>
      <c r="E409" s="10" t="str">
        <f ca="1">IFERROR(__xludf.DUMMYFUNCTION("""COMPUTED_VALUE"""),"M")</f>
        <v>M</v>
      </c>
      <c r="F409" s="11">
        <f ca="1">IFERROR(__xludf.DUMMYFUNCTION("""COMPUTED_VALUE"""),29605)</f>
        <v>29605</v>
      </c>
      <c r="G409" s="6">
        <f t="shared" ca="1" si="5"/>
        <v>44</v>
      </c>
      <c r="H409" s="6" t="b">
        <f ca="1">(COUNTIFS(Deputados!A409:A1000, A409, Deputados!D409:D1000, "&lt;&gt;57")) = 0</f>
        <v>1</v>
      </c>
    </row>
    <row r="410" spans="1:8" ht="17.399999999999999">
      <c r="A410" s="10">
        <f ca="1">IFERROR(__xludf.DUMMYFUNCTION("""COMPUTED_VALUE"""),409)</f>
        <v>409</v>
      </c>
      <c r="B410" s="10" t="str">
        <f ca="1">IFERROR(__xludf.DUMMYFUNCTION("""COMPUTED_VALUE"""),"Marcos Soares")</f>
        <v>Marcos Soares</v>
      </c>
      <c r="C410" s="10" t="str">
        <f ca="1">IFERROR(__xludf.DUMMYFUNCTION("""COMPUTED_VALUE"""),"RJ")</f>
        <v>RJ</v>
      </c>
      <c r="D410" s="6" t="str">
        <f t="shared" ca="1" si="4"/>
        <v>Masculino</v>
      </c>
      <c r="E410" s="10" t="str">
        <f ca="1">IFERROR(__xludf.DUMMYFUNCTION("""COMPUTED_VALUE"""),"M")</f>
        <v>M</v>
      </c>
      <c r="F410" s="11">
        <f ca="1">IFERROR(__xludf.DUMMYFUNCTION("""COMPUTED_VALUE"""),28626)</f>
        <v>28626</v>
      </c>
      <c r="G410" s="6">
        <f t="shared" ca="1" si="5"/>
        <v>47</v>
      </c>
      <c r="H410" s="6" t="b">
        <f ca="1">(COUNTIFS(Deputados!A410:A1000, A410, Deputados!D410:D1000, "&lt;&gt;57")) = 0</f>
        <v>0</v>
      </c>
    </row>
    <row r="411" spans="1:8" ht="17.399999999999999">
      <c r="A411" s="10">
        <f ca="1">IFERROR(__xludf.DUMMYFUNCTION("""COMPUTED_VALUE"""),410)</f>
        <v>410</v>
      </c>
      <c r="B411" s="10" t="str">
        <f ca="1">IFERROR(__xludf.DUMMYFUNCTION("""COMPUTED_VALUE"""),"Marcos Tavares")</f>
        <v>Marcos Tavares</v>
      </c>
      <c r="C411" s="10" t="str">
        <f ca="1">IFERROR(__xludf.DUMMYFUNCTION("""COMPUTED_VALUE"""),"RJ")</f>
        <v>RJ</v>
      </c>
      <c r="D411" s="6" t="str">
        <f t="shared" ca="1" si="4"/>
        <v>Masculino</v>
      </c>
      <c r="E411" s="10" t="str">
        <f ca="1">IFERROR(__xludf.DUMMYFUNCTION("""COMPUTED_VALUE"""),"M")</f>
        <v>M</v>
      </c>
      <c r="F411" s="11">
        <f ca="1">IFERROR(__xludf.DUMMYFUNCTION("""COMPUTED_VALUE"""),28518)</f>
        <v>28518</v>
      </c>
      <c r="G411" s="6">
        <f t="shared" ca="1" si="5"/>
        <v>47</v>
      </c>
      <c r="H411" s="6" t="b">
        <f ca="1">(COUNTIFS(Deputados!A411:A1000, A411, Deputados!D411:D1000, "&lt;&gt;57")) = 0</f>
        <v>1</v>
      </c>
    </row>
    <row r="412" spans="1:8" ht="17.399999999999999">
      <c r="A412" s="10">
        <f ca="1">IFERROR(__xludf.DUMMYFUNCTION("""COMPUTED_VALUE"""),411)</f>
        <v>411</v>
      </c>
      <c r="B412" s="10" t="str">
        <f ca="1">IFERROR(__xludf.DUMMYFUNCTION("""COMPUTED_VALUE"""),"Maria Arraes")</f>
        <v>Maria Arraes</v>
      </c>
      <c r="C412" s="10" t="str">
        <f ca="1">IFERROR(__xludf.DUMMYFUNCTION("""COMPUTED_VALUE"""),"PE")</f>
        <v>PE</v>
      </c>
      <c r="D412" s="6" t="str">
        <f t="shared" ca="1" si="4"/>
        <v>Feminino</v>
      </c>
      <c r="E412" s="10" t="str">
        <f ca="1">IFERROR(__xludf.DUMMYFUNCTION("""COMPUTED_VALUE"""),"F")</f>
        <v>F</v>
      </c>
      <c r="F412" s="11">
        <f ca="1">IFERROR(__xludf.DUMMYFUNCTION("""COMPUTED_VALUE"""),34389)</f>
        <v>34389</v>
      </c>
      <c r="G412" s="6">
        <f t="shared" ca="1" si="5"/>
        <v>31</v>
      </c>
      <c r="H412" s="6" t="b">
        <f ca="1">(COUNTIFS(Deputados!A412:A1000, A412, Deputados!D412:D1000, "&lt;&gt;57")) = 0</f>
        <v>1</v>
      </c>
    </row>
    <row r="413" spans="1:8" ht="17.399999999999999">
      <c r="A413" s="10">
        <f ca="1">IFERROR(__xludf.DUMMYFUNCTION("""COMPUTED_VALUE"""),412)</f>
        <v>412</v>
      </c>
      <c r="B413" s="10" t="str">
        <f ca="1">IFERROR(__xludf.DUMMYFUNCTION("""COMPUTED_VALUE"""),"Maria do Rosário")</f>
        <v>Maria do Rosário</v>
      </c>
      <c r="C413" s="10" t="str">
        <f ca="1">IFERROR(__xludf.DUMMYFUNCTION("""COMPUTED_VALUE"""),"RS")</f>
        <v>RS</v>
      </c>
      <c r="D413" s="6" t="str">
        <f t="shared" ca="1" si="4"/>
        <v>Feminino</v>
      </c>
      <c r="E413" s="10" t="str">
        <f ca="1">IFERROR(__xludf.DUMMYFUNCTION("""COMPUTED_VALUE"""),"F")</f>
        <v>F</v>
      </c>
      <c r="F413" s="11">
        <f ca="1">IFERROR(__xludf.DUMMYFUNCTION("""COMPUTED_VALUE"""),24433)</f>
        <v>24433</v>
      </c>
      <c r="G413" s="6">
        <f t="shared" ca="1" si="5"/>
        <v>58</v>
      </c>
      <c r="H413" s="6" t="b">
        <f ca="1">(COUNTIFS(Deputados!A413:A1000, A413, Deputados!D413:D1000, "&lt;&gt;57")) = 0</f>
        <v>0</v>
      </c>
    </row>
    <row r="414" spans="1:8" ht="17.399999999999999">
      <c r="A414" s="10">
        <f ca="1">IFERROR(__xludf.DUMMYFUNCTION("""COMPUTED_VALUE"""),413)</f>
        <v>413</v>
      </c>
      <c r="B414" s="10" t="str">
        <f ca="1">IFERROR(__xludf.DUMMYFUNCTION("""COMPUTED_VALUE"""),"Maria Rosas")</f>
        <v>Maria Rosas</v>
      </c>
      <c r="C414" s="10" t="str">
        <f ca="1">IFERROR(__xludf.DUMMYFUNCTION("""COMPUTED_VALUE"""),"RJ")</f>
        <v>RJ</v>
      </c>
      <c r="D414" s="6" t="str">
        <f t="shared" ca="1" si="4"/>
        <v>Feminino</v>
      </c>
      <c r="E414" s="10" t="str">
        <f ca="1">IFERROR(__xludf.DUMMYFUNCTION("""COMPUTED_VALUE"""),"F")</f>
        <v>F</v>
      </c>
      <c r="F414" s="11">
        <f ca="1">IFERROR(__xludf.DUMMYFUNCTION("""COMPUTED_VALUE"""),24016)</f>
        <v>24016</v>
      </c>
      <c r="G414" s="6">
        <f t="shared" ca="1" si="5"/>
        <v>59</v>
      </c>
      <c r="H414" s="6" t="b">
        <f ca="1">(COUNTIFS(Deputados!A414:A1000, A414, Deputados!D414:D1000, "&lt;&gt;57")) = 0</f>
        <v>0</v>
      </c>
    </row>
    <row r="415" spans="1:8" ht="17.399999999999999">
      <c r="A415" s="10">
        <f ca="1">IFERROR(__xludf.DUMMYFUNCTION("""COMPUTED_VALUE"""),414)</f>
        <v>414</v>
      </c>
      <c r="B415" s="10" t="str">
        <f ca="1">IFERROR(__xludf.DUMMYFUNCTION("""COMPUTED_VALUE"""),"Mariana Carvalho")</f>
        <v>Mariana Carvalho</v>
      </c>
      <c r="C415" s="10" t="str">
        <f ca="1">IFERROR(__xludf.DUMMYFUNCTION("""COMPUTED_VALUE"""),"MA")</f>
        <v>MA</v>
      </c>
      <c r="D415" s="6" t="str">
        <f t="shared" ca="1" si="4"/>
        <v>Feminino</v>
      </c>
      <c r="E415" s="10" t="str">
        <f ca="1">IFERROR(__xludf.DUMMYFUNCTION("""COMPUTED_VALUE"""),"F")</f>
        <v>F</v>
      </c>
      <c r="F415" s="11">
        <f ca="1">IFERROR(__xludf.DUMMYFUNCTION("""COMPUTED_VALUE"""),34517)</f>
        <v>34517</v>
      </c>
      <c r="G415" s="6">
        <f t="shared" ca="1" si="5"/>
        <v>31</v>
      </c>
      <c r="H415" s="6" t="b">
        <f ca="1">(COUNTIFS(Deputados!A415:A1000, A415, Deputados!D415:D1000, "&lt;&gt;57")) = 0</f>
        <v>1</v>
      </c>
    </row>
    <row r="416" spans="1:8" ht="17.399999999999999">
      <c r="A416" s="10">
        <f ca="1">IFERROR(__xludf.DUMMYFUNCTION("""COMPUTED_VALUE"""),415)</f>
        <v>415</v>
      </c>
      <c r="B416" s="10" t="str">
        <f ca="1">IFERROR(__xludf.DUMMYFUNCTION("""COMPUTED_VALUE"""),"Marina Silva")</f>
        <v>Marina Silva</v>
      </c>
      <c r="C416" s="10" t="str">
        <f ca="1">IFERROR(__xludf.DUMMYFUNCTION("""COMPUTED_VALUE"""),"AC")</f>
        <v>AC</v>
      </c>
      <c r="D416" s="6" t="str">
        <f t="shared" ca="1" si="4"/>
        <v>Feminino</v>
      </c>
      <c r="E416" s="10" t="str">
        <f ca="1">IFERROR(__xludf.DUMMYFUNCTION("""COMPUTED_VALUE"""),"F")</f>
        <v>F</v>
      </c>
      <c r="F416" s="11">
        <f ca="1">IFERROR(__xludf.DUMMYFUNCTION("""COMPUTED_VALUE"""),21224)</f>
        <v>21224</v>
      </c>
      <c r="G416" s="6">
        <f t="shared" ca="1" si="5"/>
        <v>67</v>
      </c>
      <c r="H416" s="6" t="b">
        <f ca="1">(COUNTIFS(Deputados!A416:A1000, A416, Deputados!D416:D1000, "&lt;&gt;57")) = 0</f>
        <v>1</v>
      </c>
    </row>
    <row r="417" spans="1:8" ht="17.399999999999999">
      <c r="A417" s="10">
        <f ca="1">IFERROR(__xludf.DUMMYFUNCTION("""COMPUTED_VALUE"""),416)</f>
        <v>416</v>
      </c>
      <c r="B417" s="10" t="str">
        <f ca="1">IFERROR(__xludf.DUMMYFUNCTION("""COMPUTED_VALUE"""),"Mario Frias")</f>
        <v>Mario Frias</v>
      </c>
      <c r="C417" s="10" t="str">
        <f ca="1">IFERROR(__xludf.DUMMYFUNCTION("""COMPUTED_VALUE"""),"RJ")</f>
        <v>RJ</v>
      </c>
      <c r="D417" s="6" t="str">
        <f t="shared" ca="1" si="4"/>
        <v>Masculino</v>
      </c>
      <c r="E417" s="10" t="str">
        <f ca="1">IFERROR(__xludf.DUMMYFUNCTION("""COMPUTED_VALUE"""),"M")</f>
        <v>M</v>
      </c>
      <c r="F417" s="11">
        <f ca="1">IFERROR(__xludf.DUMMYFUNCTION("""COMPUTED_VALUE"""),26215)</f>
        <v>26215</v>
      </c>
      <c r="G417" s="6">
        <f t="shared" ca="1" si="5"/>
        <v>53</v>
      </c>
      <c r="H417" s="6" t="b">
        <f ca="1">(COUNTIFS(Deputados!A417:A1000, A417, Deputados!D417:D1000, "&lt;&gt;57")) = 0</f>
        <v>1</v>
      </c>
    </row>
    <row r="418" spans="1:8" ht="17.399999999999999">
      <c r="A418" s="10">
        <f ca="1">IFERROR(__xludf.DUMMYFUNCTION("""COMPUTED_VALUE"""),417)</f>
        <v>417</v>
      </c>
      <c r="B418" s="10" t="str">
        <f ca="1">IFERROR(__xludf.DUMMYFUNCTION("""COMPUTED_VALUE"""),"Mário Heringer")</f>
        <v>Mário Heringer</v>
      </c>
      <c r="C418" s="10" t="str">
        <f ca="1">IFERROR(__xludf.DUMMYFUNCTION("""COMPUTED_VALUE"""),"MG")</f>
        <v>MG</v>
      </c>
      <c r="D418" s="6" t="str">
        <f t="shared" ca="1" si="4"/>
        <v>Masculino</v>
      </c>
      <c r="E418" s="10" t="str">
        <f ca="1">IFERROR(__xludf.DUMMYFUNCTION("""COMPUTED_VALUE"""),"M")</f>
        <v>M</v>
      </c>
      <c r="F418" s="11">
        <f ca="1">IFERROR(__xludf.DUMMYFUNCTION("""COMPUTED_VALUE"""),19997)</f>
        <v>19997</v>
      </c>
      <c r="G418" s="6">
        <f t="shared" ca="1" si="5"/>
        <v>70</v>
      </c>
      <c r="H418" s="6" t="b">
        <f ca="1">(COUNTIFS(Deputados!A418:A1000, A418, Deputados!D418:D1000, "&lt;&gt;57")) = 0</f>
        <v>0</v>
      </c>
    </row>
    <row r="419" spans="1:8" ht="17.399999999999999">
      <c r="A419" s="10">
        <f ca="1">IFERROR(__xludf.DUMMYFUNCTION("""COMPUTED_VALUE"""),418)</f>
        <v>418</v>
      </c>
      <c r="B419" s="10" t="str">
        <f ca="1">IFERROR(__xludf.DUMMYFUNCTION("""COMPUTED_VALUE"""),"Mário Negromonte Jr.")</f>
        <v>Mário Negromonte Jr.</v>
      </c>
      <c r="C419" s="10" t="str">
        <f ca="1">IFERROR(__xludf.DUMMYFUNCTION("""COMPUTED_VALUE"""),"BA")</f>
        <v>BA</v>
      </c>
      <c r="D419" s="6" t="str">
        <f t="shared" ca="1" si="4"/>
        <v>Masculino</v>
      </c>
      <c r="E419" s="10" t="str">
        <f ca="1">IFERROR(__xludf.DUMMYFUNCTION("""COMPUTED_VALUE"""),"M")</f>
        <v>M</v>
      </c>
      <c r="F419" s="11">
        <f ca="1">IFERROR(__xludf.DUMMYFUNCTION("""COMPUTED_VALUE"""),29464)</f>
        <v>29464</v>
      </c>
      <c r="G419" s="6">
        <f t="shared" ca="1" si="5"/>
        <v>45</v>
      </c>
      <c r="H419" s="6" t="b">
        <f ca="1">(COUNTIFS(Deputados!A419:A1000, A419, Deputados!D419:D1000, "&lt;&gt;57")) = 0</f>
        <v>0</v>
      </c>
    </row>
    <row r="420" spans="1:8" ht="17.399999999999999">
      <c r="A420" s="10">
        <f ca="1">IFERROR(__xludf.DUMMYFUNCTION("""COMPUTED_VALUE"""),419)</f>
        <v>419</v>
      </c>
      <c r="B420" s="10" t="str">
        <f ca="1">IFERROR(__xludf.DUMMYFUNCTION("""COMPUTED_VALUE"""),"Marreca Filho")</f>
        <v>Marreca Filho</v>
      </c>
      <c r="C420" s="10" t="str">
        <f ca="1">IFERROR(__xludf.DUMMYFUNCTION("""COMPUTED_VALUE"""),"MA")</f>
        <v>MA</v>
      </c>
      <c r="D420" s="6" t="str">
        <f t="shared" ca="1" si="4"/>
        <v>Masculino</v>
      </c>
      <c r="E420" s="10" t="str">
        <f ca="1">IFERROR(__xludf.DUMMYFUNCTION("""COMPUTED_VALUE"""),"M")</f>
        <v>M</v>
      </c>
      <c r="F420" s="11">
        <f ca="1">IFERROR(__xludf.DUMMYFUNCTION("""COMPUTED_VALUE"""),33719)</f>
        <v>33719</v>
      </c>
      <c r="G420" s="6">
        <f t="shared" ca="1" si="5"/>
        <v>33</v>
      </c>
      <c r="H420" s="6" t="b">
        <f ca="1">(COUNTIFS(Deputados!A420:A1000, A420, Deputados!D420:D1000, "&lt;&gt;57")) = 0</f>
        <v>0</v>
      </c>
    </row>
    <row r="421" spans="1:8" ht="17.399999999999999">
      <c r="A421" s="10">
        <f ca="1">IFERROR(__xludf.DUMMYFUNCTION("""COMPUTED_VALUE"""),420)</f>
        <v>420</v>
      </c>
      <c r="B421" s="10" t="str">
        <f ca="1">IFERROR(__xludf.DUMMYFUNCTION("""COMPUTED_VALUE"""),"Marussa Boldrin")</f>
        <v>Marussa Boldrin</v>
      </c>
      <c r="C421" s="10" t="str">
        <f ca="1">IFERROR(__xludf.DUMMYFUNCTION("""COMPUTED_VALUE"""),"GO")</f>
        <v>GO</v>
      </c>
      <c r="D421" s="6" t="str">
        <f t="shared" ca="1" si="4"/>
        <v>Feminino</v>
      </c>
      <c r="E421" s="10" t="str">
        <f ca="1">IFERROR(__xludf.DUMMYFUNCTION("""COMPUTED_VALUE"""),"F")</f>
        <v>F</v>
      </c>
      <c r="F421" s="11">
        <f ca="1">IFERROR(__xludf.DUMMYFUNCTION("""COMPUTED_VALUE"""),33049)</f>
        <v>33049</v>
      </c>
      <c r="G421" s="6">
        <f t="shared" ca="1" si="5"/>
        <v>35</v>
      </c>
      <c r="H421" s="6" t="b">
        <f ca="1">(COUNTIFS(Deputados!A421:A1000, A421, Deputados!D421:D1000, "&lt;&gt;57")) = 0</f>
        <v>1</v>
      </c>
    </row>
    <row r="422" spans="1:8" ht="17.399999999999999">
      <c r="A422" s="10">
        <f ca="1">IFERROR(__xludf.DUMMYFUNCTION("""COMPUTED_VALUE"""),421)</f>
        <v>421</v>
      </c>
      <c r="B422" s="10" t="str">
        <f ca="1">IFERROR(__xludf.DUMMYFUNCTION("""COMPUTED_VALUE"""),"Marx Beltrão")</f>
        <v>Marx Beltrão</v>
      </c>
      <c r="C422" s="10" t="str">
        <f ca="1">IFERROR(__xludf.DUMMYFUNCTION("""COMPUTED_VALUE"""),"AL")</f>
        <v>AL</v>
      </c>
      <c r="D422" s="6" t="str">
        <f t="shared" ca="1" si="4"/>
        <v>Masculino</v>
      </c>
      <c r="E422" s="10" t="str">
        <f ca="1">IFERROR(__xludf.DUMMYFUNCTION("""COMPUTED_VALUE"""),"M")</f>
        <v>M</v>
      </c>
      <c r="F422" s="11">
        <f ca="1">IFERROR(__xludf.DUMMYFUNCTION("""COMPUTED_VALUE"""),29187)</f>
        <v>29187</v>
      </c>
      <c r="G422" s="6">
        <f t="shared" ca="1" si="5"/>
        <v>45</v>
      </c>
      <c r="H422" s="6" t="b">
        <f ca="1">(COUNTIFS(Deputados!A422:A1000, A422, Deputados!D422:D1000, "&lt;&gt;57")) = 0</f>
        <v>0</v>
      </c>
    </row>
    <row r="423" spans="1:8" ht="17.399999999999999">
      <c r="A423" s="10">
        <f ca="1">IFERROR(__xludf.DUMMYFUNCTION("""COMPUTED_VALUE"""),422)</f>
        <v>422</v>
      </c>
      <c r="B423" s="10" t="str">
        <f ca="1">IFERROR(__xludf.DUMMYFUNCTION("""COMPUTED_VALUE"""),"Matheus Noronha")</f>
        <v>Matheus Noronha</v>
      </c>
      <c r="C423" s="10" t="str">
        <f ca="1">IFERROR(__xludf.DUMMYFUNCTION("""COMPUTED_VALUE"""),"PA")</f>
        <v>PA</v>
      </c>
      <c r="D423" s="6" t="str">
        <f t="shared" ca="1" si="4"/>
        <v>Masculino</v>
      </c>
      <c r="E423" s="10" t="str">
        <f ca="1">IFERROR(__xludf.DUMMYFUNCTION("""COMPUTED_VALUE"""),"M")</f>
        <v>M</v>
      </c>
      <c r="F423" s="11">
        <f ca="1">IFERROR(__xludf.DUMMYFUNCTION("""COMPUTED_VALUE"""),36048)</f>
        <v>36048</v>
      </c>
      <c r="G423" s="6">
        <f t="shared" ca="1" si="5"/>
        <v>27</v>
      </c>
      <c r="H423" s="6" t="b">
        <f ca="1">(COUNTIFS(Deputados!A423:A1000, A423, Deputados!D423:D1000, "&lt;&gt;57")) = 0</f>
        <v>1</v>
      </c>
    </row>
    <row r="424" spans="1:8" ht="17.399999999999999">
      <c r="A424" s="10">
        <f ca="1">IFERROR(__xludf.DUMMYFUNCTION("""COMPUTED_VALUE"""),423)</f>
        <v>423</v>
      </c>
      <c r="B424" s="10" t="str">
        <f ca="1">IFERROR(__xludf.DUMMYFUNCTION("""COMPUTED_VALUE"""),"Maurício Carvalho")</f>
        <v>Maurício Carvalho</v>
      </c>
      <c r="C424" s="10" t="str">
        <f ca="1">IFERROR(__xludf.DUMMYFUNCTION("""COMPUTED_VALUE"""),"RO")</f>
        <v>RO</v>
      </c>
      <c r="D424" s="6" t="str">
        <f t="shared" ca="1" si="4"/>
        <v>Masculino</v>
      </c>
      <c r="E424" s="10" t="str">
        <f ca="1">IFERROR(__xludf.DUMMYFUNCTION("""COMPUTED_VALUE"""),"M")</f>
        <v>M</v>
      </c>
      <c r="F424" s="11">
        <f ca="1">IFERROR(__xludf.DUMMYFUNCTION("""COMPUTED_VALUE"""),32319)</f>
        <v>32319</v>
      </c>
      <c r="G424" s="6">
        <f t="shared" ca="1" si="5"/>
        <v>37</v>
      </c>
      <c r="H424" s="6" t="b">
        <f ca="1">(COUNTIFS(Deputados!A424:A1000, A424, Deputados!D424:D1000, "&lt;&gt;57")) = 0</f>
        <v>1</v>
      </c>
    </row>
    <row r="425" spans="1:8" ht="17.399999999999999">
      <c r="A425" s="10">
        <f ca="1">IFERROR(__xludf.DUMMYFUNCTION("""COMPUTED_VALUE"""),424)</f>
        <v>424</v>
      </c>
      <c r="B425" s="10" t="str">
        <f ca="1">IFERROR(__xludf.DUMMYFUNCTION("""COMPUTED_VALUE"""),"Mauricio do Vôlei")</f>
        <v>Mauricio do Vôlei</v>
      </c>
      <c r="C425" s="10" t="str">
        <f ca="1">IFERROR(__xludf.DUMMYFUNCTION("""COMPUTED_VALUE"""),"MG")</f>
        <v>MG</v>
      </c>
      <c r="D425" s="6" t="str">
        <f t="shared" ca="1" si="4"/>
        <v>Masculino</v>
      </c>
      <c r="E425" s="10" t="str">
        <f ca="1">IFERROR(__xludf.DUMMYFUNCTION("""COMPUTED_VALUE"""),"M")</f>
        <v>M</v>
      </c>
      <c r="F425" s="11">
        <f ca="1">IFERROR(__xludf.DUMMYFUNCTION("""COMPUTED_VALUE"""),32415)</f>
        <v>32415</v>
      </c>
      <c r="G425" s="6">
        <f t="shared" ca="1" si="5"/>
        <v>36</v>
      </c>
      <c r="H425" s="6" t="b">
        <f ca="1">(COUNTIFS(Deputados!A425:A1000, A425, Deputados!D425:D1000, "&lt;&gt;57")) = 0</f>
        <v>1</v>
      </c>
    </row>
    <row r="426" spans="1:8" ht="17.399999999999999">
      <c r="A426" s="10">
        <f ca="1">IFERROR(__xludf.DUMMYFUNCTION("""COMPUTED_VALUE"""),425)</f>
        <v>425</v>
      </c>
      <c r="B426" s="10" t="str">
        <f ca="1">IFERROR(__xludf.DUMMYFUNCTION("""COMPUTED_VALUE"""),"Mauricio Marcon")</f>
        <v>Mauricio Marcon</v>
      </c>
      <c r="C426" s="10" t="str">
        <f ca="1">IFERROR(__xludf.DUMMYFUNCTION("""COMPUTED_VALUE"""),"RS")</f>
        <v>RS</v>
      </c>
      <c r="D426" s="6" t="str">
        <f t="shared" ca="1" si="4"/>
        <v>Masculino</v>
      </c>
      <c r="E426" s="10" t="str">
        <f ca="1">IFERROR(__xludf.DUMMYFUNCTION("""COMPUTED_VALUE"""),"M")</f>
        <v>M</v>
      </c>
      <c r="F426" s="11">
        <f ca="1">IFERROR(__xludf.DUMMYFUNCTION("""COMPUTED_VALUE"""),31801)</f>
        <v>31801</v>
      </c>
      <c r="G426" s="6">
        <f t="shared" ca="1" si="5"/>
        <v>38</v>
      </c>
      <c r="H426" s="6" t="b">
        <f ca="1">(COUNTIFS(Deputados!A426:A1000, A426, Deputados!D426:D1000, "&lt;&gt;57")) = 0</f>
        <v>1</v>
      </c>
    </row>
    <row r="427" spans="1:8" ht="17.399999999999999">
      <c r="A427" s="10">
        <f ca="1">IFERROR(__xludf.DUMMYFUNCTION("""COMPUTED_VALUE"""),426)</f>
        <v>426</v>
      </c>
      <c r="B427" s="10" t="str">
        <f ca="1">IFERROR(__xludf.DUMMYFUNCTION("""COMPUTED_VALUE"""),"Mauricio Neves")</f>
        <v>Mauricio Neves</v>
      </c>
      <c r="C427" s="10" t="str">
        <f ca="1">IFERROR(__xludf.DUMMYFUNCTION("""COMPUTED_VALUE"""),"SP")</f>
        <v>SP</v>
      </c>
      <c r="D427" s="6" t="str">
        <f t="shared" ca="1" si="4"/>
        <v>Masculino</v>
      </c>
      <c r="E427" s="10" t="str">
        <f ca="1">IFERROR(__xludf.DUMMYFUNCTION("""COMPUTED_VALUE"""),"M")</f>
        <v>M</v>
      </c>
      <c r="F427" s="11">
        <f ca="1">IFERROR(__xludf.DUMMYFUNCTION("""COMPUTED_VALUE"""),29164)</f>
        <v>29164</v>
      </c>
      <c r="G427" s="6">
        <f t="shared" ca="1" si="5"/>
        <v>45</v>
      </c>
      <c r="H427" s="6" t="b">
        <f ca="1">(COUNTIFS(Deputados!A427:A1000, A427, Deputados!D427:D1000, "&lt;&gt;57")) = 0</f>
        <v>1</v>
      </c>
    </row>
    <row r="428" spans="1:8" ht="17.399999999999999">
      <c r="A428" s="10">
        <f ca="1">IFERROR(__xludf.DUMMYFUNCTION("""COMPUTED_VALUE"""),427)</f>
        <v>427</v>
      </c>
      <c r="B428" s="10" t="str">
        <f ca="1">IFERROR(__xludf.DUMMYFUNCTION("""COMPUTED_VALUE"""),"Mauro Benevides Filho")</f>
        <v>Mauro Benevides Filho</v>
      </c>
      <c r="C428" s="10" t="str">
        <f ca="1">IFERROR(__xludf.DUMMYFUNCTION("""COMPUTED_VALUE"""),"CE")</f>
        <v>CE</v>
      </c>
      <c r="D428" s="6" t="str">
        <f t="shared" ca="1" si="4"/>
        <v>Masculino</v>
      </c>
      <c r="E428" s="10" t="str">
        <f ca="1">IFERROR(__xludf.DUMMYFUNCTION("""COMPUTED_VALUE"""),"M")</f>
        <v>M</v>
      </c>
      <c r="F428" s="11">
        <f ca="1">IFERROR(__xludf.DUMMYFUNCTION("""COMPUTED_VALUE"""),21618)</f>
        <v>21618</v>
      </c>
      <c r="G428" s="6">
        <f t="shared" ca="1" si="5"/>
        <v>66</v>
      </c>
      <c r="H428" s="6" t="b">
        <f ca="1">(COUNTIFS(Deputados!A428:A1000, A428, Deputados!D428:D1000, "&lt;&gt;57")) = 0</f>
        <v>0</v>
      </c>
    </row>
    <row r="429" spans="1:8" ht="17.399999999999999">
      <c r="A429" s="10">
        <f ca="1">IFERROR(__xludf.DUMMYFUNCTION("""COMPUTED_VALUE"""),428)</f>
        <v>428</v>
      </c>
      <c r="B429" s="10" t="str">
        <f ca="1">IFERROR(__xludf.DUMMYFUNCTION("""COMPUTED_VALUE"""),"Max Lemos")</f>
        <v>Max Lemos</v>
      </c>
      <c r="C429" s="10" t="str">
        <f ca="1">IFERROR(__xludf.DUMMYFUNCTION("""COMPUTED_VALUE"""),"RJ")</f>
        <v>RJ</v>
      </c>
      <c r="D429" s="6" t="str">
        <f t="shared" ca="1" si="4"/>
        <v>Masculino</v>
      </c>
      <c r="E429" s="10" t="str">
        <f ca="1">IFERROR(__xludf.DUMMYFUNCTION("""COMPUTED_VALUE"""),"M")</f>
        <v>M</v>
      </c>
      <c r="F429" s="11">
        <f ca="1">IFERROR(__xludf.DUMMYFUNCTION("""COMPUTED_VALUE"""),24124)</f>
        <v>24124</v>
      </c>
      <c r="G429" s="6">
        <f t="shared" ca="1" si="5"/>
        <v>59</v>
      </c>
      <c r="H429" s="6" t="b">
        <f ca="1">(COUNTIFS(Deputados!A429:A1000, A429, Deputados!D429:D1000, "&lt;&gt;57")) = 0</f>
        <v>1</v>
      </c>
    </row>
    <row r="430" spans="1:8" ht="17.399999999999999">
      <c r="A430" s="10">
        <f ca="1">IFERROR(__xludf.DUMMYFUNCTION("""COMPUTED_VALUE"""),429)</f>
        <v>429</v>
      </c>
      <c r="B430" s="10" t="str">
        <f ca="1">IFERROR(__xludf.DUMMYFUNCTION("""COMPUTED_VALUE"""),"Meire Serafim")</f>
        <v>Meire Serafim</v>
      </c>
      <c r="C430" s="10" t="str">
        <f ca="1">IFERROR(__xludf.DUMMYFUNCTION("""COMPUTED_VALUE"""),"RO")</f>
        <v>RO</v>
      </c>
      <c r="D430" s="6" t="str">
        <f t="shared" ca="1" si="4"/>
        <v>Feminino</v>
      </c>
      <c r="E430" s="10" t="str">
        <f ca="1">IFERROR(__xludf.DUMMYFUNCTION("""COMPUTED_VALUE"""),"F")</f>
        <v>F</v>
      </c>
      <c r="F430" s="11">
        <f ca="1">IFERROR(__xludf.DUMMYFUNCTION("""COMPUTED_VALUE"""),27435)</f>
        <v>27435</v>
      </c>
      <c r="G430" s="6">
        <f t="shared" ca="1" si="5"/>
        <v>50</v>
      </c>
      <c r="H430" s="6" t="b">
        <f ca="1">(COUNTIFS(Deputados!A430:A1000, A430, Deputados!D430:D1000, "&lt;&gt;57")) = 0</f>
        <v>1</v>
      </c>
    </row>
    <row r="431" spans="1:8" ht="17.399999999999999">
      <c r="A431" s="10">
        <f ca="1">IFERROR(__xludf.DUMMYFUNCTION("""COMPUTED_VALUE"""),430)</f>
        <v>430</v>
      </c>
      <c r="B431" s="10" t="str">
        <f ca="1">IFERROR(__xludf.DUMMYFUNCTION("""COMPUTED_VALUE"""),"Mendonça Filho")</f>
        <v>Mendonça Filho</v>
      </c>
      <c r="C431" s="10" t="str">
        <f ca="1">IFERROR(__xludf.DUMMYFUNCTION("""COMPUTED_VALUE"""),"PE")</f>
        <v>PE</v>
      </c>
      <c r="D431" s="6" t="str">
        <f t="shared" ca="1" si="4"/>
        <v>Masculino</v>
      </c>
      <c r="E431" s="10" t="str">
        <f ca="1">IFERROR(__xludf.DUMMYFUNCTION("""COMPUTED_VALUE"""),"M")</f>
        <v>M</v>
      </c>
      <c r="F431" s="11">
        <f ca="1">IFERROR(__xludf.DUMMYFUNCTION("""COMPUTED_VALUE"""),24300)</f>
        <v>24300</v>
      </c>
      <c r="G431" s="6">
        <f t="shared" ca="1" si="5"/>
        <v>59</v>
      </c>
      <c r="H431" s="6" t="b">
        <f ca="1">(COUNTIFS(Deputados!A431:A1000, A431, Deputados!D431:D1000, "&lt;&gt;57")) = 0</f>
        <v>0</v>
      </c>
    </row>
    <row r="432" spans="1:8" ht="17.399999999999999">
      <c r="A432" s="10">
        <f ca="1">IFERROR(__xludf.DUMMYFUNCTION("""COMPUTED_VALUE"""),431)</f>
        <v>431</v>
      </c>
      <c r="B432" s="10" t="str">
        <f ca="1">IFERROR(__xludf.DUMMYFUNCTION("""COMPUTED_VALUE"""),"Merlong Solano")</f>
        <v>Merlong Solano</v>
      </c>
      <c r="C432" s="10" t="str">
        <f ca="1">IFERROR(__xludf.DUMMYFUNCTION("""COMPUTED_VALUE"""),"PI")</f>
        <v>PI</v>
      </c>
      <c r="D432" s="6" t="str">
        <f t="shared" ca="1" si="4"/>
        <v>Masculino</v>
      </c>
      <c r="E432" s="10" t="str">
        <f ca="1">IFERROR(__xludf.DUMMYFUNCTION("""COMPUTED_VALUE"""),"M")</f>
        <v>M</v>
      </c>
      <c r="F432" s="11">
        <f ca="1">IFERROR(__xludf.DUMMYFUNCTION("""COMPUTED_VALUE"""),21445)</f>
        <v>21445</v>
      </c>
      <c r="G432" s="6">
        <f t="shared" ca="1" si="5"/>
        <v>66</v>
      </c>
      <c r="H432" s="6" t="b">
        <f ca="1">(COUNTIFS(Deputados!A432:A1000, A432, Deputados!D432:D1000, "&lt;&gt;57")) = 0</f>
        <v>0</v>
      </c>
    </row>
    <row r="433" spans="1:8" ht="17.399999999999999">
      <c r="A433" s="10">
        <f ca="1">IFERROR(__xludf.DUMMYFUNCTION("""COMPUTED_VALUE"""),432)</f>
        <v>432</v>
      </c>
      <c r="B433" s="10" t="str">
        <f ca="1">IFERROR(__xludf.DUMMYFUNCTION("""COMPUTED_VALUE"""),"Mersinho Lucena")</f>
        <v>Mersinho Lucena</v>
      </c>
      <c r="C433" s="10" t="str">
        <f ca="1">IFERROR(__xludf.DUMMYFUNCTION("""COMPUTED_VALUE"""),"PB")</f>
        <v>PB</v>
      </c>
      <c r="D433" s="6" t="str">
        <f t="shared" ca="1" si="4"/>
        <v>Masculino</v>
      </c>
      <c r="E433" s="10" t="str">
        <f ca="1">IFERROR(__xludf.DUMMYFUNCTION("""COMPUTED_VALUE"""),"M")</f>
        <v>M</v>
      </c>
      <c r="F433" s="11">
        <f ca="1">IFERROR(__xludf.DUMMYFUNCTION("""COMPUTED_VALUE"""),29625)</f>
        <v>29625</v>
      </c>
      <c r="G433" s="6">
        <f t="shared" ca="1" si="5"/>
        <v>44</v>
      </c>
      <c r="H433" s="6" t="b">
        <f ca="1">(COUNTIFS(Deputados!A433:A1000, A433, Deputados!D433:D1000, "&lt;&gt;57")) = 0</f>
        <v>1</v>
      </c>
    </row>
    <row r="434" spans="1:8" ht="17.399999999999999">
      <c r="A434" s="10">
        <f ca="1">IFERROR(__xludf.DUMMYFUNCTION("""COMPUTED_VALUE"""),433)</f>
        <v>433</v>
      </c>
      <c r="B434" s="10" t="str">
        <f ca="1">IFERROR(__xludf.DUMMYFUNCTION("""COMPUTED_VALUE"""),"Messias Donato")</f>
        <v>Messias Donato</v>
      </c>
      <c r="C434" s="10" t="str">
        <f ca="1">IFERROR(__xludf.DUMMYFUNCTION("""COMPUTED_VALUE"""),"BA")</f>
        <v>BA</v>
      </c>
      <c r="D434" s="6" t="str">
        <f t="shared" ca="1" si="4"/>
        <v>Masculino</v>
      </c>
      <c r="E434" s="10" t="str">
        <f ca="1">IFERROR(__xludf.DUMMYFUNCTION("""COMPUTED_VALUE"""),"M")</f>
        <v>M</v>
      </c>
      <c r="F434" s="11">
        <f ca="1">IFERROR(__xludf.DUMMYFUNCTION("""COMPUTED_VALUE"""),27978)</f>
        <v>27978</v>
      </c>
      <c r="G434" s="6">
        <f t="shared" ca="1" si="5"/>
        <v>49</v>
      </c>
      <c r="H434" s="6" t="b">
        <f ca="1">(COUNTIFS(Deputados!A434:A1000, A434, Deputados!D434:D1000, "&lt;&gt;57")) = 0</f>
        <v>1</v>
      </c>
    </row>
    <row r="435" spans="1:8" ht="17.399999999999999">
      <c r="A435" s="10">
        <f ca="1">IFERROR(__xludf.DUMMYFUNCTION("""COMPUTED_VALUE"""),434)</f>
        <v>434</v>
      </c>
      <c r="B435" s="10" t="str">
        <f ca="1">IFERROR(__xludf.DUMMYFUNCTION("""COMPUTED_VALUE"""),"Miguel Ângelo")</f>
        <v>Miguel Ângelo</v>
      </c>
      <c r="C435" s="10" t="str">
        <f ca="1">IFERROR(__xludf.DUMMYFUNCTION("""COMPUTED_VALUE"""),"MG")</f>
        <v>MG</v>
      </c>
      <c r="D435" s="6" t="str">
        <f t="shared" ca="1" si="4"/>
        <v>Masculino</v>
      </c>
      <c r="E435" s="10" t="str">
        <f ca="1">IFERROR(__xludf.DUMMYFUNCTION("""COMPUTED_VALUE"""),"M")</f>
        <v>M</v>
      </c>
      <c r="F435" s="11">
        <f ca="1">IFERROR(__xludf.DUMMYFUNCTION("""COMPUTED_VALUE"""),33522)</f>
        <v>33522</v>
      </c>
      <c r="G435" s="6">
        <f t="shared" ca="1" si="5"/>
        <v>33</v>
      </c>
      <c r="H435" s="6" t="b">
        <f ca="1">(COUNTIFS(Deputados!A435:A1000, A435, Deputados!D435:D1000, "&lt;&gt;57")) = 0</f>
        <v>1</v>
      </c>
    </row>
    <row r="436" spans="1:8" ht="17.399999999999999">
      <c r="A436" s="10">
        <f ca="1">IFERROR(__xludf.DUMMYFUNCTION("""COMPUTED_VALUE"""),435)</f>
        <v>435</v>
      </c>
      <c r="B436" s="10" t="str">
        <f ca="1">IFERROR(__xludf.DUMMYFUNCTION("""COMPUTED_VALUE"""),"Miguel Lombardi")</f>
        <v>Miguel Lombardi</v>
      </c>
      <c r="C436" s="10" t="str">
        <f ca="1">IFERROR(__xludf.DUMMYFUNCTION("""COMPUTED_VALUE"""),"SP")</f>
        <v>SP</v>
      </c>
      <c r="D436" s="6" t="str">
        <f t="shared" ca="1" si="4"/>
        <v>Masculino</v>
      </c>
      <c r="E436" s="10" t="str">
        <f ca="1">IFERROR(__xludf.DUMMYFUNCTION("""COMPUTED_VALUE"""),"M")</f>
        <v>M</v>
      </c>
      <c r="F436" s="11">
        <f ca="1">IFERROR(__xludf.DUMMYFUNCTION("""COMPUTED_VALUE"""),23405)</f>
        <v>23405</v>
      </c>
      <c r="G436" s="6">
        <f t="shared" ca="1" si="5"/>
        <v>61</v>
      </c>
      <c r="H436" s="6" t="b">
        <f ca="1">(COUNTIFS(Deputados!A436:A1000, A436, Deputados!D436:D1000, "&lt;&gt;57")) = 0</f>
        <v>0</v>
      </c>
    </row>
    <row r="437" spans="1:8" ht="17.399999999999999">
      <c r="A437" s="10">
        <f ca="1">IFERROR(__xludf.DUMMYFUNCTION("""COMPUTED_VALUE"""),436)</f>
        <v>436</v>
      </c>
      <c r="B437" s="10" t="str">
        <f ca="1">IFERROR(__xludf.DUMMYFUNCTION("""COMPUTED_VALUE"""),"Milton Vieira")</f>
        <v>Milton Vieira</v>
      </c>
      <c r="C437" s="10" t="str">
        <f ca="1">IFERROR(__xludf.DUMMYFUNCTION("""COMPUTED_VALUE"""),"SP")</f>
        <v>SP</v>
      </c>
      <c r="D437" s="6" t="str">
        <f t="shared" ca="1" si="4"/>
        <v>Masculino</v>
      </c>
      <c r="E437" s="10" t="str">
        <f ca="1">IFERROR(__xludf.DUMMYFUNCTION("""COMPUTED_VALUE"""),"M")</f>
        <v>M</v>
      </c>
      <c r="F437" s="11">
        <f ca="1">IFERROR(__xludf.DUMMYFUNCTION("""COMPUTED_VALUE"""),22905)</f>
        <v>22905</v>
      </c>
      <c r="G437" s="6">
        <f t="shared" ca="1" si="5"/>
        <v>62</v>
      </c>
      <c r="H437" s="6" t="b">
        <f ca="1">(COUNTIFS(Deputados!A437:A1000, A437, Deputados!D437:D1000, "&lt;&gt;57")) = 0</f>
        <v>0</v>
      </c>
    </row>
    <row r="438" spans="1:8" ht="17.399999999999999">
      <c r="A438" s="10">
        <f ca="1">IFERROR(__xludf.DUMMYFUNCTION("""COMPUTED_VALUE"""),437)</f>
        <v>437</v>
      </c>
      <c r="B438" s="10" t="str">
        <f ca="1">IFERROR(__xludf.DUMMYFUNCTION("""COMPUTED_VALUE"""),"Misael Varella")</f>
        <v>Misael Varella</v>
      </c>
      <c r="C438" s="10" t="str">
        <f ca="1">IFERROR(__xludf.DUMMYFUNCTION("""COMPUTED_VALUE"""),"MG")</f>
        <v>MG</v>
      </c>
      <c r="D438" s="6" t="str">
        <f t="shared" ca="1" si="4"/>
        <v>Masculino</v>
      </c>
      <c r="E438" s="10" t="str">
        <f ca="1">IFERROR(__xludf.DUMMYFUNCTION("""COMPUTED_VALUE"""),"M")</f>
        <v>M</v>
      </c>
      <c r="F438" s="11">
        <f ca="1">IFERROR(__xludf.DUMMYFUNCTION("""COMPUTED_VALUE"""),21881)</f>
        <v>21881</v>
      </c>
      <c r="G438" s="6">
        <f t="shared" ca="1" si="5"/>
        <v>65</v>
      </c>
      <c r="H438" s="6" t="b">
        <f ca="1">(COUNTIFS(Deputados!A438:A1000, A438, Deputados!D438:D1000, "&lt;&gt;57")) = 0</f>
        <v>0</v>
      </c>
    </row>
    <row r="439" spans="1:8" ht="17.399999999999999">
      <c r="A439" s="10">
        <f ca="1">IFERROR(__xludf.DUMMYFUNCTION("""COMPUTED_VALUE"""),438)</f>
        <v>438</v>
      </c>
      <c r="B439" s="10" t="str">
        <f ca="1">IFERROR(__xludf.DUMMYFUNCTION("""COMPUTED_VALUE"""),"Missionária Michele Collins")</f>
        <v>Missionária Michele Collins</v>
      </c>
      <c r="C439" s="10" t="str">
        <f ca="1">IFERROR(__xludf.DUMMYFUNCTION("""COMPUTED_VALUE"""),"MG")</f>
        <v>MG</v>
      </c>
      <c r="D439" s="6" t="str">
        <f t="shared" ca="1" si="4"/>
        <v>Feminino</v>
      </c>
      <c r="E439" s="10" t="str">
        <f ca="1">IFERROR(__xludf.DUMMYFUNCTION("""COMPUTED_VALUE"""),"F")</f>
        <v>F</v>
      </c>
      <c r="F439" s="11">
        <f ca="1">IFERROR(__xludf.DUMMYFUNCTION("""COMPUTED_VALUE"""),28415)</f>
        <v>28415</v>
      </c>
      <c r="G439" s="6">
        <f t="shared" ca="1" si="5"/>
        <v>47</v>
      </c>
      <c r="H439" s="6" t="b">
        <f ca="1">(COUNTIFS(Deputados!A439:A1000, A439, Deputados!D439:D1000, "&lt;&gt;57")) = 0</f>
        <v>1</v>
      </c>
    </row>
    <row r="440" spans="1:8" ht="17.399999999999999">
      <c r="A440" s="10">
        <f ca="1">IFERROR(__xludf.DUMMYFUNCTION("""COMPUTED_VALUE"""),439)</f>
        <v>439</v>
      </c>
      <c r="B440" s="10" t="str">
        <f ca="1">IFERROR(__xludf.DUMMYFUNCTION("""COMPUTED_VALUE"""),"Missionário José Olimpio")</f>
        <v>Missionário José Olimpio</v>
      </c>
      <c r="C440" s="10" t="str">
        <f ca="1">IFERROR(__xludf.DUMMYFUNCTION("""COMPUTED_VALUE"""),"SP")</f>
        <v>SP</v>
      </c>
      <c r="D440" s="6" t="str">
        <f t="shared" ca="1" si="4"/>
        <v>Masculino</v>
      </c>
      <c r="E440" s="10" t="str">
        <f ca="1">IFERROR(__xludf.DUMMYFUNCTION("""COMPUTED_VALUE"""),"M")</f>
        <v>M</v>
      </c>
      <c r="F440" s="11">
        <f ca="1">IFERROR(__xludf.DUMMYFUNCTION("""COMPUTED_VALUE"""),20800)</f>
        <v>20800</v>
      </c>
      <c r="G440" s="6">
        <f t="shared" ca="1" si="5"/>
        <v>68</v>
      </c>
      <c r="H440" s="6" t="b">
        <f ca="1">(COUNTIFS(Deputados!A440:A1000, A440, Deputados!D440:D1000, "&lt;&gt;57")) = 0</f>
        <v>0</v>
      </c>
    </row>
    <row r="441" spans="1:8" ht="17.399999999999999">
      <c r="A441" s="10">
        <f ca="1">IFERROR(__xludf.DUMMYFUNCTION("""COMPUTED_VALUE"""),440)</f>
        <v>440</v>
      </c>
      <c r="B441" s="10" t="str">
        <f ca="1">IFERROR(__xludf.DUMMYFUNCTION("""COMPUTED_VALUE"""),"Moses Rodrigues")</f>
        <v>Moses Rodrigues</v>
      </c>
      <c r="C441" s="10" t="str">
        <f ca="1">IFERROR(__xludf.DUMMYFUNCTION("""COMPUTED_VALUE"""),"CE")</f>
        <v>CE</v>
      </c>
      <c r="D441" s="6" t="str">
        <f t="shared" ca="1" si="4"/>
        <v>Masculino</v>
      </c>
      <c r="E441" s="10" t="str">
        <f ca="1">IFERROR(__xludf.DUMMYFUNCTION("""COMPUTED_VALUE"""),"M")</f>
        <v>M</v>
      </c>
      <c r="F441" s="11">
        <f ca="1">IFERROR(__xludf.DUMMYFUNCTION("""COMPUTED_VALUE"""),28647)</f>
        <v>28647</v>
      </c>
      <c r="G441" s="6">
        <f t="shared" ca="1" si="5"/>
        <v>47</v>
      </c>
      <c r="H441" s="6" t="b">
        <f ca="1">(COUNTIFS(Deputados!A441:A1000, A441, Deputados!D441:D1000, "&lt;&gt;57")) = 0</f>
        <v>0</v>
      </c>
    </row>
    <row r="442" spans="1:8" ht="17.399999999999999">
      <c r="A442" s="10">
        <f ca="1">IFERROR(__xludf.DUMMYFUNCTION("""COMPUTED_VALUE"""),441)</f>
        <v>441</v>
      </c>
      <c r="B442" s="10" t="str">
        <f ca="1">IFERROR(__xludf.DUMMYFUNCTION("""COMPUTED_VALUE"""),"Murillo Gouvea")</f>
        <v>Murillo Gouvea</v>
      </c>
      <c r="C442" s="10" t="str">
        <f ca="1">IFERROR(__xludf.DUMMYFUNCTION("""COMPUTED_VALUE"""),"RJ")</f>
        <v>RJ</v>
      </c>
      <c r="D442" s="6" t="str">
        <f t="shared" ca="1" si="4"/>
        <v>Masculino</v>
      </c>
      <c r="E442" s="10" t="str">
        <f ca="1">IFERROR(__xludf.DUMMYFUNCTION("""COMPUTED_VALUE"""),"M")</f>
        <v>M</v>
      </c>
      <c r="F442" s="11">
        <f ca="1">IFERROR(__xludf.DUMMYFUNCTION("""COMPUTED_VALUE"""),31677)</f>
        <v>31677</v>
      </c>
      <c r="G442" s="6">
        <f t="shared" ca="1" si="5"/>
        <v>38</v>
      </c>
      <c r="H442" s="6" t="b">
        <f ca="1">(COUNTIFS(Deputados!A442:A1000, A442, Deputados!D442:D1000, "&lt;&gt;57")) = 0</f>
        <v>1</v>
      </c>
    </row>
    <row r="443" spans="1:8" ht="17.399999999999999">
      <c r="A443" s="10">
        <f ca="1">IFERROR(__xludf.DUMMYFUNCTION("""COMPUTED_VALUE"""),442)</f>
        <v>442</v>
      </c>
      <c r="B443" s="10" t="str">
        <f ca="1">IFERROR(__xludf.DUMMYFUNCTION("""COMPUTED_VALUE"""),"Murilo Galdino")</f>
        <v>Murilo Galdino</v>
      </c>
      <c r="C443" s="10" t="str">
        <f ca="1">IFERROR(__xludf.DUMMYFUNCTION("""COMPUTED_VALUE"""),"PB")</f>
        <v>PB</v>
      </c>
      <c r="D443" s="6" t="str">
        <f t="shared" ca="1" si="4"/>
        <v>Masculino</v>
      </c>
      <c r="E443" s="10" t="str">
        <f ca="1">IFERROR(__xludf.DUMMYFUNCTION("""COMPUTED_VALUE"""),"M")</f>
        <v>M</v>
      </c>
      <c r="F443" s="11">
        <f ca="1">IFERROR(__xludf.DUMMYFUNCTION("""COMPUTED_VALUE"""),29404)</f>
        <v>29404</v>
      </c>
      <c r="G443" s="6">
        <f t="shared" ca="1" si="5"/>
        <v>45</v>
      </c>
      <c r="H443" s="6" t="b">
        <f ca="1">(COUNTIFS(Deputados!A443:A1000, A443, Deputados!D443:D1000, "&lt;&gt;57")) = 0</f>
        <v>1</v>
      </c>
    </row>
    <row r="444" spans="1:8" ht="17.399999999999999">
      <c r="A444" s="10">
        <f ca="1">IFERROR(__xludf.DUMMYFUNCTION("""COMPUTED_VALUE"""),443)</f>
        <v>443</v>
      </c>
      <c r="B444" s="10" t="str">
        <f ca="1">IFERROR(__xludf.DUMMYFUNCTION("""COMPUTED_VALUE"""),"Natália Bonavides")</f>
        <v>Natália Bonavides</v>
      </c>
      <c r="C444" s="10" t="str">
        <f ca="1">IFERROR(__xludf.DUMMYFUNCTION("""COMPUTED_VALUE"""),"RN")</f>
        <v>RN</v>
      </c>
      <c r="D444" s="6" t="str">
        <f t="shared" ca="1" si="4"/>
        <v>Feminino</v>
      </c>
      <c r="E444" s="10" t="str">
        <f ca="1">IFERROR(__xludf.DUMMYFUNCTION("""COMPUTED_VALUE"""),"F")</f>
        <v>F</v>
      </c>
      <c r="F444" s="11">
        <f ca="1">IFERROR(__xludf.DUMMYFUNCTION("""COMPUTED_VALUE"""),32309)</f>
        <v>32309</v>
      </c>
      <c r="G444" s="6">
        <f t="shared" ca="1" si="5"/>
        <v>37</v>
      </c>
      <c r="H444" s="6" t="b">
        <f ca="1">(COUNTIFS(Deputados!A444:A1000, A444, Deputados!D444:D1000, "&lt;&gt;57")) = 0</f>
        <v>0</v>
      </c>
    </row>
    <row r="445" spans="1:8" ht="17.399999999999999">
      <c r="A445" s="10">
        <f ca="1">IFERROR(__xludf.DUMMYFUNCTION("""COMPUTED_VALUE"""),444)</f>
        <v>444</v>
      </c>
      <c r="B445" s="10" t="str">
        <f ca="1">IFERROR(__xludf.DUMMYFUNCTION("""COMPUTED_VALUE"""),"Naumi Amorim")</f>
        <v>Naumi Amorim</v>
      </c>
      <c r="C445" s="10" t="str">
        <f ca="1">IFERROR(__xludf.DUMMYFUNCTION("""COMPUTED_VALUE"""),"CE")</f>
        <v>CE</v>
      </c>
      <c r="D445" s="6" t="str">
        <f t="shared" ca="1" si="4"/>
        <v>Masculino</v>
      </c>
      <c r="E445" s="10" t="str">
        <f ca="1">IFERROR(__xludf.DUMMYFUNCTION("""COMPUTED_VALUE"""),"M")</f>
        <v>M</v>
      </c>
      <c r="F445" s="11">
        <f ca="1">IFERROR(__xludf.DUMMYFUNCTION("""COMPUTED_VALUE"""),24502)</f>
        <v>24502</v>
      </c>
      <c r="G445" s="6">
        <f t="shared" ca="1" si="5"/>
        <v>58</v>
      </c>
      <c r="H445" s="6" t="b">
        <f ca="1">(COUNTIFS(Deputados!A445:A1000, A445, Deputados!D445:D1000, "&lt;&gt;57")) = 0</f>
        <v>1</v>
      </c>
    </row>
    <row r="446" spans="1:8" ht="17.399999999999999">
      <c r="A446" s="10">
        <f ca="1">IFERROR(__xludf.DUMMYFUNCTION("""COMPUTED_VALUE"""),445)</f>
        <v>445</v>
      </c>
      <c r="B446" s="10" t="str">
        <f ca="1">IFERROR(__xludf.DUMMYFUNCTION("""COMPUTED_VALUE"""),"Nelinho Freitas")</f>
        <v>Nelinho Freitas</v>
      </c>
      <c r="C446" s="10" t="str">
        <f ca="1">IFERROR(__xludf.DUMMYFUNCTION("""COMPUTED_VALUE"""),"CE")</f>
        <v>CE</v>
      </c>
      <c r="D446" s="6" t="str">
        <f t="shared" ca="1" si="4"/>
        <v>Masculino</v>
      </c>
      <c r="E446" s="10" t="str">
        <f ca="1">IFERROR(__xludf.DUMMYFUNCTION("""COMPUTED_VALUE"""),"M")</f>
        <v>M</v>
      </c>
      <c r="F446" s="11">
        <f ca="1">IFERROR(__xludf.DUMMYFUNCTION("""COMPUTED_VALUE"""),30382)</f>
        <v>30382</v>
      </c>
      <c r="G446" s="6">
        <f t="shared" ca="1" si="5"/>
        <v>42</v>
      </c>
      <c r="H446" s="6" t="b">
        <f ca="1">(COUNTIFS(Deputados!A446:A1000, A446, Deputados!D446:D1000, "&lt;&gt;57")) = 0</f>
        <v>1</v>
      </c>
    </row>
    <row r="447" spans="1:8" ht="17.399999999999999">
      <c r="A447" s="10">
        <f ca="1">IFERROR(__xludf.DUMMYFUNCTION("""COMPUTED_VALUE"""),446)</f>
        <v>446</v>
      </c>
      <c r="B447" s="10" t="str">
        <f ca="1">IFERROR(__xludf.DUMMYFUNCTION("""COMPUTED_VALUE"""),"Nelson Barbudo")</f>
        <v>Nelson Barbudo</v>
      </c>
      <c r="C447" s="10" t="str">
        <f ca="1">IFERROR(__xludf.DUMMYFUNCTION("""COMPUTED_VALUE"""),"SP")</f>
        <v>SP</v>
      </c>
      <c r="D447" s="6" t="str">
        <f t="shared" ca="1" si="4"/>
        <v>Masculino</v>
      </c>
      <c r="E447" s="10" t="str">
        <f ca="1">IFERROR(__xludf.DUMMYFUNCTION("""COMPUTED_VALUE"""),"M")</f>
        <v>M</v>
      </c>
      <c r="F447" s="11">
        <f ca="1">IFERROR(__xludf.DUMMYFUNCTION("""COMPUTED_VALUE"""),21960)</f>
        <v>21960</v>
      </c>
      <c r="G447" s="6">
        <f t="shared" ca="1" si="5"/>
        <v>65</v>
      </c>
      <c r="H447" s="6" t="b">
        <f ca="1">(COUNTIFS(Deputados!A447:A1000, A447, Deputados!D447:D1000, "&lt;&gt;57")) = 0</f>
        <v>0</v>
      </c>
    </row>
    <row r="448" spans="1:8" ht="17.399999999999999">
      <c r="A448" s="10">
        <f ca="1">IFERROR(__xludf.DUMMYFUNCTION("""COMPUTED_VALUE"""),447)</f>
        <v>447</v>
      </c>
      <c r="B448" s="10" t="str">
        <f ca="1">IFERROR(__xludf.DUMMYFUNCTION("""COMPUTED_VALUE"""),"Nely Aquino")</f>
        <v>Nely Aquino</v>
      </c>
      <c r="C448" s="10" t="str">
        <f ca="1">IFERROR(__xludf.DUMMYFUNCTION("""COMPUTED_VALUE"""),"MG")</f>
        <v>MG</v>
      </c>
      <c r="D448" s="6" t="str">
        <f t="shared" ca="1" si="4"/>
        <v>Feminino</v>
      </c>
      <c r="E448" s="10" t="str">
        <f ca="1">IFERROR(__xludf.DUMMYFUNCTION("""COMPUTED_VALUE"""),"F")</f>
        <v>F</v>
      </c>
      <c r="F448" s="11">
        <f ca="1">IFERROR(__xludf.DUMMYFUNCTION("""COMPUTED_VALUE"""),26620)</f>
        <v>26620</v>
      </c>
      <c r="G448" s="6">
        <f t="shared" ca="1" si="5"/>
        <v>52</v>
      </c>
      <c r="H448" s="6" t="b">
        <f ca="1">(COUNTIFS(Deputados!A448:A1000, A448, Deputados!D448:D1000, "&lt;&gt;57")) = 0</f>
        <v>1</v>
      </c>
    </row>
    <row r="449" spans="1:8" ht="17.399999999999999">
      <c r="A449" s="10">
        <f ca="1">IFERROR(__xludf.DUMMYFUNCTION("""COMPUTED_VALUE"""),448)</f>
        <v>448</v>
      </c>
      <c r="B449" s="10" t="str">
        <f ca="1">IFERROR(__xludf.DUMMYFUNCTION("""COMPUTED_VALUE"""),"Neto Carletto")</f>
        <v>Neto Carletto</v>
      </c>
      <c r="C449" s="10" t="str">
        <f ca="1">IFERROR(__xludf.DUMMYFUNCTION("""COMPUTED_VALUE"""),"BA")</f>
        <v>BA</v>
      </c>
      <c r="D449" s="6" t="str">
        <f t="shared" ca="1" si="4"/>
        <v>Masculino</v>
      </c>
      <c r="E449" s="10" t="str">
        <f ca="1">IFERROR(__xludf.DUMMYFUNCTION("""COMPUTED_VALUE"""),"M")</f>
        <v>M</v>
      </c>
      <c r="F449" s="11">
        <f ca="1">IFERROR(__xludf.DUMMYFUNCTION("""COMPUTED_VALUE"""),35213)</f>
        <v>35213</v>
      </c>
      <c r="G449" s="6">
        <f t="shared" ca="1" si="5"/>
        <v>29</v>
      </c>
      <c r="H449" s="6" t="b">
        <f ca="1">(COUNTIFS(Deputados!A449:A1000, A449, Deputados!D449:D1000, "&lt;&gt;57")) = 0</f>
        <v>1</v>
      </c>
    </row>
    <row r="450" spans="1:8" ht="17.399999999999999">
      <c r="A450" s="10">
        <f ca="1">IFERROR(__xludf.DUMMYFUNCTION("""COMPUTED_VALUE"""),449)</f>
        <v>449</v>
      </c>
      <c r="B450" s="10" t="str">
        <f ca="1">IFERROR(__xludf.DUMMYFUNCTION("""COMPUTED_VALUE"""),"Newton Bonin")</f>
        <v>Newton Bonin</v>
      </c>
      <c r="C450" s="10" t="str">
        <f ca="1">IFERROR(__xludf.DUMMYFUNCTION("""COMPUTED_VALUE"""),"PR")</f>
        <v>PR</v>
      </c>
      <c r="D450" s="6" t="str">
        <f t="shared" ca="1" si="4"/>
        <v>Masculino</v>
      </c>
      <c r="E450" s="10" t="str">
        <f ca="1">IFERROR(__xludf.DUMMYFUNCTION("""COMPUTED_VALUE"""),"M")</f>
        <v>M</v>
      </c>
      <c r="F450" s="11">
        <f ca="1">IFERROR(__xludf.DUMMYFUNCTION("""COMPUTED_VALUE"""),22157)</f>
        <v>22157</v>
      </c>
      <c r="G450" s="6">
        <f t="shared" ca="1" si="5"/>
        <v>65</v>
      </c>
      <c r="H450" s="6" t="b">
        <f ca="1">(COUNTIFS(Deputados!A450:A1000, A450, Deputados!D450:D1000, "&lt;&gt;57")) = 0</f>
        <v>1</v>
      </c>
    </row>
    <row r="451" spans="1:8" ht="17.399999999999999">
      <c r="A451" s="10">
        <f ca="1">IFERROR(__xludf.DUMMYFUNCTION("""COMPUTED_VALUE"""),450)</f>
        <v>450</v>
      </c>
      <c r="B451" s="10" t="str">
        <f ca="1">IFERROR(__xludf.DUMMYFUNCTION("""COMPUTED_VALUE"""),"Newton Cardoso Jr")</f>
        <v>Newton Cardoso Jr</v>
      </c>
      <c r="C451" s="10" t="str">
        <f ca="1">IFERROR(__xludf.DUMMYFUNCTION("""COMPUTED_VALUE"""),"MG")</f>
        <v>MG</v>
      </c>
      <c r="D451" s="6" t="str">
        <f t="shared" ca="1" si="4"/>
        <v>Masculino</v>
      </c>
      <c r="E451" s="10" t="str">
        <f ca="1">IFERROR(__xludf.DUMMYFUNCTION("""COMPUTED_VALUE"""),"M")</f>
        <v>M</v>
      </c>
      <c r="F451" s="11">
        <f ca="1">IFERROR(__xludf.DUMMYFUNCTION("""COMPUTED_VALUE"""),29170)</f>
        <v>29170</v>
      </c>
      <c r="G451" s="6">
        <f t="shared" ca="1" si="5"/>
        <v>45</v>
      </c>
      <c r="H451" s="6" t="b">
        <f ca="1">(COUNTIFS(Deputados!A451:A1000, A451, Deputados!D451:D1000, "&lt;&gt;57")) = 0</f>
        <v>0</v>
      </c>
    </row>
    <row r="452" spans="1:8" ht="17.399999999999999">
      <c r="A452" s="10">
        <f ca="1">IFERROR(__xludf.DUMMYFUNCTION("""COMPUTED_VALUE"""),451)</f>
        <v>451</v>
      </c>
      <c r="B452" s="10" t="str">
        <f ca="1">IFERROR(__xludf.DUMMYFUNCTION("""COMPUTED_VALUE"""),"Nicoletti")</f>
        <v>Nicoletti</v>
      </c>
      <c r="C452" s="10" t="str">
        <f ca="1">IFERROR(__xludf.DUMMYFUNCTION("""COMPUTED_VALUE"""),"RS")</f>
        <v>RS</v>
      </c>
      <c r="D452" s="6" t="str">
        <f t="shared" ca="1" si="4"/>
        <v>Masculino</v>
      </c>
      <c r="E452" s="10" t="str">
        <f ca="1">IFERROR(__xludf.DUMMYFUNCTION("""COMPUTED_VALUE"""),"M")</f>
        <v>M</v>
      </c>
      <c r="F452" s="11">
        <f ca="1">IFERROR(__xludf.DUMMYFUNCTION("""COMPUTED_VALUE"""),29788)</f>
        <v>29788</v>
      </c>
      <c r="G452" s="6">
        <f t="shared" ca="1" si="5"/>
        <v>44</v>
      </c>
      <c r="H452" s="6" t="b">
        <f ca="1">(COUNTIFS(Deputados!A452:A1000, A452, Deputados!D452:D1000, "&lt;&gt;57")) = 0</f>
        <v>0</v>
      </c>
    </row>
    <row r="453" spans="1:8" ht="17.399999999999999">
      <c r="A453" s="10">
        <f ca="1">IFERROR(__xludf.DUMMYFUNCTION("""COMPUTED_VALUE"""),452)</f>
        <v>452</v>
      </c>
      <c r="B453" s="10" t="str">
        <f ca="1">IFERROR(__xludf.DUMMYFUNCTION("""COMPUTED_VALUE"""),"Nikolas Ferreira")</f>
        <v>Nikolas Ferreira</v>
      </c>
      <c r="C453" s="10" t="str">
        <f ca="1">IFERROR(__xludf.DUMMYFUNCTION("""COMPUTED_VALUE"""),"MG")</f>
        <v>MG</v>
      </c>
      <c r="D453" s="6" t="str">
        <f t="shared" ca="1" si="4"/>
        <v>Masculino</v>
      </c>
      <c r="E453" s="10" t="str">
        <f ca="1">IFERROR(__xludf.DUMMYFUNCTION("""COMPUTED_VALUE"""),"M")</f>
        <v>M</v>
      </c>
      <c r="F453" s="11">
        <f ca="1">IFERROR(__xludf.DUMMYFUNCTION("""COMPUTED_VALUE"""),35215)</f>
        <v>35215</v>
      </c>
      <c r="G453" s="6">
        <f t="shared" ca="1" si="5"/>
        <v>29</v>
      </c>
      <c r="H453" s="6" t="b">
        <f ca="1">(COUNTIFS(Deputados!A453:A1000, A453, Deputados!D453:D1000, "&lt;&gt;57")) = 0</f>
        <v>1</v>
      </c>
    </row>
    <row r="454" spans="1:8" ht="17.399999999999999">
      <c r="A454" s="10">
        <f ca="1">IFERROR(__xludf.DUMMYFUNCTION("""COMPUTED_VALUE"""),453)</f>
        <v>453</v>
      </c>
      <c r="B454" s="10" t="str">
        <f ca="1">IFERROR(__xludf.DUMMYFUNCTION("""COMPUTED_VALUE"""),"Nilto Tatto")</f>
        <v>Nilto Tatto</v>
      </c>
      <c r="C454" s="10" t="str">
        <f ca="1">IFERROR(__xludf.DUMMYFUNCTION("""COMPUTED_VALUE"""),"RS")</f>
        <v>RS</v>
      </c>
      <c r="D454" s="6" t="str">
        <f t="shared" ca="1" si="4"/>
        <v>Masculino</v>
      </c>
      <c r="E454" s="10" t="str">
        <f ca="1">IFERROR(__xludf.DUMMYFUNCTION("""COMPUTED_VALUE"""),"M")</f>
        <v>M</v>
      </c>
      <c r="F454" s="11">
        <f ca="1">IFERROR(__xludf.DUMMYFUNCTION("""COMPUTED_VALUE"""),23223)</f>
        <v>23223</v>
      </c>
      <c r="G454" s="6">
        <f t="shared" ca="1" si="5"/>
        <v>62</v>
      </c>
      <c r="H454" s="6" t="b">
        <f ca="1">(COUNTIFS(Deputados!A454:A1000, A454, Deputados!D454:D1000, "&lt;&gt;57")) = 0</f>
        <v>0</v>
      </c>
    </row>
    <row r="455" spans="1:8" ht="17.399999999999999">
      <c r="A455" s="10">
        <f ca="1">IFERROR(__xludf.DUMMYFUNCTION("""COMPUTED_VALUE"""),454)</f>
        <v>454</v>
      </c>
      <c r="B455" s="10" t="str">
        <f ca="1">IFERROR(__xludf.DUMMYFUNCTION("""COMPUTED_VALUE"""),"Nitinho")</f>
        <v>Nitinho</v>
      </c>
      <c r="C455" s="10" t="str">
        <f ca="1">IFERROR(__xludf.DUMMYFUNCTION("""COMPUTED_VALUE"""),"SE")</f>
        <v>SE</v>
      </c>
      <c r="D455" s="6" t="str">
        <f t="shared" ca="1" si="4"/>
        <v>Masculino</v>
      </c>
      <c r="E455" s="10" t="str">
        <f ca="1">IFERROR(__xludf.DUMMYFUNCTION("""COMPUTED_VALUE"""),"M")</f>
        <v>M</v>
      </c>
      <c r="F455" s="11">
        <f ca="1">IFERROR(__xludf.DUMMYFUNCTION("""COMPUTED_VALUE"""),24258)</f>
        <v>24258</v>
      </c>
      <c r="G455" s="6">
        <f t="shared" ca="1" si="5"/>
        <v>59</v>
      </c>
      <c r="H455" s="6" t="b">
        <f ca="1">(COUNTIFS(Deputados!A455:A1000, A455, Deputados!D455:D1000, "&lt;&gt;57")) = 0</f>
        <v>1</v>
      </c>
    </row>
    <row r="456" spans="1:8" ht="17.399999999999999">
      <c r="A456" s="10">
        <f ca="1">IFERROR(__xludf.DUMMYFUNCTION("""COMPUTED_VALUE"""),455)</f>
        <v>455</v>
      </c>
      <c r="B456" s="10" t="str">
        <f ca="1">IFERROR(__xludf.DUMMYFUNCTION("""COMPUTED_VALUE"""),"Odair Cunha")</f>
        <v>Odair Cunha</v>
      </c>
      <c r="C456" s="10" t="str">
        <f ca="1">IFERROR(__xludf.DUMMYFUNCTION("""COMPUTED_VALUE"""),"SP")</f>
        <v>SP</v>
      </c>
      <c r="D456" s="6" t="str">
        <f t="shared" ca="1" si="4"/>
        <v>Masculino</v>
      </c>
      <c r="E456" s="10" t="str">
        <f ca="1">IFERROR(__xludf.DUMMYFUNCTION("""COMPUTED_VALUE"""),"M")</f>
        <v>M</v>
      </c>
      <c r="F456" s="11">
        <f ca="1">IFERROR(__xludf.DUMMYFUNCTION("""COMPUTED_VALUE"""),27929)</f>
        <v>27929</v>
      </c>
      <c r="G456" s="6">
        <f t="shared" ca="1" si="5"/>
        <v>49</v>
      </c>
      <c r="H456" s="6" t="b">
        <f ca="1">(COUNTIFS(Deputados!A456:A1000, A456, Deputados!D456:D1000, "&lt;&gt;57")) = 0</f>
        <v>0</v>
      </c>
    </row>
    <row r="457" spans="1:8" ht="17.399999999999999">
      <c r="A457" s="10">
        <f ca="1">IFERROR(__xludf.DUMMYFUNCTION("""COMPUTED_VALUE"""),456)</f>
        <v>456</v>
      </c>
      <c r="B457" s="10" t="str">
        <f ca="1">IFERROR(__xludf.DUMMYFUNCTION("""COMPUTED_VALUE"""),"Olival Marques")</f>
        <v>Olival Marques</v>
      </c>
      <c r="C457" s="10" t="str">
        <f ca="1">IFERROR(__xludf.DUMMYFUNCTION("""COMPUTED_VALUE"""),"PA")</f>
        <v>PA</v>
      </c>
      <c r="D457" s="6" t="str">
        <f t="shared" ca="1" si="4"/>
        <v>Masculino</v>
      </c>
      <c r="E457" s="10" t="str">
        <f ca="1">IFERROR(__xludf.DUMMYFUNCTION("""COMPUTED_VALUE"""),"M")</f>
        <v>M</v>
      </c>
      <c r="F457" s="11">
        <f ca="1">IFERROR(__xludf.DUMMYFUNCTION("""COMPUTED_VALUE"""),29960)</f>
        <v>29960</v>
      </c>
      <c r="G457" s="6">
        <f t="shared" ca="1" si="5"/>
        <v>43</v>
      </c>
      <c r="H457" s="6" t="b">
        <f ca="1">(COUNTIFS(Deputados!A457:A1000, A457, Deputados!D457:D1000, "&lt;&gt;57")) = 0</f>
        <v>0</v>
      </c>
    </row>
    <row r="458" spans="1:8" ht="17.399999999999999">
      <c r="A458" s="10">
        <f ca="1">IFERROR(__xludf.DUMMYFUNCTION("""COMPUTED_VALUE"""),457)</f>
        <v>457</v>
      </c>
      <c r="B458" s="10" t="str">
        <f ca="1">IFERROR(__xludf.DUMMYFUNCTION("""COMPUTED_VALUE"""),"Orlando Silva")</f>
        <v>Orlando Silva</v>
      </c>
      <c r="C458" s="10" t="str">
        <f ca="1">IFERROR(__xludf.DUMMYFUNCTION("""COMPUTED_VALUE"""),"BA")</f>
        <v>BA</v>
      </c>
      <c r="D458" s="6" t="str">
        <f t="shared" ca="1" si="4"/>
        <v>Masculino</v>
      </c>
      <c r="E458" s="10" t="str">
        <f ca="1">IFERROR(__xludf.DUMMYFUNCTION("""COMPUTED_VALUE"""),"M")</f>
        <v>M</v>
      </c>
      <c r="F458" s="11">
        <f ca="1">IFERROR(__xludf.DUMMYFUNCTION("""COMPUTED_VALUE"""),26080)</f>
        <v>26080</v>
      </c>
      <c r="G458" s="6">
        <f t="shared" ca="1" si="5"/>
        <v>54</v>
      </c>
      <c r="H458" s="6" t="b">
        <f ca="1">(COUNTIFS(Deputados!A458:A1000, A458, Deputados!D458:D1000, "&lt;&gt;57")) = 0</f>
        <v>0</v>
      </c>
    </row>
    <row r="459" spans="1:8" ht="17.399999999999999">
      <c r="A459" s="10">
        <f ca="1">IFERROR(__xludf.DUMMYFUNCTION("""COMPUTED_VALUE"""),458)</f>
        <v>458</v>
      </c>
      <c r="B459" s="10" t="str">
        <f ca="1">IFERROR(__xludf.DUMMYFUNCTION("""COMPUTED_VALUE"""),"Osmar Terra")</f>
        <v>Osmar Terra</v>
      </c>
      <c r="C459" s="10" t="str">
        <f ca="1">IFERROR(__xludf.DUMMYFUNCTION("""COMPUTED_VALUE"""),"RS")</f>
        <v>RS</v>
      </c>
      <c r="D459" s="6" t="str">
        <f t="shared" ca="1" si="4"/>
        <v>Masculino</v>
      </c>
      <c r="E459" s="10" t="str">
        <f ca="1">IFERROR(__xludf.DUMMYFUNCTION("""COMPUTED_VALUE"""),"M")</f>
        <v>M</v>
      </c>
      <c r="F459" s="11">
        <f ca="1">IFERROR(__xludf.DUMMYFUNCTION("""COMPUTED_VALUE"""),18312)</f>
        <v>18312</v>
      </c>
      <c r="G459" s="6">
        <f t="shared" ca="1" si="5"/>
        <v>75</v>
      </c>
      <c r="H459" s="6" t="b">
        <f ca="1">(COUNTIFS(Deputados!A459:A1000, A459, Deputados!D459:D1000, "&lt;&gt;57")) = 0</f>
        <v>0</v>
      </c>
    </row>
    <row r="460" spans="1:8" ht="17.399999999999999">
      <c r="A460" s="10">
        <f ca="1">IFERROR(__xludf.DUMMYFUNCTION("""COMPUTED_VALUE"""),459)</f>
        <v>459</v>
      </c>
      <c r="B460" s="10" t="str">
        <f ca="1">IFERROR(__xludf.DUMMYFUNCTION("""COMPUTED_VALUE"""),"Ossesio Silva")</f>
        <v>Ossesio Silva</v>
      </c>
      <c r="C460" s="10" t="str">
        <f ca="1">IFERROR(__xludf.DUMMYFUNCTION("""COMPUTED_VALUE"""),"RJ")</f>
        <v>RJ</v>
      </c>
      <c r="D460" s="6" t="str">
        <f t="shared" ca="1" si="4"/>
        <v>Masculino</v>
      </c>
      <c r="E460" s="10" t="str">
        <f ca="1">IFERROR(__xludf.DUMMYFUNCTION("""COMPUTED_VALUE"""),"M")</f>
        <v>M</v>
      </c>
      <c r="F460" s="11">
        <f ca="1">IFERROR(__xludf.DUMMYFUNCTION("""COMPUTED_VALUE"""),20067)</f>
        <v>20067</v>
      </c>
      <c r="G460" s="6">
        <f t="shared" ca="1" si="5"/>
        <v>70</v>
      </c>
      <c r="H460" s="6" t="b">
        <f ca="1">(COUNTIFS(Deputados!A460:A1000, A460, Deputados!D460:D1000, "&lt;&gt;57")) = 0</f>
        <v>0</v>
      </c>
    </row>
    <row r="461" spans="1:8" ht="17.399999999999999">
      <c r="A461" s="10">
        <f ca="1">IFERROR(__xludf.DUMMYFUNCTION("""COMPUTED_VALUE"""),460)</f>
        <v>460</v>
      </c>
      <c r="B461" s="10" t="str">
        <f ca="1">IFERROR(__xludf.DUMMYFUNCTION("""COMPUTED_VALUE"""),"Otoni de Paula")</f>
        <v>Otoni de Paula</v>
      </c>
      <c r="C461" s="10" t="str">
        <f ca="1">IFERROR(__xludf.DUMMYFUNCTION("""COMPUTED_VALUE"""),"RJ")</f>
        <v>RJ</v>
      </c>
      <c r="D461" s="6" t="str">
        <f t="shared" ca="1" si="4"/>
        <v>Masculino</v>
      </c>
      <c r="E461" s="10" t="str">
        <f ca="1">IFERROR(__xludf.DUMMYFUNCTION("""COMPUTED_VALUE"""),"M")</f>
        <v>M</v>
      </c>
      <c r="F461" s="11">
        <f ca="1">IFERROR(__xludf.DUMMYFUNCTION("""COMPUTED_VALUE"""),28086)</f>
        <v>28086</v>
      </c>
      <c r="G461" s="6">
        <f t="shared" ca="1" si="5"/>
        <v>48</v>
      </c>
      <c r="H461" s="6" t="b">
        <f ca="1">(COUNTIFS(Deputados!A461:A1000, A461, Deputados!D461:D1000, "&lt;&gt;57")) = 0</f>
        <v>0</v>
      </c>
    </row>
    <row r="462" spans="1:8" ht="17.399999999999999">
      <c r="A462" s="10">
        <f ca="1">IFERROR(__xludf.DUMMYFUNCTION("""COMPUTED_VALUE"""),461)</f>
        <v>461</v>
      </c>
      <c r="B462" s="10" t="str">
        <f ca="1">IFERROR(__xludf.DUMMYFUNCTION("""COMPUTED_VALUE"""),"Otto Alencar Filho")</f>
        <v>Otto Alencar Filho</v>
      </c>
      <c r="C462" s="10" t="str">
        <f ca="1">IFERROR(__xludf.DUMMYFUNCTION("""COMPUTED_VALUE"""),"BA")</f>
        <v>BA</v>
      </c>
      <c r="D462" s="6" t="str">
        <f t="shared" ca="1" si="4"/>
        <v>Masculino</v>
      </c>
      <c r="E462" s="10" t="str">
        <f ca="1">IFERROR(__xludf.DUMMYFUNCTION("""COMPUTED_VALUE"""),"M")</f>
        <v>M</v>
      </c>
      <c r="F462" s="11">
        <f ca="1">IFERROR(__xludf.DUMMYFUNCTION("""COMPUTED_VALUE"""),28313)</f>
        <v>28313</v>
      </c>
      <c r="G462" s="6">
        <f t="shared" ca="1" si="5"/>
        <v>48</v>
      </c>
      <c r="H462" s="6" t="b">
        <f ca="1">(COUNTIFS(Deputados!A462:A1000, A462, Deputados!D462:D1000, "&lt;&gt;57")) = 0</f>
        <v>0</v>
      </c>
    </row>
    <row r="463" spans="1:8" ht="17.399999999999999">
      <c r="A463" s="10">
        <f ca="1">IFERROR(__xludf.DUMMYFUNCTION("""COMPUTED_VALUE"""),462)</f>
        <v>462</v>
      </c>
      <c r="B463" s="10" t="str">
        <f ca="1">IFERROR(__xludf.DUMMYFUNCTION("""COMPUTED_VALUE"""),"Padovani")</f>
        <v>Padovani</v>
      </c>
      <c r="C463" s="10" t="str">
        <f ca="1">IFERROR(__xludf.DUMMYFUNCTION("""COMPUTED_VALUE"""),"PR")</f>
        <v>PR</v>
      </c>
      <c r="D463" s="6" t="str">
        <f t="shared" ca="1" si="4"/>
        <v>Masculino</v>
      </c>
      <c r="E463" s="10" t="str">
        <f ca="1">IFERROR(__xludf.DUMMYFUNCTION("""COMPUTED_VALUE"""),"M")</f>
        <v>M</v>
      </c>
      <c r="F463" s="11">
        <f ca="1">IFERROR(__xludf.DUMMYFUNCTION("""COMPUTED_VALUE"""),28427)</f>
        <v>28427</v>
      </c>
      <c r="G463" s="6">
        <f t="shared" ca="1" si="5"/>
        <v>47</v>
      </c>
      <c r="H463" s="6" t="b">
        <f ca="1">(COUNTIFS(Deputados!A463:A1000, A463, Deputados!D463:D1000, "&lt;&gt;57")) = 0</f>
        <v>1</v>
      </c>
    </row>
    <row r="464" spans="1:8" ht="17.399999999999999">
      <c r="A464" s="10">
        <f ca="1">IFERROR(__xludf.DUMMYFUNCTION("""COMPUTED_VALUE"""),463)</f>
        <v>463</v>
      </c>
      <c r="B464" s="10" t="str">
        <f ca="1">IFERROR(__xludf.DUMMYFUNCTION("""COMPUTED_VALUE"""),"Padre João")</f>
        <v>Padre João</v>
      </c>
      <c r="C464" s="10" t="str">
        <f ca="1">IFERROR(__xludf.DUMMYFUNCTION("""COMPUTED_VALUE"""),"MG")</f>
        <v>MG</v>
      </c>
      <c r="D464" s="6" t="str">
        <f t="shared" ca="1" si="4"/>
        <v>Masculino</v>
      </c>
      <c r="E464" s="10" t="str">
        <f ca="1">IFERROR(__xludf.DUMMYFUNCTION("""COMPUTED_VALUE"""),"M")</f>
        <v>M</v>
      </c>
      <c r="F464" s="11">
        <f ca="1">IFERROR(__xludf.DUMMYFUNCTION("""COMPUTED_VALUE"""),24531)</f>
        <v>24531</v>
      </c>
      <c r="G464" s="6">
        <f t="shared" ca="1" si="5"/>
        <v>58</v>
      </c>
      <c r="H464" s="6" t="b">
        <f ca="1">(COUNTIFS(Deputados!A464:A1000, A464, Deputados!D464:D1000, "&lt;&gt;57")) = 0</f>
        <v>0</v>
      </c>
    </row>
    <row r="465" spans="1:8" ht="17.399999999999999">
      <c r="A465" s="10">
        <f ca="1">IFERROR(__xludf.DUMMYFUNCTION("""COMPUTED_VALUE"""),464)</f>
        <v>464</v>
      </c>
      <c r="B465" s="10" t="str">
        <f ca="1">IFERROR(__xludf.DUMMYFUNCTION("""COMPUTED_VALUE"""),"Pastor Claudio Mariano")</f>
        <v>Pastor Claudio Mariano</v>
      </c>
      <c r="C465" s="10" t="str">
        <f ca="1">IFERROR(__xludf.DUMMYFUNCTION("""COMPUTED_VALUE"""),"GO")</f>
        <v>GO</v>
      </c>
      <c r="D465" s="6" t="str">
        <f t="shared" ca="1" si="4"/>
        <v>Masculino</v>
      </c>
      <c r="E465" s="10" t="str">
        <f ca="1">IFERROR(__xludf.DUMMYFUNCTION("""COMPUTED_VALUE"""),"M")</f>
        <v>M</v>
      </c>
      <c r="F465" s="11">
        <f ca="1">IFERROR(__xludf.DUMMYFUNCTION("""COMPUTED_VALUE"""),28110)</f>
        <v>28110</v>
      </c>
      <c r="G465" s="6">
        <f t="shared" ca="1" si="5"/>
        <v>48</v>
      </c>
      <c r="H465" s="6" t="b">
        <f ca="1">(COUNTIFS(Deputados!A465:A1000, A465, Deputados!D465:D1000, "&lt;&gt;57")) = 0</f>
        <v>1</v>
      </c>
    </row>
    <row r="466" spans="1:8" ht="17.399999999999999">
      <c r="A466" s="10">
        <f ca="1">IFERROR(__xludf.DUMMYFUNCTION("""COMPUTED_VALUE"""),465)</f>
        <v>465</v>
      </c>
      <c r="B466" s="10" t="str">
        <f ca="1">IFERROR(__xludf.DUMMYFUNCTION("""COMPUTED_VALUE"""),"Pastor Diniz")</f>
        <v>Pastor Diniz</v>
      </c>
      <c r="C466" s="10" t="str">
        <f ca="1">IFERROR(__xludf.DUMMYFUNCTION("""COMPUTED_VALUE"""),"RR")</f>
        <v>RR</v>
      </c>
      <c r="D466" s="6" t="str">
        <f t="shared" ca="1" si="4"/>
        <v>Masculino</v>
      </c>
      <c r="E466" s="10" t="str">
        <f ca="1">IFERROR(__xludf.DUMMYFUNCTION("""COMPUTED_VALUE"""),"M")</f>
        <v>M</v>
      </c>
      <c r="F466" s="11">
        <f ca="1">IFERROR(__xludf.DUMMYFUNCTION("""COMPUTED_VALUE"""),29301)</f>
        <v>29301</v>
      </c>
      <c r="G466" s="6">
        <f t="shared" ca="1" si="5"/>
        <v>45</v>
      </c>
      <c r="H466" s="6" t="b">
        <f ca="1">(COUNTIFS(Deputados!A466:A1000, A466, Deputados!D466:D1000, "&lt;&gt;57")) = 0</f>
        <v>1</v>
      </c>
    </row>
    <row r="467" spans="1:8" ht="17.399999999999999">
      <c r="A467" s="10">
        <f ca="1">IFERROR(__xludf.DUMMYFUNCTION("""COMPUTED_VALUE"""),466)</f>
        <v>466</v>
      </c>
      <c r="B467" s="10" t="str">
        <f ca="1">IFERROR(__xludf.DUMMYFUNCTION("""COMPUTED_VALUE"""),"Pastor Eurico")</f>
        <v>Pastor Eurico</v>
      </c>
      <c r="C467" s="10" t="str">
        <f ca="1">IFERROR(__xludf.DUMMYFUNCTION("""COMPUTED_VALUE"""),"SP")</f>
        <v>SP</v>
      </c>
      <c r="D467" s="6" t="str">
        <f t="shared" ca="1" si="4"/>
        <v>Masculino</v>
      </c>
      <c r="E467" s="10" t="str">
        <f ca="1">IFERROR(__xludf.DUMMYFUNCTION("""COMPUTED_VALUE"""),"M")</f>
        <v>M</v>
      </c>
      <c r="F467" s="11">
        <f ca="1">IFERROR(__xludf.DUMMYFUNCTION("""COMPUTED_VALUE"""),22901)</f>
        <v>22901</v>
      </c>
      <c r="G467" s="6">
        <f t="shared" ca="1" si="5"/>
        <v>62</v>
      </c>
      <c r="H467" s="6" t="b">
        <f ca="1">(COUNTIFS(Deputados!A467:A1000, A467, Deputados!D467:D1000, "&lt;&gt;57")) = 0</f>
        <v>0</v>
      </c>
    </row>
    <row r="468" spans="1:8" ht="17.399999999999999">
      <c r="A468" s="10">
        <f ca="1">IFERROR(__xludf.DUMMYFUNCTION("""COMPUTED_VALUE"""),467)</f>
        <v>467</v>
      </c>
      <c r="B468" s="10" t="str">
        <f ca="1">IFERROR(__xludf.DUMMYFUNCTION("""COMPUTED_VALUE"""),"Pastor Gil")</f>
        <v>Pastor Gil</v>
      </c>
      <c r="C468" s="10" t="str">
        <f ca="1">IFERROR(__xludf.DUMMYFUNCTION("""COMPUTED_VALUE"""),"MA")</f>
        <v>MA</v>
      </c>
      <c r="D468" s="6" t="str">
        <f t="shared" ca="1" si="4"/>
        <v>Masculino</v>
      </c>
      <c r="E468" s="10" t="str">
        <f ca="1">IFERROR(__xludf.DUMMYFUNCTION("""COMPUTED_VALUE"""),"M")</f>
        <v>M</v>
      </c>
      <c r="F468" s="11">
        <f ca="1">IFERROR(__xludf.DUMMYFUNCTION("""COMPUTED_VALUE"""),26245)</f>
        <v>26245</v>
      </c>
      <c r="G468" s="6">
        <f t="shared" ca="1" si="5"/>
        <v>53</v>
      </c>
      <c r="H468" s="6" t="b">
        <f ca="1">(COUNTIFS(Deputados!A468:A1000, A468, Deputados!D468:D1000, "&lt;&gt;57")) = 0</f>
        <v>0</v>
      </c>
    </row>
    <row r="469" spans="1:8" ht="17.399999999999999">
      <c r="A469" s="10">
        <f ca="1">IFERROR(__xludf.DUMMYFUNCTION("""COMPUTED_VALUE"""),468)</f>
        <v>468</v>
      </c>
      <c r="B469" s="10" t="str">
        <f ca="1">IFERROR(__xludf.DUMMYFUNCTION("""COMPUTED_VALUE"""),"Pastor Henrique Vieira")</f>
        <v>Pastor Henrique Vieira</v>
      </c>
      <c r="C469" s="10" t="str">
        <f ca="1">IFERROR(__xludf.DUMMYFUNCTION("""COMPUTED_VALUE"""),"RJ")</f>
        <v>RJ</v>
      </c>
      <c r="D469" s="6" t="str">
        <f t="shared" ca="1" si="4"/>
        <v>Masculino</v>
      </c>
      <c r="E469" s="10" t="str">
        <f ca="1">IFERROR(__xludf.DUMMYFUNCTION("""COMPUTED_VALUE"""),"M")</f>
        <v>M</v>
      </c>
      <c r="F469" s="11">
        <f ca="1">IFERROR(__xludf.DUMMYFUNCTION("""COMPUTED_VALUE"""),31882)</f>
        <v>31882</v>
      </c>
      <c r="G469" s="6">
        <f t="shared" ca="1" si="5"/>
        <v>38</v>
      </c>
      <c r="H469" s="6" t="b">
        <f ca="1">(COUNTIFS(Deputados!A469:A1000, A469, Deputados!D469:D1000, "&lt;&gt;57")) = 0</f>
        <v>1</v>
      </c>
    </row>
    <row r="470" spans="1:8" ht="17.399999999999999">
      <c r="A470" s="10">
        <f ca="1">IFERROR(__xludf.DUMMYFUNCTION("""COMPUTED_VALUE"""),469)</f>
        <v>469</v>
      </c>
      <c r="B470" s="10" t="str">
        <f ca="1">IFERROR(__xludf.DUMMYFUNCTION("""COMPUTED_VALUE"""),"Pastor Sargento Isidório")</f>
        <v>Pastor Sargento Isidório</v>
      </c>
      <c r="C470" s="10" t="str">
        <f ca="1">IFERROR(__xludf.DUMMYFUNCTION("""COMPUTED_VALUE"""),"BA")</f>
        <v>BA</v>
      </c>
      <c r="D470" s="6" t="str">
        <f t="shared" ca="1" si="4"/>
        <v>Masculino</v>
      </c>
      <c r="E470" s="10" t="str">
        <f ca="1">IFERROR(__xludf.DUMMYFUNCTION("""COMPUTED_VALUE"""),"M")</f>
        <v>M</v>
      </c>
      <c r="F470" s="11">
        <f ca="1">IFERROR(__xludf.DUMMYFUNCTION("""COMPUTED_VALUE"""),22855)</f>
        <v>22855</v>
      </c>
      <c r="G470" s="6">
        <f t="shared" ca="1" si="5"/>
        <v>63</v>
      </c>
      <c r="H470" s="6" t="b">
        <f ca="1">(COUNTIFS(Deputados!A470:A1000, A470, Deputados!D470:D1000, "&lt;&gt;57")) = 0</f>
        <v>0</v>
      </c>
    </row>
    <row r="471" spans="1:8" ht="17.399999999999999">
      <c r="A471" s="10">
        <f ca="1">IFERROR(__xludf.DUMMYFUNCTION("""COMPUTED_VALUE"""),470)</f>
        <v>470</v>
      </c>
      <c r="B471" s="10" t="str">
        <f ca="1">IFERROR(__xludf.DUMMYFUNCTION("""COMPUTED_VALUE"""),"Patrus Ananias")</f>
        <v>Patrus Ananias</v>
      </c>
      <c r="C471" s="10" t="str">
        <f ca="1">IFERROR(__xludf.DUMMYFUNCTION("""COMPUTED_VALUE"""),"MG")</f>
        <v>MG</v>
      </c>
      <c r="D471" s="6" t="str">
        <f t="shared" ca="1" si="4"/>
        <v>Masculino</v>
      </c>
      <c r="E471" s="10" t="str">
        <f ca="1">IFERROR(__xludf.DUMMYFUNCTION("""COMPUTED_VALUE"""),"M")</f>
        <v>M</v>
      </c>
      <c r="F471" s="11">
        <f ca="1">IFERROR(__xludf.DUMMYFUNCTION("""COMPUTED_VALUE"""),19019)</f>
        <v>19019</v>
      </c>
      <c r="G471" s="6">
        <f t="shared" ca="1" si="5"/>
        <v>73</v>
      </c>
      <c r="H471" s="6" t="b">
        <f ca="1">(COUNTIFS(Deputados!A471:A1000, A471, Deputados!D471:D1000, "&lt;&gt;57")) = 0</f>
        <v>0</v>
      </c>
    </row>
    <row r="472" spans="1:8" ht="17.399999999999999">
      <c r="A472" s="10">
        <f ca="1">IFERROR(__xludf.DUMMYFUNCTION("""COMPUTED_VALUE"""),471)</f>
        <v>471</v>
      </c>
      <c r="B472" s="10" t="str">
        <f ca="1">IFERROR(__xludf.DUMMYFUNCTION("""COMPUTED_VALUE"""),"Pauderney Avelino")</f>
        <v>Pauderney Avelino</v>
      </c>
      <c r="C472" s="10" t="str">
        <f ca="1">IFERROR(__xludf.DUMMYFUNCTION("""COMPUTED_VALUE"""),"AM")</f>
        <v>AM</v>
      </c>
      <c r="D472" s="6" t="str">
        <f t="shared" ca="1" si="4"/>
        <v>Masculino</v>
      </c>
      <c r="E472" s="10" t="str">
        <f ca="1">IFERROR(__xludf.DUMMYFUNCTION("""COMPUTED_VALUE"""),"M")</f>
        <v>M</v>
      </c>
      <c r="F472" s="11">
        <f ca="1">IFERROR(__xludf.DUMMYFUNCTION("""COMPUTED_VALUE"""),19991)</f>
        <v>19991</v>
      </c>
      <c r="G472" s="6">
        <f t="shared" ca="1" si="5"/>
        <v>70</v>
      </c>
      <c r="H472" s="6" t="b">
        <f ca="1">(COUNTIFS(Deputados!A472:A1000, A472, Deputados!D472:D1000, "&lt;&gt;57")) = 0</f>
        <v>0</v>
      </c>
    </row>
    <row r="473" spans="1:8" ht="17.399999999999999">
      <c r="A473" s="10">
        <f ca="1">IFERROR(__xludf.DUMMYFUNCTION("""COMPUTED_VALUE"""),472)</f>
        <v>472</v>
      </c>
      <c r="B473" s="10" t="str">
        <f ca="1">IFERROR(__xludf.DUMMYFUNCTION("""COMPUTED_VALUE"""),"Paulão")</f>
        <v>Paulão</v>
      </c>
      <c r="C473" s="10" t="str">
        <f ca="1">IFERROR(__xludf.DUMMYFUNCTION("""COMPUTED_VALUE"""),"PE")</f>
        <v>PE</v>
      </c>
      <c r="D473" s="6" t="str">
        <f t="shared" ca="1" si="4"/>
        <v>Masculino</v>
      </c>
      <c r="E473" s="10" t="str">
        <f ca="1">IFERROR(__xludf.DUMMYFUNCTION("""COMPUTED_VALUE"""),"M")</f>
        <v>M</v>
      </c>
      <c r="F473" s="11">
        <f ca="1">IFERROR(__xludf.DUMMYFUNCTION("""COMPUTED_VALUE"""),21078)</f>
        <v>21078</v>
      </c>
      <c r="G473" s="6">
        <f t="shared" ca="1" si="5"/>
        <v>67</v>
      </c>
      <c r="H473" s="6" t="b">
        <f ca="1">(COUNTIFS(Deputados!A473:A1000, A473, Deputados!D473:D1000, "&lt;&gt;57")) = 0</f>
        <v>0</v>
      </c>
    </row>
    <row r="474" spans="1:8" ht="17.399999999999999">
      <c r="A474" s="10">
        <f ca="1">IFERROR(__xludf.DUMMYFUNCTION("""COMPUTED_VALUE"""),473)</f>
        <v>473</v>
      </c>
      <c r="B474" s="10" t="str">
        <f ca="1">IFERROR(__xludf.DUMMYFUNCTION("""COMPUTED_VALUE"""),"Paulinho da Força")</f>
        <v>Paulinho da Força</v>
      </c>
      <c r="C474" s="10" t="str">
        <f ca="1">IFERROR(__xludf.DUMMYFUNCTION("""COMPUTED_VALUE"""),"PR")</f>
        <v>PR</v>
      </c>
      <c r="D474" s="6" t="str">
        <f t="shared" ca="1" si="4"/>
        <v>Masculino</v>
      </c>
      <c r="E474" s="10" t="str">
        <f ca="1">IFERROR(__xludf.DUMMYFUNCTION("""COMPUTED_VALUE"""),"M")</f>
        <v>M</v>
      </c>
      <c r="F474" s="11">
        <f ca="1">IFERROR(__xludf.DUMMYFUNCTION("""COMPUTED_VALUE"""),20509)</f>
        <v>20509</v>
      </c>
      <c r="G474" s="6">
        <f t="shared" ca="1" si="5"/>
        <v>69</v>
      </c>
      <c r="H474" s="6" t="b">
        <f ca="1">(COUNTIFS(Deputados!A474:A1000, A474, Deputados!D474:D1000, "&lt;&gt;57")) = 0</f>
        <v>0</v>
      </c>
    </row>
    <row r="475" spans="1:8" ht="17.399999999999999">
      <c r="A475" s="10">
        <f ca="1">IFERROR(__xludf.DUMMYFUNCTION("""COMPUTED_VALUE"""),474)</f>
        <v>474</v>
      </c>
      <c r="B475" s="10" t="str">
        <f ca="1">IFERROR(__xludf.DUMMYFUNCTION("""COMPUTED_VALUE"""),"Paulinho Freire")</f>
        <v>Paulinho Freire</v>
      </c>
      <c r="C475" s="10" t="str">
        <f ca="1">IFERROR(__xludf.DUMMYFUNCTION("""COMPUTED_VALUE"""),"RN")</f>
        <v>RN</v>
      </c>
      <c r="D475" s="6" t="str">
        <f t="shared" ca="1" si="4"/>
        <v>Masculino</v>
      </c>
      <c r="E475" s="10" t="str">
        <f ca="1">IFERROR(__xludf.DUMMYFUNCTION("""COMPUTED_VALUE"""),"M")</f>
        <v>M</v>
      </c>
      <c r="F475" s="11">
        <f ca="1">IFERROR(__xludf.DUMMYFUNCTION("""COMPUTED_VALUE"""),23672)</f>
        <v>23672</v>
      </c>
      <c r="G475" s="6">
        <f t="shared" ca="1" si="5"/>
        <v>60</v>
      </c>
      <c r="H475" s="6" t="b">
        <f ca="1">(COUNTIFS(Deputados!A475:A1000, A475, Deputados!D475:D1000, "&lt;&gt;57")) = 0</f>
        <v>1</v>
      </c>
    </row>
    <row r="476" spans="1:8" ht="17.399999999999999">
      <c r="A476" s="10">
        <f ca="1">IFERROR(__xludf.DUMMYFUNCTION("""COMPUTED_VALUE"""),475)</f>
        <v>475</v>
      </c>
      <c r="B476" s="10" t="str">
        <f ca="1">IFERROR(__xludf.DUMMYFUNCTION("""COMPUTED_VALUE"""),"Paulo Abi-Ackel")</f>
        <v>Paulo Abi-Ackel</v>
      </c>
      <c r="C476" s="10" t="str">
        <f ca="1">IFERROR(__xludf.DUMMYFUNCTION("""COMPUTED_VALUE"""),"MG")</f>
        <v>MG</v>
      </c>
      <c r="D476" s="6" t="str">
        <f t="shared" ca="1" si="4"/>
        <v>Masculino</v>
      </c>
      <c r="E476" s="10" t="str">
        <f ca="1">IFERROR(__xludf.DUMMYFUNCTION("""COMPUTED_VALUE"""),"M")</f>
        <v>M</v>
      </c>
      <c r="F476" s="11">
        <f ca="1">IFERROR(__xludf.DUMMYFUNCTION("""COMPUTED_VALUE"""),23183)</f>
        <v>23183</v>
      </c>
      <c r="G476" s="6">
        <f t="shared" ca="1" si="5"/>
        <v>62</v>
      </c>
      <c r="H476" s="6" t="b">
        <f ca="1">(COUNTIFS(Deputados!A476:A1000, A476, Deputados!D476:D1000, "&lt;&gt;57")) = 0</f>
        <v>0</v>
      </c>
    </row>
    <row r="477" spans="1:8" ht="17.399999999999999">
      <c r="A477" s="10">
        <f ca="1">IFERROR(__xludf.DUMMYFUNCTION("""COMPUTED_VALUE"""),476)</f>
        <v>476</v>
      </c>
      <c r="B477" s="10" t="str">
        <f ca="1">IFERROR(__xludf.DUMMYFUNCTION("""COMPUTED_VALUE"""),"Paulo Alexandre Barbosa")</f>
        <v>Paulo Alexandre Barbosa</v>
      </c>
      <c r="C477" s="10" t="str">
        <f ca="1">IFERROR(__xludf.DUMMYFUNCTION("""COMPUTED_VALUE"""),"SP")</f>
        <v>SP</v>
      </c>
      <c r="D477" s="6" t="str">
        <f t="shared" ca="1" si="4"/>
        <v>Masculino</v>
      </c>
      <c r="E477" s="10" t="str">
        <f ca="1">IFERROR(__xludf.DUMMYFUNCTION("""COMPUTED_VALUE"""),"M")</f>
        <v>M</v>
      </c>
      <c r="F477" s="11">
        <f ca="1">IFERROR(__xludf.DUMMYFUNCTION("""COMPUTED_VALUE"""),28864)</f>
        <v>28864</v>
      </c>
      <c r="G477" s="6">
        <f t="shared" ca="1" si="5"/>
        <v>46</v>
      </c>
      <c r="H477" s="6" t="b">
        <f ca="1">(COUNTIFS(Deputados!A477:A1000, A477, Deputados!D477:D1000, "&lt;&gt;57")) = 0</f>
        <v>1</v>
      </c>
    </row>
    <row r="478" spans="1:8" ht="17.399999999999999">
      <c r="A478" s="10">
        <f ca="1">IFERROR(__xludf.DUMMYFUNCTION("""COMPUTED_VALUE"""),477)</f>
        <v>477</v>
      </c>
      <c r="B478" s="10" t="str">
        <f ca="1">IFERROR(__xludf.DUMMYFUNCTION("""COMPUTED_VALUE"""),"Paulo Azi")</f>
        <v>Paulo Azi</v>
      </c>
      <c r="C478" s="10" t="str">
        <f ca="1">IFERROR(__xludf.DUMMYFUNCTION("""COMPUTED_VALUE"""),"BA")</f>
        <v>BA</v>
      </c>
      <c r="D478" s="6" t="str">
        <f t="shared" ca="1" si="4"/>
        <v>Masculino</v>
      </c>
      <c r="E478" s="10" t="str">
        <f ca="1">IFERROR(__xludf.DUMMYFUNCTION("""COMPUTED_VALUE"""),"M")</f>
        <v>M</v>
      </c>
      <c r="F478" s="11">
        <f ca="1">IFERROR(__xludf.DUMMYFUNCTION("""COMPUTED_VALUE"""),23025)</f>
        <v>23025</v>
      </c>
      <c r="G478" s="6">
        <f t="shared" ca="1" si="5"/>
        <v>62</v>
      </c>
      <c r="H478" s="6" t="b">
        <f ca="1">(COUNTIFS(Deputados!A478:A1000, A478, Deputados!D478:D1000, "&lt;&gt;57")) = 0</f>
        <v>0</v>
      </c>
    </row>
    <row r="479" spans="1:8" ht="17.399999999999999">
      <c r="A479" s="10">
        <f ca="1">IFERROR(__xludf.DUMMYFUNCTION("""COMPUTED_VALUE"""),478)</f>
        <v>478</v>
      </c>
      <c r="B479" s="10" t="str">
        <f ca="1">IFERROR(__xludf.DUMMYFUNCTION("""COMPUTED_VALUE"""),"Paulo Folletto")</f>
        <v>Paulo Folletto</v>
      </c>
      <c r="C479" s="10" t="str">
        <f ca="1">IFERROR(__xludf.DUMMYFUNCTION("""COMPUTED_VALUE"""),"ES")</f>
        <v>ES</v>
      </c>
      <c r="D479" s="6" t="str">
        <f t="shared" ca="1" si="4"/>
        <v>Masculino</v>
      </c>
      <c r="E479" s="10" t="str">
        <f ca="1">IFERROR(__xludf.DUMMYFUNCTION("""COMPUTED_VALUE"""),"M")</f>
        <v>M</v>
      </c>
      <c r="F479" s="11">
        <f ca="1">IFERROR(__xludf.DUMMYFUNCTION("""COMPUTED_VALUE"""),20575)</f>
        <v>20575</v>
      </c>
      <c r="G479" s="6">
        <f t="shared" ca="1" si="5"/>
        <v>69</v>
      </c>
      <c r="H479" s="6" t="b">
        <f ca="1">(COUNTIFS(Deputados!A479:A1000, A479, Deputados!D479:D1000, "&lt;&gt;57")) = 0</f>
        <v>0</v>
      </c>
    </row>
    <row r="480" spans="1:8" ht="17.399999999999999">
      <c r="A480" s="10">
        <f ca="1">IFERROR(__xludf.DUMMYFUNCTION("""COMPUTED_VALUE"""),479)</f>
        <v>479</v>
      </c>
      <c r="B480" s="10" t="str">
        <f ca="1">IFERROR(__xludf.DUMMYFUNCTION("""COMPUTED_VALUE"""),"Paulo Freire Costa")</f>
        <v>Paulo Freire Costa</v>
      </c>
      <c r="C480" s="10" t="str">
        <f ca="1">IFERROR(__xludf.DUMMYFUNCTION("""COMPUTED_VALUE"""),"SP")</f>
        <v>SP</v>
      </c>
      <c r="D480" s="6" t="str">
        <f t="shared" ca="1" si="4"/>
        <v>Masculino</v>
      </c>
      <c r="E480" s="10" t="str">
        <f ca="1">IFERROR(__xludf.DUMMYFUNCTION("""COMPUTED_VALUE"""),"M")</f>
        <v>M</v>
      </c>
      <c r="F480" s="11">
        <f ca="1">IFERROR(__xludf.DUMMYFUNCTION("""COMPUTED_VALUE"""),20134)</f>
        <v>20134</v>
      </c>
      <c r="G480" s="6">
        <f t="shared" ca="1" si="5"/>
        <v>70</v>
      </c>
      <c r="H480" s="6" t="b">
        <f ca="1">(COUNTIFS(Deputados!A480:A1000, A480, Deputados!D480:D1000, "&lt;&gt;57")) = 0</f>
        <v>0</v>
      </c>
    </row>
    <row r="481" spans="1:8" ht="17.399999999999999">
      <c r="A481" s="10">
        <f ca="1">IFERROR(__xludf.DUMMYFUNCTION("""COMPUTED_VALUE"""),480)</f>
        <v>480</v>
      </c>
      <c r="B481" s="10" t="str">
        <f ca="1">IFERROR(__xludf.DUMMYFUNCTION("""COMPUTED_VALUE"""),"Paulo Guedes")</f>
        <v>Paulo Guedes</v>
      </c>
      <c r="C481" s="10" t="str">
        <f ca="1">IFERROR(__xludf.DUMMYFUNCTION("""COMPUTED_VALUE"""),"MG")</f>
        <v>MG</v>
      </c>
      <c r="D481" s="6" t="str">
        <f t="shared" ca="1" si="4"/>
        <v>Masculino</v>
      </c>
      <c r="E481" s="10" t="str">
        <f ca="1">IFERROR(__xludf.DUMMYFUNCTION("""COMPUTED_VALUE"""),"M")</f>
        <v>M</v>
      </c>
      <c r="F481" s="11">
        <f ca="1">IFERROR(__xludf.DUMMYFUNCTION("""COMPUTED_VALUE"""),25842)</f>
        <v>25842</v>
      </c>
      <c r="G481" s="6">
        <f t="shared" ca="1" si="5"/>
        <v>54</v>
      </c>
      <c r="H481" s="6" t="b">
        <f ca="1">(COUNTIFS(Deputados!A481:A1000, A481, Deputados!D481:D1000, "&lt;&gt;57")) = 0</f>
        <v>0</v>
      </c>
    </row>
    <row r="482" spans="1:8" ht="17.399999999999999">
      <c r="A482" s="10">
        <f ca="1">IFERROR(__xludf.DUMMYFUNCTION("""COMPUTED_VALUE"""),481)</f>
        <v>481</v>
      </c>
      <c r="B482" s="10" t="str">
        <f ca="1">IFERROR(__xludf.DUMMYFUNCTION("""COMPUTED_VALUE"""),"Paulo Lemos")</f>
        <v>Paulo Lemos</v>
      </c>
      <c r="C482" s="10" t="str">
        <f ca="1">IFERROR(__xludf.DUMMYFUNCTION("""COMPUTED_VALUE"""),"PA")</f>
        <v>PA</v>
      </c>
      <c r="D482" s="6" t="str">
        <f t="shared" ca="1" si="4"/>
        <v>Masculino</v>
      </c>
      <c r="E482" s="10" t="str">
        <f ca="1">IFERROR(__xludf.DUMMYFUNCTION("""COMPUTED_VALUE"""),"M")</f>
        <v>M</v>
      </c>
      <c r="F482" s="11">
        <f ca="1">IFERROR(__xludf.DUMMYFUNCTION("""COMPUTED_VALUE"""),26306)</f>
        <v>26306</v>
      </c>
      <c r="G482" s="6">
        <f t="shared" ca="1" si="5"/>
        <v>53</v>
      </c>
      <c r="H482" s="6" t="b">
        <f ca="1">(COUNTIFS(Deputados!A482:A1000, A482, Deputados!D482:D1000, "&lt;&gt;57")) = 0</f>
        <v>1</v>
      </c>
    </row>
    <row r="483" spans="1:8" ht="17.399999999999999">
      <c r="A483" s="10">
        <f ca="1">IFERROR(__xludf.DUMMYFUNCTION("""COMPUTED_VALUE"""),482)</f>
        <v>482</v>
      </c>
      <c r="B483" s="10" t="str">
        <f ca="1">IFERROR(__xludf.DUMMYFUNCTION("""COMPUTED_VALUE"""),"Paulo Litro")</f>
        <v>Paulo Litro</v>
      </c>
      <c r="C483" s="10" t="str">
        <f ca="1">IFERROR(__xludf.DUMMYFUNCTION("""COMPUTED_VALUE"""),"PR")</f>
        <v>PR</v>
      </c>
      <c r="D483" s="6" t="str">
        <f t="shared" ca="1" si="4"/>
        <v>Masculino</v>
      </c>
      <c r="E483" s="10" t="str">
        <f ca="1">IFERROR(__xludf.DUMMYFUNCTION("""COMPUTED_VALUE"""),"M")</f>
        <v>M</v>
      </c>
      <c r="F483" s="11">
        <f ca="1">IFERROR(__xludf.DUMMYFUNCTION("""COMPUTED_VALUE"""),33541)</f>
        <v>33541</v>
      </c>
      <c r="G483" s="6">
        <f t="shared" ca="1" si="5"/>
        <v>33</v>
      </c>
      <c r="H483" s="6" t="b">
        <f ca="1">(COUNTIFS(Deputados!A483:A1000, A483, Deputados!D483:D1000, "&lt;&gt;57")) = 0</f>
        <v>1</v>
      </c>
    </row>
    <row r="484" spans="1:8" ht="17.399999999999999">
      <c r="A484" s="10">
        <f ca="1">IFERROR(__xludf.DUMMYFUNCTION("""COMPUTED_VALUE"""),483)</f>
        <v>483</v>
      </c>
      <c r="B484" s="10" t="str">
        <f ca="1">IFERROR(__xludf.DUMMYFUNCTION("""COMPUTED_VALUE"""),"Paulo Magalhães")</f>
        <v>Paulo Magalhães</v>
      </c>
      <c r="C484" s="10" t="str">
        <f ca="1">IFERROR(__xludf.DUMMYFUNCTION("""COMPUTED_VALUE"""),"BA")</f>
        <v>BA</v>
      </c>
      <c r="D484" s="6" t="str">
        <f t="shared" ca="1" si="4"/>
        <v>Masculino</v>
      </c>
      <c r="E484" s="10" t="str">
        <f ca="1">IFERROR(__xludf.DUMMYFUNCTION("""COMPUTED_VALUE"""),"M")</f>
        <v>M</v>
      </c>
      <c r="F484" s="11">
        <f ca="1">IFERROR(__xludf.DUMMYFUNCTION("""COMPUTED_VALUE"""),19326)</f>
        <v>19326</v>
      </c>
      <c r="G484" s="6">
        <f t="shared" ca="1" si="5"/>
        <v>72</v>
      </c>
      <c r="H484" s="6" t="b">
        <f ca="1">(COUNTIFS(Deputados!A484:A1000, A484, Deputados!D484:D1000, "&lt;&gt;57")) = 0</f>
        <v>0</v>
      </c>
    </row>
    <row r="485" spans="1:8" ht="17.399999999999999">
      <c r="A485" s="10">
        <f ca="1">IFERROR(__xludf.DUMMYFUNCTION("""COMPUTED_VALUE"""),484)</f>
        <v>484</v>
      </c>
      <c r="B485" s="10" t="str">
        <f ca="1">IFERROR(__xludf.DUMMYFUNCTION("""COMPUTED_VALUE"""),"Paulo Marinho Jr")</f>
        <v>Paulo Marinho Jr</v>
      </c>
      <c r="C485" s="10" t="str">
        <f ca="1">IFERROR(__xludf.DUMMYFUNCTION("""COMPUTED_VALUE"""),"MA")</f>
        <v>MA</v>
      </c>
      <c r="D485" s="6" t="str">
        <f t="shared" ca="1" si="4"/>
        <v>Masculino</v>
      </c>
      <c r="E485" s="10" t="str">
        <f ca="1">IFERROR(__xludf.DUMMYFUNCTION("""COMPUTED_VALUE"""),"M")</f>
        <v>M</v>
      </c>
      <c r="F485" s="11">
        <f ca="1">IFERROR(__xludf.DUMMYFUNCTION("""COMPUTED_VALUE"""),31087)</f>
        <v>31087</v>
      </c>
      <c r="G485" s="6">
        <f t="shared" ca="1" si="5"/>
        <v>40</v>
      </c>
      <c r="H485" s="6" t="b">
        <f ca="1">(COUNTIFS(Deputados!A485:A1000, A485, Deputados!D485:D1000, "&lt;&gt;57")) = 0</f>
        <v>0</v>
      </c>
    </row>
    <row r="486" spans="1:8" ht="17.399999999999999">
      <c r="A486" s="10">
        <f ca="1">IFERROR(__xludf.DUMMYFUNCTION("""COMPUTED_VALUE"""),485)</f>
        <v>485</v>
      </c>
      <c r="B486" s="10" t="str">
        <f ca="1">IFERROR(__xludf.DUMMYFUNCTION("""COMPUTED_VALUE"""),"Paulo Pimenta")</f>
        <v>Paulo Pimenta</v>
      </c>
      <c r="C486" s="10" t="str">
        <f ca="1">IFERROR(__xludf.DUMMYFUNCTION("""COMPUTED_VALUE"""),"RS")</f>
        <v>RS</v>
      </c>
      <c r="D486" s="6" t="str">
        <f t="shared" ca="1" si="4"/>
        <v>Masculino</v>
      </c>
      <c r="E486" s="10" t="str">
        <f ca="1">IFERROR(__xludf.DUMMYFUNCTION("""COMPUTED_VALUE"""),"M")</f>
        <v>M</v>
      </c>
      <c r="F486" s="11">
        <f ca="1">IFERROR(__xludf.DUMMYFUNCTION("""COMPUTED_VALUE"""),23820)</f>
        <v>23820</v>
      </c>
      <c r="G486" s="6">
        <f t="shared" ca="1" si="5"/>
        <v>60</v>
      </c>
      <c r="H486" s="6" t="b">
        <f ca="1">(COUNTIFS(Deputados!A486:A1000, A486, Deputados!D486:D1000, "&lt;&gt;57")) = 0</f>
        <v>0</v>
      </c>
    </row>
    <row r="487" spans="1:8" ht="17.399999999999999">
      <c r="A487" s="10">
        <f ca="1">IFERROR(__xludf.DUMMYFUNCTION("""COMPUTED_VALUE"""),486)</f>
        <v>486</v>
      </c>
      <c r="B487" s="10" t="str">
        <f ca="1">IFERROR(__xludf.DUMMYFUNCTION("""COMPUTED_VALUE"""),"Paulo Teixeira")</f>
        <v>Paulo Teixeira</v>
      </c>
      <c r="C487" s="10" t="str">
        <f ca="1">IFERROR(__xludf.DUMMYFUNCTION("""COMPUTED_VALUE"""),"SP")</f>
        <v>SP</v>
      </c>
      <c r="D487" s="6" t="str">
        <f t="shared" ca="1" si="4"/>
        <v>Masculino</v>
      </c>
      <c r="E487" s="10" t="str">
        <f ca="1">IFERROR(__xludf.DUMMYFUNCTION("""COMPUTED_VALUE"""),"M")</f>
        <v>M</v>
      </c>
      <c r="F487" s="11">
        <f ca="1">IFERROR(__xludf.DUMMYFUNCTION("""COMPUTED_VALUE"""),22410)</f>
        <v>22410</v>
      </c>
      <c r="G487" s="6">
        <f t="shared" ca="1" si="5"/>
        <v>64</v>
      </c>
      <c r="H487" s="6" t="b">
        <f ca="1">(COUNTIFS(Deputados!A487:A1000, A487, Deputados!D487:D1000, "&lt;&gt;57")) = 0</f>
        <v>0</v>
      </c>
    </row>
    <row r="488" spans="1:8" ht="17.399999999999999">
      <c r="A488" s="10">
        <f ca="1">IFERROR(__xludf.DUMMYFUNCTION("""COMPUTED_VALUE"""),487)</f>
        <v>487</v>
      </c>
      <c r="B488" s="10" t="str">
        <f ca="1">IFERROR(__xludf.DUMMYFUNCTION("""COMPUTED_VALUE"""),"Pedro Aihara")</f>
        <v>Pedro Aihara</v>
      </c>
      <c r="C488" s="10" t="str">
        <f ca="1">IFERROR(__xludf.DUMMYFUNCTION("""COMPUTED_VALUE"""),"MG")</f>
        <v>MG</v>
      </c>
      <c r="D488" s="6" t="str">
        <f t="shared" ca="1" si="4"/>
        <v>Masculino</v>
      </c>
      <c r="E488" s="10" t="str">
        <f ca="1">IFERROR(__xludf.DUMMYFUNCTION("""COMPUTED_VALUE"""),"M")</f>
        <v>M</v>
      </c>
      <c r="F488" s="11">
        <f ca="1">IFERROR(__xludf.DUMMYFUNCTION("""COMPUTED_VALUE"""),34016)</f>
        <v>34016</v>
      </c>
      <c r="G488" s="6">
        <f t="shared" ca="1" si="5"/>
        <v>32</v>
      </c>
      <c r="H488" s="6" t="b">
        <f ca="1">(COUNTIFS(Deputados!A488:A1000, A488, Deputados!D488:D1000, "&lt;&gt;57")) = 0</f>
        <v>1</v>
      </c>
    </row>
    <row r="489" spans="1:8" ht="17.399999999999999">
      <c r="A489" s="10">
        <f ca="1">IFERROR(__xludf.DUMMYFUNCTION("""COMPUTED_VALUE"""),488)</f>
        <v>488</v>
      </c>
      <c r="B489" s="10" t="str">
        <f ca="1">IFERROR(__xludf.DUMMYFUNCTION("""COMPUTED_VALUE"""),"Pedro Campos")</f>
        <v>Pedro Campos</v>
      </c>
      <c r="C489" s="10" t="str">
        <f ca="1">IFERROR(__xludf.DUMMYFUNCTION("""COMPUTED_VALUE"""),"PE")</f>
        <v>PE</v>
      </c>
      <c r="D489" s="6" t="str">
        <f t="shared" ca="1" si="4"/>
        <v>Masculino</v>
      </c>
      <c r="E489" s="10" t="str">
        <f ca="1">IFERROR(__xludf.DUMMYFUNCTION("""COMPUTED_VALUE"""),"M")</f>
        <v>M</v>
      </c>
      <c r="F489" s="11">
        <f ca="1">IFERROR(__xludf.DUMMYFUNCTION("""COMPUTED_VALUE"""),35000)</f>
        <v>35000</v>
      </c>
      <c r="G489" s="6">
        <f t="shared" ca="1" si="5"/>
        <v>29</v>
      </c>
      <c r="H489" s="6" t="b">
        <f ca="1">(COUNTIFS(Deputados!A489:A1000, A489, Deputados!D489:D1000, "&lt;&gt;57")) = 0</f>
        <v>1</v>
      </c>
    </row>
    <row r="490" spans="1:8" ht="17.399999999999999">
      <c r="A490" s="10">
        <f ca="1">IFERROR(__xludf.DUMMYFUNCTION("""COMPUTED_VALUE"""),489)</f>
        <v>489</v>
      </c>
      <c r="B490" s="10" t="str">
        <f ca="1">IFERROR(__xludf.DUMMYFUNCTION("""COMPUTED_VALUE"""),"Pedro Jr")</f>
        <v>Pedro Jr</v>
      </c>
      <c r="C490" s="10" t="str">
        <f ca="1">IFERROR(__xludf.DUMMYFUNCTION("""COMPUTED_VALUE"""),"MA")</f>
        <v>MA</v>
      </c>
      <c r="D490" s="6" t="str">
        <f t="shared" ca="1" si="4"/>
        <v>Masculino</v>
      </c>
      <c r="E490" s="10" t="str">
        <f ca="1">IFERROR(__xludf.DUMMYFUNCTION("""COMPUTED_VALUE"""),"M")</f>
        <v>M</v>
      </c>
      <c r="F490" s="11">
        <f ca="1">IFERROR(__xludf.DUMMYFUNCTION("""COMPUTED_VALUE"""),25656)</f>
        <v>25656</v>
      </c>
      <c r="G490" s="6">
        <f t="shared" ca="1" si="5"/>
        <v>55</v>
      </c>
      <c r="H490" s="6" t="b">
        <f ca="1">(COUNTIFS(Deputados!A490:A1000, A490, Deputados!D490:D1000, "&lt;&gt;57")) = 0</f>
        <v>1</v>
      </c>
    </row>
    <row r="491" spans="1:8" ht="17.399999999999999">
      <c r="A491" s="10">
        <f ca="1">IFERROR(__xludf.DUMMYFUNCTION("""COMPUTED_VALUE"""),490)</f>
        <v>490</v>
      </c>
      <c r="B491" s="10" t="str">
        <f ca="1">IFERROR(__xludf.DUMMYFUNCTION("""COMPUTED_VALUE"""),"Pedro Lucas Fernandes")</f>
        <v>Pedro Lucas Fernandes</v>
      </c>
      <c r="C491" s="10" t="str">
        <f ca="1">IFERROR(__xludf.DUMMYFUNCTION("""COMPUTED_VALUE"""),"MA")</f>
        <v>MA</v>
      </c>
      <c r="D491" s="6" t="str">
        <f t="shared" ca="1" si="4"/>
        <v>Masculino</v>
      </c>
      <c r="E491" s="10" t="str">
        <f ca="1">IFERROR(__xludf.DUMMYFUNCTION("""COMPUTED_VALUE"""),"M")</f>
        <v>M</v>
      </c>
      <c r="F491" s="11">
        <f ca="1">IFERROR(__xludf.DUMMYFUNCTION("""COMPUTED_VALUE"""),29160)</f>
        <v>29160</v>
      </c>
      <c r="G491" s="6">
        <f t="shared" ca="1" si="5"/>
        <v>45</v>
      </c>
      <c r="H491" s="6" t="b">
        <f ca="1">(COUNTIFS(Deputados!A491:A1000, A491, Deputados!D491:D1000, "&lt;&gt;57")) = 0</f>
        <v>0</v>
      </c>
    </row>
    <row r="492" spans="1:8" ht="17.399999999999999">
      <c r="A492" s="10">
        <f ca="1">IFERROR(__xludf.DUMMYFUNCTION("""COMPUTED_VALUE"""),491)</f>
        <v>491</v>
      </c>
      <c r="B492" s="10" t="str">
        <f ca="1">IFERROR(__xludf.DUMMYFUNCTION("""COMPUTED_VALUE"""),"Pedro Lupion")</f>
        <v>Pedro Lupion</v>
      </c>
      <c r="C492" s="10" t="str">
        <f ca="1">IFERROR(__xludf.DUMMYFUNCTION("""COMPUTED_VALUE"""),"PR")</f>
        <v>PR</v>
      </c>
      <c r="D492" s="6" t="str">
        <f t="shared" ca="1" si="4"/>
        <v>Masculino</v>
      </c>
      <c r="E492" s="10" t="str">
        <f ca="1">IFERROR(__xludf.DUMMYFUNCTION("""COMPUTED_VALUE"""),"M")</f>
        <v>M</v>
      </c>
      <c r="F492" s="11">
        <f ca="1">IFERROR(__xludf.DUMMYFUNCTION("""COMPUTED_VALUE"""),30471)</f>
        <v>30471</v>
      </c>
      <c r="G492" s="6">
        <f t="shared" ca="1" si="5"/>
        <v>42</v>
      </c>
      <c r="H492" s="6" t="b">
        <f ca="1">(COUNTIFS(Deputados!A492:A1000, A492, Deputados!D492:D1000, "&lt;&gt;57")) = 0</f>
        <v>0</v>
      </c>
    </row>
    <row r="493" spans="1:8" ht="17.399999999999999">
      <c r="A493" s="10">
        <f ca="1">IFERROR(__xludf.DUMMYFUNCTION("""COMPUTED_VALUE"""),492)</f>
        <v>492</v>
      </c>
      <c r="B493" s="10" t="str">
        <f ca="1">IFERROR(__xludf.DUMMYFUNCTION("""COMPUTED_VALUE"""),"Pedro Paulo")</f>
        <v>Pedro Paulo</v>
      </c>
      <c r="C493" s="10" t="str">
        <f ca="1">IFERROR(__xludf.DUMMYFUNCTION("""COMPUTED_VALUE"""),"RJ")</f>
        <v>RJ</v>
      </c>
      <c r="D493" s="6" t="str">
        <f t="shared" ca="1" si="4"/>
        <v>Masculino</v>
      </c>
      <c r="E493" s="10" t="str">
        <f ca="1">IFERROR(__xludf.DUMMYFUNCTION("""COMPUTED_VALUE"""),"M")</f>
        <v>M</v>
      </c>
      <c r="F493" s="11">
        <f ca="1">IFERROR(__xludf.DUMMYFUNCTION("""COMPUTED_VALUE"""),26479)</f>
        <v>26479</v>
      </c>
      <c r="G493" s="6">
        <f t="shared" ca="1" si="5"/>
        <v>53</v>
      </c>
      <c r="H493" s="6" t="b">
        <f ca="1">(COUNTIFS(Deputados!A493:A1000, A493, Deputados!D493:D1000, "&lt;&gt;57")) = 0</f>
        <v>0</v>
      </c>
    </row>
    <row r="494" spans="1:8" ht="17.399999999999999">
      <c r="A494" s="10">
        <f ca="1">IFERROR(__xludf.DUMMYFUNCTION("""COMPUTED_VALUE"""),493)</f>
        <v>493</v>
      </c>
      <c r="B494" s="10" t="str">
        <f ca="1">IFERROR(__xludf.DUMMYFUNCTION("""COMPUTED_VALUE"""),"Pedro Tourinho")</f>
        <v>Pedro Tourinho</v>
      </c>
      <c r="C494" s="10" t="str">
        <f ca="1">IFERROR(__xludf.DUMMYFUNCTION("""COMPUTED_VALUE"""),"MG")</f>
        <v>MG</v>
      </c>
      <c r="D494" s="6" t="str">
        <f t="shared" ca="1" si="4"/>
        <v>Masculino</v>
      </c>
      <c r="E494" s="10" t="str">
        <f ca="1">IFERROR(__xludf.DUMMYFUNCTION("""COMPUTED_VALUE"""),"M")</f>
        <v>M</v>
      </c>
      <c r="F494" s="11">
        <f ca="1">IFERROR(__xludf.DUMMYFUNCTION("""COMPUTED_VALUE"""),29939)</f>
        <v>29939</v>
      </c>
      <c r="G494" s="6">
        <f t="shared" ca="1" si="5"/>
        <v>43</v>
      </c>
      <c r="H494" s="6" t="b">
        <f ca="1">(COUNTIFS(Deputados!A494:A1000, A494, Deputados!D494:D1000, "&lt;&gt;57")) = 0</f>
        <v>1</v>
      </c>
    </row>
    <row r="495" spans="1:8" ht="17.399999999999999">
      <c r="A495" s="10">
        <f ca="1">IFERROR(__xludf.DUMMYFUNCTION("""COMPUTED_VALUE"""),494)</f>
        <v>494</v>
      </c>
      <c r="B495" s="10" t="str">
        <f ca="1">IFERROR(__xludf.DUMMYFUNCTION("""COMPUTED_VALUE"""),"Pedro Uczai")</f>
        <v>Pedro Uczai</v>
      </c>
      <c r="C495" s="10" t="str">
        <f ca="1">IFERROR(__xludf.DUMMYFUNCTION("""COMPUTED_VALUE"""),"SC")</f>
        <v>SC</v>
      </c>
      <c r="D495" s="6" t="str">
        <f t="shared" ca="1" si="4"/>
        <v>Masculino</v>
      </c>
      <c r="E495" s="10" t="str">
        <f ca="1">IFERROR(__xludf.DUMMYFUNCTION("""COMPUTED_VALUE"""),"M")</f>
        <v>M</v>
      </c>
      <c r="F495" s="11">
        <f ca="1">IFERROR(__xludf.DUMMYFUNCTION("""COMPUTED_VALUE"""),23080)</f>
        <v>23080</v>
      </c>
      <c r="G495" s="6">
        <f t="shared" ca="1" si="5"/>
        <v>62</v>
      </c>
      <c r="H495" s="6" t="b">
        <f ca="1">(COUNTIFS(Deputados!A495:A1000, A495, Deputados!D495:D1000, "&lt;&gt;57")) = 0</f>
        <v>0</v>
      </c>
    </row>
    <row r="496" spans="1:8" ht="17.399999999999999">
      <c r="A496" s="10">
        <f ca="1">IFERROR(__xludf.DUMMYFUNCTION("""COMPUTED_VALUE"""),495)</f>
        <v>495</v>
      </c>
      <c r="B496" s="10" t="str">
        <f ca="1">IFERROR(__xludf.DUMMYFUNCTION("""COMPUTED_VALUE"""),"Pedro Westphalen")</f>
        <v>Pedro Westphalen</v>
      </c>
      <c r="C496" s="10" t="str">
        <f ca="1">IFERROR(__xludf.DUMMYFUNCTION("""COMPUTED_VALUE"""),"RS")</f>
        <v>RS</v>
      </c>
      <c r="D496" s="6" t="str">
        <f t="shared" ca="1" si="4"/>
        <v>Masculino</v>
      </c>
      <c r="E496" s="10" t="str">
        <f ca="1">IFERROR(__xludf.DUMMYFUNCTION("""COMPUTED_VALUE"""),"M")</f>
        <v>M</v>
      </c>
      <c r="F496" s="11">
        <f ca="1">IFERROR(__xludf.DUMMYFUNCTION("""COMPUTED_VALUE"""),18616)</f>
        <v>18616</v>
      </c>
      <c r="G496" s="6">
        <f t="shared" ca="1" si="5"/>
        <v>74</v>
      </c>
      <c r="H496" s="6" t="b">
        <f ca="1">(COUNTIFS(Deputados!A496:A1000, A496, Deputados!D496:D1000, "&lt;&gt;57")) = 0</f>
        <v>0</v>
      </c>
    </row>
    <row r="497" spans="1:8" ht="17.399999999999999">
      <c r="A497" s="10">
        <f ca="1">IFERROR(__xludf.DUMMYFUNCTION("""COMPUTED_VALUE"""),496)</f>
        <v>496</v>
      </c>
      <c r="B497" s="10" t="str">
        <f ca="1">IFERROR(__xludf.DUMMYFUNCTION("""COMPUTED_VALUE"""),"Pezenti")</f>
        <v>Pezenti</v>
      </c>
      <c r="C497" s="10" t="str">
        <f ca="1">IFERROR(__xludf.DUMMYFUNCTION("""COMPUTED_VALUE"""),"SC")</f>
        <v>SC</v>
      </c>
      <c r="D497" s="6" t="str">
        <f t="shared" ca="1" si="4"/>
        <v>Masculino</v>
      </c>
      <c r="E497" s="10" t="str">
        <f ca="1">IFERROR(__xludf.DUMMYFUNCTION("""COMPUTED_VALUE"""),"M")</f>
        <v>M</v>
      </c>
      <c r="F497" s="11">
        <f ca="1">IFERROR(__xludf.DUMMYFUNCTION("""COMPUTED_VALUE"""),31934)</f>
        <v>31934</v>
      </c>
      <c r="G497" s="6">
        <f t="shared" ca="1" si="5"/>
        <v>38</v>
      </c>
      <c r="H497" s="6" t="b">
        <f ca="1">(COUNTIFS(Deputados!A497:A1000, A497, Deputados!D497:D1000, "&lt;&gt;57")) = 0</f>
        <v>1</v>
      </c>
    </row>
    <row r="498" spans="1:8" ht="17.399999999999999">
      <c r="A498" s="10">
        <f ca="1">IFERROR(__xludf.DUMMYFUNCTION("""COMPUTED_VALUE"""),497)</f>
        <v>497</v>
      </c>
      <c r="B498" s="10" t="str">
        <f ca="1">IFERROR(__xludf.DUMMYFUNCTION("""COMPUTED_VALUE"""),"Pinheirinho")</f>
        <v>Pinheirinho</v>
      </c>
      <c r="C498" s="10" t="str">
        <f ca="1">IFERROR(__xludf.DUMMYFUNCTION("""COMPUTED_VALUE"""),"MG")</f>
        <v>MG</v>
      </c>
      <c r="D498" s="6" t="str">
        <f t="shared" ca="1" si="4"/>
        <v>Masculino</v>
      </c>
      <c r="E498" s="10" t="str">
        <f ca="1">IFERROR(__xludf.DUMMYFUNCTION("""COMPUTED_VALUE"""),"M")</f>
        <v>M</v>
      </c>
      <c r="F498" s="11">
        <f ca="1">IFERROR(__xludf.DUMMYFUNCTION("""COMPUTED_VALUE"""),33388)</f>
        <v>33388</v>
      </c>
      <c r="G498" s="6">
        <f t="shared" ca="1" si="5"/>
        <v>34</v>
      </c>
      <c r="H498" s="6" t="b">
        <f ca="1">(COUNTIFS(Deputados!A498:A1000, A498, Deputados!D498:D1000, "&lt;&gt;57")) = 0</f>
        <v>0</v>
      </c>
    </row>
    <row r="499" spans="1:8" ht="17.399999999999999">
      <c r="A499" s="10">
        <f ca="1">IFERROR(__xludf.DUMMYFUNCTION("""COMPUTED_VALUE"""),498)</f>
        <v>498</v>
      </c>
      <c r="B499" s="10" t="str">
        <f ca="1">IFERROR(__xludf.DUMMYFUNCTION("""COMPUTED_VALUE"""),"Pompeo de Mattos")</f>
        <v>Pompeo de Mattos</v>
      </c>
      <c r="C499" s="10" t="str">
        <f ca="1">IFERROR(__xludf.DUMMYFUNCTION("""COMPUTED_VALUE"""),"RS")</f>
        <v>RS</v>
      </c>
      <c r="D499" s="6" t="str">
        <f t="shared" ca="1" si="4"/>
        <v>Masculino</v>
      </c>
      <c r="E499" s="10" t="str">
        <f ca="1">IFERROR(__xludf.DUMMYFUNCTION("""COMPUTED_VALUE"""),"M")</f>
        <v>M</v>
      </c>
      <c r="F499" s="11">
        <f ca="1">IFERROR(__xludf.DUMMYFUNCTION("""COMPUTED_VALUE"""),21378)</f>
        <v>21378</v>
      </c>
      <c r="G499" s="6">
        <f t="shared" ca="1" si="5"/>
        <v>67</v>
      </c>
      <c r="H499" s="6" t="b">
        <f ca="1">(COUNTIFS(Deputados!A499:A1000, A499, Deputados!D499:D1000, "&lt;&gt;57")) = 0</f>
        <v>0</v>
      </c>
    </row>
    <row r="500" spans="1:8" ht="17.399999999999999">
      <c r="A500" s="10">
        <f ca="1">IFERROR(__xludf.DUMMYFUNCTION("""COMPUTED_VALUE"""),499)</f>
        <v>499</v>
      </c>
      <c r="B500" s="10" t="str">
        <f ca="1">IFERROR(__xludf.DUMMYFUNCTION("""COMPUTED_VALUE"""),"Pr. Marco Feliciano")</f>
        <v>Pr. Marco Feliciano</v>
      </c>
      <c r="C500" s="10" t="str">
        <f ca="1">IFERROR(__xludf.DUMMYFUNCTION("""COMPUTED_VALUE"""),"SP")</f>
        <v>SP</v>
      </c>
      <c r="D500" s="6" t="str">
        <f t="shared" ca="1" si="4"/>
        <v>Masculino</v>
      </c>
      <c r="E500" s="10" t="str">
        <f ca="1">IFERROR(__xludf.DUMMYFUNCTION("""COMPUTED_VALUE"""),"M")</f>
        <v>M</v>
      </c>
      <c r="F500" s="11">
        <f ca="1">IFERROR(__xludf.DUMMYFUNCTION("""COMPUTED_VALUE"""),26584)</f>
        <v>26584</v>
      </c>
      <c r="G500" s="6">
        <f t="shared" ca="1" si="5"/>
        <v>52</v>
      </c>
      <c r="H500" s="6" t="b">
        <f ca="1">(COUNTIFS(Deputados!A500:A1000, A500, Deputados!D500:D1000, "&lt;&gt;57")) = 0</f>
        <v>0</v>
      </c>
    </row>
    <row r="501" spans="1:8" ht="17.399999999999999">
      <c r="A501" s="10">
        <f ca="1">IFERROR(__xludf.DUMMYFUNCTION("""COMPUTED_VALUE"""),500)</f>
        <v>500</v>
      </c>
      <c r="B501" s="10" t="str">
        <f ca="1">IFERROR(__xludf.DUMMYFUNCTION("""COMPUTED_VALUE"""),"Priscila Costa")</f>
        <v>Priscila Costa</v>
      </c>
      <c r="C501" s="10" t="str">
        <f ca="1">IFERROR(__xludf.DUMMYFUNCTION("""COMPUTED_VALUE"""),"CE")</f>
        <v>CE</v>
      </c>
      <c r="D501" s="6" t="str">
        <f t="shared" ca="1" si="4"/>
        <v>Feminino</v>
      </c>
      <c r="E501" s="10" t="str">
        <f ca="1">IFERROR(__xludf.DUMMYFUNCTION("""COMPUTED_VALUE"""),"F")</f>
        <v>F</v>
      </c>
      <c r="F501" s="11">
        <f ca="1">IFERROR(__xludf.DUMMYFUNCTION("""COMPUTED_VALUE"""),30937)</f>
        <v>30937</v>
      </c>
      <c r="G501" s="6">
        <f t="shared" ca="1" si="5"/>
        <v>40</v>
      </c>
      <c r="H501" s="6" t="b">
        <f ca="1">(COUNTIFS(Deputados!A501:A1000, A501, Deputados!D501:D1000, "&lt;&gt;57")) = 0</f>
        <v>1</v>
      </c>
    </row>
    <row r="502" spans="1:8" ht="17.399999999999999">
      <c r="A502" s="10">
        <f ca="1">IFERROR(__xludf.DUMMYFUNCTION("""COMPUTED_VALUE"""),501)</f>
        <v>501</v>
      </c>
      <c r="B502" s="10" t="str">
        <f ca="1">IFERROR(__xludf.DUMMYFUNCTION("""COMPUTED_VALUE"""),"Prof. Paulo Fernando")</f>
        <v>Prof. Paulo Fernando</v>
      </c>
      <c r="C502" s="10" t="str">
        <f ca="1">IFERROR(__xludf.DUMMYFUNCTION("""COMPUTED_VALUE"""),"DF")</f>
        <v>DF</v>
      </c>
      <c r="D502" s="6" t="str">
        <f t="shared" ca="1" si="4"/>
        <v>Masculino</v>
      </c>
      <c r="E502" s="10" t="str">
        <f ca="1">IFERROR(__xludf.DUMMYFUNCTION("""COMPUTED_VALUE"""),"M")</f>
        <v>M</v>
      </c>
      <c r="F502" s="11">
        <f ca="1">IFERROR(__xludf.DUMMYFUNCTION("""COMPUTED_VALUE"""),24634)</f>
        <v>24634</v>
      </c>
      <c r="G502" s="6">
        <f t="shared" ca="1" si="5"/>
        <v>58</v>
      </c>
      <c r="H502" s="6" t="b">
        <f ca="1">(COUNTIFS(Deputados!A502:A1000, A502, Deputados!D502:D1000, "&lt;&gt;57")) = 0</f>
        <v>1</v>
      </c>
    </row>
    <row r="503" spans="1:8" ht="17.399999999999999">
      <c r="A503" s="10">
        <f ca="1">IFERROR(__xludf.DUMMYFUNCTION("""COMPUTED_VALUE"""),502)</f>
        <v>502</v>
      </c>
      <c r="B503" s="10" t="str">
        <f ca="1">IFERROR(__xludf.DUMMYFUNCTION("""COMPUTED_VALUE"""),"Prof. Reginaldo Veras")</f>
        <v>Prof. Reginaldo Veras</v>
      </c>
      <c r="C503" s="10" t="str">
        <f ca="1">IFERROR(__xludf.DUMMYFUNCTION("""COMPUTED_VALUE"""),"CE")</f>
        <v>CE</v>
      </c>
      <c r="D503" s="6" t="str">
        <f t="shared" ca="1" si="4"/>
        <v>Masculino</v>
      </c>
      <c r="E503" s="10" t="str">
        <f ca="1">IFERROR(__xludf.DUMMYFUNCTION("""COMPUTED_VALUE"""),"M")</f>
        <v>M</v>
      </c>
      <c r="F503" s="11">
        <f ca="1">IFERROR(__xludf.DUMMYFUNCTION("""COMPUTED_VALUE"""),26666)</f>
        <v>26666</v>
      </c>
      <c r="G503" s="6">
        <f t="shared" ca="1" si="5"/>
        <v>52</v>
      </c>
      <c r="H503" s="6" t="b">
        <f ca="1">(COUNTIFS(Deputados!A503:A1000, A503, Deputados!D503:D1000, "&lt;&gt;57")) = 0</f>
        <v>1</v>
      </c>
    </row>
    <row r="504" spans="1:8" ht="17.399999999999999">
      <c r="A504" s="10">
        <f ca="1">IFERROR(__xludf.DUMMYFUNCTION("""COMPUTED_VALUE"""),503)</f>
        <v>503</v>
      </c>
      <c r="B504" s="10" t="str">
        <f ca="1">IFERROR(__xludf.DUMMYFUNCTION("""COMPUTED_VALUE"""),"Professor Alcides")</f>
        <v>Professor Alcides</v>
      </c>
      <c r="C504" s="10" t="str">
        <f ca="1">IFERROR(__xludf.DUMMYFUNCTION("""COMPUTED_VALUE"""),"BA")</f>
        <v>BA</v>
      </c>
      <c r="D504" s="6" t="str">
        <f t="shared" ca="1" si="4"/>
        <v>Masculino</v>
      </c>
      <c r="E504" s="10" t="str">
        <f ca="1">IFERROR(__xludf.DUMMYFUNCTION("""COMPUTED_VALUE"""),"M")</f>
        <v>M</v>
      </c>
      <c r="F504" s="11">
        <f ca="1">IFERROR(__xludf.DUMMYFUNCTION("""COMPUTED_VALUE"""),19657)</f>
        <v>19657</v>
      </c>
      <c r="G504" s="6">
        <f t="shared" ca="1" si="5"/>
        <v>71</v>
      </c>
      <c r="H504" s="6" t="b">
        <f ca="1">(COUNTIFS(Deputados!A504:A1000, A504, Deputados!D504:D1000, "&lt;&gt;57")) = 0</f>
        <v>0</v>
      </c>
    </row>
    <row r="505" spans="1:8" ht="17.399999999999999">
      <c r="A505" s="10">
        <f ca="1">IFERROR(__xludf.DUMMYFUNCTION("""COMPUTED_VALUE"""),504)</f>
        <v>504</v>
      </c>
      <c r="B505" s="10" t="str">
        <f ca="1">IFERROR(__xludf.DUMMYFUNCTION("""COMPUTED_VALUE"""),"Professora Goreth")</f>
        <v>Professora Goreth</v>
      </c>
      <c r="C505" s="10" t="str">
        <f ca="1">IFERROR(__xludf.DUMMYFUNCTION("""COMPUTED_VALUE"""),"AP")</f>
        <v>AP</v>
      </c>
      <c r="D505" s="6" t="str">
        <f t="shared" ca="1" si="4"/>
        <v>Feminino</v>
      </c>
      <c r="E505" s="10" t="str">
        <f ca="1">IFERROR(__xludf.DUMMYFUNCTION("""COMPUTED_VALUE"""),"F")</f>
        <v>F</v>
      </c>
      <c r="F505" s="11">
        <f ca="1">IFERROR(__xludf.DUMMYFUNCTION("""COMPUTED_VALUE"""),23263)</f>
        <v>23263</v>
      </c>
      <c r="G505" s="6">
        <f t="shared" ca="1" si="5"/>
        <v>62</v>
      </c>
      <c r="H505" s="6" t="b">
        <f ca="1">(COUNTIFS(Deputados!A505:A1000, A505, Deputados!D505:D1000, "&lt;&gt;57")) = 0</f>
        <v>1</v>
      </c>
    </row>
    <row r="506" spans="1:8" ht="17.399999999999999">
      <c r="A506" s="10">
        <f ca="1">IFERROR(__xludf.DUMMYFUNCTION("""COMPUTED_VALUE"""),505)</f>
        <v>505</v>
      </c>
      <c r="B506" s="10" t="str">
        <f ca="1">IFERROR(__xludf.DUMMYFUNCTION("""COMPUTED_VALUE"""),"Professora Luciene Cavalcante")</f>
        <v>Professora Luciene Cavalcante</v>
      </c>
      <c r="C506" s="10" t="str">
        <f ca="1">IFERROR(__xludf.DUMMYFUNCTION("""COMPUTED_VALUE"""),"SP")</f>
        <v>SP</v>
      </c>
      <c r="D506" s="6" t="str">
        <f t="shared" ca="1" si="4"/>
        <v>Feminino</v>
      </c>
      <c r="E506" s="10" t="str">
        <f ca="1">IFERROR(__xludf.DUMMYFUNCTION("""COMPUTED_VALUE"""),"F")</f>
        <v>F</v>
      </c>
      <c r="F506" s="11">
        <f ca="1">IFERROR(__xludf.DUMMYFUNCTION("""COMPUTED_VALUE"""),29210)</f>
        <v>29210</v>
      </c>
      <c r="G506" s="6">
        <f t="shared" ca="1" si="5"/>
        <v>45</v>
      </c>
      <c r="H506" s="6" t="b">
        <f ca="1">(COUNTIFS(Deputados!A506:A1000, A506, Deputados!D506:D1000, "&lt;&gt;57")) = 0</f>
        <v>1</v>
      </c>
    </row>
    <row r="507" spans="1:8" ht="17.399999999999999">
      <c r="A507" s="10">
        <f ca="1">IFERROR(__xludf.DUMMYFUNCTION("""COMPUTED_VALUE"""),506)</f>
        <v>506</v>
      </c>
      <c r="B507" s="10" t="str">
        <f ca="1">IFERROR(__xludf.DUMMYFUNCTION("""COMPUTED_VALUE"""),"Professora Marcivania")</f>
        <v>Professora Marcivania</v>
      </c>
      <c r="C507" s="10" t="str">
        <f ca="1">IFERROR(__xludf.DUMMYFUNCTION("""COMPUTED_VALUE"""),"AP")</f>
        <v>AP</v>
      </c>
      <c r="D507" s="6" t="str">
        <f t="shared" ca="1" si="4"/>
        <v>Feminino</v>
      </c>
      <c r="E507" s="10" t="str">
        <f ca="1">IFERROR(__xludf.DUMMYFUNCTION("""COMPUTED_VALUE"""),"F")</f>
        <v>F</v>
      </c>
      <c r="F507" s="11">
        <f ca="1">IFERROR(__xludf.DUMMYFUNCTION("""COMPUTED_VALUE"""),26836)</f>
        <v>26836</v>
      </c>
      <c r="G507" s="6">
        <f t="shared" ca="1" si="5"/>
        <v>52</v>
      </c>
      <c r="H507" s="6" t="b">
        <f ca="1">(COUNTIFS(Deputados!A507:A1000, A507, Deputados!D507:D1000, "&lt;&gt;57")) = 0</f>
        <v>0</v>
      </c>
    </row>
    <row r="508" spans="1:8" ht="17.399999999999999">
      <c r="A508" s="10">
        <f ca="1">IFERROR(__xludf.DUMMYFUNCTION("""COMPUTED_VALUE"""),507)</f>
        <v>507</v>
      </c>
      <c r="B508" s="10" t="str">
        <f ca="1">IFERROR(__xludf.DUMMYFUNCTION("""COMPUTED_VALUE"""),"Rafael Brito")</f>
        <v>Rafael Brito</v>
      </c>
      <c r="C508" s="10" t="str">
        <f ca="1">IFERROR(__xludf.DUMMYFUNCTION("""COMPUTED_VALUE"""),"AL")</f>
        <v>AL</v>
      </c>
      <c r="D508" s="6" t="str">
        <f t="shared" ca="1" si="4"/>
        <v>Masculino</v>
      </c>
      <c r="E508" s="10" t="str">
        <f ca="1">IFERROR(__xludf.DUMMYFUNCTION("""COMPUTED_VALUE"""),"M")</f>
        <v>M</v>
      </c>
      <c r="F508" s="11">
        <f ca="1">IFERROR(__xludf.DUMMYFUNCTION("""COMPUTED_VALUE"""),29823)</f>
        <v>29823</v>
      </c>
      <c r="G508" s="6">
        <f t="shared" ca="1" si="5"/>
        <v>44</v>
      </c>
      <c r="H508" s="6" t="b">
        <f ca="1">(COUNTIFS(Deputados!A508:A1000, A508, Deputados!D508:D1000, "&lt;&gt;57")) = 0</f>
        <v>1</v>
      </c>
    </row>
    <row r="509" spans="1:8" ht="17.399999999999999">
      <c r="A509" s="10">
        <f ca="1">IFERROR(__xludf.DUMMYFUNCTION("""COMPUTED_VALUE"""),508)</f>
        <v>508</v>
      </c>
      <c r="B509" s="10" t="str">
        <f ca="1">IFERROR(__xludf.DUMMYFUNCTION("""COMPUTED_VALUE"""),"Rafael Fera")</f>
        <v>Rafael Fera</v>
      </c>
      <c r="C509" s="10" t="str">
        <f ca="1">IFERROR(__xludf.DUMMYFUNCTION("""COMPUTED_VALUE"""),"RO")</f>
        <v>RO</v>
      </c>
      <c r="D509" s="6" t="str">
        <f t="shared" ca="1" si="4"/>
        <v>Masculino</v>
      </c>
      <c r="E509" s="10" t="str">
        <f ca="1">IFERROR(__xludf.DUMMYFUNCTION("""COMPUTED_VALUE"""),"M")</f>
        <v>M</v>
      </c>
      <c r="F509" s="11">
        <f ca="1">IFERROR(__xludf.DUMMYFUNCTION("""COMPUTED_VALUE"""),32910)</f>
        <v>32910</v>
      </c>
      <c r="G509" s="6">
        <f t="shared" ca="1" si="5"/>
        <v>35</v>
      </c>
      <c r="H509" s="6" t="b">
        <f ca="1">(COUNTIFS(Deputados!A509:A1000, A509, Deputados!D509:D1000, "&lt;&gt;57")) = 0</f>
        <v>1</v>
      </c>
    </row>
    <row r="510" spans="1:8" ht="17.399999999999999">
      <c r="A510" s="10">
        <f ca="1">IFERROR(__xludf.DUMMYFUNCTION("""COMPUTED_VALUE"""),509)</f>
        <v>509</v>
      </c>
      <c r="B510" s="10" t="str">
        <f ca="1">IFERROR(__xludf.DUMMYFUNCTION("""COMPUTED_VALUE"""),"Rafael Prudente")</f>
        <v>Rafael Prudente</v>
      </c>
      <c r="C510" s="10" t="str">
        <f ca="1">IFERROR(__xludf.DUMMYFUNCTION("""COMPUTED_VALUE"""),"DF")</f>
        <v>DF</v>
      </c>
      <c r="D510" s="6" t="str">
        <f t="shared" ca="1" si="4"/>
        <v>Masculino</v>
      </c>
      <c r="E510" s="10" t="str">
        <f ca="1">IFERROR(__xludf.DUMMYFUNCTION("""COMPUTED_VALUE"""),"M")</f>
        <v>M</v>
      </c>
      <c r="F510" s="11">
        <f ca="1">IFERROR(__xludf.DUMMYFUNCTION("""COMPUTED_VALUE"""),30625)</f>
        <v>30625</v>
      </c>
      <c r="G510" s="6">
        <f t="shared" ca="1" si="5"/>
        <v>41</v>
      </c>
      <c r="H510" s="6" t="b">
        <f ca="1">(COUNTIFS(Deputados!A510:A1000, A510, Deputados!D510:D1000, "&lt;&gt;57")) = 0</f>
        <v>1</v>
      </c>
    </row>
    <row r="511" spans="1:8" ht="17.399999999999999">
      <c r="A511" s="10">
        <f ca="1">IFERROR(__xludf.DUMMYFUNCTION("""COMPUTED_VALUE"""),510)</f>
        <v>510</v>
      </c>
      <c r="B511" s="10" t="str">
        <f ca="1">IFERROR(__xludf.DUMMYFUNCTION("""COMPUTED_VALUE"""),"Rafael Simoes")</f>
        <v>Rafael Simoes</v>
      </c>
      <c r="C511" s="10" t="str">
        <f ca="1">IFERROR(__xludf.DUMMYFUNCTION("""COMPUTED_VALUE"""),"MG")</f>
        <v>MG</v>
      </c>
      <c r="D511" s="6" t="str">
        <f t="shared" ca="1" si="4"/>
        <v>Masculino</v>
      </c>
      <c r="E511" s="10" t="str">
        <f ca="1">IFERROR(__xludf.DUMMYFUNCTION("""COMPUTED_VALUE"""),"M")</f>
        <v>M</v>
      </c>
      <c r="F511" s="11">
        <f ca="1">IFERROR(__xludf.DUMMYFUNCTION("""COMPUTED_VALUE"""),23710)</f>
        <v>23710</v>
      </c>
      <c r="G511" s="6">
        <f t="shared" ca="1" si="5"/>
        <v>60</v>
      </c>
      <c r="H511" s="6" t="b">
        <f ca="1">(COUNTIFS(Deputados!A511:A1000, A511, Deputados!D511:D1000, "&lt;&gt;57")) = 0</f>
        <v>1</v>
      </c>
    </row>
    <row r="512" spans="1:8" ht="17.399999999999999">
      <c r="A512" s="10">
        <f ca="1">IFERROR(__xludf.DUMMYFUNCTION("""COMPUTED_VALUE"""),511)</f>
        <v>511</v>
      </c>
      <c r="B512" s="10" t="str">
        <f ca="1">IFERROR(__xludf.DUMMYFUNCTION("""COMPUTED_VALUE"""),"Raimundo Costa")</f>
        <v>Raimundo Costa</v>
      </c>
      <c r="C512" s="10" t="str">
        <f ca="1">IFERROR(__xludf.DUMMYFUNCTION("""COMPUTED_VALUE"""),"BA")</f>
        <v>BA</v>
      </c>
      <c r="D512" s="6" t="str">
        <f t="shared" ref="D512:D621" ca="1" si="6">IF(E512 = "F", "Feminino", "Masculino")</f>
        <v>Masculino</v>
      </c>
      <c r="E512" s="10" t="str">
        <f ca="1">IFERROR(__xludf.DUMMYFUNCTION("""COMPUTED_VALUE"""),"M")</f>
        <v>M</v>
      </c>
      <c r="F512" s="11">
        <f ca="1">IFERROR(__xludf.DUMMYFUNCTION("""COMPUTED_VALUE"""),22349)</f>
        <v>22349</v>
      </c>
      <c r="G512" s="6">
        <f t="shared" ref="G512:G621" ca="1" si="7">DATEDIF(F512:F1510, TODAY(), "Y")</f>
        <v>64</v>
      </c>
      <c r="H512" s="6" t="b">
        <f ca="1">(COUNTIFS(Deputados!A512:A1000, A512, Deputados!D512:D1000, "&lt;&gt;57")) = 0</f>
        <v>0</v>
      </c>
    </row>
    <row r="513" spans="1:8" ht="17.399999999999999">
      <c r="A513" s="10">
        <f ca="1">IFERROR(__xludf.DUMMYFUNCTION("""COMPUTED_VALUE"""),512)</f>
        <v>512</v>
      </c>
      <c r="B513" s="10" t="str">
        <f ca="1">IFERROR(__xludf.DUMMYFUNCTION("""COMPUTED_VALUE"""),"Raimundo Santos")</f>
        <v>Raimundo Santos</v>
      </c>
      <c r="C513" s="10" t="str">
        <f ca="1">IFERROR(__xludf.DUMMYFUNCTION("""COMPUTED_VALUE"""),"PA")</f>
        <v>PA</v>
      </c>
      <c r="D513" s="6" t="str">
        <f t="shared" ca="1" si="6"/>
        <v>Masculino</v>
      </c>
      <c r="E513" s="10" t="str">
        <f ca="1">IFERROR(__xludf.DUMMYFUNCTION("""COMPUTED_VALUE"""),"M")</f>
        <v>M</v>
      </c>
      <c r="F513" s="11">
        <f ca="1">IFERROR(__xludf.DUMMYFUNCTION("""COMPUTED_VALUE"""),20372)</f>
        <v>20372</v>
      </c>
      <c r="G513" s="6">
        <f t="shared" ca="1" si="7"/>
        <v>69</v>
      </c>
      <c r="H513" s="6" t="b">
        <f ca="1">(COUNTIFS(Deputados!A513:A1000, A513, Deputados!D513:D1000, "&lt;&gt;57")) = 0</f>
        <v>0</v>
      </c>
    </row>
    <row r="514" spans="1:8" ht="17.399999999999999">
      <c r="A514" s="10">
        <f ca="1">IFERROR(__xludf.DUMMYFUNCTION("""COMPUTED_VALUE"""),513)</f>
        <v>513</v>
      </c>
      <c r="B514" s="10" t="str">
        <f ca="1">IFERROR(__xludf.DUMMYFUNCTION("""COMPUTED_VALUE"""),"Raniery Paulino")</f>
        <v>Raniery Paulino</v>
      </c>
      <c r="C514" s="10" t="str">
        <f ca="1">IFERROR(__xludf.DUMMYFUNCTION("""COMPUTED_VALUE"""),"PB")</f>
        <v>PB</v>
      </c>
      <c r="D514" s="6" t="str">
        <f t="shared" ca="1" si="6"/>
        <v>Masculino</v>
      </c>
      <c r="E514" s="10" t="str">
        <f ca="1">IFERROR(__xludf.DUMMYFUNCTION("""COMPUTED_VALUE"""),"M")</f>
        <v>M</v>
      </c>
      <c r="F514" s="11">
        <f ca="1">IFERROR(__xludf.DUMMYFUNCTION("""COMPUTED_VALUE"""),28781)</f>
        <v>28781</v>
      </c>
      <c r="G514" s="6">
        <f t="shared" ca="1" si="7"/>
        <v>46</v>
      </c>
      <c r="H514" s="6" t="b">
        <f ca="1">(COUNTIFS(Deputados!A514:A1000, A514, Deputados!D514:D1000, "&lt;&gt;57")) = 0</f>
        <v>1</v>
      </c>
    </row>
    <row r="515" spans="1:8" ht="17.399999999999999">
      <c r="A515" s="10">
        <f ca="1">IFERROR(__xludf.DUMMYFUNCTION("""COMPUTED_VALUE"""),514)</f>
        <v>514</v>
      </c>
      <c r="B515" s="10" t="str">
        <f ca="1">IFERROR(__xludf.DUMMYFUNCTION("""COMPUTED_VALUE"""),"Reginaldo Lopes")</f>
        <v>Reginaldo Lopes</v>
      </c>
      <c r="C515" s="10" t="str">
        <f ca="1">IFERROR(__xludf.DUMMYFUNCTION("""COMPUTED_VALUE"""),"MG")</f>
        <v>MG</v>
      </c>
      <c r="D515" s="6" t="str">
        <f t="shared" ca="1" si="6"/>
        <v>Masculino</v>
      </c>
      <c r="E515" s="10" t="str">
        <f ca="1">IFERROR(__xludf.DUMMYFUNCTION("""COMPUTED_VALUE"""),"M")</f>
        <v>M</v>
      </c>
      <c r="F515" s="11">
        <f ca="1">IFERROR(__xludf.DUMMYFUNCTION("""COMPUTED_VALUE"""),26756)</f>
        <v>26756</v>
      </c>
      <c r="G515" s="6">
        <f t="shared" ca="1" si="7"/>
        <v>52</v>
      </c>
      <c r="H515" s="6" t="b">
        <f ca="1">(COUNTIFS(Deputados!A515:A1000, A515, Deputados!D515:D1000, "&lt;&gt;57")) = 0</f>
        <v>0</v>
      </c>
    </row>
    <row r="516" spans="1:8" ht="17.399999999999999">
      <c r="A516" s="10">
        <f ca="1">IFERROR(__xludf.DUMMYFUNCTION("""COMPUTED_VALUE"""),515)</f>
        <v>515</v>
      </c>
      <c r="B516" s="10" t="str">
        <f ca="1">IFERROR(__xludf.DUMMYFUNCTION("""COMPUTED_VALUE"""),"Reginete Bispo")</f>
        <v>Reginete Bispo</v>
      </c>
      <c r="C516" s="10" t="str">
        <f ca="1">IFERROR(__xludf.DUMMYFUNCTION("""COMPUTED_VALUE"""),"RS")</f>
        <v>RS</v>
      </c>
      <c r="D516" s="6" t="str">
        <f t="shared" ca="1" si="6"/>
        <v>Feminino</v>
      </c>
      <c r="E516" s="10" t="str">
        <f ca="1">IFERROR(__xludf.DUMMYFUNCTION("""COMPUTED_VALUE"""),"F")</f>
        <v>F</v>
      </c>
      <c r="F516" s="11">
        <f ca="1">IFERROR(__xludf.DUMMYFUNCTION("""COMPUTED_VALUE"""),23034)</f>
        <v>23034</v>
      </c>
      <c r="G516" s="6">
        <f t="shared" ca="1" si="7"/>
        <v>62</v>
      </c>
      <c r="H516" s="6" t="b">
        <f ca="1">(COUNTIFS(Deputados!A516:A1000, A516, Deputados!D516:D1000, "&lt;&gt;57")) = 0</f>
        <v>1</v>
      </c>
    </row>
    <row r="517" spans="1:8" ht="17.399999999999999">
      <c r="A517" s="10">
        <f ca="1">IFERROR(__xludf.DUMMYFUNCTION("""COMPUTED_VALUE"""),516)</f>
        <v>516</v>
      </c>
      <c r="B517" s="10" t="str">
        <f ca="1">IFERROR(__xludf.DUMMYFUNCTION("""COMPUTED_VALUE"""),"Reimont")</f>
        <v>Reimont</v>
      </c>
      <c r="C517" s="10" t="str">
        <f ca="1">IFERROR(__xludf.DUMMYFUNCTION("""COMPUTED_VALUE"""),"MG")</f>
        <v>MG</v>
      </c>
      <c r="D517" s="6" t="str">
        <f t="shared" ca="1" si="6"/>
        <v>Masculino</v>
      </c>
      <c r="E517" s="10" t="str">
        <f ca="1">IFERROR(__xludf.DUMMYFUNCTION("""COMPUTED_VALUE"""),"M")</f>
        <v>M</v>
      </c>
      <c r="F517" s="11">
        <f ca="1">IFERROR(__xludf.DUMMYFUNCTION("""COMPUTED_VALUE"""),22526)</f>
        <v>22526</v>
      </c>
      <c r="G517" s="6">
        <f t="shared" ca="1" si="7"/>
        <v>64</v>
      </c>
      <c r="H517" s="6" t="b">
        <f ca="1">(COUNTIFS(Deputados!A517:A1000, A517, Deputados!D517:D1000, "&lt;&gt;57")) = 0</f>
        <v>1</v>
      </c>
    </row>
    <row r="518" spans="1:8" ht="17.399999999999999">
      <c r="A518" s="10">
        <f ca="1">IFERROR(__xludf.DUMMYFUNCTION("""COMPUTED_VALUE"""),517)</f>
        <v>517</v>
      </c>
      <c r="B518" s="10" t="str">
        <f ca="1">IFERROR(__xludf.DUMMYFUNCTION("""COMPUTED_VALUE"""),"Reinhold Stephanes")</f>
        <v>Reinhold Stephanes</v>
      </c>
      <c r="C518" s="10" t="str">
        <f ca="1">IFERROR(__xludf.DUMMYFUNCTION("""COMPUTED_VALUE"""),"PR")</f>
        <v>PR</v>
      </c>
      <c r="D518" s="6" t="str">
        <f t="shared" ca="1" si="6"/>
        <v>Masculino</v>
      </c>
      <c r="E518" s="10" t="str">
        <f ca="1">IFERROR(__xludf.DUMMYFUNCTION("""COMPUTED_VALUE"""),"M")</f>
        <v>M</v>
      </c>
      <c r="F518" s="11">
        <f ca="1">IFERROR(__xludf.DUMMYFUNCTION("""COMPUTED_VALUE"""),23949)</f>
        <v>23949</v>
      </c>
      <c r="G518" s="6">
        <f t="shared" ca="1" si="7"/>
        <v>60</v>
      </c>
      <c r="H518" s="6" t="b">
        <f ca="1">(COUNTIFS(Deputados!A518:A1000, A518, Deputados!D518:D1000, "&lt;&gt;57")) = 0</f>
        <v>0</v>
      </c>
    </row>
    <row r="519" spans="1:8" ht="17.399999999999999">
      <c r="A519" s="10">
        <f ca="1">IFERROR(__xludf.DUMMYFUNCTION("""COMPUTED_VALUE"""),518)</f>
        <v>518</v>
      </c>
      <c r="B519" s="10" t="str">
        <f ca="1">IFERROR(__xludf.DUMMYFUNCTION("""COMPUTED_VALUE"""),"Renan Ferreirinha")</f>
        <v>Renan Ferreirinha</v>
      </c>
      <c r="C519" s="10" t="str">
        <f ca="1">IFERROR(__xludf.DUMMYFUNCTION("""COMPUTED_VALUE"""),"RJ")</f>
        <v>RJ</v>
      </c>
      <c r="D519" s="6" t="str">
        <f t="shared" ca="1" si="6"/>
        <v>Masculino</v>
      </c>
      <c r="E519" s="10" t="str">
        <f ca="1">IFERROR(__xludf.DUMMYFUNCTION("""COMPUTED_VALUE"""),"M")</f>
        <v>M</v>
      </c>
      <c r="F519" s="11">
        <f ca="1">IFERROR(__xludf.DUMMYFUNCTION("""COMPUTED_VALUE"""),34265)</f>
        <v>34265</v>
      </c>
      <c r="G519" s="6">
        <f t="shared" ca="1" si="7"/>
        <v>31</v>
      </c>
      <c r="H519" s="6" t="b">
        <f ca="1">(COUNTIFS(Deputados!A519:A1000, A519, Deputados!D519:D1000, "&lt;&gt;57")) = 0</f>
        <v>1</v>
      </c>
    </row>
    <row r="520" spans="1:8" ht="17.399999999999999">
      <c r="A520" s="10">
        <f ca="1">IFERROR(__xludf.DUMMYFUNCTION("""COMPUTED_VALUE"""),519)</f>
        <v>519</v>
      </c>
      <c r="B520" s="10" t="str">
        <f ca="1">IFERROR(__xludf.DUMMYFUNCTION("""COMPUTED_VALUE"""),"Renata Abreu")</f>
        <v>Renata Abreu</v>
      </c>
      <c r="C520" s="10" t="str">
        <f ca="1">IFERROR(__xludf.DUMMYFUNCTION("""COMPUTED_VALUE"""),"SP")</f>
        <v>SP</v>
      </c>
      <c r="D520" s="6" t="str">
        <f t="shared" ca="1" si="6"/>
        <v>Feminino</v>
      </c>
      <c r="E520" s="10" t="str">
        <f ca="1">IFERROR(__xludf.DUMMYFUNCTION("""COMPUTED_VALUE"""),"F")</f>
        <v>F</v>
      </c>
      <c r="F520" s="11">
        <f ca="1">IFERROR(__xludf.DUMMYFUNCTION("""COMPUTED_VALUE"""),30056)</f>
        <v>30056</v>
      </c>
      <c r="G520" s="6">
        <f t="shared" ca="1" si="7"/>
        <v>43</v>
      </c>
      <c r="H520" s="6" t="b">
        <f ca="1">(COUNTIFS(Deputados!A520:A1000, A520, Deputados!D520:D1000, "&lt;&gt;57")) = 0</f>
        <v>0</v>
      </c>
    </row>
    <row r="521" spans="1:8" ht="17.399999999999999">
      <c r="A521" s="10">
        <f ca="1">IFERROR(__xludf.DUMMYFUNCTION("""COMPUTED_VALUE"""),520)</f>
        <v>520</v>
      </c>
      <c r="B521" s="10" t="str">
        <f ca="1">IFERROR(__xludf.DUMMYFUNCTION("""COMPUTED_VALUE"""),"Renilce Nicodemos")</f>
        <v>Renilce Nicodemos</v>
      </c>
      <c r="C521" s="10" t="str">
        <f ca="1">IFERROR(__xludf.DUMMYFUNCTION("""COMPUTED_VALUE"""),"PA")</f>
        <v>PA</v>
      </c>
      <c r="D521" s="6" t="str">
        <f t="shared" ca="1" si="6"/>
        <v>Feminino</v>
      </c>
      <c r="E521" s="10" t="str">
        <f ca="1">IFERROR(__xludf.DUMMYFUNCTION("""COMPUTED_VALUE"""),"F")</f>
        <v>F</v>
      </c>
      <c r="F521" s="11">
        <f ca="1">IFERROR(__xludf.DUMMYFUNCTION("""COMPUTED_VALUE"""),28102)</f>
        <v>28102</v>
      </c>
      <c r="G521" s="6">
        <f t="shared" ca="1" si="7"/>
        <v>48</v>
      </c>
      <c r="H521" s="6" t="b">
        <f ca="1">(COUNTIFS(Deputados!A521:A1000, A521, Deputados!D521:D1000, "&lt;&gt;57")) = 0</f>
        <v>1</v>
      </c>
    </row>
    <row r="522" spans="1:8" ht="17.399999999999999">
      <c r="A522" s="10">
        <f ca="1">IFERROR(__xludf.DUMMYFUNCTION("""COMPUTED_VALUE"""),521)</f>
        <v>521</v>
      </c>
      <c r="B522" s="10" t="str">
        <f ca="1">IFERROR(__xludf.DUMMYFUNCTION("""COMPUTED_VALUE"""),"Renildo Calheiros")</f>
        <v>Renildo Calheiros</v>
      </c>
      <c r="C522" s="10" t="str">
        <f ca="1">IFERROR(__xludf.DUMMYFUNCTION("""COMPUTED_VALUE"""),"AL")</f>
        <v>AL</v>
      </c>
      <c r="D522" s="6" t="str">
        <f t="shared" ca="1" si="6"/>
        <v>Masculino</v>
      </c>
      <c r="E522" s="10" t="str">
        <f ca="1">IFERROR(__xludf.DUMMYFUNCTION("""COMPUTED_VALUE"""),"M")</f>
        <v>M</v>
      </c>
      <c r="F522" s="11">
        <f ca="1">IFERROR(__xludf.DUMMYFUNCTION("""COMPUTED_VALUE"""),21660)</f>
        <v>21660</v>
      </c>
      <c r="G522" s="6">
        <f t="shared" ca="1" si="7"/>
        <v>66</v>
      </c>
      <c r="H522" s="6" t="b">
        <f ca="1">(COUNTIFS(Deputados!A522:A1000, A522, Deputados!D522:D1000, "&lt;&gt;57")) = 0</f>
        <v>0</v>
      </c>
    </row>
    <row r="523" spans="1:8" ht="17.399999999999999">
      <c r="A523" s="10">
        <f ca="1">IFERROR(__xludf.DUMMYFUNCTION("""COMPUTED_VALUE"""),522)</f>
        <v>522</v>
      </c>
      <c r="B523" s="10" t="str">
        <f ca="1">IFERROR(__xludf.DUMMYFUNCTION("""COMPUTED_VALUE"""),"Ribamar Silva")</f>
        <v>Ribamar Silva</v>
      </c>
      <c r="C523" s="10" t="str">
        <f ca="1">IFERROR(__xludf.DUMMYFUNCTION("""COMPUTED_VALUE"""),"SP")</f>
        <v>SP</v>
      </c>
      <c r="D523" s="6" t="str">
        <f t="shared" ca="1" si="6"/>
        <v>Masculino</v>
      </c>
      <c r="E523" s="10" t="str">
        <f ca="1">IFERROR(__xludf.DUMMYFUNCTION("""COMPUTED_VALUE"""),"M")</f>
        <v>M</v>
      </c>
      <c r="F523" s="11">
        <f ca="1">IFERROR(__xludf.DUMMYFUNCTION("""COMPUTED_VALUE"""),27541)</f>
        <v>27541</v>
      </c>
      <c r="G523" s="6">
        <f t="shared" ca="1" si="7"/>
        <v>50</v>
      </c>
      <c r="H523" s="6" t="b">
        <f ca="1">(COUNTIFS(Deputados!A523:A1000, A523, Deputados!D523:D1000, "&lt;&gt;57")) = 0</f>
        <v>1</v>
      </c>
    </row>
    <row r="524" spans="1:8" ht="17.399999999999999">
      <c r="A524" s="10">
        <f ca="1">IFERROR(__xludf.DUMMYFUNCTION("""COMPUTED_VALUE"""),523)</f>
        <v>523</v>
      </c>
      <c r="B524" s="10" t="str">
        <f ca="1">IFERROR(__xludf.DUMMYFUNCTION("""COMPUTED_VALUE"""),"Ricardo Abrão")</f>
        <v>Ricardo Abrão</v>
      </c>
      <c r="C524" s="10" t="str">
        <f ca="1">IFERROR(__xludf.DUMMYFUNCTION("""COMPUTED_VALUE"""),"RJ")</f>
        <v>RJ</v>
      </c>
      <c r="D524" s="6" t="str">
        <f t="shared" ca="1" si="6"/>
        <v>Masculino</v>
      </c>
      <c r="E524" s="10" t="str">
        <f ca="1">IFERROR(__xludf.DUMMYFUNCTION("""COMPUTED_VALUE"""),"M")</f>
        <v>M</v>
      </c>
      <c r="F524" s="11">
        <f ca="1">IFERROR(__xludf.DUMMYFUNCTION("""COMPUTED_VALUE"""),26555)</f>
        <v>26555</v>
      </c>
      <c r="G524" s="6">
        <f t="shared" ca="1" si="7"/>
        <v>52</v>
      </c>
      <c r="H524" s="6" t="b">
        <f ca="1">(COUNTIFS(Deputados!A524:A1000, A524, Deputados!D524:D1000, "&lt;&gt;57")) = 0</f>
        <v>1</v>
      </c>
    </row>
    <row r="525" spans="1:8" ht="17.399999999999999">
      <c r="A525" s="10">
        <f ca="1">IFERROR(__xludf.DUMMYFUNCTION("""COMPUTED_VALUE"""),524)</f>
        <v>524</v>
      </c>
      <c r="B525" s="10" t="str">
        <f ca="1">IFERROR(__xludf.DUMMYFUNCTION("""COMPUTED_VALUE"""),"Ricardo Ayres")</f>
        <v>Ricardo Ayres</v>
      </c>
      <c r="C525" s="10" t="str">
        <f ca="1">IFERROR(__xludf.DUMMYFUNCTION("""COMPUTED_VALUE"""),"GO")</f>
        <v>GO</v>
      </c>
      <c r="D525" s="6" t="str">
        <f t="shared" ca="1" si="6"/>
        <v>Masculino</v>
      </c>
      <c r="E525" s="10" t="str">
        <f ca="1">IFERROR(__xludf.DUMMYFUNCTION("""COMPUTED_VALUE"""),"M")</f>
        <v>M</v>
      </c>
      <c r="F525" s="11">
        <f ca="1">IFERROR(__xludf.DUMMYFUNCTION("""COMPUTED_VALUE"""),28872)</f>
        <v>28872</v>
      </c>
      <c r="G525" s="6">
        <f t="shared" ca="1" si="7"/>
        <v>46</v>
      </c>
      <c r="H525" s="6" t="b">
        <f ca="1">(COUNTIFS(Deputados!A525:A1000, A525, Deputados!D525:D1000, "&lt;&gt;57")) = 0</f>
        <v>1</v>
      </c>
    </row>
    <row r="526" spans="1:8" ht="17.399999999999999">
      <c r="A526" s="10">
        <f ca="1">IFERROR(__xludf.DUMMYFUNCTION("""COMPUTED_VALUE"""),525)</f>
        <v>525</v>
      </c>
      <c r="B526" s="10" t="str">
        <f ca="1">IFERROR(__xludf.DUMMYFUNCTION("""COMPUTED_VALUE"""),"Ricardo Barros")</f>
        <v>Ricardo Barros</v>
      </c>
      <c r="C526" s="10" t="str">
        <f ca="1">IFERROR(__xludf.DUMMYFUNCTION("""COMPUTED_VALUE"""),"PR")</f>
        <v>PR</v>
      </c>
      <c r="D526" s="6" t="str">
        <f t="shared" ca="1" si="6"/>
        <v>Masculino</v>
      </c>
      <c r="E526" s="10" t="str">
        <f ca="1">IFERROR(__xludf.DUMMYFUNCTION("""COMPUTED_VALUE"""),"M")</f>
        <v>M</v>
      </c>
      <c r="F526" s="11">
        <f ca="1">IFERROR(__xludf.DUMMYFUNCTION("""COMPUTED_VALUE"""),21869)</f>
        <v>21869</v>
      </c>
      <c r="G526" s="6">
        <f t="shared" ca="1" si="7"/>
        <v>65</v>
      </c>
      <c r="H526" s="6" t="b">
        <f ca="1">(COUNTIFS(Deputados!A526:A1000, A526, Deputados!D526:D1000, "&lt;&gt;57")) = 0</f>
        <v>0</v>
      </c>
    </row>
    <row r="527" spans="1:8" ht="17.399999999999999">
      <c r="A527" s="10">
        <f ca="1">IFERROR(__xludf.DUMMYFUNCTION("""COMPUTED_VALUE"""),526)</f>
        <v>526</v>
      </c>
      <c r="B527" s="10" t="str">
        <f ca="1">IFERROR(__xludf.DUMMYFUNCTION("""COMPUTED_VALUE"""),"Ricardo Guidi")</f>
        <v>Ricardo Guidi</v>
      </c>
      <c r="C527" s="10" t="str">
        <f ca="1">IFERROR(__xludf.DUMMYFUNCTION("""COMPUTED_VALUE"""),"SC")</f>
        <v>SC</v>
      </c>
      <c r="D527" s="6" t="str">
        <f t="shared" ca="1" si="6"/>
        <v>Masculino</v>
      </c>
      <c r="E527" s="10" t="str">
        <f ca="1">IFERROR(__xludf.DUMMYFUNCTION("""COMPUTED_VALUE"""),"M")</f>
        <v>M</v>
      </c>
      <c r="F527" s="11">
        <f ca="1">IFERROR(__xludf.DUMMYFUNCTION("""COMPUTED_VALUE"""),28396)</f>
        <v>28396</v>
      </c>
      <c r="G527" s="6">
        <f t="shared" ca="1" si="7"/>
        <v>47</v>
      </c>
      <c r="H527" s="6" t="b">
        <f ca="1">(COUNTIFS(Deputados!A527:A1000, A527, Deputados!D527:D1000, "&lt;&gt;57")) = 0</f>
        <v>0</v>
      </c>
    </row>
    <row r="528" spans="1:8" ht="17.399999999999999">
      <c r="A528" s="10">
        <f ca="1">IFERROR(__xludf.DUMMYFUNCTION("""COMPUTED_VALUE"""),527)</f>
        <v>527</v>
      </c>
      <c r="B528" s="10" t="str">
        <f ca="1">IFERROR(__xludf.DUMMYFUNCTION("""COMPUTED_VALUE"""),"Ricardo Maia")</f>
        <v>Ricardo Maia</v>
      </c>
      <c r="C528" s="10" t="str">
        <f ca="1">IFERROR(__xludf.DUMMYFUNCTION("""COMPUTED_VALUE"""),"BA")</f>
        <v>BA</v>
      </c>
      <c r="D528" s="6" t="str">
        <f t="shared" ca="1" si="6"/>
        <v>Masculino</v>
      </c>
      <c r="E528" s="10" t="str">
        <f ca="1">IFERROR(__xludf.DUMMYFUNCTION("""COMPUTED_VALUE"""),"M")</f>
        <v>M</v>
      </c>
      <c r="F528" s="11">
        <f ca="1">IFERROR(__xludf.DUMMYFUNCTION("""COMPUTED_VALUE"""),27632)</f>
        <v>27632</v>
      </c>
      <c r="G528" s="6">
        <f t="shared" ca="1" si="7"/>
        <v>50</v>
      </c>
      <c r="H528" s="6" t="b">
        <f ca="1">(COUNTIFS(Deputados!A528:A1000, A528, Deputados!D528:D1000, "&lt;&gt;57")) = 0</f>
        <v>1</v>
      </c>
    </row>
    <row r="529" spans="1:8" ht="17.399999999999999">
      <c r="A529" s="10">
        <f ca="1">IFERROR(__xludf.DUMMYFUNCTION("""COMPUTED_VALUE"""),528)</f>
        <v>528</v>
      </c>
      <c r="B529" s="10" t="str">
        <f ca="1">IFERROR(__xludf.DUMMYFUNCTION("""COMPUTED_VALUE"""),"Ricardo Salles")</f>
        <v>Ricardo Salles</v>
      </c>
      <c r="C529" s="10" t="str">
        <f ca="1">IFERROR(__xludf.DUMMYFUNCTION("""COMPUTED_VALUE"""),"SP")</f>
        <v>SP</v>
      </c>
      <c r="D529" s="6" t="str">
        <f t="shared" ca="1" si="6"/>
        <v>Masculino</v>
      </c>
      <c r="E529" s="10" t="str">
        <f ca="1">IFERROR(__xludf.DUMMYFUNCTION("""COMPUTED_VALUE"""),"M")</f>
        <v>M</v>
      </c>
      <c r="F529" s="11">
        <f ca="1">IFERROR(__xludf.DUMMYFUNCTION("""COMPUTED_VALUE"""),27553)</f>
        <v>27553</v>
      </c>
      <c r="G529" s="6">
        <f t="shared" ca="1" si="7"/>
        <v>50</v>
      </c>
      <c r="H529" s="6" t="b">
        <f ca="1">(COUNTIFS(Deputados!A529:A1000, A529, Deputados!D529:D1000, "&lt;&gt;57")) = 0</f>
        <v>1</v>
      </c>
    </row>
    <row r="530" spans="1:8" ht="17.399999999999999">
      <c r="A530" s="10">
        <f ca="1">IFERROR(__xludf.DUMMYFUNCTION("""COMPUTED_VALUE"""),529)</f>
        <v>529</v>
      </c>
      <c r="B530" s="10" t="str">
        <f ca="1">IFERROR(__xludf.DUMMYFUNCTION("""COMPUTED_VALUE"""),"Ricardo Silva")</f>
        <v>Ricardo Silva</v>
      </c>
      <c r="C530" s="10" t="str">
        <f ca="1">IFERROR(__xludf.DUMMYFUNCTION("""COMPUTED_VALUE"""),"SP")</f>
        <v>SP</v>
      </c>
      <c r="D530" s="6" t="str">
        <f t="shared" ca="1" si="6"/>
        <v>Masculino</v>
      </c>
      <c r="E530" s="10" t="str">
        <f ca="1">IFERROR(__xludf.DUMMYFUNCTION("""COMPUTED_VALUE"""),"M")</f>
        <v>M</v>
      </c>
      <c r="F530" s="11">
        <f ca="1">IFERROR(__xludf.DUMMYFUNCTION("""COMPUTED_VALUE"""),31291)</f>
        <v>31291</v>
      </c>
      <c r="G530" s="6">
        <f t="shared" ca="1" si="7"/>
        <v>40</v>
      </c>
      <c r="H530" s="6" t="b">
        <f ca="1">(COUNTIFS(Deputados!A530:A1000, A530, Deputados!D530:D1000, "&lt;&gt;57")) = 0</f>
        <v>0</v>
      </c>
    </row>
    <row r="531" spans="1:8" ht="17.399999999999999">
      <c r="A531" s="10">
        <f ca="1">IFERROR(__xludf.DUMMYFUNCTION("""COMPUTED_VALUE"""),530)</f>
        <v>530</v>
      </c>
      <c r="B531" s="10" t="str">
        <f ca="1">IFERROR(__xludf.DUMMYFUNCTION("""COMPUTED_VALUE"""),"Robério Monteiro")</f>
        <v>Robério Monteiro</v>
      </c>
      <c r="C531" s="10" t="str">
        <f ca="1">IFERROR(__xludf.DUMMYFUNCTION("""COMPUTED_VALUE"""),"CE")</f>
        <v>CE</v>
      </c>
      <c r="D531" s="6" t="str">
        <f t="shared" ca="1" si="6"/>
        <v>Masculino</v>
      </c>
      <c r="E531" s="10" t="str">
        <f ca="1">IFERROR(__xludf.DUMMYFUNCTION("""COMPUTED_VALUE"""),"M")</f>
        <v>M</v>
      </c>
      <c r="F531" s="11">
        <f ca="1">IFERROR(__xludf.DUMMYFUNCTION("""COMPUTED_VALUE"""),25614)</f>
        <v>25614</v>
      </c>
      <c r="G531" s="6">
        <f t="shared" ca="1" si="7"/>
        <v>55</v>
      </c>
      <c r="H531" s="6" t="b">
        <f ca="1">(COUNTIFS(Deputados!A531:A1000, A531, Deputados!D531:D1000, "&lt;&gt;57")) = 0</f>
        <v>0</v>
      </c>
    </row>
    <row r="532" spans="1:8" ht="17.399999999999999">
      <c r="A532" s="10">
        <f ca="1">IFERROR(__xludf.DUMMYFUNCTION("""COMPUTED_VALUE"""),531)</f>
        <v>531</v>
      </c>
      <c r="B532" s="10" t="str">
        <f ca="1">IFERROR(__xludf.DUMMYFUNCTION("""COMPUTED_VALUE"""),"Roberta Roma")</f>
        <v>Roberta Roma</v>
      </c>
      <c r="C532" s="10" t="str">
        <f ca="1">IFERROR(__xludf.DUMMYFUNCTION("""COMPUTED_VALUE"""),"BA")</f>
        <v>BA</v>
      </c>
      <c r="D532" s="6" t="str">
        <f t="shared" ca="1" si="6"/>
        <v>Feminino</v>
      </c>
      <c r="E532" s="10" t="str">
        <f ca="1">IFERROR(__xludf.DUMMYFUNCTION("""COMPUTED_VALUE"""),"F")</f>
        <v>F</v>
      </c>
      <c r="F532" s="11">
        <f ca="1">IFERROR(__xludf.DUMMYFUNCTION("""COMPUTED_VALUE"""),29352)</f>
        <v>29352</v>
      </c>
      <c r="G532" s="6">
        <f t="shared" ca="1" si="7"/>
        <v>45</v>
      </c>
      <c r="H532" s="6" t="b">
        <f ca="1">(COUNTIFS(Deputados!A532:A1000, A532, Deputados!D532:D1000, "&lt;&gt;57")) = 0</f>
        <v>1</v>
      </c>
    </row>
    <row r="533" spans="1:8" ht="17.399999999999999">
      <c r="A533" s="10">
        <f ca="1">IFERROR(__xludf.DUMMYFUNCTION("""COMPUTED_VALUE"""),532)</f>
        <v>532</v>
      </c>
      <c r="B533" s="10" t="str">
        <f ca="1">IFERROR(__xludf.DUMMYFUNCTION("""COMPUTED_VALUE"""),"Roberto Duarte")</f>
        <v>Roberto Duarte</v>
      </c>
      <c r="C533" s="10" t="str">
        <f ca="1">IFERROR(__xludf.DUMMYFUNCTION("""COMPUTED_VALUE"""),"RS")</f>
        <v>RS</v>
      </c>
      <c r="D533" s="6" t="str">
        <f t="shared" ca="1" si="6"/>
        <v>Masculino</v>
      </c>
      <c r="E533" s="10" t="str">
        <f ca="1">IFERROR(__xludf.DUMMYFUNCTION("""COMPUTED_VALUE"""),"M")</f>
        <v>M</v>
      </c>
      <c r="F533" s="11">
        <f ca="1">IFERROR(__xludf.DUMMYFUNCTION("""COMPUTED_VALUE"""),27509)</f>
        <v>27509</v>
      </c>
      <c r="G533" s="6">
        <f t="shared" ca="1" si="7"/>
        <v>50</v>
      </c>
      <c r="H533" s="6" t="b">
        <f ca="1">(COUNTIFS(Deputados!A533:A1000, A533, Deputados!D533:D1000, "&lt;&gt;57")) = 0</f>
        <v>1</v>
      </c>
    </row>
    <row r="534" spans="1:8" ht="17.399999999999999">
      <c r="A534" s="10">
        <f ca="1">IFERROR(__xludf.DUMMYFUNCTION("""COMPUTED_VALUE"""),533)</f>
        <v>533</v>
      </c>
      <c r="B534" s="10" t="str">
        <f ca="1">IFERROR(__xludf.DUMMYFUNCTION("""COMPUTED_VALUE"""),"Roberto Monteiro Pai")</f>
        <v>Roberto Monteiro Pai</v>
      </c>
      <c r="C534" s="10" t="str">
        <f ca="1">IFERROR(__xludf.DUMMYFUNCTION("""COMPUTED_VALUE"""),"RJ")</f>
        <v>RJ</v>
      </c>
      <c r="D534" s="6" t="str">
        <f t="shared" ca="1" si="6"/>
        <v>Masculino</v>
      </c>
      <c r="E534" s="10" t="str">
        <f ca="1">IFERROR(__xludf.DUMMYFUNCTION("""COMPUTED_VALUE"""),"M")</f>
        <v>M</v>
      </c>
      <c r="F534" s="11">
        <f ca="1">IFERROR(__xludf.DUMMYFUNCTION("""COMPUTED_VALUE"""),20797)</f>
        <v>20797</v>
      </c>
      <c r="G534" s="6">
        <f t="shared" ca="1" si="7"/>
        <v>68</v>
      </c>
      <c r="H534" s="6" t="b">
        <f ca="1">(COUNTIFS(Deputados!A534:A1000, A534, Deputados!D534:D1000, "&lt;&gt;57")) = 0</f>
        <v>1</v>
      </c>
    </row>
    <row r="535" spans="1:8" ht="17.399999999999999">
      <c r="A535" s="10">
        <f ca="1">IFERROR(__xludf.DUMMYFUNCTION("""COMPUTED_VALUE"""),534)</f>
        <v>534</v>
      </c>
      <c r="B535" s="10" t="str">
        <f ca="1">IFERROR(__xludf.DUMMYFUNCTION("""COMPUTED_VALUE"""),"Robinson Faria")</f>
        <v>Robinson Faria</v>
      </c>
      <c r="C535" s="10" t="str">
        <f ca="1">IFERROR(__xludf.DUMMYFUNCTION("""COMPUTED_VALUE"""),"RN")</f>
        <v>RN</v>
      </c>
      <c r="D535" s="6" t="str">
        <f t="shared" ca="1" si="6"/>
        <v>Masculino</v>
      </c>
      <c r="E535" s="10" t="str">
        <f ca="1">IFERROR(__xludf.DUMMYFUNCTION("""COMPUTED_VALUE"""),"M")</f>
        <v>M</v>
      </c>
      <c r="F535" s="11">
        <f ca="1">IFERROR(__xludf.DUMMYFUNCTION("""COMPUTED_VALUE"""),21652)</f>
        <v>21652</v>
      </c>
      <c r="G535" s="6">
        <f t="shared" ca="1" si="7"/>
        <v>66</v>
      </c>
      <c r="H535" s="6" t="b">
        <f ca="1">(COUNTIFS(Deputados!A535:A1000, A535, Deputados!D535:D1000, "&lt;&gt;57")) = 0</f>
        <v>1</v>
      </c>
    </row>
    <row r="536" spans="1:8" ht="17.399999999999999">
      <c r="A536" s="10">
        <f ca="1">IFERROR(__xludf.DUMMYFUNCTION("""COMPUTED_VALUE"""),535)</f>
        <v>535</v>
      </c>
      <c r="B536" s="10" t="str">
        <f ca="1">IFERROR(__xludf.DUMMYFUNCTION("""COMPUTED_VALUE"""),"Rodolfo Nogueira")</f>
        <v>Rodolfo Nogueira</v>
      </c>
      <c r="C536" s="10" t="str">
        <f ca="1">IFERROR(__xludf.DUMMYFUNCTION("""COMPUTED_VALUE"""),"MS")</f>
        <v>MS</v>
      </c>
      <c r="D536" s="6" t="str">
        <f t="shared" ca="1" si="6"/>
        <v>Masculino</v>
      </c>
      <c r="E536" s="10" t="str">
        <f ca="1">IFERROR(__xludf.DUMMYFUNCTION("""COMPUTED_VALUE"""),"M")</f>
        <v>M</v>
      </c>
      <c r="F536" s="11">
        <f ca="1">IFERROR(__xludf.DUMMYFUNCTION("""COMPUTED_VALUE"""),26992)</f>
        <v>26992</v>
      </c>
      <c r="G536" s="6">
        <f t="shared" ca="1" si="7"/>
        <v>51</v>
      </c>
      <c r="H536" s="6" t="b">
        <f ca="1">(COUNTIFS(Deputados!A536:A1000, A536, Deputados!D536:D1000, "&lt;&gt;57")) = 0</f>
        <v>1</v>
      </c>
    </row>
    <row r="537" spans="1:8" ht="17.399999999999999">
      <c r="A537" s="10">
        <f ca="1">IFERROR(__xludf.DUMMYFUNCTION("""COMPUTED_VALUE"""),536)</f>
        <v>536</v>
      </c>
      <c r="B537" s="10" t="str">
        <f ca="1">IFERROR(__xludf.DUMMYFUNCTION("""COMPUTED_VALUE"""),"Rodrigo da Zaeli")</f>
        <v>Rodrigo da Zaeli</v>
      </c>
      <c r="C537" s="10" t="str">
        <f ca="1">IFERROR(__xludf.DUMMYFUNCTION("""COMPUTED_VALUE"""),"PR")</f>
        <v>PR</v>
      </c>
      <c r="D537" s="6" t="str">
        <f t="shared" ca="1" si="6"/>
        <v>Masculino</v>
      </c>
      <c r="E537" s="10" t="str">
        <f ca="1">IFERROR(__xludf.DUMMYFUNCTION("""COMPUTED_VALUE"""),"M")</f>
        <v>M</v>
      </c>
      <c r="F537" s="11">
        <f ca="1">IFERROR(__xludf.DUMMYFUNCTION("""COMPUTED_VALUE"""),27724)</f>
        <v>27724</v>
      </c>
      <c r="G537" s="6">
        <f t="shared" ca="1" si="7"/>
        <v>49</v>
      </c>
      <c r="H537" s="6" t="b">
        <f ca="1">(COUNTIFS(Deputados!A537:A1000, A537, Deputados!D537:D1000, "&lt;&gt;57")) = 0</f>
        <v>1</v>
      </c>
    </row>
    <row r="538" spans="1:8" ht="17.399999999999999">
      <c r="A538" s="10">
        <f ca="1">IFERROR(__xludf.DUMMYFUNCTION("""COMPUTED_VALUE"""),537)</f>
        <v>537</v>
      </c>
      <c r="B538" s="10" t="str">
        <f ca="1">IFERROR(__xludf.DUMMYFUNCTION("""COMPUTED_VALUE"""),"Rodrigo de Castro")</f>
        <v>Rodrigo de Castro</v>
      </c>
      <c r="C538" s="10" t="str">
        <f ca="1">IFERROR(__xludf.DUMMYFUNCTION("""COMPUTED_VALUE"""),"MG")</f>
        <v>MG</v>
      </c>
      <c r="D538" s="6" t="str">
        <f t="shared" ca="1" si="6"/>
        <v>Masculino</v>
      </c>
      <c r="E538" s="10" t="str">
        <f ca="1">IFERROR(__xludf.DUMMYFUNCTION("""COMPUTED_VALUE"""),"M")</f>
        <v>M</v>
      </c>
      <c r="F538" s="11">
        <f ca="1">IFERROR(__xludf.DUMMYFUNCTION("""COMPUTED_VALUE"""),26129)</f>
        <v>26129</v>
      </c>
      <c r="G538" s="6">
        <f t="shared" ca="1" si="7"/>
        <v>54</v>
      </c>
      <c r="H538" s="6" t="b">
        <f ca="1">(COUNTIFS(Deputados!A538:A1000, A538, Deputados!D538:D1000, "&lt;&gt;57")) = 0</f>
        <v>0</v>
      </c>
    </row>
    <row r="539" spans="1:8" ht="17.399999999999999">
      <c r="A539" s="10">
        <f ca="1">IFERROR(__xludf.DUMMYFUNCTION("""COMPUTED_VALUE"""),538)</f>
        <v>538</v>
      </c>
      <c r="B539" s="10" t="str">
        <f ca="1">IFERROR(__xludf.DUMMYFUNCTION("""COMPUTED_VALUE"""),"Rodrigo Estacho")</f>
        <v>Rodrigo Estacho</v>
      </c>
      <c r="C539" s="10" t="str">
        <f ca="1">IFERROR(__xludf.DUMMYFUNCTION("""COMPUTED_VALUE"""),"PR")</f>
        <v>PR</v>
      </c>
      <c r="D539" s="6" t="str">
        <f t="shared" ca="1" si="6"/>
        <v>Masculino</v>
      </c>
      <c r="E539" s="10" t="str">
        <f ca="1">IFERROR(__xludf.DUMMYFUNCTION("""COMPUTED_VALUE"""),"M")</f>
        <v>M</v>
      </c>
      <c r="F539" s="11">
        <f ca="1">IFERROR(__xludf.DUMMYFUNCTION("""COMPUTED_VALUE"""),32524)</f>
        <v>32524</v>
      </c>
      <c r="G539" s="6">
        <f t="shared" ca="1" si="7"/>
        <v>36</v>
      </c>
      <c r="H539" s="6" t="b">
        <f ca="1">(COUNTIFS(Deputados!A539:A1000, A539, Deputados!D539:D1000, "&lt;&gt;57")) = 0</f>
        <v>1</v>
      </c>
    </row>
    <row r="540" spans="1:8" ht="17.399999999999999">
      <c r="A540" s="10">
        <f ca="1">IFERROR(__xludf.DUMMYFUNCTION("""COMPUTED_VALUE"""),539)</f>
        <v>539</v>
      </c>
      <c r="B540" s="10" t="str">
        <f ca="1">IFERROR(__xludf.DUMMYFUNCTION("""COMPUTED_VALUE"""),"Rodrigo Gambale")</f>
        <v>Rodrigo Gambale</v>
      </c>
      <c r="C540" s="10" t="str">
        <f ca="1">IFERROR(__xludf.DUMMYFUNCTION("""COMPUTED_VALUE"""),"SP")</f>
        <v>SP</v>
      </c>
      <c r="D540" s="6" t="str">
        <f t="shared" ca="1" si="6"/>
        <v>Masculino</v>
      </c>
      <c r="E540" s="10" t="str">
        <f ca="1">IFERROR(__xludf.DUMMYFUNCTION("""COMPUTED_VALUE"""),"M")</f>
        <v>M</v>
      </c>
      <c r="F540" s="11">
        <f ca="1">IFERROR(__xludf.DUMMYFUNCTION("""COMPUTED_VALUE"""),30758)</f>
        <v>30758</v>
      </c>
      <c r="G540" s="6">
        <f t="shared" ca="1" si="7"/>
        <v>41</v>
      </c>
      <c r="H540" s="6" t="b">
        <f ca="1">(COUNTIFS(Deputados!A540:A1000, A540, Deputados!D540:D1000, "&lt;&gt;57")) = 0</f>
        <v>1</v>
      </c>
    </row>
    <row r="541" spans="1:8" ht="17.399999999999999">
      <c r="A541" s="10">
        <f ca="1">IFERROR(__xludf.DUMMYFUNCTION("""COMPUTED_VALUE"""),540)</f>
        <v>540</v>
      </c>
      <c r="B541" s="10" t="str">
        <f ca="1">IFERROR(__xludf.DUMMYFUNCTION("""COMPUTED_VALUE"""),"Rodrigo Rollemberg")</f>
        <v>Rodrigo Rollemberg</v>
      </c>
      <c r="C541" s="10" t="str">
        <f ca="1">IFERROR(__xludf.DUMMYFUNCTION("""COMPUTED_VALUE"""),"RJ")</f>
        <v>RJ</v>
      </c>
      <c r="D541" s="6" t="str">
        <f t="shared" ca="1" si="6"/>
        <v>Masculino</v>
      </c>
      <c r="E541" s="10" t="str">
        <f ca="1">IFERROR(__xludf.DUMMYFUNCTION("""COMPUTED_VALUE"""),"M")</f>
        <v>M</v>
      </c>
      <c r="F541" s="11">
        <f ca="1">IFERROR(__xludf.DUMMYFUNCTION("""COMPUTED_VALUE"""),21744)</f>
        <v>21744</v>
      </c>
      <c r="G541" s="6">
        <f t="shared" ca="1" si="7"/>
        <v>66</v>
      </c>
      <c r="H541" s="6" t="b">
        <f ca="1">(COUNTIFS(Deputados!A541:A1000, A541, Deputados!D541:D1000, "&lt;&gt;57")) = 0</f>
        <v>0</v>
      </c>
    </row>
    <row r="542" spans="1:8" ht="17.399999999999999">
      <c r="A542" s="10">
        <f ca="1">IFERROR(__xludf.DUMMYFUNCTION("""COMPUTED_VALUE"""),541)</f>
        <v>541</v>
      </c>
      <c r="B542" s="10" t="str">
        <f ca="1">IFERROR(__xludf.DUMMYFUNCTION("""COMPUTED_VALUE"""),"Rodrigo Valadares")</f>
        <v>Rodrigo Valadares</v>
      </c>
      <c r="C542" s="10" t="str">
        <f ca="1">IFERROR(__xludf.DUMMYFUNCTION("""COMPUTED_VALUE"""),"SE")</f>
        <v>SE</v>
      </c>
      <c r="D542" s="6" t="str">
        <f t="shared" ca="1" si="6"/>
        <v>Masculino</v>
      </c>
      <c r="E542" s="10" t="str">
        <f ca="1">IFERROR(__xludf.DUMMYFUNCTION("""COMPUTED_VALUE"""),"M")</f>
        <v>M</v>
      </c>
      <c r="F542" s="11">
        <f ca="1">IFERROR(__xludf.DUMMYFUNCTION("""COMPUTED_VALUE"""),32726)</f>
        <v>32726</v>
      </c>
      <c r="G542" s="6">
        <f t="shared" ca="1" si="7"/>
        <v>36</v>
      </c>
      <c r="H542" s="6" t="b">
        <f ca="1">(COUNTIFS(Deputados!A542:A1000, A542, Deputados!D542:D1000, "&lt;&gt;57")) = 0</f>
        <v>1</v>
      </c>
    </row>
    <row r="543" spans="1:8" ht="17.399999999999999">
      <c r="A543" s="10">
        <f ca="1">IFERROR(__xludf.DUMMYFUNCTION("""COMPUTED_VALUE"""),542)</f>
        <v>542</v>
      </c>
      <c r="B543" s="10" t="str">
        <f ca="1">IFERROR(__xludf.DUMMYFUNCTION("""COMPUTED_VALUE"""),"Rogéria Santos")</f>
        <v>Rogéria Santos</v>
      </c>
      <c r="C543" s="10" t="str">
        <f ca="1">IFERROR(__xludf.DUMMYFUNCTION("""COMPUTED_VALUE"""),"RJ")</f>
        <v>RJ</v>
      </c>
      <c r="D543" s="6" t="str">
        <f t="shared" ca="1" si="6"/>
        <v>Feminino</v>
      </c>
      <c r="E543" s="10" t="str">
        <f ca="1">IFERROR(__xludf.DUMMYFUNCTION("""COMPUTED_VALUE"""),"F")</f>
        <v>F</v>
      </c>
      <c r="F543" s="11">
        <f ca="1">IFERROR(__xludf.DUMMYFUNCTION("""COMPUTED_VALUE"""),24338)</f>
        <v>24338</v>
      </c>
      <c r="G543" s="6">
        <f t="shared" ca="1" si="7"/>
        <v>59</v>
      </c>
      <c r="H543" s="6" t="b">
        <f ca="1">(COUNTIFS(Deputados!A543:A1000, A543, Deputados!D543:D1000, "&lt;&gt;57")) = 0</f>
        <v>1</v>
      </c>
    </row>
    <row r="544" spans="1:8" ht="17.399999999999999">
      <c r="A544" s="10">
        <f ca="1">IFERROR(__xludf.DUMMYFUNCTION("""COMPUTED_VALUE"""),543)</f>
        <v>543</v>
      </c>
      <c r="B544" s="10" t="str">
        <f ca="1">IFERROR(__xludf.DUMMYFUNCTION("""COMPUTED_VALUE"""),"Rogério Correia")</f>
        <v>Rogério Correia</v>
      </c>
      <c r="C544" s="10" t="str">
        <f ca="1">IFERROR(__xludf.DUMMYFUNCTION("""COMPUTED_VALUE"""),"MG")</f>
        <v>MG</v>
      </c>
      <c r="D544" s="6" t="str">
        <f t="shared" ca="1" si="6"/>
        <v>Masculino</v>
      </c>
      <c r="E544" s="10" t="str">
        <f ca="1">IFERROR(__xludf.DUMMYFUNCTION("""COMPUTED_VALUE"""),"M")</f>
        <v>M</v>
      </c>
      <c r="F544" s="11">
        <f ca="1">IFERROR(__xludf.DUMMYFUNCTION("""COMPUTED_VALUE"""),21196)</f>
        <v>21196</v>
      </c>
      <c r="G544" s="6">
        <f t="shared" ca="1" si="7"/>
        <v>67</v>
      </c>
      <c r="H544" s="6" t="b">
        <f ca="1">(COUNTIFS(Deputados!A544:A1000, A544, Deputados!D544:D1000, "&lt;&gt;57")) = 0</f>
        <v>0</v>
      </c>
    </row>
    <row r="545" spans="1:8" ht="17.399999999999999">
      <c r="A545" s="10">
        <f ca="1">IFERROR(__xludf.DUMMYFUNCTION("""COMPUTED_VALUE"""),544)</f>
        <v>544</v>
      </c>
      <c r="B545" s="10" t="str">
        <f ca="1">IFERROR(__xludf.DUMMYFUNCTION("""COMPUTED_VALUE"""),"Romero Rodrigues")</f>
        <v>Romero Rodrigues</v>
      </c>
      <c r="C545" s="10" t="str">
        <f ca="1">IFERROR(__xludf.DUMMYFUNCTION("""COMPUTED_VALUE"""),"PB")</f>
        <v>PB</v>
      </c>
      <c r="D545" s="6" t="str">
        <f t="shared" ca="1" si="6"/>
        <v>Masculino</v>
      </c>
      <c r="E545" s="10" t="str">
        <f ca="1">IFERROR(__xludf.DUMMYFUNCTION("""COMPUTED_VALUE"""),"M")</f>
        <v>M</v>
      </c>
      <c r="F545" s="11">
        <f ca="1">IFERROR(__xludf.DUMMYFUNCTION("""COMPUTED_VALUE"""),24116)</f>
        <v>24116</v>
      </c>
      <c r="G545" s="6">
        <f t="shared" ca="1" si="7"/>
        <v>59</v>
      </c>
      <c r="H545" s="6" t="b">
        <f ca="1">(COUNTIFS(Deputados!A545:A1000, A545, Deputados!D545:D1000, "&lt;&gt;57")) = 0</f>
        <v>0</v>
      </c>
    </row>
    <row r="546" spans="1:8" ht="17.399999999999999">
      <c r="A546" s="10">
        <f ca="1">IFERROR(__xludf.DUMMYFUNCTION("""COMPUTED_VALUE"""),545)</f>
        <v>545</v>
      </c>
      <c r="B546" s="10" t="str">
        <f ca="1">IFERROR(__xludf.DUMMYFUNCTION("""COMPUTED_VALUE"""),"Ronaldo Nogueira")</f>
        <v>Ronaldo Nogueira</v>
      </c>
      <c r="C546" s="10" t="str">
        <f ca="1">IFERROR(__xludf.DUMMYFUNCTION("""COMPUTED_VALUE"""),"RS")</f>
        <v>RS</v>
      </c>
      <c r="D546" s="6" t="str">
        <f t="shared" ca="1" si="6"/>
        <v>Masculino</v>
      </c>
      <c r="E546" s="10" t="str">
        <f ca="1">IFERROR(__xludf.DUMMYFUNCTION("""COMPUTED_VALUE"""),"M")</f>
        <v>M</v>
      </c>
      <c r="F546" s="11">
        <f ca="1">IFERROR(__xludf.DUMMYFUNCTION("""COMPUTED_VALUE"""),24222)</f>
        <v>24222</v>
      </c>
      <c r="G546" s="6">
        <f t="shared" ca="1" si="7"/>
        <v>59</v>
      </c>
      <c r="H546" s="6" t="b">
        <f ca="1">(COUNTIFS(Deputados!A546:A1000, A546, Deputados!D546:D1000, "&lt;&gt;57")) = 0</f>
        <v>0</v>
      </c>
    </row>
    <row r="547" spans="1:8" ht="17.399999999999999">
      <c r="A547" s="10">
        <f ca="1">IFERROR(__xludf.DUMMYFUNCTION("""COMPUTED_VALUE"""),546)</f>
        <v>546</v>
      </c>
      <c r="B547" s="10" t="str">
        <f ca="1">IFERROR(__xludf.DUMMYFUNCTION("""COMPUTED_VALUE"""),"Rosana Valle")</f>
        <v>Rosana Valle</v>
      </c>
      <c r="C547" s="10" t="str">
        <f ca="1">IFERROR(__xludf.DUMMYFUNCTION("""COMPUTED_VALUE"""),"SP")</f>
        <v>SP</v>
      </c>
      <c r="D547" s="6" t="str">
        <f t="shared" ca="1" si="6"/>
        <v>Feminino</v>
      </c>
      <c r="E547" s="10" t="str">
        <f ca="1">IFERROR(__xludf.DUMMYFUNCTION("""COMPUTED_VALUE"""),"F")</f>
        <v>F</v>
      </c>
      <c r="F547" s="11">
        <f ca="1">IFERROR(__xludf.DUMMYFUNCTION("""COMPUTED_VALUE"""),25331)</f>
        <v>25331</v>
      </c>
      <c r="G547" s="6">
        <f t="shared" ca="1" si="7"/>
        <v>56</v>
      </c>
      <c r="H547" s="6" t="b">
        <f ca="1">(COUNTIFS(Deputados!A547:A1000, A547, Deputados!D547:D1000, "&lt;&gt;57")) = 0</f>
        <v>0</v>
      </c>
    </row>
    <row r="548" spans="1:8" ht="17.399999999999999">
      <c r="A548" s="10">
        <f ca="1">IFERROR(__xludf.DUMMYFUNCTION("""COMPUTED_VALUE"""),547)</f>
        <v>547</v>
      </c>
      <c r="B548" s="10" t="str">
        <f ca="1">IFERROR(__xludf.DUMMYFUNCTION("""COMPUTED_VALUE"""),"Rosangela Gomes")</f>
        <v>Rosangela Gomes</v>
      </c>
      <c r="C548" s="10" t="str">
        <f ca="1">IFERROR(__xludf.DUMMYFUNCTION("""COMPUTED_VALUE"""),"RJ")</f>
        <v>RJ</v>
      </c>
      <c r="D548" s="6" t="str">
        <f t="shared" ca="1" si="6"/>
        <v>Feminino</v>
      </c>
      <c r="E548" s="10" t="str">
        <f ca="1">IFERROR(__xludf.DUMMYFUNCTION("""COMPUTED_VALUE"""),"F")</f>
        <v>F</v>
      </c>
      <c r="F548" s="11">
        <f ca="1">IFERROR(__xludf.DUMMYFUNCTION("""COMPUTED_VALUE"""),24468)</f>
        <v>24468</v>
      </c>
      <c r="G548" s="6">
        <f t="shared" ca="1" si="7"/>
        <v>58</v>
      </c>
      <c r="H548" s="6" t="b">
        <f ca="1">(COUNTIFS(Deputados!A548:A1000, A548, Deputados!D548:D1000, "&lt;&gt;57")) = 0</f>
        <v>0</v>
      </c>
    </row>
    <row r="549" spans="1:8" ht="17.399999999999999">
      <c r="A549" s="10">
        <f ca="1">IFERROR(__xludf.DUMMYFUNCTION("""COMPUTED_VALUE"""),548)</f>
        <v>548</v>
      </c>
      <c r="B549" s="10" t="str">
        <f ca="1">IFERROR(__xludf.DUMMYFUNCTION("""COMPUTED_VALUE"""),"Rosangela Moro")</f>
        <v>Rosangela Moro</v>
      </c>
      <c r="C549" s="10" t="str">
        <f ca="1">IFERROR(__xludf.DUMMYFUNCTION("""COMPUTED_VALUE"""),"PR")</f>
        <v>PR</v>
      </c>
      <c r="D549" s="6" t="str">
        <f t="shared" ca="1" si="6"/>
        <v>Feminino</v>
      </c>
      <c r="E549" s="10" t="str">
        <f ca="1">IFERROR(__xludf.DUMMYFUNCTION("""COMPUTED_VALUE"""),"F")</f>
        <v>F</v>
      </c>
      <c r="F549" s="11">
        <f ca="1">IFERROR(__xludf.DUMMYFUNCTION("""COMPUTED_VALUE"""),27177)</f>
        <v>27177</v>
      </c>
      <c r="G549" s="6">
        <f t="shared" ca="1" si="7"/>
        <v>51</v>
      </c>
      <c r="H549" s="6" t="b">
        <f ca="1">(COUNTIFS(Deputados!A549:A1000, A549, Deputados!D549:D1000, "&lt;&gt;57")) = 0</f>
        <v>1</v>
      </c>
    </row>
    <row r="550" spans="1:8" ht="17.399999999999999">
      <c r="A550" s="10">
        <f ca="1">IFERROR(__xludf.DUMMYFUNCTION("""COMPUTED_VALUE"""),549)</f>
        <v>549</v>
      </c>
      <c r="B550" s="10" t="str">
        <f ca="1">IFERROR(__xludf.DUMMYFUNCTION("""COMPUTED_VALUE"""),"Rosângela Reis")</f>
        <v>Rosângela Reis</v>
      </c>
      <c r="C550" s="10" t="str">
        <f ca="1">IFERROR(__xludf.DUMMYFUNCTION("""COMPUTED_VALUE"""),"MG")</f>
        <v>MG</v>
      </c>
      <c r="D550" s="6" t="str">
        <f t="shared" ca="1" si="6"/>
        <v>Feminino</v>
      </c>
      <c r="E550" s="10" t="str">
        <f ca="1">IFERROR(__xludf.DUMMYFUNCTION("""COMPUTED_VALUE"""),"F")</f>
        <v>F</v>
      </c>
      <c r="F550" s="11">
        <f ca="1">IFERROR(__xludf.DUMMYFUNCTION("""COMPUTED_VALUE"""),23119)</f>
        <v>23119</v>
      </c>
      <c r="G550" s="6">
        <f t="shared" ca="1" si="7"/>
        <v>62</v>
      </c>
      <c r="H550" s="6" t="b">
        <f ca="1">(COUNTIFS(Deputados!A550:A1000, A550, Deputados!D550:D1000, "&lt;&gt;57")) = 0</f>
        <v>1</v>
      </c>
    </row>
    <row r="551" spans="1:8" ht="17.399999999999999">
      <c r="A551" s="10">
        <f ca="1">IFERROR(__xludf.DUMMYFUNCTION("""COMPUTED_VALUE"""),550)</f>
        <v>550</v>
      </c>
      <c r="B551" s="10" t="str">
        <f ca="1">IFERROR(__xludf.DUMMYFUNCTION("""COMPUTED_VALUE"""),"Roseana Sarney")</f>
        <v>Roseana Sarney</v>
      </c>
      <c r="C551" s="10" t="str">
        <f ca="1">IFERROR(__xludf.DUMMYFUNCTION("""COMPUTED_VALUE"""),"MA")</f>
        <v>MA</v>
      </c>
      <c r="D551" s="6" t="str">
        <f t="shared" ca="1" si="6"/>
        <v>Feminino</v>
      </c>
      <c r="E551" s="10" t="str">
        <f ca="1">IFERROR(__xludf.DUMMYFUNCTION("""COMPUTED_VALUE"""),"F")</f>
        <v>F</v>
      </c>
      <c r="F551" s="11">
        <f ca="1">IFERROR(__xludf.DUMMYFUNCTION("""COMPUTED_VALUE"""),19511)</f>
        <v>19511</v>
      </c>
      <c r="G551" s="6">
        <f t="shared" ca="1" si="7"/>
        <v>72</v>
      </c>
      <c r="H551" s="6" t="b">
        <f ca="1">(COUNTIFS(Deputados!A551:A1000, A551, Deputados!D551:D1000, "&lt;&gt;57")) = 0</f>
        <v>0</v>
      </c>
    </row>
    <row r="552" spans="1:8" ht="17.399999999999999">
      <c r="A552" s="10">
        <f ca="1">IFERROR(__xludf.DUMMYFUNCTION("""COMPUTED_VALUE"""),551)</f>
        <v>551</v>
      </c>
      <c r="B552" s="10" t="str">
        <f ca="1">IFERROR(__xludf.DUMMYFUNCTION("""COMPUTED_VALUE"""),"Rubens Otoni")</f>
        <v>Rubens Otoni</v>
      </c>
      <c r="C552" s="10" t="str">
        <f ca="1">IFERROR(__xludf.DUMMYFUNCTION("""COMPUTED_VALUE"""),"GO")</f>
        <v>GO</v>
      </c>
      <c r="D552" s="6" t="str">
        <f t="shared" ca="1" si="6"/>
        <v>Masculino</v>
      </c>
      <c r="E552" s="10" t="str">
        <f ca="1">IFERROR(__xludf.DUMMYFUNCTION("""COMPUTED_VALUE"""),"M")</f>
        <v>M</v>
      </c>
      <c r="F552" s="11">
        <f ca="1">IFERROR(__xludf.DUMMYFUNCTION("""COMPUTED_VALUE"""),20491)</f>
        <v>20491</v>
      </c>
      <c r="G552" s="6">
        <f t="shared" ca="1" si="7"/>
        <v>69</v>
      </c>
      <c r="H552" s="6" t="b">
        <f ca="1">(COUNTIFS(Deputados!A552:A1000, A552, Deputados!D552:D1000, "&lt;&gt;57")) = 0</f>
        <v>0</v>
      </c>
    </row>
    <row r="553" spans="1:8" ht="17.399999999999999">
      <c r="A553" s="10">
        <f ca="1">IFERROR(__xludf.DUMMYFUNCTION("""COMPUTED_VALUE"""),552)</f>
        <v>552</v>
      </c>
      <c r="B553" s="10" t="str">
        <f ca="1">IFERROR(__xludf.DUMMYFUNCTION("""COMPUTED_VALUE"""),"Rubens Pereira Júnior")</f>
        <v>Rubens Pereira Júnior</v>
      </c>
      <c r="C553" s="10" t="str">
        <f ca="1">IFERROR(__xludf.DUMMYFUNCTION("""COMPUTED_VALUE"""),"MA")</f>
        <v>MA</v>
      </c>
      <c r="D553" s="6" t="str">
        <f t="shared" ca="1" si="6"/>
        <v>Masculino</v>
      </c>
      <c r="E553" s="10" t="str">
        <f ca="1">IFERROR(__xludf.DUMMYFUNCTION("""COMPUTED_VALUE"""),"M")</f>
        <v>M</v>
      </c>
      <c r="F553" s="11">
        <f ca="1">IFERROR(__xludf.DUMMYFUNCTION("""COMPUTED_VALUE"""),30757)</f>
        <v>30757</v>
      </c>
      <c r="G553" s="6">
        <f t="shared" ca="1" si="7"/>
        <v>41</v>
      </c>
      <c r="H553" s="6" t="b">
        <f ca="1">(COUNTIFS(Deputados!A553:A1000, A553, Deputados!D553:D1000, "&lt;&gt;57")) = 0</f>
        <v>0</v>
      </c>
    </row>
    <row r="554" spans="1:8" ht="17.399999999999999">
      <c r="A554" s="10">
        <f ca="1">IFERROR(__xludf.DUMMYFUNCTION("""COMPUTED_VALUE"""),553)</f>
        <v>553</v>
      </c>
      <c r="B554" s="10" t="str">
        <f ca="1">IFERROR(__xludf.DUMMYFUNCTION("""COMPUTED_VALUE"""),"Rui Falcão")</f>
        <v>Rui Falcão</v>
      </c>
      <c r="C554" s="10" t="str">
        <f ca="1">IFERROR(__xludf.DUMMYFUNCTION("""COMPUTED_VALUE"""),"MG")</f>
        <v>MG</v>
      </c>
      <c r="D554" s="6" t="str">
        <f t="shared" ca="1" si="6"/>
        <v>Masculino</v>
      </c>
      <c r="E554" s="10" t="str">
        <f ca="1">IFERROR(__xludf.DUMMYFUNCTION("""COMPUTED_VALUE"""),"M")</f>
        <v>M</v>
      </c>
      <c r="F554" s="11">
        <f ca="1">IFERROR(__xludf.DUMMYFUNCTION("""COMPUTED_VALUE"""),16036)</f>
        <v>16036</v>
      </c>
      <c r="G554" s="6">
        <f t="shared" ca="1" si="7"/>
        <v>81</v>
      </c>
      <c r="H554" s="6" t="b">
        <f ca="1">(COUNTIFS(Deputados!A554:A1000, A554, Deputados!D554:D1000, "&lt;&gt;57")) = 0</f>
        <v>0</v>
      </c>
    </row>
    <row r="555" spans="1:8" ht="17.399999999999999">
      <c r="A555" s="10">
        <f ca="1">IFERROR(__xludf.DUMMYFUNCTION("""COMPUTED_VALUE"""),554)</f>
        <v>554</v>
      </c>
      <c r="B555" s="10" t="str">
        <f ca="1">IFERROR(__xludf.DUMMYFUNCTION("""COMPUTED_VALUE"""),"Ruy Carneiro")</f>
        <v>Ruy Carneiro</v>
      </c>
      <c r="C555" s="10" t="str">
        <f ca="1">IFERROR(__xludf.DUMMYFUNCTION("""COMPUTED_VALUE"""),"PB")</f>
        <v>PB</v>
      </c>
      <c r="D555" s="6" t="str">
        <f t="shared" ca="1" si="6"/>
        <v>Masculino</v>
      </c>
      <c r="E555" s="10" t="str">
        <f ca="1">IFERROR(__xludf.DUMMYFUNCTION("""COMPUTED_VALUE"""),"M")</f>
        <v>M</v>
      </c>
      <c r="F555" s="11">
        <f ca="1">IFERROR(__xludf.DUMMYFUNCTION("""COMPUTED_VALUE"""),25797)</f>
        <v>25797</v>
      </c>
      <c r="G555" s="6">
        <f t="shared" ca="1" si="7"/>
        <v>55</v>
      </c>
      <c r="H555" s="6" t="b">
        <f ca="1">(COUNTIFS(Deputados!A555:A1000, A555, Deputados!D555:D1000, "&lt;&gt;57")) = 0</f>
        <v>0</v>
      </c>
    </row>
    <row r="556" spans="1:8" ht="17.399999999999999">
      <c r="A556" s="10">
        <f ca="1">IFERROR(__xludf.DUMMYFUNCTION("""COMPUTED_VALUE"""),555)</f>
        <v>555</v>
      </c>
      <c r="B556" s="10" t="str">
        <f ca="1">IFERROR(__xludf.DUMMYFUNCTION("""COMPUTED_VALUE"""),"Sâmia Bomfim")</f>
        <v>Sâmia Bomfim</v>
      </c>
      <c r="C556" s="10" t="str">
        <f ca="1">IFERROR(__xludf.DUMMYFUNCTION("""COMPUTED_VALUE"""),"SP")</f>
        <v>SP</v>
      </c>
      <c r="D556" s="6" t="str">
        <f t="shared" ca="1" si="6"/>
        <v>Feminino</v>
      </c>
      <c r="E556" s="10" t="str">
        <f ca="1">IFERROR(__xludf.DUMMYFUNCTION("""COMPUTED_VALUE"""),"F")</f>
        <v>F</v>
      </c>
      <c r="F556" s="11">
        <f ca="1">IFERROR(__xludf.DUMMYFUNCTION("""COMPUTED_VALUE"""),32742)</f>
        <v>32742</v>
      </c>
      <c r="G556" s="6">
        <f t="shared" ca="1" si="7"/>
        <v>36</v>
      </c>
      <c r="H556" s="6" t="b">
        <f ca="1">(COUNTIFS(Deputados!A556:A1000, A556, Deputados!D556:D1000, "&lt;&gt;57")) = 0</f>
        <v>0</v>
      </c>
    </row>
    <row r="557" spans="1:8" ht="17.399999999999999">
      <c r="A557" s="10">
        <f ca="1">IFERROR(__xludf.DUMMYFUNCTION("""COMPUTED_VALUE"""),556)</f>
        <v>556</v>
      </c>
      <c r="B557" s="10" t="str">
        <f ca="1">IFERROR(__xludf.DUMMYFUNCTION("""COMPUTED_VALUE"""),"Samuel Santos")</f>
        <v>Samuel Santos</v>
      </c>
      <c r="C557" s="10" t="str">
        <f ca="1">IFERROR(__xludf.DUMMYFUNCTION("""COMPUTED_VALUE"""),"BA")</f>
        <v>BA</v>
      </c>
      <c r="D557" s="6" t="str">
        <f t="shared" ca="1" si="6"/>
        <v>Masculino</v>
      </c>
      <c r="E557" s="10" t="str">
        <f ca="1">IFERROR(__xludf.DUMMYFUNCTION("""COMPUTED_VALUE"""),"M")</f>
        <v>M</v>
      </c>
      <c r="F557" s="11">
        <f ca="1">IFERROR(__xludf.DUMMYFUNCTION("""COMPUTED_VALUE"""),26209)</f>
        <v>26209</v>
      </c>
      <c r="G557" s="6">
        <f t="shared" ca="1" si="7"/>
        <v>53</v>
      </c>
      <c r="H557" s="6" t="b">
        <f ca="1">(COUNTIFS(Deputados!A557:A1000, A557, Deputados!D557:D1000, "&lt;&gt;57")) = 0</f>
        <v>1</v>
      </c>
    </row>
    <row r="558" spans="1:8" ht="17.399999999999999">
      <c r="A558" s="10">
        <f ca="1">IFERROR(__xludf.DUMMYFUNCTION("""COMPUTED_VALUE"""),557)</f>
        <v>557</v>
      </c>
      <c r="B558" s="10" t="str">
        <f ca="1">IFERROR(__xludf.DUMMYFUNCTION("""COMPUTED_VALUE"""),"Samuel Viana")</f>
        <v>Samuel Viana</v>
      </c>
      <c r="C558" s="10" t="str">
        <f ca="1">IFERROR(__xludf.DUMMYFUNCTION("""COMPUTED_VALUE"""),"MG")</f>
        <v>MG</v>
      </c>
      <c r="D558" s="6" t="str">
        <f t="shared" ca="1" si="6"/>
        <v>Masculino</v>
      </c>
      <c r="E558" s="10" t="str">
        <f ca="1">IFERROR(__xludf.DUMMYFUNCTION("""COMPUTED_VALUE"""),"M")</f>
        <v>M</v>
      </c>
      <c r="F558" s="11">
        <f ca="1">IFERROR(__xludf.DUMMYFUNCTION("""COMPUTED_VALUE"""),33668)</f>
        <v>33668</v>
      </c>
      <c r="G558" s="6">
        <f t="shared" ca="1" si="7"/>
        <v>33</v>
      </c>
      <c r="H558" s="6" t="b">
        <f ca="1">(COUNTIFS(Deputados!A558:A1000, A558, Deputados!D558:D1000, "&lt;&gt;57")) = 0</f>
        <v>1</v>
      </c>
    </row>
    <row r="559" spans="1:8" ht="17.399999999999999">
      <c r="A559" s="10">
        <f ca="1">IFERROR(__xludf.DUMMYFUNCTION("""COMPUTED_VALUE"""),558)</f>
        <v>558</v>
      </c>
      <c r="B559" s="10" t="str">
        <f ca="1">IFERROR(__xludf.DUMMYFUNCTION("""COMPUTED_VALUE"""),"Sanderson")</f>
        <v>Sanderson</v>
      </c>
      <c r="C559" s="10" t="str">
        <f ca="1">IFERROR(__xludf.DUMMYFUNCTION("""COMPUTED_VALUE"""),"RS")</f>
        <v>RS</v>
      </c>
      <c r="D559" s="6" t="str">
        <f t="shared" ca="1" si="6"/>
        <v>Masculino</v>
      </c>
      <c r="E559" s="10" t="str">
        <f ca="1">IFERROR(__xludf.DUMMYFUNCTION("""COMPUTED_VALUE"""),"M")</f>
        <v>M</v>
      </c>
      <c r="F559" s="11">
        <f ca="1">IFERROR(__xludf.DUMMYFUNCTION("""COMPUTED_VALUE"""),25538)</f>
        <v>25538</v>
      </c>
      <c r="G559" s="6">
        <f t="shared" ca="1" si="7"/>
        <v>55</v>
      </c>
      <c r="H559" s="6" t="b">
        <f ca="1">(COUNTIFS(Deputados!A559:A1000, A559, Deputados!D559:D1000, "&lt;&gt;57")) = 0</f>
        <v>0</v>
      </c>
    </row>
    <row r="560" spans="1:8" ht="17.399999999999999">
      <c r="A560" s="10">
        <f ca="1">IFERROR(__xludf.DUMMYFUNCTION("""COMPUTED_VALUE"""),559)</f>
        <v>559</v>
      </c>
      <c r="B560" s="10" t="str">
        <f ca="1">IFERROR(__xludf.DUMMYFUNCTION("""COMPUTED_VALUE"""),"Sandro Alex")</f>
        <v>Sandro Alex</v>
      </c>
      <c r="C560" s="10" t="str">
        <f ca="1">IFERROR(__xludf.DUMMYFUNCTION("""COMPUTED_VALUE"""),"PR")</f>
        <v>PR</v>
      </c>
      <c r="D560" s="6" t="str">
        <f t="shared" ca="1" si="6"/>
        <v>Masculino</v>
      </c>
      <c r="E560" s="10" t="str">
        <f ca="1">IFERROR(__xludf.DUMMYFUNCTION("""COMPUTED_VALUE"""),"M")</f>
        <v>M</v>
      </c>
      <c r="F560" s="11">
        <f ca="1">IFERROR(__xludf.DUMMYFUNCTION("""COMPUTED_VALUE"""),26628)</f>
        <v>26628</v>
      </c>
      <c r="G560" s="6">
        <f t="shared" ca="1" si="7"/>
        <v>52</v>
      </c>
      <c r="H560" s="6" t="b">
        <f ca="1">(COUNTIFS(Deputados!A560:A1000, A560, Deputados!D560:D1000, "&lt;&gt;57")) = 0</f>
        <v>0</v>
      </c>
    </row>
    <row r="561" spans="1:8" ht="17.399999999999999">
      <c r="A561" s="10">
        <f ca="1">IFERROR(__xludf.DUMMYFUNCTION("""COMPUTED_VALUE"""),560)</f>
        <v>560</v>
      </c>
      <c r="B561" s="10" t="str">
        <f ca="1">IFERROR(__xludf.DUMMYFUNCTION("""COMPUTED_VALUE"""),"Sargento Fahur")</f>
        <v>Sargento Fahur</v>
      </c>
      <c r="C561" s="10" t="str">
        <f ca="1">IFERROR(__xludf.DUMMYFUNCTION("""COMPUTED_VALUE"""),"PR")</f>
        <v>PR</v>
      </c>
      <c r="D561" s="6" t="str">
        <f t="shared" ca="1" si="6"/>
        <v>Masculino</v>
      </c>
      <c r="E561" s="10" t="str">
        <f ca="1">IFERROR(__xludf.DUMMYFUNCTION("""COMPUTED_VALUE"""),"M")</f>
        <v>M</v>
      </c>
      <c r="F561" s="11">
        <f ca="1">IFERROR(__xludf.DUMMYFUNCTION("""COMPUTED_VALUE"""),23321)</f>
        <v>23321</v>
      </c>
      <c r="G561" s="6">
        <f t="shared" ca="1" si="7"/>
        <v>61</v>
      </c>
      <c r="H561" s="6" t="b">
        <f ca="1">(COUNTIFS(Deputados!A561:A1000, A561, Deputados!D561:D1000, "&lt;&gt;57")) = 0</f>
        <v>0</v>
      </c>
    </row>
    <row r="562" spans="1:8" ht="17.399999999999999">
      <c r="A562" s="10">
        <f ca="1">IFERROR(__xludf.DUMMYFUNCTION("""COMPUTED_VALUE"""),561)</f>
        <v>561</v>
      </c>
      <c r="B562" s="10" t="str">
        <f ca="1">IFERROR(__xludf.DUMMYFUNCTION("""COMPUTED_VALUE"""),"Sargento Gonçalves")</f>
        <v>Sargento Gonçalves</v>
      </c>
      <c r="C562" s="10" t="str">
        <f ca="1">IFERROR(__xludf.DUMMYFUNCTION("""COMPUTED_VALUE"""),"PB")</f>
        <v>PB</v>
      </c>
      <c r="D562" s="6" t="str">
        <f t="shared" ca="1" si="6"/>
        <v>Masculino</v>
      </c>
      <c r="E562" s="10" t="str">
        <f ca="1">IFERROR(__xludf.DUMMYFUNCTION("""COMPUTED_VALUE"""),"M")</f>
        <v>M</v>
      </c>
      <c r="F562" s="11">
        <f ca="1">IFERROR(__xludf.DUMMYFUNCTION("""COMPUTED_VALUE"""),30739)</f>
        <v>30739</v>
      </c>
      <c r="G562" s="6">
        <f t="shared" ca="1" si="7"/>
        <v>41</v>
      </c>
      <c r="H562" s="6" t="b">
        <f ca="1">(COUNTIFS(Deputados!A562:A1000, A562, Deputados!D562:D1000, "&lt;&gt;57")) = 0</f>
        <v>1</v>
      </c>
    </row>
    <row r="563" spans="1:8" ht="17.399999999999999">
      <c r="A563" s="10">
        <f ca="1">IFERROR(__xludf.DUMMYFUNCTION("""COMPUTED_VALUE"""),562)</f>
        <v>562</v>
      </c>
      <c r="B563" s="10" t="str">
        <f ca="1">IFERROR(__xludf.DUMMYFUNCTION("""COMPUTED_VALUE"""),"Sargento Portugal")</f>
        <v>Sargento Portugal</v>
      </c>
      <c r="C563" s="10" t="str">
        <f ca="1">IFERROR(__xludf.DUMMYFUNCTION("""COMPUTED_VALUE"""),"RJ")</f>
        <v>RJ</v>
      </c>
      <c r="D563" s="6" t="str">
        <f t="shared" ca="1" si="6"/>
        <v>Masculino</v>
      </c>
      <c r="E563" s="10" t="str">
        <f ca="1">IFERROR(__xludf.DUMMYFUNCTION("""COMPUTED_VALUE"""),"M")</f>
        <v>M</v>
      </c>
      <c r="F563" s="11">
        <f ca="1">IFERROR(__xludf.DUMMYFUNCTION("""COMPUTED_VALUE"""),27998)</f>
        <v>27998</v>
      </c>
      <c r="G563" s="6">
        <f t="shared" ca="1" si="7"/>
        <v>49</v>
      </c>
      <c r="H563" s="6" t="b">
        <f ca="1">(COUNTIFS(Deputados!A563:A1000, A563, Deputados!D563:D1000, "&lt;&gt;57")) = 0</f>
        <v>1</v>
      </c>
    </row>
    <row r="564" spans="1:8" ht="17.399999999999999">
      <c r="A564" s="10">
        <f ca="1">IFERROR(__xludf.DUMMYFUNCTION("""COMPUTED_VALUE"""),563)</f>
        <v>563</v>
      </c>
      <c r="B564" s="10" t="str">
        <f ca="1">IFERROR(__xludf.DUMMYFUNCTION("""COMPUTED_VALUE"""),"Saullo Vianna")</f>
        <v>Saullo Vianna</v>
      </c>
      <c r="C564" s="10" t="str">
        <f ca="1">IFERROR(__xludf.DUMMYFUNCTION("""COMPUTED_VALUE"""),"AM")</f>
        <v>AM</v>
      </c>
      <c r="D564" s="6" t="str">
        <f t="shared" ca="1" si="6"/>
        <v>Masculino</v>
      </c>
      <c r="E564" s="10" t="str">
        <f ca="1">IFERROR(__xludf.DUMMYFUNCTION("""COMPUTED_VALUE"""),"M")</f>
        <v>M</v>
      </c>
      <c r="F564" s="11">
        <f ca="1">IFERROR(__xludf.DUMMYFUNCTION("""COMPUTED_VALUE"""),30855)</f>
        <v>30855</v>
      </c>
      <c r="G564" s="6">
        <f t="shared" ca="1" si="7"/>
        <v>41</v>
      </c>
      <c r="H564" s="6" t="b">
        <f ca="1">(COUNTIFS(Deputados!A564:A1000, A564, Deputados!D564:D1000, "&lt;&gt;57")) = 0</f>
        <v>1</v>
      </c>
    </row>
    <row r="565" spans="1:8" ht="17.399999999999999">
      <c r="A565" s="10">
        <f ca="1">IFERROR(__xludf.DUMMYFUNCTION("""COMPUTED_VALUE"""),564)</f>
        <v>564</v>
      </c>
      <c r="B565" s="10" t="str">
        <f ca="1">IFERROR(__xludf.DUMMYFUNCTION("""COMPUTED_VALUE"""),"Saulo Pedroso")</f>
        <v>Saulo Pedroso</v>
      </c>
      <c r="C565" s="10" t="str">
        <f ca="1">IFERROR(__xludf.DUMMYFUNCTION("""COMPUTED_VALUE"""),"SP")</f>
        <v>SP</v>
      </c>
      <c r="D565" s="6" t="str">
        <f t="shared" ca="1" si="6"/>
        <v>Masculino</v>
      </c>
      <c r="E565" s="10" t="str">
        <f ca="1">IFERROR(__xludf.DUMMYFUNCTION("""COMPUTED_VALUE"""),"M")</f>
        <v>M</v>
      </c>
      <c r="F565" s="11">
        <f ca="1">IFERROR(__xludf.DUMMYFUNCTION("""COMPUTED_VALUE"""),30337)</f>
        <v>30337</v>
      </c>
      <c r="G565" s="6">
        <f t="shared" ca="1" si="7"/>
        <v>42</v>
      </c>
      <c r="H565" s="6" t="b">
        <f ca="1">(COUNTIFS(Deputados!A565:A1000, A565, Deputados!D565:D1000, "&lt;&gt;57")) = 0</f>
        <v>1</v>
      </c>
    </row>
    <row r="566" spans="1:8" ht="17.399999999999999">
      <c r="A566" s="10">
        <f ca="1">IFERROR(__xludf.DUMMYFUNCTION("""COMPUTED_VALUE"""),565)</f>
        <v>565</v>
      </c>
      <c r="B566" s="10" t="str">
        <f ca="1">IFERROR(__xludf.DUMMYFUNCTION("""COMPUTED_VALUE"""),"Sérgio Brito")</f>
        <v>Sérgio Brito</v>
      </c>
      <c r="C566" s="10" t="str">
        <f ca="1">IFERROR(__xludf.DUMMYFUNCTION("""COMPUTED_VALUE"""),"BA")</f>
        <v>BA</v>
      </c>
      <c r="D566" s="6" t="str">
        <f t="shared" ca="1" si="6"/>
        <v>Masculino</v>
      </c>
      <c r="E566" s="10" t="str">
        <f ca="1">IFERROR(__xludf.DUMMYFUNCTION("""COMPUTED_VALUE"""),"M")</f>
        <v>M</v>
      </c>
      <c r="F566" s="11">
        <f ca="1">IFERROR(__xludf.DUMMYFUNCTION("""COMPUTED_VALUE"""),22440)</f>
        <v>22440</v>
      </c>
      <c r="G566" s="6">
        <f t="shared" ca="1" si="7"/>
        <v>64</v>
      </c>
      <c r="H566" s="6" t="b">
        <f ca="1">(COUNTIFS(Deputados!A566:A1000, A566, Deputados!D566:D1000, "&lt;&gt;57")) = 0</f>
        <v>0</v>
      </c>
    </row>
    <row r="567" spans="1:8" ht="17.399999999999999">
      <c r="A567" s="10">
        <f ca="1">IFERROR(__xludf.DUMMYFUNCTION("""COMPUTED_VALUE"""),566)</f>
        <v>566</v>
      </c>
      <c r="B567" s="10" t="str">
        <f ca="1">IFERROR(__xludf.DUMMYFUNCTION("""COMPUTED_VALUE"""),"Sergio Souza")</f>
        <v>Sergio Souza</v>
      </c>
      <c r="C567" s="10" t="str">
        <f ca="1">IFERROR(__xludf.DUMMYFUNCTION("""COMPUTED_VALUE"""),"PR")</f>
        <v>PR</v>
      </c>
      <c r="D567" s="6" t="str">
        <f t="shared" ca="1" si="6"/>
        <v>Masculino</v>
      </c>
      <c r="E567" s="10" t="str">
        <f ca="1">IFERROR(__xludf.DUMMYFUNCTION("""COMPUTED_VALUE"""),"M")</f>
        <v>M</v>
      </c>
      <c r="F567" s="11">
        <f ca="1">IFERROR(__xludf.DUMMYFUNCTION("""COMPUTED_VALUE"""),26005)</f>
        <v>26005</v>
      </c>
      <c r="G567" s="6">
        <f t="shared" ca="1" si="7"/>
        <v>54</v>
      </c>
      <c r="H567" s="6" t="b">
        <f ca="1">(COUNTIFS(Deputados!A567:A1000, A567, Deputados!D567:D1000, "&lt;&gt;57")) = 0</f>
        <v>0</v>
      </c>
    </row>
    <row r="568" spans="1:8" ht="17.399999999999999">
      <c r="A568" s="10">
        <f ca="1">IFERROR(__xludf.DUMMYFUNCTION("""COMPUTED_VALUE"""),567)</f>
        <v>567</v>
      </c>
      <c r="B568" s="10" t="str">
        <f ca="1">IFERROR(__xludf.DUMMYFUNCTION("""COMPUTED_VALUE"""),"Sidney Leite")</f>
        <v>Sidney Leite</v>
      </c>
      <c r="C568" s="10" t="str">
        <f ca="1">IFERROR(__xludf.DUMMYFUNCTION("""COMPUTED_VALUE"""),"AM")</f>
        <v>AM</v>
      </c>
      <c r="D568" s="6" t="str">
        <f t="shared" ca="1" si="6"/>
        <v>Masculino</v>
      </c>
      <c r="E568" s="10" t="str">
        <f ca="1">IFERROR(__xludf.DUMMYFUNCTION("""COMPUTED_VALUE"""),"M")</f>
        <v>M</v>
      </c>
      <c r="F568" s="11">
        <f ca="1">IFERROR(__xludf.DUMMYFUNCTION("""COMPUTED_VALUE"""),24570)</f>
        <v>24570</v>
      </c>
      <c r="G568" s="6">
        <f t="shared" ca="1" si="7"/>
        <v>58</v>
      </c>
      <c r="H568" s="6" t="b">
        <f ca="1">(COUNTIFS(Deputados!A568:A1000, A568, Deputados!D568:D1000, "&lt;&gt;57")) = 0</f>
        <v>0</v>
      </c>
    </row>
    <row r="569" spans="1:8" ht="17.399999999999999">
      <c r="A569" s="10">
        <f ca="1">IFERROR(__xludf.DUMMYFUNCTION("""COMPUTED_VALUE"""),568)</f>
        <v>568</v>
      </c>
      <c r="B569" s="10" t="str">
        <f ca="1">IFERROR(__xludf.DUMMYFUNCTION("""COMPUTED_VALUE"""),"Silas Câmara")</f>
        <v>Silas Câmara</v>
      </c>
      <c r="C569" s="10" t="str">
        <f ca="1">IFERROR(__xludf.DUMMYFUNCTION("""COMPUTED_VALUE"""),"AC")</f>
        <v>AC</v>
      </c>
      <c r="D569" s="6" t="str">
        <f t="shared" ca="1" si="6"/>
        <v>Masculino</v>
      </c>
      <c r="E569" s="10" t="str">
        <f ca="1">IFERROR(__xludf.DUMMYFUNCTION("""COMPUTED_VALUE"""),"M")</f>
        <v>M</v>
      </c>
      <c r="F569" s="11">
        <f ca="1">IFERROR(__xludf.DUMMYFUNCTION("""COMPUTED_VALUE"""),22995)</f>
        <v>22995</v>
      </c>
      <c r="G569" s="6">
        <f t="shared" ca="1" si="7"/>
        <v>62</v>
      </c>
      <c r="H569" s="6" t="b">
        <f ca="1">(COUNTIFS(Deputados!A569:A1000, A569, Deputados!D569:D1000, "&lt;&gt;57")) = 0</f>
        <v>0</v>
      </c>
    </row>
    <row r="570" spans="1:8" ht="17.399999999999999">
      <c r="A570" s="10">
        <f ca="1">IFERROR(__xludf.DUMMYFUNCTION("""COMPUTED_VALUE"""),569)</f>
        <v>569</v>
      </c>
      <c r="B570" s="10" t="str">
        <f ca="1">IFERROR(__xludf.DUMMYFUNCTION("""COMPUTED_VALUE"""),"Silvia Cristina")</f>
        <v>Silvia Cristina</v>
      </c>
      <c r="C570" s="10" t="str">
        <f ca="1">IFERROR(__xludf.DUMMYFUNCTION("""COMPUTED_VALUE"""),"ES")</f>
        <v>ES</v>
      </c>
      <c r="D570" s="6" t="str">
        <f t="shared" ca="1" si="6"/>
        <v>Feminino</v>
      </c>
      <c r="E570" s="10" t="str">
        <f ca="1">IFERROR(__xludf.DUMMYFUNCTION("""COMPUTED_VALUE"""),"F")</f>
        <v>F</v>
      </c>
      <c r="F570" s="11">
        <f ca="1">IFERROR(__xludf.DUMMYFUNCTION("""COMPUTED_VALUE"""),27044)</f>
        <v>27044</v>
      </c>
      <c r="G570" s="6">
        <f t="shared" ca="1" si="7"/>
        <v>51</v>
      </c>
      <c r="H570" s="6" t="b">
        <f ca="1">(COUNTIFS(Deputados!A570:A1000, A570, Deputados!D570:D1000, "&lt;&gt;57")) = 0</f>
        <v>0</v>
      </c>
    </row>
    <row r="571" spans="1:8" ht="17.399999999999999">
      <c r="A571" s="10">
        <f ca="1">IFERROR(__xludf.DUMMYFUNCTION("""COMPUTED_VALUE"""),570)</f>
        <v>570</v>
      </c>
      <c r="B571" s="10" t="str">
        <f ca="1">IFERROR(__xludf.DUMMYFUNCTION("""COMPUTED_VALUE"""),"Silvia Waiãpi")</f>
        <v>Silvia Waiãpi</v>
      </c>
      <c r="C571" s="10" t="str">
        <f ca="1">IFERROR(__xludf.DUMMYFUNCTION("""COMPUTED_VALUE"""),"AP")</f>
        <v>AP</v>
      </c>
      <c r="D571" s="6" t="str">
        <f t="shared" ca="1" si="6"/>
        <v>Feminino</v>
      </c>
      <c r="E571" s="10" t="str">
        <f ca="1">IFERROR(__xludf.DUMMYFUNCTION("""COMPUTED_VALUE"""),"F")</f>
        <v>F</v>
      </c>
      <c r="F571" s="11">
        <f ca="1">IFERROR(__xludf.DUMMYFUNCTION("""COMPUTED_VALUE"""),27635)</f>
        <v>27635</v>
      </c>
      <c r="G571" s="6">
        <f t="shared" ca="1" si="7"/>
        <v>50</v>
      </c>
      <c r="H571" s="6" t="b">
        <f ca="1">(COUNTIFS(Deputados!A571:A1000, A571, Deputados!D571:D1000, "&lt;&gt;57")) = 0</f>
        <v>1</v>
      </c>
    </row>
    <row r="572" spans="1:8" ht="17.399999999999999">
      <c r="A572" s="10">
        <f ca="1">IFERROR(__xludf.DUMMYFUNCTION("""COMPUTED_VALUE"""),571)</f>
        <v>571</v>
      </c>
      <c r="B572" s="10" t="str">
        <f ca="1">IFERROR(__xludf.DUMMYFUNCTION("""COMPUTED_VALUE"""),"Silvio Antonio")</f>
        <v>Silvio Antonio</v>
      </c>
      <c r="C572" s="10" t="str">
        <f ca="1">IFERROR(__xludf.DUMMYFUNCTION("""COMPUTED_VALUE"""),"MA")</f>
        <v>MA</v>
      </c>
      <c r="D572" s="6" t="str">
        <f t="shared" ca="1" si="6"/>
        <v>Masculino</v>
      </c>
      <c r="E572" s="10" t="str">
        <f ca="1">IFERROR(__xludf.DUMMYFUNCTION("""COMPUTED_VALUE"""),"M")</f>
        <v>M</v>
      </c>
      <c r="F572" s="11">
        <f ca="1">IFERROR(__xludf.DUMMYFUNCTION("""COMPUTED_VALUE"""),25421)</f>
        <v>25421</v>
      </c>
      <c r="G572" s="6">
        <f t="shared" ca="1" si="7"/>
        <v>56</v>
      </c>
      <c r="H572" s="6" t="b">
        <f ca="1">(COUNTIFS(Deputados!A572:A1000, A572, Deputados!D572:D1000, "&lt;&gt;57")) = 0</f>
        <v>1</v>
      </c>
    </row>
    <row r="573" spans="1:8" ht="17.399999999999999">
      <c r="A573" s="10">
        <f ca="1">IFERROR(__xludf.DUMMYFUNCTION("""COMPUTED_VALUE"""),572)</f>
        <v>572</v>
      </c>
      <c r="B573" s="10" t="str">
        <f ca="1">IFERROR(__xludf.DUMMYFUNCTION("""COMPUTED_VALUE"""),"Silvio Costa Filho")</f>
        <v>Silvio Costa Filho</v>
      </c>
      <c r="C573" s="10" t="str">
        <f ca="1">IFERROR(__xludf.DUMMYFUNCTION("""COMPUTED_VALUE"""),"PE")</f>
        <v>PE</v>
      </c>
      <c r="D573" s="6" t="str">
        <f t="shared" ca="1" si="6"/>
        <v>Masculino</v>
      </c>
      <c r="E573" s="10" t="str">
        <f ca="1">IFERROR(__xludf.DUMMYFUNCTION("""COMPUTED_VALUE"""),"M")</f>
        <v>M</v>
      </c>
      <c r="F573" s="11">
        <f ca="1">IFERROR(__xludf.DUMMYFUNCTION("""COMPUTED_VALUE"""),30015)</f>
        <v>30015</v>
      </c>
      <c r="G573" s="6">
        <f t="shared" ca="1" si="7"/>
        <v>43</v>
      </c>
      <c r="H573" s="6" t="b">
        <f ca="1">(COUNTIFS(Deputados!A573:A1000, A573, Deputados!D573:D1000, "&lt;&gt;57")) = 0</f>
        <v>0</v>
      </c>
    </row>
    <row r="574" spans="1:8" ht="17.399999999999999">
      <c r="A574" s="10">
        <f ca="1">IFERROR(__xludf.DUMMYFUNCTION("""COMPUTED_VALUE"""),573)</f>
        <v>573</v>
      </c>
      <c r="B574" s="10" t="str">
        <f ca="1">IFERROR(__xludf.DUMMYFUNCTION("""COMPUTED_VALUE"""),"Silvye Alves")</f>
        <v>Silvye Alves</v>
      </c>
      <c r="C574" s="10" t="str">
        <f ca="1">IFERROR(__xludf.DUMMYFUNCTION("""COMPUTED_VALUE"""),"GO")</f>
        <v>GO</v>
      </c>
      <c r="D574" s="6" t="str">
        <f t="shared" ca="1" si="6"/>
        <v>Feminino</v>
      </c>
      <c r="E574" s="10" t="str">
        <f ca="1">IFERROR(__xludf.DUMMYFUNCTION("""COMPUTED_VALUE"""),"F")</f>
        <v>F</v>
      </c>
      <c r="F574" s="11">
        <f ca="1">IFERROR(__xludf.DUMMYFUNCTION("""COMPUTED_VALUE"""),29533)</f>
        <v>29533</v>
      </c>
      <c r="G574" s="6">
        <f t="shared" ca="1" si="7"/>
        <v>44</v>
      </c>
      <c r="H574" s="6" t="b">
        <f ca="1">(COUNTIFS(Deputados!A574:A1000, A574, Deputados!D574:D1000, "&lt;&gt;57")) = 0</f>
        <v>1</v>
      </c>
    </row>
    <row r="575" spans="1:8" ht="17.399999999999999">
      <c r="A575" s="10">
        <f ca="1">IFERROR(__xludf.DUMMYFUNCTION("""COMPUTED_VALUE"""),574)</f>
        <v>574</v>
      </c>
      <c r="B575" s="10" t="str">
        <f ca="1">IFERROR(__xludf.DUMMYFUNCTION("""COMPUTED_VALUE"""),"Simone Marquetto")</f>
        <v>Simone Marquetto</v>
      </c>
      <c r="C575" s="10" t="str">
        <f ca="1">IFERROR(__xludf.DUMMYFUNCTION("""COMPUTED_VALUE"""),"SP")</f>
        <v>SP</v>
      </c>
      <c r="D575" s="6" t="str">
        <f t="shared" ca="1" si="6"/>
        <v>Feminino</v>
      </c>
      <c r="E575" s="10" t="str">
        <f ca="1">IFERROR(__xludf.DUMMYFUNCTION("""COMPUTED_VALUE"""),"F")</f>
        <v>F</v>
      </c>
      <c r="F575" s="11">
        <f ca="1">IFERROR(__xludf.DUMMYFUNCTION("""COMPUTED_VALUE"""),27657)</f>
        <v>27657</v>
      </c>
      <c r="G575" s="6">
        <f t="shared" ca="1" si="7"/>
        <v>49</v>
      </c>
      <c r="H575" s="6" t="b">
        <f ca="1">(COUNTIFS(Deputados!A575:A1000, A575, Deputados!D575:D1000, "&lt;&gt;57")) = 0</f>
        <v>1</v>
      </c>
    </row>
    <row r="576" spans="1:8" ht="17.399999999999999">
      <c r="A576" s="10">
        <f ca="1">IFERROR(__xludf.DUMMYFUNCTION("""COMPUTED_VALUE"""),575)</f>
        <v>575</v>
      </c>
      <c r="B576" s="10" t="str">
        <f ca="1">IFERROR(__xludf.DUMMYFUNCTION("""COMPUTED_VALUE"""),"Socorro Neri")</f>
        <v>Socorro Neri</v>
      </c>
      <c r="C576" s="10" t="str">
        <f ca="1">IFERROR(__xludf.DUMMYFUNCTION("""COMPUTED_VALUE"""),"AC")</f>
        <v>AC</v>
      </c>
      <c r="D576" s="6" t="str">
        <f t="shared" ca="1" si="6"/>
        <v>Feminino</v>
      </c>
      <c r="E576" s="10" t="str">
        <f ca="1">IFERROR(__xludf.DUMMYFUNCTION("""COMPUTED_VALUE"""),"F")</f>
        <v>F</v>
      </c>
      <c r="F576" s="11">
        <f ca="1">IFERROR(__xludf.DUMMYFUNCTION("""COMPUTED_VALUE"""),24246)</f>
        <v>24246</v>
      </c>
      <c r="G576" s="6">
        <f t="shared" ca="1" si="7"/>
        <v>59</v>
      </c>
      <c r="H576" s="6" t="b">
        <f ca="1">(COUNTIFS(Deputados!A576:A1000, A576, Deputados!D576:D1000, "&lt;&gt;57")) = 0</f>
        <v>1</v>
      </c>
    </row>
    <row r="577" spans="1:8" ht="17.399999999999999">
      <c r="A577" s="10">
        <f ca="1">IFERROR(__xludf.DUMMYFUNCTION("""COMPUTED_VALUE"""),576)</f>
        <v>576</v>
      </c>
      <c r="B577" s="10" t="str">
        <f ca="1">IFERROR(__xludf.DUMMYFUNCTION("""COMPUTED_VALUE"""),"Sônia Guajajara")</f>
        <v>Sônia Guajajara</v>
      </c>
      <c r="C577" s="10" t="str">
        <f ca="1">IFERROR(__xludf.DUMMYFUNCTION("""COMPUTED_VALUE"""),"MA")</f>
        <v>MA</v>
      </c>
      <c r="D577" s="6" t="str">
        <f t="shared" ca="1" si="6"/>
        <v>Feminino</v>
      </c>
      <c r="E577" s="10" t="str">
        <f ca="1">IFERROR(__xludf.DUMMYFUNCTION("""COMPUTED_VALUE"""),"F")</f>
        <v>F</v>
      </c>
      <c r="F577" s="11">
        <f ca="1">IFERROR(__xludf.DUMMYFUNCTION("""COMPUTED_VALUE"""),27094)</f>
        <v>27094</v>
      </c>
      <c r="G577" s="6">
        <f t="shared" ca="1" si="7"/>
        <v>51</v>
      </c>
      <c r="H577" s="6" t="b">
        <f ca="1">(COUNTIFS(Deputados!A577:A1000, A577, Deputados!D577:D1000, "&lt;&gt;57")) = 0</f>
        <v>1</v>
      </c>
    </row>
    <row r="578" spans="1:8" ht="17.399999999999999">
      <c r="A578" s="10">
        <f ca="1">IFERROR(__xludf.DUMMYFUNCTION("""COMPUTED_VALUE"""),577)</f>
        <v>577</v>
      </c>
      <c r="B578" s="10" t="str">
        <f ca="1">IFERROR(__xludf.DUMMYFUNCTION("""COMPUTED_VALUE"""),"Sonize Barbosa")</f>
        <v>Sonize Barbosa</v>
      </c>
      <c r="C578" s="10" t="str">
        <f ca="1">IFERROR(__xludf.DUMMYFUNCTION("""COMPUTED_VALUE"""),"AP")</f>
        <v>AP</v>
      </c>
      <c r="D578" s="6" t="str">
        <f t="shared" ca="1" si="6"/>
        <v>Feminino</v>
      </c>
      <c r="E578" s="10" t="str">
        <f ca="1">IFERROR(__xludf.DUMMYFUNCTION("""COMPUTED_VALUE"""),"F")</f>
        <v>F</v>
      </c>
      <c r="F578" s="11">
        <f ca="1">IFERROR(__xludf.DUMMYFUNCTION("""COMPUTED_VALUE"""),26065)</f>
        <v>26065</v>
      </c>
      <c r="G578" s="6">
        <f t="shared" ca="1" si="7"/>
        <v>54</v>
      </c>
      <c r="H578" s="6" t="b">
        <f ca="1">(COUNTIFS(Deputados!A578:A1000, A578, Deputados!D578:D1000, "&lt;&gt;57")) = 0</f>
        <v>1</v>
      </c>
    </row>
    <row r="579" spans="1:8" ht="17.399999999999999">
      <c r="A579" s="10">
        <f ca="1">IFERROR(__xludf.DUMMYFUNCTION("""COMPUTED_VALUE"""),578)</f>
        <v>578</v>
      </c>
      <c r="B579" s="10" t="str">
        <f ca="1">IFERROR(__xludf.DUMMYFUNCTION("""COMPUTED_VALUE"""),"Soraya Santos")</f>
        <v>Soraya Santos</v>
      </c>
      <c r="C579" s="10" t="str">
        <f ca="1">IFERROR(__xludf.DUMMYFUNCTION("""COMPUTED_VALUE"""),"RJ")</f>
        <v>RJ</v>
      </c>
      <c r="D579" s="6" t="str">
        <f t="shared" ca="1" si="6"/>
        <v>Feminino</v>
      </c>
      <c r="E579" s="10" t="str">
        <f ca="1">IFERROR(__xludf.DUMMYFUNCTION("""COMPUTED_VALUE"""),"F")</f>
        <v>F</v>
      </c>
      <c r="F579" s="11">
        <f ca="1">IFERROR(__xludf.DUMMYFUNCTION("""COMPUTED_VALUE"""),21523)</f>
        <v>21523</v>
      </c>
      <c r="G579" s="6">
        <f t="shared" ca="1" si="7"/>
        <v>66</v>
      </c>
      <c r="H579" s="6" t="b">
        <f ca="1">(COUNTIFS(Deputados!A579:A1000, A579, Deputados!D579:D1000, "&lt;&gt;57")) = 0</f>
        <v>0</v>
      </c>
    </row>
    <row r="580" spans="1:8" ht="17.399999999999999">
      <c r="A580" s="10">
        <f ca="1">IFERROR(__xludf.DUMMYFUNCTION("""COMPUTED_VALUE"""),579)</f>
        <v>579</v>
      </c>
      <c r="B580" s="10" t="str">
        <f ca="1">IFERROR(__xludf.DUMMYFUNCTION("""COMPUTED_VALUE"""),"Sóstenes Cavalcante")</f>
        <v>Sóstenes Cavalcante</v>
      </c>
      <c r="C580" s="10" t="str">
        <f ca="1">IFERROR(__xludf.DUMMYFUNCTION("""COMPUTED_VALUE"""),"AL")</f>
        <v>AL</v>
      </c>
      <c r="D580" s="6" t="str">
        <f t="shared" ca="1" si="6"/>
        <v>Masculino</v>
      </c>
      <c r="E580" s="10" t="str">
        <f ca="1">IFERROR(__xludf.DUMMYFUNCTION("""COMPUTED_VALUE"""),"M")</f>
        <v>M</v>
      </c>
      <c r="F580" s="11">
        <f ca="1">IFERROR(__xludf.DUMMYFUNCTION("""COMPUTED_VALUE"""),27410)</f>
        <v>27410</v>
      </c>
      <c r="G580" s="6">
        <f t="shared" ca="1" si="7"/>
        <v>50</v>
      </c>
      <c r="H580" s="6" t="b">
        <f ca="1">(COUNTIFS(Deputados!A580:A1000, A580, Deputados!D580:D1000, "&lt;&gt;57")) = 0</f>
        <v>0</v>
      </c>
    </row>
    <row r="581" spans="1:8" ht="17.399999999999999">
      <c r="A581" s="10">
        <f ca="1">IFERROR(__xludf.DUMMYFUNCTION("""COMPUTED_VALUE"""),580)</f>
        <v>580</v>
      </c>
      <c r="B581" s="10" t="str">
        <f ca="1">IFERROR(__xludf.DUMMYFUNCTION("""COMPUTED_VALUE"""),"Stefano Aguiar")</f>
        <v>Stefano Aguiar</v>
      </c>
      <c r="C581" s="10" t="str">
        <f ca="1">IFERROR(__xludf.DUMMYFUNCTION("""COMPUTED_VALUE"""),"MG")</f>
        <v>MG</v>
      </c>
      <c r="D581" s="6" t="str">
        <f t="shared" ca="1" si="6"/>
        <v>Masculino</v>
      </c>
      <c r="E581" s="10" t="str">
        <f ca="1">IFERROR(__xludf.DUMMYFUNCTION("""COMPUTED_VALUE"""),"M")</f>
        <v>M</v>
      </c>
      <c r="F581" s="11">
        <f ca="1">IFERROR(__xludf.DUMMYFUNCTION("""COMPUTED_VALUE"""),27822)</f>
        <v>27822</v>
      </c>
      <c r="G581" s="6">
        <f t="shared" ca="1" si="7"/>
        <v>49</v>
      </c>
      <c r="H581" s="6" t="b">
        <f ca="1">(COUNTIFS(Deputados!A581:A1000, A581, Deputados!D581:D1000, "&lt;&gt;57")) = 0</f>
        <v>0</v>
      </c>
    </row>
    <row r="582" spans="1:8" ht="17.399999999999999">
      <c r="A582" s="10">
        <f ca="1">IFERROR(__xludf.DUMMYFUNCTION("""COMPUTED_VALUE"""),581)</f>
        <v>581</v>
      </c>
      <c r="B582" s="10" t="str">
        <f ca="1">IFERROR(__xludf.DUMMYFUNCTION("""COMPUTED_VALUE"""),"Tabata Amaral")</f>
        <v>Tabata Amaral</v>
      </c>
      <c r="C582" s="10" t="str">
        <f ca="1">IFERROR(__xludf.DUMMYFUNCTION("""COMPUTED_VALUE"""),"SP")</f>
        <v>SP</v>
      </c>
      <c r="D582" s="6" t="str">
        <f t="shared" ca="1" si="6"/>
        <v>Feminino</v>
      </c>
      <c r="E582" s="10" t="str">
        <f ca="1">IFERROR(__xludf.DUMMYFUNCTION("""COMPUTED_VALUE"""),"F")</f>
        <v>F</v>
      </c>
      <c r="F582" s="11">
        <f ca="1">IFERROR(__xludf.DUMMYFUNCTION("""COMPUTED_VALUE"""),34287)</f>
        <v>34287</v>
      </c>
      <c r="G582" s="6">
        <f t="shared" ca="1" si="7"/>
        <v>31</v>
      </c>
      <c r="H582" s="6" t="b">
        <f ca="1">(COUNTIFS(Deputados!A582:A1000, A582, Deputados!D582:D1000, "&lt;&gt;57")) = 0</f>
        <v>0</v>
      </c>
    </row>
    <row r="583" spans="1:8" ht="17.399999999999999">
      <c r="A583" s="10">
        <f ca="1">IFERROR(__xludf.DUMMYFUNCTION("""COMPUTED_VALUE"""),582)</f>
        <v>582</v>
      </c>
      <c r="B583" s="10" t="str">
        <f ca="1">IFERROR(__xludf.DUMMYFUNCTION("""COMPUTED_VALUE"""),"Tadeu Oliveira")</f>
        <v>Tadeu Oliveira</v>
      </c>
      <c r="C583" s="10" t="str">
        <f ca="1">IFERROR(__xludf.DUMMYFUNCTION("""COMPUTED_VALUE"""),"CE")</f>
        <v>CE</v>
      </c>
      <c r="D583" s="6" t="str">
        <f t="shared" ca="1" si="6"/>
        <v>Masculino</v>
      </c>
      <c r="E583" s="10" t="str">
        <f ca="1">IFERROR(__xludf.DUMMYFUNCTION("""COMPUTED_VALUE"""),"M")</f>
        <v>M</v>
      </c>
      <c r="F583" s="11">
        <f ca="1">IFERROR(__xludf.DUMMYFUNCTION("""COMPUTED_VALUE"""),24405)</f>
        <v>24405</v>
      </c>
      <c r="G583" s="6">
        <f t="shared" ca="1" si="7"/>
        <v>58</v>
      </c>
      <c r="H583" s="6" t="b">
        <f ca="1">(COUNTIFS(Deputados!A583:A1000, A583, Deputados!D583:D1000, "&lt;&gt;57")) = 0</f>
        <v>1</v>
      </c>
    </row>
    <row r="584" spans="1:8" ht="17.399999999999999">
      <c r="A584" s="10">
        <f ca="1">IFERROR(__xludf.DUMMYFUNCTION("""COMPUTED_VALUE"""),583)</f>
        <v>583</v>
      </c>
      <c r="B584" s="10" t="str">
        <f ca="1">IFERROR(__xludf.DUMMYFUNCTION("""COMPUTED_VALUE"""),"Tadeu Veneri")</f>
        <v>Tadeu Veneri</v>
      </c>
      <c r="C584" s="10" t="str">
        <f ca="1">IFERROR(__xludf.DUMMYFUNCTION("""COMPUTED_VALUE"""),"PR")</f>
        <v>PR</v>
      </c>
      <c r="D584" s="6" t="str">
        <f t="shared" ca="1" si="6"/>
        <v>Masculino</v>
      </c>
      <c r="E584" s="10" t="str">
        <f ca="1">IFERROR(__xludf.DUMMYFUNCTION("""COMPUTED_VALUE"""),"M")</f>
        <v>M</v>
      </c>
      <c r="F584" s="11">
        <f ca="1">IFERROR(__xludf.DUMMYFUNCTION("""COMPUTED_VALUE"""),19400)</f>
        <v>19400</v>
      </c>
      <c r="G584" s="6">
        <f t="shared" ca="1" si="7"/>
        <v>72</v>
      </c>
      <c r="H584" s="6" t="b">
        <f ca="1">(COUNTIFS(Deputados!A584:A1000, A584, Deputados!D584:D1000, "&lt;&gt;57")) = 0</f>
        <v>1</v>
      </c>
    </row>
    <row r="585" spans="1:8" ht="17.399999999999999">
      <c r="A585" s="10">
        <f ca="1">IFERROR(__xludf.DUMMYFUNCTION("""COMPUTED_VALUE"""),584)</f>
        <v>584</v>
      </c>
      <c r="B585" s="10" t="str">
        <f ca="1">IFERROR(__xludf.DUMMYFUNCTION("""COMPUTED_VALUE"""),"Talíria Petrone")</f>
        <v>Talíria Petrone</v>
      </c>
      <c r="C585" s="10" t="str">
        <f ca="1">IFERROR(__xludf.DUMMYFUNCTION("""COMPUTED_VALUE"""),"RJ")</f>
        <v>RJ</v>
      </c>
      <c r="D585" s="6" t="str">
        <f t="shared" ca="1" si="6"/>
        <v>Feminino</v>
      </c>
      <c r="E585" s="10" t="str">
        <f ca="1">IFERROR(__xludf.DUMMYFUNCTION("""COMPUTED_VALUE"""),"F")</f>
        <v>F</v>
      </c>
      <c r="F585" s="11">
        <f ca="1">IFERROR(__xludf.DUMMYFUNCTION("""COMPUTED_VALUE"""),31146)</f>
        <v>31146</v>
      </c>
      <c r="G585" s="6">
        <f t="shared" ca="1" si="7"/>
        <v>40</v>
      </c>
      <c r="H585" s="6" t="b">
        <f ca="1">(COUNTIFS(Deputados!A585:A1000, A585, Deputados!D585:D1000, "&lt;&gt;57")) = 0</f>
        <v>0</v>
      </c>
    </row>
    <row r="586" spans="1:8" ht="17.399999999999999">
      <c r="A586" s="10">
        <f ca="1">IFERROR(__xludf.DUMMYFUNCTION("""COMPUTED_VALUE"""),585)</f>
        <v>585</v>
      </c>
      <c r="B586" s="10" t="str">
        <f ca="1">IFERROR(__xludf.DUMMYFUNCTION("""COMPUTED_VALUE"""),"Tarcísio Motta")</f>
        <v>Tarcísio Motta</v>
      </c>
      <c r="C586" s="10" t="str">
        <f ca="1">IFERROR(__xludf.DUMMYFUNCTION("""COMPUTED_VALUE"""),"RJ")</f>
        <v>RJ</v>
      </c>
      <c r="D586" s="6" t="str">
        <f t="shared" ca="1" si="6"/>
        <v>Masculino</v>
      </c>
      <c r="E586" s="10" t="str">
        <f ca="1">IFERROR(__xludf.DUMMYFUNCTION("""COMPUTED_VALUE"""),"M")</f>
        <v>M</v>
      </c>
      <c r="F586" s="11">
        <f ca="1">IFERROR(__xludf.DUMMYFUNCTION("""COMPUTED_VALUE"""),27422)</f>
        <v>27422</v>
      </c>
      <c r="G586" s="6">
        <f t="shared" ca="1" si="7"/>
        <v>50</v>
      </c>
      <c r="H586" s="6" t="b">
        <f ca="1">(COUNTIFS(Deputados!A586:A1000, A586, Deputados!D586:D1000, "&lt;&gt;57")) = 0</f>
        <v>1</v>
      </c>
    </row>
    <row r="587" spans="1:8" ht="17.399999999999999">
      <c r="A587" s="10">
        <f ca="1">IFERROR(__xludf.DUMMYFUNCTION("""COMPUTED_VALUE"""),586)</f>
        <v>586</v>
      </c>
      <c r="B587" s="10" t="str">
        <f ca="1">IFERROR(__xludf.DUMMYFUNCTION("""COMPUTED_VALUE"""),"Thiago de Joaldo")</f>
        <v>Thiago de Joaldo</v>
      </c>
      <c r="C587" s="10" t="str">
        <f ca="1">IFERROR(__xludf.DUMMYFUNCTION("""COMPUTED_VALUE"""),"SP")</f>
        <v>SP</v>
      </c>
      <c r="D587" s="6" t="str">
        <f t="shared" ca="1" si="6"/>
        <v>Masculino</v>
      </c>
      <c r="E587" s="10" t="str">
        <f ca="1">IFERROR(__xludf.DUMMYFUNCTION("""COMPUTED_VALUE"""),"M")</f>
        <v>M</v>
      </c>
      <c r="F587" s="11">
        <f ca="1">IFERROR(__xludf.DUMMYFUNCTION("""COMPUTED_VALUE"""),30122)</f>
        <v>30122</v>
      </c>
      <c r="G587" s="6">
        <f t="shared" ca="1" si="7"/>
        <v>43</v>
      </c>
      <c r="H587" s="6" t="b">
        <f ca="1">(COUNTIFS(Deputados!A587:A1000, A587, Deputados!D587:D1000, "&lt;&gt;57")) = 0</f>
        <v>1</v>
      </c>
    </row>
    <row r="588" spans="1:8" ht="17.399999999999999">
      <c r="A588" s="10">
        <f ca="1">IFERROR(__xludf.DUMMYFUNCTION("""COMPUTED_VALUE"""),587)</f>
        <v>587</v>
      </c>
      <c r="B588" s="10" t="str">
        <f ca="1">IFERROR(__xludf.DUMMYFUNCTION("""COMPUTED_VALUE"""),"Thiago Flores")</f>
        <v>Thiago Flores</v>
      </c>
      <c r="C588" s="10" t="str">
        <f ca="1">IFERROR(__xludf.DUMMYFUNCTION("""COMPUTED_VALUE"""),"SP")</f>
        <v>SP</v>
      </c>
      <c r="D588" s="6" t="str">
        <f t="shared" ca="1" si="6"/>
        <v>Masculino</v>
      </c>
      <c r="E588" s="10" t="str">
        <f ca="1">IFERROR(__xludf.DUMMYFUNCTION("""COMPUTED_VALUE"""),"M")</f>
        <v>M</v>
      </c>
      <c r="F588" s="11">
        <f ca="1">IFERROR(__xludf.DUMMYFUNCTION("""COMPUTED_VALUE"""),29405)</f>
        <v>29405</v>
      </c>
      <c r="G588" s="6">
        <f t="shared" ca="1" si="7"/>
        <v>45</v>
      </c>
      <c r="H588" s="6" t="b">
        <f ca="1">(COUNTIFS(Deputados!A588:A1000, A588, Deputados!D588:D1000, "&lt;&gt;57")) = 0</f>
        <v>1</v>
      </c>
    </row>
    <row r="589" spans="1:8" ht="17.399999999999999">
      <c r="A589" s="10">
        <f ca="1">IFERROR(__xludf.DUMMYFUNCTION("""COMPUTED_VALUE"""),588)</f>
        <v>588</v>
      </c>
      <c r="B589" s="10" t="str">
        <f ca="1">IFERROR(__xludf.DUMMYFUNCTION("""COMPUTED_VALUE"""),"Tiago Dimas")</f>
        <v>Tiago Dimas</v>
      </c>
      <c r="C589" s="10" t="str">
        <f ca="1">IFERROR(__xludf.DUMMYFUNCTION("""COMPUTED_VALUE"""),"MG")</f>
        <v>MG</v>
      </c>
      <c r="D589" s="6" t="str">
        <f t="shared" ca="1" si="6"/>
        <v>Masculino</v>
      </c>
      <c r="E589" s="10" t="str">
        <f ca="1">IFERROR(__xludf.DUMMYFUNCTION("""COMPUTED_VALUE"""),"M")</f>
        <v>M</v>
      </c>
      <c r="F589" s="11">
        <f ca="1">IFERROR(__xludf.DUMMYFUNCTION("""COMPUTED_VALUE"""),32359)</f>
        <v>32359</v>
      </c>
      <c r="G589" s="6">
        <f t="shared" ca="1" si="7"/>
        <v>37</v>
      </c>
      <c r="H589" s="6" t="b">
        <f ca="1">(COUNTIFS(Deputados!A589:A1000, A589, Deputados!D589:D1000, "&lt;&gt;57")) = 0</f>
        <v>0</v>
      </c>
    </row>
    <row r="590" spans="1:8" ht="17.399999999999999">
      <c r="A590" s="10">
        <f ca="1">IFERROR(__xludf.DUMMYFUNCTION("""COMPUTED_VALUE"""),589)</f>
        <v>589</v>
      </c>
      <c r="B590" s="10" t="str">
        <f ca="1">IFERROR(__xludf.DUMMYFUNCTION("""COMPUTED_VALUE"""),"Tião Medeiros")</f>
        <v>Tião Medeiros</v>
      </c>
      <c r="C590" s="10" t="str">
        <f ca="1">IFERROR(__xludf.DUMMYFUNCTION("""COMPUTED_VALUE"""),"PR")</f>
        <v>PR</v>
      </c>
      <c r="D590" s="6" t="str">
        <f t="shared" ca="1" si="6"/>
        <v>Masculino</v>
      </c>
      <c r="E590" s="10" t="str">
        <f ca="1">IFERROR(__xludf.DUMMYFUNCTION("""COMPUTED_VALUE"""),"M")</f>
        <v>M</v>
      </c>
      <c r="F590" s="11">
        <f ca="1">IFERROR(__xludf.DUMMYFUNCTION("""COMPUTED_VALUE"""),30324)</f>
        <v>30324</v>
      </c>
      <c r="G590" s="6">
        <f t="shared" ca="1" si="7"/>
        <v>42</v>
      </c>
      <c r="H590" s="6" t="b">
        <f ca="1">(COUNTIFS(Deputados!A590:A1000, A590, Deputados!D590:D1000, "&lt;&gt;57")) = 0</f>
        <v>1</v>
      </c>
    </row>
    <row r="591" spans="1:8" ht="17.399999999999999">
      <c r="A591" s="10">
        <f ca="1">IFERROR(__xludf.DUMMYFUNCTION("""COMPUTED_VALUE"""),590)</f>
        <v>590</v>
      </c>
      <c r="B591" s="10" t="str">
        <f ca="1">IFERROR(__xludf.DUMMYFUNCTION("""COMPUTED_VALUE"""),"Tiririca")</f>
        <v>Tiririca</v>
      </c>
      <c r="C591" s="10" t="str">
        <f ca="1">IFERROR(__xludf.DUMMYFUNCTION("""COMPUTED_VALUE"""),"CE")</f>
        <v>CE</v>
      </c>
      <c r="D591" s="6" t="str">
        <f t="shared" ca="1" si="6"/>
        <v>Masculino</v>
      </c>
      <c r="E591" s="10" t="str">
        <f ca="1">IFERROR(__xludf.DUMMYFUNCTION("""COMPUTED_VALUE"""),"M")</f>
        <v>M</v>
      </c>
      <c r="F591" s="11">
        <f ca="1">IFERROR(__xludf.DUMMYFUNCTION("""COMPUTED_VALUE"""),23863)</f>
        <v>23863</v>
      </c>
      <c r="G591" s="6">
        <f t="shared" ca="1" si="7"/>
        <v>60</v>
      </c>
      <c r="H591" s="6" t="b">
        <f ca="1">(COUNTIFS(Deputados!A591:A1000, A591, Deputados!D591:D1000, "&lt;&gt;57")) = 0</f>
        <v>0</v>
      </c>
    </row>
    <row r="592" spans="1:8" ht="17.399999999999999">
      <c r="A592" s="10">
        <f ca="1">IFERROR(__xludf.DUMMYFUNCTION("""COMPUTED_VALUE"""),591)</f>
        <v>591</v>
      </c>
      <c r="B592" s="10" t="str">
        <f ca="1">IFERROR(__xludf.DUMMYFUNCTION("""COMPUTED_VALUE"""),"Toninho Wandscheer")</f>
        <v>Toninho Wandscheer</v>
      </c>
      <c r="C592" s="10" t="str">
        <f ca="1">IFERROR(__xludf.DUMMYFUNCTION("""COMPUTED_VALUE"""),"PR")</f>
        <v>PR</v>
      </c>
      <c r="D592" s="6" t="str">
        <f t="shared" ca="1" si="6"/>
        <v>Masculino</v>
      </c>
      <c r="E592" s="10" t="str">
        <f ca="1">IFERROR(__xludf.DUMMYFUNCTION("""COMPUTED_VALUE"""),"M")</f>
        <v>M</v>
      </c>
      <c r="F592" s="11">
        <f ca="1">IFERROR(__xludf.DUMMYFUNCTION("""COMPUTED_VALUE"""),18506)</f>
        <v>18506</v>
      </c>
      <c r="G592" s="6">
        <f t="shared" ca="1" si="7"/>
        <v>75</v>
      </c>
      <c r="H592" s="6" t="b">
        <f ca="1">(COUNTIFS(Deputados!A592:A1000, A592, Deputados!D592:D1000, "&lt;&gt;57")) = 0</f>
        <v>0</v>
      </c>
    </row>
    <row r="593" spans="1:8" ht="17.399999999999999">
      <c r="A593" s="10">
        <f ca="1">IFERROR(__xludf.DUMMYFUNCTION("""COMPUTED_VALUE"""),592)</f>
        <v>592</v>
      </c>
      <c r="B593" s="10" t="str">
        <f ca="1">IFERROR(__xludf.DUMMYFUNCTION("""COMPUTED_VALUE"""),"Túlio Gadêlha")</f>
        <v>Túlio Gadêlha</v>
      </c>
      <c r="C593" s="10" t="str">
        <f ca="1">IFERROR(__xludf.DUMMYFUNCTION("""COMPUTED_VALUE"""),"PE")</f>
        <v>PE</v>
      </c>
      <c r="D593" s="6" t="str">
        <f t="shared" ca="1" si="6"/>
        <v>Masculino</v>
      </c>
      <c r="E593" s="10" t="str">
        <f ca="1">IFERROR(__xludf.DUMMYFUNCTION("""COMPUTED_VALUE"""),"M")</f>
        <v>M</v>
      </c>
      <c r="F593" s="11">
        <f ca="1">IFERROR(__xludf.DUMMYFUNCTION("""COMPUTED_VALUE"""),32093)</f>
        <v>32093</v>
      </c>
      <c r="G593" s="6">
        <f t="shared" ca="1" si="7"/>
        <v>37</v>
      </c>
      <c r="H593" s="6" t="b">
        <f ca="1">(COUNTIFS(Deputados!A593:A1000, A593, Deputados!D593:D1000, "&lt;&gt;57")) = 0</f>
        <v>0</v>
      </c>
    </row>
    <row r="594" spans="1:8" ht="17.399999999999999">
      <c r="A594" s="10">
        <f ca="1">IFERROR(__xludf.DUMMYFUNCTION("""COMPUTED_VALUE"""),593)</f>
        <v>593</v>
      </c>
      <c r="B594" s="10" t="str">
        <f ca="1">IFERROR(__xludf.DUMMYFUNCTION("""COMPUTED_VALUE"""),"Ulisses Guimarães")</f>
        <v>Ulisses Guimarães</v>
      </c>
      <c r="C594" s="10" t="str">
        <f ca="1">IFERROR(__xludf.DUMMYFUNCTION("""COMPUTED_VALUE"""),"MG")</f>
        <v>MG</v>
      </c>
      <c r="D594" s="6" t="str">
        <f t="shared" ca="1" si="6"/>
        <v>Masculino</v>
      </c>
      <c r="E594" s="10" t="str">
        <f ca="1">IFERROR(__xludf.DUMMYFUNCTION("""COMPUTED_VALUE"""),"M")</f>
        <v>M</v>
      </c>
      <c r="F594" s="11">
        <f ca="1">IFERROR(__xludf.DUMMYFUNCTION("""COMPUTED_VALUE"""),32561)</f>
        <v>32561</v>
      </c>
      <c r="G594" s="6">
        <f t="shared" ca="1" si="7"/>
        <v>36</v>
      </c>
      <c r="H594" s="6" t="b">
        <f ca="1">(COUNTIFS(Deputados!A594:A1000, A594, Deputados!D594:D1000, "&lt;&gt;57")) = 0</f>
        <v>1</v>
      </c>
    </row>
    <row r="595" spans="1:8" ht="17.399999999999999">
      <c r="A595" s="10">
        <f ca="1">IFERROR(__xludf.DUMMYFUNCTION("""COMPUTED_VALUE"""),594)</f>
        <v>594</v>
      </c>
      <c r="B595" s="10" t="str">
        <f ca="1">IFERROR(__xludf.DUMMYFUNCTION("""COMPUTED_VALUE"""),"Valmir Assunção")</f>
        <v>Valmir Assunção</v>
      </c>
      <c r="C595" s="10" t="str">
        <f ca="1">IFERROR(__xludf.DUMMYFUNCTION("""COMPUTED_VALUE"""),"BA")</f>
        <v>BA</v>
      </c>
      <c r="D595" s="6" t="str">
        <f t="shared" ca="1" si="6"/>
        <v>Masculino</v>
      </c>
      <c r="E595" s="10" t="str">
        <f ca="1">IFERROR(__xludf.DUMMYFUNCTION("""COMPUTED_VALUE"""),"M")</f>
        <v>M</v>
      </c>
      <c r="F595" s="11">
        <f ca="1">IFERROR(__xludf.DUMMYFUNCTION("""COMPUTED_VALUE"""),23728)</f>
        <v>23728</v>
      </c>
      <c r="G595" s="6">
        <f t="shared" ca="1" si="7"/>
        <v>60</v>
      </c>
      <c r="H595" s="6" t="b">
        <f ca="1">(COUNTIFS(Deputados!A595:A1000, A595, Deputados!D595:D1000, "&lt;&gt;57")) = 0</f>
        <v>0</v>
      </c>
    </row>
    <row r="596" spans="1:8" ht="17.399999999999999">
      <c r="A596" s="10">
        <f ca="1">IFERROR(__xludf.DUMMYFUNCTION("""COMPUTED_VALUE"""),595)</f>
        <v>595</v>
      </c>
      <c r="B596" s="10" t="str">
        <f ca="1">IFERROR(__xludf.DUMMYFUNCTION("""COMPUTED_VALUE"""),"Vander Loubet")</f>
        <v>Vander Loubet</v>
      </c>
      <c r="C596" s="10" t="str">
        <f ca="1">IFERROR(__xludf.DUMMYFUNCTION("""COMPUTED_VALUE"""),"MS")</f>
        <v>MS</v>
      </c>
      <c r="D596" s="6" t="str">
        <f t="shared" ca="1" si="6"/>
        <v>Masculino</v>
      </c>
      <c r="E596" s="10" t="str">
        <f ca="1">IFERROR(__xludf.DUMMYFUNCTION("""COMPUTED_VALUE"""),"M")</f>
        <v>M</v>
      </c>
      <c r="F596" s="11">
        <f ca="1">IFERROR(__xludf.DUMMYFUNCTION("""COMPUTED_VALUE"""),23398)</f>
        <v>23398</v>
      </c>
      <c r="G596" s="6">
        <f t="shared" ca="1" si="7"/>
        <v>61</v>
      </c>
      <c r="H596" s="6" t="b">
        <f ca="1">(COUNTIFS(Deputados!A596:A1000, A596, Deputados!D596:D1000, "&lt;&gt;57")) = 0</f>
        <v>0</v>
      </c>
    </row>
    <row r="597" spans="1:8" ht="17.399999999999999">
      <c r="A597" s="10">
        <f ca="1">IFERROR(__xludf.DUMMYFUNCTION("""COMPUTED_VALUE"""),596)</f>
        <v>596</v>
      </c>
      <c r="B597" s="10" t="str">
        <f ca="1">IFERROR(__xludf.DUMMYFUNCTION("""COMPUTED_VALUE"""),"Vermelho")</f>
        <v>Vermelho</v>
      </c>
      <c r="C597" s="10" t="str">
        <f ca="1">IFERROR(__xludf.DUMMYFUNCTION("""COMPUTED_VALUE"""),"PR")</f>
        <v>PR</v>
      </c>
      <c r="D597" s="6" t="str">
        <f t="shared" ca="1" si="6"/>
        <v>Masculino</v>
      </c>
      <c r="E597" s="10" t="str">
        <f ca="1">IFERROR(__xludf.DUMMYFUNCTION("""COMPUTED_VALUE"""),"M")</f>
        <v>M</v>
      </c>
      <c r="F597" s="11">
        <f ca="1">IFERROR(__xludf.DUMMYFUNCTION("""COMPUTED_VALUE"""),21610)</f>
        <v>21610</v>
      </c>
      <c r="G597" s="6">
        <f t="shared" ca="1" si="7"/>
        <v>66</v>
      </c>
      <c r="H597" s="6" t="b">
        <f ca="1">(COUNTIFS(Deputados!A597:A1000, A597, Deputados!D597:D1000, "&lt;&gt;57")) = 0</f>
        <v>0</v>
      </c>
    </row>
    <row r="598" spans="1:8" ht="17.399999999999999">
      <c r="A598" s="10">
        <f ca="1">IFERROR(__xludf.DUMMYFUNCTION("""COMPUTED_VALUE"""),597)</f>
        <v>597</v>
      </c>
      <c r="B598" s="10" t="str">
        <f ca="1">IFERROR(__xludf.DUMMYFUNCTION("""COMPUTED_VALUE"""),"Vicentinho")</f>
        <v>Vicentinho</v>
      </c>
      <c r="C598" s="10" t="str">
        <f ca="1">IFERROR(__xludf.DUMMYFUNCTION("""COMPUTED_VALUE"""),"RN")</f>
        <v>RN</v>
      </c>
      <c r="D598" s="6" t="str">
        <f t="shared" ca="1" si="6"/>
        <v>Masculino</v>
      </c>
      <c r="E598" s="10" t="str">
        <f ca="1">IFERROR(__xludf.DUMMYFUNCTION("""COMPUTED_VALUE"""),"M")</f>
        <v>M</v>
      </c>
      <c r="F598" s="11">
        <f ca="1">IFERROR(__xludf.DUMMYFUNCTION("""COMPUTED_VALUE"""),20553)</f>
        <v>20553</v>
      </c>
      <c r="G598" s="6">
        <f t="shared" ca="1" si="7"/>
        <v>69</v>
      </c>
      <c r="H598" s="6" t="b">
        <f ca="1">(COUNTIFS(Deputados!A598:A1000, A598, Deputados!D598:D1000, "&lt;&gt;57")) = 0</f>
        <v>0</v>
      </c>
    </row>
    <row r="599" spans="1:8" ht="17.399999999999999">
      <c r="A599" s="10">
        <f ca="1">IFERROR(__xludf.DUMMYFUNCTION("""COMPUTED_VALUE"""),598)</f>
        <v>598</v>
      </c>
      <c r="B599" s="10" t="str">
        <f ca="1">IFERROR(__xludf.DUMMYFUNCTION("""COMPUTED_VALUE"""),"Vicentinho Júnior")</f>
        <v>Vicentinho Júnior</v>
      </c>
      <c r="C599" s="10" t="str">
        <f ca="1">IFERROR(__xludf.DUMMYFUNCTION("""COMPUTED_VALUE"""),"GO")</f>
        <v>GO</v>
      </c>
      <c r="D599" s="6" t="str">
        <f t="shared" ca="1" si="6"/>
        <v>Masculino</v>
      </c>
      <c r="E599" s="10" t="str">
        <f ca="1">IFERROR(__xludf.DUMMYFUNCTION("""COMPUTED_VALUE"""),"M")</f>
        <v>M</v>
      </c>
      <c r="F599" s="11">
        <f ca="1">IFERROR(__xludf.DUMMYFUNCTION("""COMPUTED_VALUE"""),31148)</f>
        <v>31148</v>
      </c>
      <c r="G599" s="6">
        <f t="shared" ca="1" si="7"/>
        <v>40</v>
      </c>
      <c r="H599" s="6" t="b">
        <f ca="1">(COUNTIFS(Deputados!A599:A1000, A599, Deputados!D599:D1000, "&lt;&gt;57")) = 0</f>
        <v>0</v>
      </c>
    </row>
    <row r="600" spans="1:8" ht="17.399999999999999">
      <c r="A600" s="10">
        <f ca="1">IFERROR(__xludf.DUMMYFUNCTION("""COMPUTED_VALUE"""),599)</f>
        <v>599</v>
      </c>
      <c r="B600" s="10" t="str">
        <f ca="1">IFERROR(__xludf.DUMMYFUNCTION("""COMPUTED_VALUE"""),"Vinicius Carvalho")</f>
        <v>Vinicius Carvalho</v>
      </c>
      <c r="C600" s="10" t="str">
        <f ca="1">IFERROR(__xludf.DUMMYFUNCTION("""COMPUTED_VALUE"""),"RJ")</f>
        <v>RJ</v>
      </c>
      <c r="D600" s="6" t="str">
        <f t="shared" ca="1" si="6"/>
        <v>Masculino</v>
      </c>
      <c r="E600" s="10" t="str">
        <f ca="1">IFERROR(__xludf.DUMMYFUNCTION("""COMPUTED_VALUE"""),"M")</f>
        <v>M</v>
      </c>
      <c r="F600" s="11">
        <f ca="1">IFERROR(__xludf.DUMMYFUNCTION("""COMPUTED_VALUE"""),24114)</f>
        <v>24114</v>
      </c>
      <c r="G600" s="6">
        <f t="shared" ca="1" si="7"/>
        <v>59</v>
      </c>
      <c r="H600" s="6" t="b">
        <f ca="1">(COUNTIFS(Deputados!A600:A1000, A600, Deputados!D600:D1000, "&lt;&gt;57")) = 0</f>
        <v>0</v>
      </c>
    </row>
    <row r="601" spans="1:8" ht="17.399999999999999">
      <c r="A601" s="10">
        <f ca="1">IFERROR(__xludf.DUMMYFUNCTION("""COMPUTED_VALUE"""),600)</f>
        <v>600</v>
      </c>
      <c r="B601" s="10" t="str">
        <f ca="1">IFERROR(__xludf.DUMMYFUNCTION("""COMPUTED_VALUE"""),"Vinicius Gurgel")</f>
        <v>Vinicius Gurgel</v>
      </c>
      <c r="C601" s="10" t="str">
        <f ca="1">IFERROR(__xludf.DUMMYFUNCTION("""COMPUTED_VALUE"""),"AP")</f>
        <v>AP</v>
      </c>
      <c r="D601" s="6" t="str">
        <f t="shared" ca="1" si="6"/>
        <v>Masculino</v>
      </c>
      <c r="E601" s="10" t="str">
        <f ca="1">IFERROR(__xludf.DUMMYFUNCTION("""COMPUTED_VALUE"""),"M")</f>
        <v>M</v>
      </c>
      <c r="F601" s="11">
        <f ca="1">IFERROR(__xludf.DUMMYFUNCTION("""COMPUTED_VALUE"""),28702)</f>
        <v>28702</v>
      </c>
      <c r="G601" s="6">
        <f t="shared" ca="1" si="7"/>
        <v>47</v>
      </c>
      <c r="H601" s="6" t="b">
        <f ca="1">(COUNTIFS(Deputados!A601:A1000, A601, Deputados!D601:D1000, "&lt;&gt;57")) = 0</f>
        <v>0</v>
      </c>
    </row>
    <row r="602" spans="1:8" ht="17.399999999999999">
      <c r="A602" s="10">
        <f ca="1">IFERROR(__xludf.DUMMYFUNCTION("""COMPUTED_VALUE"""),601)</f>
        <v>601</v>
      </c>
      <c r="B602" s="10" t="str">
        <f ca="1">IFERROR(__xludf.DUMMYFUNCTION("""COMPUTED_VALUE"""),"Vitor Lippi")</f>
        <v>Vitor Lippi</v>
      </c>
      <c r="C602" s="10" t="str">
        <f ca="1">IFERROR(__xludf.DUMMYFUNCTION("""COMPUTED_VALUE"""),"SP")</f>
        <v>SP</v>
      </c>
      <c r="D602" s="6" t="str">
        <f t="shared" ca="1" si="6"/>
        <v>Masculino</v>
      </c>
      <c r="E602" s="10" t="str">
        <f ca="1">IFERROR(__xludf.DUMMYFUNCTION("""COMPUTED_VALUE"""),"M")</f>
        <v>M</v>
      </c>
      <c r="F602" s="11">
        <f ca="1">IFERROR(__xludf.DUMMYFUNCTION("""COMPUTED_VALUE"""),21688)</f>
        <v>21688</v>
      </c>
      <c r="G602" s="6">
        <f t="shared" ca="1" si="7"/>
        <v>66</v>
      </c>
      <c r="H602" s="6" t="b">
        <f ca="1">(COUNTIFS(Deputados!A602:A1000, A602, Deputados!D602:D1000, "&lt;&gt;57")) = 0</f>
        <v>0</v>
      </c>
    </row>
    <row r="603" spans="1:8" ht="17.399999999999999">
      <c r="A603" s="10">
        <f ca="1">IFERROR(__xludf.DUMMYFUNCTION("""COMPUTED_VALUE"""),602)</f>
        <v>602</v>
      </c>
      <c r="B603" s="10" t="str">
        <f ca="1">IFERROR(__xludf.DUMMYFUNCTION("""COMPUTED_VALUE"""),"Waldemar Oliveira")</f>
        <v>Waldemar Oliveira</v>
      </c>
      <c r="C603" s="10" t="str">
        <f ca="1">IFERROR(__xludf.DUMMYFUNCTION("""COMPUTED_VALUE"""),"PE")</f>
        <v>PE</v>
      </c>
      <c r="D603" s="6" t="str">
        <f t="shared" ca="1" si="6"/>
        <v>Masculino</v>
      </c>
      <c r="E603" s="10" t="str">
        <f ca="1">IFERROR(__xludf.DUMMYFUNCTION("""COMPUTED_VALUE"""),"M")</f>
        <v>M</v>
      </c>
      <c r="F603" s="11">
        <f ca="1">IFERROR(__xludf.DUMMYFUNCTION("""COMPUTED_VALUE"""),26632)</f>
        <v>26632</v>
      </c>
      <c r="G603" s="6">
        <f t="shared" ca="1" si="7"/>
        <v>52</v>
      </c>
      <c r="H603" s="6" t="b">
        <f ca="1">(COUNTIFS(Deputados!A603:A1000, A603, Deputados!D603:D1000, "&lt;&gt;57")) = 0</f>
        <v>1</v>
      </c>
    </row>
    <row r="604" spans="1:8" ht="17.399999999999999">
      <c r="A604" s="10">
        <f ca="1">IFERROR(__xludf.DUMMYFUNCTION("""COMPUTED_VALUE"""),603)</f>
        <v>603</v>
      </c>
      <c r="B604" s="10" t="str">
        <f ca="1">IFERROR(__xludf.DUMMYFUNCTION("""COMPUTED_VALUE"""),"Waldenor Pereira")</f>
        <v>Waldenor Pereira</v>
      </c>
      <c r="C604" s="10" t="str">
        <f ca="1">IFERROR(__xludf.DUMMYFUNCTION("""COMPUTED_VALUE"""),"BA")</f>
        <v>BA</v>
      </c>
      <c r="D604" s="6" t="str">
        <f t="shared" ca="1" si="6"/>
        <v>Masculino</v>
      </c>
      <c r="E604" s="10" t="str">
        <f ca="1">IFERROR(__xludf.DUMMYFUNCTION("""COMPUTED_VALUE"""),"M")</f>
        <v>M</v>
      </c>
      <c r="F604" s="11">
        <f ca="1">IFERROR(__xludf.DUMMYFUNCTION("""COMPUTED_VALUE"""),19791)</f>
        <v>19791</v>
      </c>
      <c r="G604" s="6">
        <f t="shared" ca="1" si="7"/>
        <v>71</v>
      </c>
      <c r="H604" s="6" t="b">
        <f ca="1">(COUNTIFS(Deputados!A604:A1000, A604, Deputados!D604:D1000, "&lt;&gt;57")) = 0</f>
        <v>0</v>
      </c>
    </row>
    <row r="605" spans="1:8" ht="17.399999999999999">
      <c r="A605" s="10">
        <f ca="1">IFERROR(__xludf.DUMMYFUNCTION("""COMPUTED_VALUE"""),604)</f>
        <v>604</v>
      </c>
      <c r="B605" s="10" t="str">
        <f ca="1">IFERROR(__xludf.DUMMYFUNCTION("""COMPUTED_VALUE"""),"Washington Quaquá")</f>
        <v>Washington Quaquá</v>
      </c>
      <c r="C605" s="10" t="str">
        <f ca="1">IFERROR(__xludf.DUMMYFUNCTION("""COMPUTED_VALUE"""),"RJ")</f>
        <v>RJ</v>
      </c>
      <c r="D605" s="6" t="str">
        <f t="shared" ca="1" si="6"/>
        <v>Masculino</v>
      </c>
      <c r="E605" s="10" t="str">
        <f ca="1">IFERROR(__xludf.DUMMYFUNCTION("""COMPUTED_VALUE"""),"M")</f>
        <v>M</v>
      </c>
      <c r="F605" s="11">
        <f ca="1">IFERROR(__xludf.DUMMYFUNCTION("""COMPUTED_VALUE"""),26084)</f>
        <v>26084</v>
      </c>
      <c r="G605" s="6">
        <f t="shared" ca="1" si="7"/>
        <v>54</v>
      </c>
      <c r="H605" s="6" t="b">
        <f ca="1">(COUNTIFS(Deputados!A605:A1000, A605, Deputados!D605:D1000, "&lt;&gt;57")) = 0</f>
        <v>1</v>
      </c>
    </row>
    <row r="606" spans="1:8" ht="17.399999999999999">
      <c r="A606" s="10">
        <f ca="1">IFERROR(__xludf.DUMMYFUNCTION("""COMPUTED_VALUE"""),605)</f>
        <v>605</v>
      </c>
      <c r="B606" s="10" t="str">
        <f ca="1">IFERROR(__xludf.DUMMYFUNCTION("""COMPUTED_VALUE"""),"Weliton Prado")</f>
        <v>Weliton Prado</v>
      </c>
      <c r="C606" s="10" t="str">
        <f ca="1">IFERROR(__xludf.DUMMYFUNCTION("""COMPUTED_VALUE"""),"MG")</f>
        <v>MG</v>
      </c>
      <c r="D606" s="6" t="str">
        <f t="shared" ca="1" si="6"/>
        <v>Masculino</v>
      </c>
      <c r="E606" s="10" t="str">
        <f ca="1">IFERROR(__xludf.DUMMYFUNCTION("""COMPUTED_VALUE"""),"M")</f>
        <v>M</v>
      </c>
      <c r="F606" s="11">
        <f ca="1">IFERROR(__xludf.DUMMYFUNCTION("""COMPUTED_VALUE"""),27630)</f>
        <v>27630</v>
      </c>
      <c r="G606" s="6">
        <f t="shared" ca="1" si="7"/>
        <v>50</v>
      </c>
      <c r="H606" s="6" t="b">
        <f ca="1">(COUNTIFS(Deputados!A606:A1000, A606, Deputados!D606:D1000, "&lt;&gt;57")) = 0</f>
        <v>0</v>
      </c>
    </row>
    <row r="607" spans="1:8" ht="17.399999999999999">
      <c r="A607" s="10">
        <f ca="1">IFERROR(__xludf.DUMMYFUNCTION("""COMPUTED_VALUE"""),606)</f>
        <v>606</v>
      </c>
      <c r="B607" s="10" t="str">
        <f ca="1">IFERROR(__xludf.DUMMYFUNCTION("""COMPUTED_VALUE"""),"Wellington Roberto")</f>
        <v>Wellington Roberto</v>
      </c>
      <c r="C607" s="10" t="str">
        <f ca="1">IFERROR(__xludf.DUMMYFUNCTION("""COMPUTED_VALUE"""),"PB")</f>
        <v>PB</v>
      </c>
      <c r="D607" s="6" t="str">
        <f t="shared" ca="1" si="6"/>
        <v>Masculino</v>
      </c>
      <c r="E607" s="10" t="str">
        <f ca="1">IFERROR(__xludf.DUMMYFUNCTION("""COMPUTED_VALUE"""),"M")</f>
        <v>M</v>
      </c>
      <c r="F607" s="11">
        <f ca="1">IFERROR(__xludf.DUMMYFUNCTION("""COMPUTED_VALUE"""),21689)</f>
        <v>21689</v>
      </c>
      <c r="G607" s="6">
        <f t="shared" ca="1" si="7"/>
        <v>66</v>
      </c>
      <c r="H607" s="6" t="b">
        <f ca="1">(COUNTIFS(Deputados!A607:A1000, A607, Deputados!D607:D1000, "&lt;&gt;57")) = 0</f>
        <v>0</v>
      </c>
    </row>
    <row r="608" spans="1:8" ht="17.399999999999999">
      <c r="A608" s="10">
        <f ca="1">IFERROR(__xludf.DUMMYFUNCTION("""COMPUTED_VALUE"""),607)</f>
        <v>607</v>
      </c>
      <c r="B608" s="10" t="str">
        <f ca="1">IFERROR(__xludf.DUMMYFUNCTION("""COMPUTED_VALUE"""),"Welter")</f>
        <v>Welter</v>
      </c>
      <c r="C608" s="10" t="str">
        <f ca="1">IFERROR(__xludf.DUMMYFUNCTION("""COMPUTED_VALUE"""),"PR")</f>
        <v>PR</v>
      </c>
      <c r="D608" s="6" t="str">
        <f t="shared" ca="1" si="6"/>
        <v>Masculino</v>
      </c>
      <c r="E608" s="10" t="str">
        <f ca="1">IFERROR(__xludf.DUMMYFUNCTION("""COMPUTED_VALUE"""),"M")</f>
        <v>M</v>
      </c>
      <c r="F608" s="11">
        <f ca="1">IFERROR(__xludf.DUMMYFUNCTION("""COMPUTED_VALUE"""),25165)</f>
        <v>25165</v>
      </c>
      <c r="G608" s="6">
        <f t="shared" ca="1" si="7"/>
        <v>56</v>
      </c>
      <c r="H608" s="6" t="b">
        <f ca="1">(COUNTIFS(Deputados!A608:A1000, A608, Deputados!D608:D1000, "&lt;&gt;57")) = 0</f>
        <v>1</v>
      </c>
    </row>
    <row r="609" spans="1:8" ht="17.399999999999999">
      <c r="A609" s="10">
        <f ca="1">IFERROR(__xludf.DUMMYFUNCTION("""COMPUTED_VALUE"""),608)</f>
        <v>608</v>
      </c>
      <c r="B609" s="10" t="str">
        <f ca="1">IFERROR(__xludf.DUMMYFUNCTION("""COMPUTED_VALUE"""),"Wilson Santiago")</f>
        <v>Wilson Santiago</v>
      </c>
      <c r="C609" s="10" t="str">
        <f ca="1">IFERROR(__xludf.DUMMYFUNCTION("""COMPUTED_VALUE"""),"PB")</f>
        <v>PB</v>
      </c>
      <c r="D609" s="6" t="str">
        <f t="shared" ca="1" si="6"/>
        <v>Masculino</v>
      </c>
      <c r="E609" s="10" t="str">
        <f ca="1">IFERROR(__xludf.DUMMYFUNCTION("""COMPUTED_VALUE"""),"M")</f>
        <v>M</v>
      </c>
      <c r="F609" s="11">
        <f ca="1">IFERROR(__xludf.DUMMYFUNCTION("""COMPUTED_VALUE"""),20981)</f>
        <v>20981</v>
      </c>
      <c r="G609" s="6">
        <f t="shared" ca="1" si="7"/>
        <v>68</v>
      </c>
      <c r="H609" s="6" t="b">
        <f ca="1">(COUNTIFS(Deputados!A609:A1000, A609, Deputados!D609:D1000, "&lt;&gt;57")) = 0</f>
        <v>0</v>
      </c>
    </row>
    <row r="610" spans="1:8" ht="17.399999999999999">
      <c r="A610" s="10">
        <f ca="1">IFERROR(__xludf.DUMMYFUNCTION("""COMPUTED_VALUE"""),609)</f>
        <v>609</v>
      </c>
      <c r="B610" s="10" t="str">
        <f ca="1">IFERROR(__xludf.DUMMYFUNCTION("""COMPUTED_VALUE"""),"Wolmer Araújo")</f>
        <v>Wolmer Araújo</v>
      </c>
      <c r="C610" s="10" t="str">
        <f ca="1">IFERROR(__xludf.DUMMYFUNCTION("""COMPUTED_VALUE"""),"MA")</f>
        <v>MA</v>
      </c>
      <c r="D610" s="6" t="str">
        <f t="shared" ca="1" si="6"/>
        <v>Masculino</v>
      </c>
      <c r="E610" s="10" t="str">
        <f ca="1">IFERROR(__xludf.DUMMYFUNCTION("""COMPUTED_VALUE"""),"M")</f>
        <v>M</v>
      </c>
      <c r="F610" s="11">
        <f ca="1">IFERROR(__xludf.DUMMYFUNCTION("""COMPUTED_VALUE"""),28348)</f>
        <v>28348</v>
      </c>
      <c r="G610" s="6">
        <f t="shared" ca="1" si="7"/>
        <v>48</v>
      </c>
      <c r="H610" s="6" t="b">
        <f ca="1">(COUNTIFS(Deputados!A610:A1000, A610, Deputados!D610:D1000, "&lt;&gt;57")) = 0</f>
        <v>0</v>
      </c>
    </row>
    <row r="611" spans="1:8" ht="17.399999999999999">
      <c r="A611" s="10">
        <f ca="1">IFERROR(__xludf.DUMMYFUNCTION("""COMPUTED_VALUE"""),610)</f>
        <v>610</v>
      </c>
      <c r="B611" s="10" t="str">
        <f ca="1">IFERROR(__xludf.DUMMYFUNCTION("""COMPUTED_VALUE"""),"Yandra Moura")</f>
        <v>Yandra Moura</v>
      </c>
      <c r="C611" s="10" t="str">
        <f ca="1">IFERROR(__xludf.DUMMYFUNCTION("""COMPUTED_VALUE"""),"SE")</f>
        <v>SE</v>
      </c>
      <c r="D611" s="6" t="str">
        <f t="shared" ca="1" si="6"/>
        <v>Feminino</v>
      </c>
      <c r="E611" s="10" t="str">
        <f ca="1">IFERROR(__xludf.DUMMYFUNCTION("""COMPUTED_VALUE"""),"F")</f>
        <v>F</v>
      </c>
      <c r="F611" s="11">
        <f ca="1">IFERROR(__xludf.DUMMYFUNCTION("""COMPUTED_VALUE"""),34449)</f>
        <v>34449</v>
      </c>
      <c r="G611" s="6">
        <f t="shared" ca="1" si="7"/>
        <v>31</v>
      </c>
      <c r="H611" s="6" t="b">
        <f ca="1">(COUNTIFS(Deputados!A611:A1000, A611, Deputados!D611:D1000, "&lt;&gt;57")) = 0</f>
        <v>1</v>
      </c>
    </row>
    <row r="612" spans="1:8" ht="17.399999999999999">
      <c r="A612" s="10">
        <f ca="1">IFERROR(__xludf.DUMMYFUNCTION("""COMPUTED_VALUE"""),611)</f>
        <v>611</v>
      </c>
      <c r="B612" s="10" t="str">
        <f ca="1">IFERROR(__xludf.DUMMYFUNCTION("""COMPUTED_VALUE"""),"Yury do Paredão")</f>
        <v>Yury do Paredão</v>
      </c>
      <c r="C612" s="10" t="str">
        <f ca="1">IFERROR(__xludf.DUMMYFUNCTION("""COMPUTED_VALUE"""),"CE")</f>
        <v>CE</v>
      </c>
      <c r="D612" s="6" t="str">
        <f t="shared" ca="1" si="6"/>
        <v>Masculino</v>
      </c>
      <c r="E612" s="10" t="str">
        <f ca="1">IFERROR(__xludf.DUMMYFUNCTION("""COMPUTED_VALUE"""),"M")</f>
        <v>M</v>
      </c>
      <c r="F612" s="11">
        <f ca="1">IFERROR(__xludf.DUMMYFUNCTION("""COMPUTED_VALUE"""),32294)</f>
        <v>32294</v>
      </c>
      <c r="G612" s="6">
        <f t="shared" ca="1" si="7"/>
        <v>37</v>
      </c>
      <c r="H612" s="6" t="b">
        <f ca="1">(COUNTIFS(Deputados!A612:A1000, A612, Deputados!D612:D1000, "&lt;&gt;57")) = 0</f>
        <v>1</v>
      </c>
    </row>
    <row r="613" spans="1:8" ht="17.399999999999999">
      <c r="A613" s="10">
        <f ca="1">IFERROR(__xludf.DUMMYFUNCTION("""COMPUTED_VALUE"""),612)</f>
        <v>612</v>
      </c>
      <c r="B613" s="10" t="str">
        <f ca="1">IFERROR(__xludf.DUMMYFUNCTION("""COMPUTED_VALUE"""),"Zé Adriano")</f>
        <v>Zé Adriano</v>
      </c>
      <c r="C613" s="10" t="str">
        <f ca="1">IFERROR(__xludf.DUMMYFUNCTION("""COMPUTED_VALUE"""),"AC")</f>
        <v>AC</v>
      </c>
      <c r="D613" s="6" t="str">
        <f t="shared" ca="1" si="6"/>
        <v>Masculino</v>
      </c>
      <c r="E613" s="10" t="str">
        <f ca="1">IFERROR(__xludf.DUMMYFUNCTION("""COMPUTED_VALUE"""),"M")</f>
        <v>M</v>
      </c>
      <c r="F613" s="11">
        <f ca="1">IFERROR(__xludf.DUMMYFUNCTION("""COMPUTED_VALUE"""),24184)</f>
        <v>24184</v>
      </c>
      <c r="G613" s="6">
        <f t="shared" ca="1" si="7"/>
        <v>59</v>
      </c>
      <c r="H613" s="6" t="b">
        <f ca="1">(COUNTIFS(Deputados!A613:A1000, A613, Deputados!D613:D1000, "&lt;&gt;57")) = 0</f>
        <v>1</v>
      </c>
    </row>
    <row r="614" spans="1:8" ht="17.399999999999999">
      <c r="A614" s="10">
        <f ca="1">IFERROR(__xludf.DUMMYFUNCTION("""COMPUTED_VALUE"""),613)</f>
        <v>613</v>
      </c>
      <c r="B614" s="10" t="str">
        <f ca="1">IFERROR(__xludf.DUMMYFUNCTION("""COMPUTED_VALUE"""),"Zé Haroldo Cathedral")</f>
        <v>Zé Haroldo Cathedral</v>
      </c>
      <c r="C614" s="10" t="str">
        <f ca="1">IFERROR(__xludf.DUMMYFUNCTION("""COMPUTED_VALUE"""),"MT")</f>
        <v>MT</v>
      </c>
      <c r="D614" s="6" t="str">
        <f t="shared" ca="1" si="6"/>
        <v>Masculino</v>
      </c>
      <c r="E614" s="10" t="str">
        <f ca="1">IFERROR(__xludf.DUMMYFUNCTION("""COMPUTED_VALUE"""),"M")</f>
        <v>M</v>
      </c>
      <c r="F614" s="11">
        <f ca="1">IFERROR(__xludf.DUMMYFUNCTION("""COMPUTED_VALUE"""),30032)</f>
        <v>30032</v>
      </c>
      <c r="G614" s="6">
        <f t="shared" ca="1" si="7"/>
        <v>43</v>
      </c>
      <c r="H614" s="6" t="b">
        <f ca="1">(COUNTIFS(Deputados!A614:A1000, A614, Deputados!D614:D1000, "&lt;&gt;57")) = 0</f>
        <v>1</v>
      </c>
    </row>
    <row r="615" spans="1:8" ht="17.399999999999999">
      <c r="A615" s="10">
        <f ca="1">IFERROR(__xludf.DUMMYFUNCTION("""COMPUTED_VALUE"""),614)</f>
        <v>614</v>
      </c>
      <c r="B615" s="10" t="str">
        <f ca="1">IFERROR(__xludf.DUMMYFUNCTION("""COMPUTED_VALUE"""),"Zé Neto")</f>
        <v>Zé Neto</v>
      </c>
      <c r="C615" s="10" t="str">
        <f ca="1">IFERROR(__xludf.DUMMYFUNCTION("""COMPUTED_VALUE"""),"BA")</f>
        <v>BA</v>
      </c>
      <c r="D615" s="6" t="str">
        <f t="shared" ca="1" si="6"/>
        <v>Masculino</v>
      </c>
      <c r="E615" s="10" t="str">
        <f ca="1">IFERROR(__xludf.DUMMYFUNCTION("""COMPUTED_VALUE"""),"M")</f>
        <v>M</v>
      </c>
      <c r="F615" s="11">
        <f ca="1">IFERROR(__xludf.DUMMYFUNCTION("""COMPUTED_VALUE"""),23466)</f>
        <v>23466</v>
      </c>
      <c r="G615" s="6">
        <f t="shared" ca="1" si="7"/>
        <v>61</v>
      </c>
      <c r="H615" s="6" t="b">
        <f ca="1">(COUNTIFS(Deputados!A615:A1000, A615, Deputados!D615:D1000, "&lt;&gt;57")) = 0</f>
        <v>0</v>
      </c>
    </row>
    <row r="616" spans="1:8" ht="17.399999999999999">
      <c r="A616" s="10">
        <f ca="1">IFERROR(__xludf.DUMMYFUNCTION("""COMPUTED_VALUE"""),615)</f>
        <v>615</v>
      </c>
      <c r="B616" s="10" t="str">
        <f ca="1">IFERROR(__xludf.DUMMYFUNCTION("""COMPUTED_VALUE"""),"Zé Silva")</f>
        <v>Zé Silva</v>
      </c>
      <c r="C616" s="10" t="str">
        <f ca="1">IFERROR(__xludf.DUMMYFUNCTION("""COMPUTED_VALUE"""),"MG")</f>
        <v>MG</v>
      </c>
      <c r="D616" s="6" t="str">
        <f t="shared" ca="1" si="6"/>
        <v>Masculino</v>
      </c>
      <c r="E616" s="10" t="str">
        <f ca="1">IFERROR(__xludf.DUMMYFUNCTION("""COMPUTED_VALUE"""),"M")</f>
        <v>M</v>
      </c>
      <c r="F616" s="11">
        <f ca="1">IFERROR(__xludf.DUMMYFUNCTION("""COMPUTED_VALUE"""),23142)</f>
        <v>23142</v>
      </c>
      <c r="G616" s="6">
        <f t="shared" ca="1" si="7"/>
        <v>62</v>
      </c>
      <c r="H616" s="6" t="b">
        <f ca="1">(COUNTIFS(Deputados!A616:A1000, A616, Deputados!D616:D1000, "&lt;&gt;57")) = 0</f>
        <v>0</v>
      </c>
    </row>
    <row r="617" spans="1:8" ht="17.399999999999999">
      <c r="A617" s="10">
        <f ca="1">IFERROR(__xludf.DUMMYFUNCTION("""COMPUTED_VALUE"""),616)</f>
        <v>616</v>
      </c>
      <c r="B617" s="10" t="str">
        <f ca="1">IFERROR(__xludf.DUMMYFUNCTION("""COMPUTED_VALUE"""),"Zé Trovão")</f>
        <v>Zé Trovão</v>
      </c>
      <c r="C617" s="10" t="str">
        <f ca="1">IFERROR(__xludf.DUMMYFUNCTION("""COMPUTED_VALUE"""),"SP")</f>
        <v>SP</v>
      </c>
      <c r="D617" s="6" t="str">
        <f t="shared" ca="1" si="6"/>
        <v>Masculino</v>
      </c>
      <c r="E617" s="10" t="str">
        <f ca="1">IFERROR(__xludf.DUMMYFUNCTION("""COMPUTED_VALUE"""),"M")</f>
        <v>M</v>
      </c>
      <c r="F617" s="11">
        <f ca="1">IFERROR(__xludf.DUMMYFUNCTION("""COMPUTED_VALUE"""),32346)</f>
        <v>32346</v>
      </c>
      <c r="G617" s="6">
        <f t="shared" ca="1" si="7"/>
        <v>37</v>
      </c>
      <c r="H617" s="6" t="b">
        <f ca="1">(COUNTIFS(Deputados!A617:A1000, A617, Deputados!D617:D1000, "&lt;&gt;57")) = 0</f>
        <v>1</v>
      </c>
    </row>
    <row r="618" spans="1:8" ht="17.399999999999999">
      <c r="A618" s="10">
        <f ca="1">IFERROR(__xludf.DUMMYFUNCTION("""COMPUTED_VALUE"""),617)</f>
        <v>617</v>
      </c>
      <c r="B618" s="10" t="str">
        <f ca="1">IFERROR(__xludf.DUMMYFUNCTION("""COMPUTED_VALUE"""),"Zé Vitor")</f>
        <v>Zé Vitor</v>
      </c>
      <c r="C618" s="10" t="str">
        <f ca="1">IFERROR(__xludf.DUMMYFUNCTION("""COMPUTED_VALUE"""),"MG")</f>
        <v>MG</v>
      </c>
      <c r="D618" s="6" t="str">
        <f t="shared" ca="1" si="6"/>
        <v>Masculino</v>
      </c>
      <c r="E618" s="10" t="str">
        <f ca="1">IFERROR(__xludf.DUMMYFUNCTION("""COMPUTED_VALUE"""),"M")</f>
        <v>M</v>
      </c>
      <c r="F618" s="11">
        <f ca="1">IFERROR(__xludf.DUMMYFUNCTION("""COMPUTED_VALUE"""),30987)</f>
        <v>30987</v>
      </c>
      <c r="G618" s="6">
        <f t="shared" ca="1" si="7"/>
        <v>40</v>
      </c>
      <c r="H618" s="6" t="b">
        <f ca="1">(COUNTIFS(Deputados!A618:A1000, A618, Deputados!D618:D1000, "&lt;&gt;57")) = 0</f>
        <v>0</v>
      </c>
    </row>
    <row r="619" spans="1:8" ht="17.399999999999999">
      <c r="A619" s="10">
        <f ca="1">IFERROR(__xludf.DUMMYFUNCTION("""COMPUTED_VALUE"""),618)</f>
        <v>618</v>
      </c>
      <c r="B619" s="10" t="str">
        <f ca="1">IFERROR(__xludf.DUMMYFUNCTION("""COMPUTED_VALUE"""),"Zeca Dirceu")</f>
        <v>Zeca Dirceu</v>
      </c>
      <c r="C619" s="10" t="str">
        <f ca="1">IFERROR(__xludf.DUMMYFUNCTION("""COMPUTED_VALUE"""),"PR")</f>
        <v>PR</v>
      </c>
      <c r="D619" s="6" t="str">
        <f t="shared" ca="1" si="6"/>
        <v>Masculino</v>
      </c>
      <c r="E619" s="10" t="str">
        <f ca="1">IFERROR(__xludf.DUMMYFUNCTION("""COMPUTED_VALUE"""),"M")</f>
        <v>M</v>
      </c>
      <c r="F619" s="11">
        <f ca="1">IFERROR(__xludf.DUMMYFUNCTION("""COMPUTED_VALUE"""),28662)</f>
        <v>28662</v>
      </c>
      <c r="G619" s="6">
        <f t="shared" ca="1" si="7"/>
        <v>47</v>
      </c>
      <c r="H619" s="6" t="b">
        <f ca="1">(COUNTIFS(Deputados!A619:A1000, A619, Deputados!D619:D1000, "&lt;&gt;57")) = 0</f>
        <v>0</v>
      </c>
    </row>
    <row r="620" spans="1:8" ht="17.399999999999999">
      <c r="A620" s="10">
        <f ca="1">IFERROR(__xludf.DUMMYFUNCTION("""COMPUTED_VALUE"""),619)</f>
        <v>619</v>
      </c>
      <c r="B620" s="10" t="str">
        <f ca="1">IFERROR(__xludf.DUMMYFUNCTION("""COMPUTED_VALUE"""),"Zezinho Barbary")</f>
        <v>Zezinho Barbary</v>
      </c>
      <c r="C620" s="10" t="str">
        <f ca="1">IFERROR(__xludf.DUMMYFUNCTION("""COMPUTED_VALUE"""),"AC")</f>
        <v>AC</v>
      </c>
      <c r="D620" s="6" t="str">
        <f t="shared" ca="1" si="6"/>
        <v>Masculino</v>
      </c>
      <c r="E620" s="10" t="str">
        <f ca="1">IFERROR(__xludf.DUMMYFUNCTION("""COMPUTED_VALUE"""),"M")</f>
        <v>M</v>
      </c>
      <c r="F620" s="11">
        <f ca="1">IFERROR(__xludf.DUMMYFUNCTION("""COMPUTED_VALUE"""),24255)</f>
        <v>24255</v>
      </c>
      <c r="G620" s="6">
        <f t="shared" ca="1" si="7"/>
        <v>59</v>
      </c>
      <c r="H620" s="6" t="b">
        <f ca="1">(COUNTIFS(Deputados!A620:A1000, A620, Deputados!D620:D1000, "&lt;&gt;57")) = 0</f>
        <v>1</v>
      </c>
    </row>
    <row r="621" spans="1:8" ht="17.399999999999999">
      <c r="A621" s="10">
        <f ca="1">IFERROR(__xludf.DUMMYFUNCTION("""COMPUTED_VALUE"""),620)</f>
        <v>620</v>
      </c>
      <c r="B621" s="10" t="str">
        <f ca="1">IFERROR(__xludf.DUMMYFUNCTION("""COMPUTED_VALUE"""),"Zucco")</f>
        <v>Zucco</v>
      </c>
      <c r="C621" s="10" t="str">
        <f ca="1">IFERROR(__xludf.DUMMYFUNCTION("""COMPUTED_VALUE"""),"RS")</f>
        <v>RS</v>
      </c>
      <c r="D621" s="6" t="str">
        <f t="shared" ca="1" si="6"/>
        <v>Masculino</v>
      </c>
      <c r="E621" s="10" t="str">
        <f ca="1">IFERROR(__xludf.DUMMYFUNCTION("""COMPUTED_VALUE"""),"M")</f>
        <v>M</v>
      </c>
      <c r="F621" s="11">
        <f ca="1">IFERROR(__xludf.DUMMYFUNCTION("""COMPUTED_VALUE"""),27097)</f>
        <v>27097</v>
      </c>
      <c r="G621" s="6">
        <f t="shared" ca="1" si="7"/>
        <v>51</v>
      </c>
      <c r="H621" s="6" t="b">
        <f ca="1">(COUNTIFS(Deputados!A621:A1000, A621, Deputados!D621:D1000, "&lt;&gt;57")) = 0</f>
        <v>1</v>
      </c>
    </row>
  </sheetData>
  <pageMargins left="0.511811024" right="0.511811024" top="0.78740157499999996" bottom="0.78740157499999996" header="0.31496062000000002" footer="0.3149606200000000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7"/>
  <sheetViews>
    <sheetView zoomScale="58" workbookViewId="0">
      <selection sqref="A1:Q1"/>
    </sheetView>
  </sheetViews>
  <sheetFormatPr defaultColWidth="12.6640625" defaultRowHeight="15.75" customHeight="1"/>
  <sheetData>
    <row r="1" spans="1:17" ht="53.25" customHeight="1">
      <c r="A1" s="16" t="s">
        <v>27800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7" spans="1:17" ht="15">
      <c r="G7" s="15"/>
    </row>
  </sheetData>
  <mergeCells count="1">
    <mergeCell ref="A1:Q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Deputados</vt:lpstr>
      <vt:lpstr>Tratamento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APL</dc:creator>
  <cp:lastModifiedBy>Sabrina APL</cp:lastModifiedBy>
  <dcterms:created xsi:type="dcterms:W3CDTF">2025-09-11T23:36:13Z</dcterms:created>
  <dcterms:modified xsi:type="dcterms:W3CDTF">2025-09-11T23:36:13Z</dcterms:modified>
</cp:coreProperties>
</file>